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a" sheetId="1" state="visible" r:id="rId3"/>
    <sheet name="Resumen" sheetId="2" state="visible" r:id="rId4"/>
    <sheet name="Supuestos" sheetId="3" state="visible" r:id="rId5"/>
    <sheet name="Calendario" sheetId="4" state="visible" r:id="rId6"/>
    <sheet name="Produccion_Ventas" sheetId="5" state="visible" r:id="rId7"/>
    <sheet name="Costos_Personal" sheetId="6" state="visible" r:id="rId8"/>
    <sheet name="Inversion_Activos" sheetId="7" state="visible" r:id="rId9"/>
    <sheet name="Capital_Trabajo" sheetId="8" state="visible" r:id="rId10"/>
    <sheet name="Deuda_Tributos" sheetId="9" state="visible" r:id="rId11"/>
    <sheet name="Resultados_Caja" sheetId="10" state="visible" r:id="rId12"/>
    <sheet name="Resultados_Anuales" sheetId="11" state="visible" r:id="rId13"/>
    <sheet name="Escenarios_Sensib" sheetId="12" state="visible" r:id="rId14"/>
    <sheet name="Datos_Reales" sheetId="13" state="visible" r:id="rId15"/>
    <sheet name="Base_PDF" sheetId="14" state="visible" r:id="rId16"/>
    <sheet name="Validaciones" sheetId="15" state="visible" r:id="rId17"/>
  </sheets>
  <definedNames>
    <definedName function="false" hidden="false" localSheetId="1" name="_xlnm.Print_Area" vbProcedure="false">Resumen!$A$1:$F$120</definedName>
    <definedName function="false" hidden="false" name="dr_Cant" vbProcedure="false">Datos_Reales!$I$134:$I$733</definedName>
    <definedName function="false" hidden="false" name="dr_Cod" vbProcedure="false">Datos_Reales!$D$134:$D$733</definedName>
    <definedName function="false" hidden="false" name="dr_Est" vbProcedure="false">Datos_Reales!$M$134:$M$733</definedName>
    <definedName function="false" hidden="false" name="dr_Mes" vbProcedure="false">Datos_Reales!$B$134:$B$733</definedName>
    <definedName function="false" hidden="false" name="dr_USD" vbProcedure="false">Datos_Reales!$K$134:$K$733</definedName>
    <definedName function="false" hidden="false" name="e_AjSal" vbProcedure="false">Supuestos!$J$144</definedName>
    <definedName function="false" hidden="false" name="e_Ant" vbProcedure="false">Supuestos!$J$163</definedName>
    <definedName function="false" hidden="false" name="e_AntMeses" vbProcedure="false">Supuestos!$J$164</definedName>
    <definedName function="false" hidden="false" name="e_AntProv" vbProcedure="false">Supuestos!$J$169</definedName>
    <definedName function="false" hidden="false" name="e_AntProvMeses" vbProcedure="false">Supuestos!$J$170</definedName>
    <definedName function="false" hidden="false" name="e_AportesPDF" vbProcedure="false">Supuestos!$J$178</definedName>
    <definedName function="false" hidden="false" name="e_Atraso" vbProcedure="false">Supuestos!$J$99</definedName>
    <definedName function="false" hidden="false" name="e_CapAdic" vbProcedure="false">Supuestos!$J$123</definedName>
    <definedName function="false" hidden="false" name="e_Capex2" vbProcedure="false">Supuestos!$J$174</definedName>
    <definedName function="false" hidden="false" name="e_Capex2Mes" vbProcedure="false">Supuestos!$J$175</definedName>
    <definedName function="false" hidden="false" name="e_Chat" vbProcedure="false">Supuestos!$J$142</definedName>
    <definedName function="false" hidden="false" name="e_CONc" vbProcedure="false">Supuestos!$J$135</definedName>
    <definedName function="false" hidden="false" name="e_CONg" vbProcedure="false">Supuestos!$J$134</definedName>
    <definedName function="false" hidden="false" name="e_Cont" vbProcedure="false">Supuestos!$J$162</definedName>
    <definedName function="false" hidden="false" name="e_Cred" vbProcedure="false">Supuestos!$J$160</definedName>
    <definedName function="false" hidden="false" name="e_Cupo" vbProcedure="false">Supuestos!$J$185</definedName>
    <definedName function="false" hidden="false" name="e_DiasAntPers" vbProcedure="false">Supuestos!$J$172</definedName>
    <definedName function="false" hidden="false" name="e_DiasPT" vbProcedure="false">Supuestos!$J$167</definedName>
    <definedName function="false" hidden="false" name="e_DiasStock" vbProcedure="false">Supuestos!$J$166</definedName>
    <definedName function="false" hidden="false" name="e_DPOmen" vbProcedure="false">Supuestos!$J$171</definedName>
    <definedName function="false" hidden="false" name="e_DPOmp" vbProcedure="false">Supuestos!$J$168</definedName>
    <definedName function="false" hidden="false" name="e_DSO" vbProcedure="false">Supuestos!$J$161</definedName>
    <definedName function="false" hidden="false" name="e_Eff0" vbProcedure="false">Supuestos!$J$101</definedName>
    <definedName function="false" hidden="false" name="e_EneVar" vbProcedure="false">Supuestos!$J$188</definedName>
    <definedName function="false" hidden="false" name="e_FactDot" vbProcedure="false">Supuestos!$J$143</definedName>
    <definedName function="false" hidden="false" name="e_FLEc" vbProcedure="false">Supuestos!$J$139</definedName>
    <definedName function="false" hidden="false" name="e_FLEg" vbProcedure="false">Supuestos!$J$138</definedName>
    <definedName function="false" hidden="false" name="e_FLEvar" vbProcedure="false">Supuestos!$J$140</definedName>
    <definedName function="false" hidden="false" name="e_GV" vbProcedure="false">Supuestos!$J$187</definedName>
    <definedName function="false" hidden="false" name="e_Incob" vbProcedure="false">Supuestos!$J$165</definedName>
    <definedName function="false" hidden="false" name="e_InflFij" vbProcedure="false">Supuestos!$J$145</definedName>
    <definedName function="false" hidden="false" name="e_INSc" vbProcedure="false">Supuestos!$J$133</definedName>
    <definedName function="false" hidden="false" name="e_INSg" vbProcedure="false">Supuestos!$J$132</definedName>
    <definedName function="false" hidden="false" name="e_INSgr" vbProcedure="false">Supuestos!$J$136</definedName>
    <definedName function="false" hidden="false" name="e_INSvar" vbProcedure="false">Supuestos!$J$137</definedName>
    <definedName function="false" hidden="false" name="e_IVAlag" vbProcedure="false">Supuestos!$J$177</definedName>
    <definedName function="false" hidden="false" name="e_IVArec" vbProcedure="false">Supuestos!$J$176</definedName>
    <definedName function="false" hidden="false" name="e_L2_Cuotas" vbProcedure="false">Supuestos!$J$183</definedName>
    <definedName function="false" hidden="false" name="e_L2_Gracia" vbProcedure="false">Supuestos!$J$182</definedName>
    <definedName function="false" hidden="false" name="e_L2_Mes" vbProcedure="false">Supuestos!$J$180</definedName>
    <definedName function="false" hidden="false" name="e_L2_Monto" vbProcedure="false">Supuestos!$J$179</definedName>
    <definedName function="false" hidden="false" name="e_L2_Tasa" vbProcedure="false">Supuestos!$J$181</definedName>
    <definedName function="false" hidden="false" name="e_Linea" vbProcedure="false">Supuestos!$J$184</definedName>
    <definedName function="false" hidden="false" name="e_MPc" vbProcedure="false">Supuestos!$J$129</definedName>
    <definedName function="false" hidden="false" name="e_MPg" vbProcedure="false">Supuestos!$J$128</definedName>
    <definedName function="false" hidden="false" name="e_MPgr" vbProcedure="false">Supuestos!$J$130</definedName>
    <definedName function="false" hidden="false" name="e_MPvar" vbProcedure="false">Supuestos!$J$131</definedName>
    <definedName function="false" hidden="false" name="e_PrecioC1" vbProcedure="false">Supuestos!$J$125</definedName>
    <definedName function="false" hidden="false" name="e_PrecioG1" vbProcedure="false">Supuestos!$J$124</definedName>
    <definedName function="false" hidden="false" name="e_PrecioGr" vbProcedure="false">Supuestos!$J$127</definedName>
    <definedName function="false" hidden="false" name="e_PrecioVar" vbProcedure="false">Supuestos!$J$126</definedName>
    <definedName function="false" hidden="false" name="e_Rampa" vbProcedure="false">Supuestos!$J$100</definedName>
    <definedName function="false" hidden="false" name="e_Rech" vbProcedure="false">Supuestos!$J$141</definedName>
    <definedName function="false" hidden="false" name="e_Recup" vbProcedure="false">Supuestos!$J$102</definedName>
    <definedName function="false" hidden="false" name="e_Sobrecosto" vbProcedure="false">Supuestos!$J$173</definedName>
    <definedName function="false" hidden="false" name="e_TasaLinea" vbProcedure="false">Supuestos!$J$186</definedName>
    <definedName function="false" hidden="false" name="e_TC" vbProcedure="false">Supuestos!$J$146:$J$159</definedName>
    <definedName function="false" hidden="false" name="e_VolC" vbProcedure="false">Supuestos!$J$113:$J$122</definedName>
    <definedName function="false" hidden="false" name="e_VolG" vbProcedure="false">Supuestos!$J$103:$J$112</definedName>
    <definedName function="false" hidden="false" name="k_ap" vbProcedure="false">Resultados_Anuales!$D$31</definedName>
    <definedName function="false" hidden="false" name="k_ap_auto" vbProcedure="false">Resultados_Anuales!$D$32</definedName>
    <definedName function="false" hidden="false" name="k_ap_esp" vbProcedure="false">Resultados_Anuales!$D$33</definedName>
    <definedName function="false" hidden="false" name="k_brecha" vbProcedure="false">Resultados_Anuales!$D$37</definedName>
    <definedName function="false" hidden="false" name="k_brecha_m" vbProcedure="false">Resultados_Anuales!$D$38</definedName>
    <definedName function="false" hidden="false" name="k_brecha_nc" vbProcedure="false">Resultados_Anuales!$D$39</definedName>
    <definedName function="false" hidden="false" name="k_brecha_nc_n" vbProcedure="false">Resultados_Anuales!$D$40</definedName>
    <definedName function="false" hidden="false" name="k_caja_min" vbProcedure="false">Resultados_Anuales!$D$41</definedName>
    <definedName function="false" hidden="false" name="k_capex_d" vbProcedure="false">Resultados_Anuales!$D$22</definedName>
    <definedName function="false" hidden="false" name="k_capex_e" vbProcedure="false">Resultados_Anuales!$D$21</definedName>
    <definedName function="false" hidden="false" name="k_capex_o" vbProcedure="false">Resultados_Anuales!$D$20</definedName>
    <definedName function="false" hidden="false" name="k_capex_pag" vbProcedure="false">Resultados_Anuales!$D$23</definedName>
    <definedName function="false" hidden="false" name="k_capex_pend" vbProcedure="false">Resultados_Anuales!$D$24</definedName>
    <definedName function="false" hidden="false" name="k_chk_bal" vbProcedure="false">Resultados_Anuales!$D$49</definedName>
    <definedName function="false" hidden="false" name="k_chk_cap" vbProcedure="false">Resultados_Anuales!$D$51</definedName>
    <definedName function="false" hidden="false" name="k_chk_grid" vbProcedure="false">Resultados_Anuales!$D$53</definedName>
    <definedName function="false" hidden="false" name="k_chk_ind" vbProcedure="false">Resultados_Anuales!$D$50</definedName>
    <definedName function="false" hidden="false" name="k_chk_real" vbProcedure="false">Resultados_Anuales!$D$52</definedName>
    <definedName function="false" hidden="false" name="k_ctn_max" vbProcedure="false">Resultados_Anuales!$D$47</definedName>
    <definedName function="false" hidden="false" name="k_deuda_max" vbProcedure="false">Resultados_Anuales!$D$42</definedName>
    <definedName function="false" hidden="false" name="k_div" vbProcedure="false">Resultados_Anuales!$D$34</definedName>
    <definedName function="false" hidden="false" name="k_dscr_min" vbProcedure="false">Resultados_Anuales!$D$43</definedName>
    <definedName function="false" hidden="false" name="k_e1" vbProcedure="false">Resultados_Anuales!$D$26</definedName>
    <definedName function="false" hidden="false" name="k_e1p" vbProcedure="false">Resultados_Anuales!$D$27</definedName>
    <definedName function="false" hidden="false" name="k_et" vbProcedure="false">Resultados_Anuales!$D$29</definedName>
    <definedName function="false" hidden="false" name="k_nec" vbProcedure="false">Resultados_Anuales!$D$35</definedName>
    <definedName function="false" hidden="false" name="k_nec_m" vbProcedure="false">Resultados_Anuales!$D$36</definedName>
    <definedName function="false" hidden="false" name="k_nit" vbProcedure="false">Resultados_Anuales!$D$30</definedName>
    <definedName function="false" hidden="false" name="k_pb_d" vbProcedure="false">Resultados_Anuales!$D$15</definedName>
    <definedName function="false" hidden="false" name="k_pb_e" vbProcedure="false">Resultados_Anuales!$D$16</definedName>
    <definedName function="false" hidden="false" name="k_pb_s" vbProcedure="false">Resultados_Anuales!$D$14</definedName>
    <definedName function="false" hidden="false" name="k_pe1" vbProcedure="false">Resultados_Anuales!$D$44</definedName>
    <definedName function="false" hidden="false" name="k_pe1c" vbProcedure="false">Resultados_Anuales!$D$46</definedName>
    <definedName function="false" hidden="false" name="k_pe1g" vbProcedure="false">Resultados_Anuales!$D$45</definedName>
    <definedName function="false" hidden="false" name="k_tasa" vbProcedure="false">Resultados_Anuales!$D$17</definedName>
    <definedName function="false" hidden="false" name="k_tir_a" vbProcedure="false">Resultados_Anuales!$D$10</definedName>
    <definedName function="false" hidden="false" name="k_tir_e" vbProcedure="false">Resultados_Anuales!$D$12</definedName>
    <definedName function="false" hidden="false" name="k_tir_e_u" vbProcedure="false">Resultados_Anuales!$D$13</definedName>
    <definedName function="false" hidden="false" name="k_tir_p" vbProcedure="false">Resultados_Anuales!$D$7</definedName>
    <definedName function="false" hidden="false" name="k_tir_p_u" vbProcedure="false">Resultados_Anuales!$D$8</definedName>
    <definedName function="false" hidden="false" name="k_v1" vbProcedure="false">Resultados_Anuales!$D$25</definedName>
    <definedName function="false" hidden="false" name="k_van_a" vbProcedure="false">Resultados_Anuales!$D$9</definedName>
    <definedName function="false" hidden="false" name="k_van_e" vbProcedure="false">Resultados_Anuales!$D$11</definedName>
    <definedName function="false" hidden="false" name="k_van_inc" vbProcedure="false">Resultados_Anuales!$D$18</definedName>
    <definedName function="false" hidden="false" name="k_van_p" vbProcedure="false">Resultados_Anuales!$D$6</definedName>
    <definedName function="false" hidden="false" name="k_vt" vbProcedure="false">Resultados_Anuales!$D$28</definedName>
    <definedName function="false" hidden="false" name="p_AlimGs" vbProcedure="false">Supuestos!$D$63</definedName>
    <definedName function="false" hidden="false" name="p_AlqCaja" vbProcedure="false">Supuestos!$D$52</definedName>
    <definedName function="false" hidden="false" name="p_AlqG" vbProcedure="false">Supuestos!$D$50</definedName>
    <definedName function="false" hidden="false" name="p_AlqM2" vbProcedure="false">Supuestos!$D$48</definedName>
    <definedName function="false" hidden="false" name="p_AniosOp" vbProcedure="false">Supuestos!$D$18</definedName>
    <definedName function="false" hidden="false" name="p_ApAuto" vbProcedure="false">Supuestos!$D$75</definedName>
    <definedName function="false" hidden="false" name="p_ApMes" vbProcedure="false">Supuestos!$D$227:$D$231</definedName>
    <definedName function="false" hidden="false" name="p_ApMonto" vbProcedure="false">Supuestos!$E$227:$E$231</definedName>
    <definedName function="false" hidden="false" name="p_ArranqueReal" vbProcedure="false">Supuestos!$D$235</definedName>
    <definedName function="false" hidden="false" name="p_BaseTrib" vbProcedure="false">Supuestos!$D$55</definedName>
    <definedName function="false" hidden="false" name="p_C1" vbProcedure="false">Supuestos!$C$87</definedName>
    <definedName function="false" hidden="false" name="p_C2" vbProcedure="false">Supuestos!$C$88</definedName>
    <definedName function="false" hidden="false" name="p_C3" vbProcedure="false">Supuestos!$C$89</definedName>
    <definedName function="false" hidden="false" name="p_C4" vbProcedure="false">Supuestos!$C$90</definedName>
    <definedName function="false" hidden="false" name="p_C5" vbProcedure="false">Supuestos!$C$91</definedName>
    <definedName function="false" hidden="false" name="p_C6" vbProcedure="false">Supuestos!$C$92</definedName>
    <definedName function="false" hidden="false" name="p_CajaMinDias" vbProcedure="false">Supuestos!$D$67</definedName>
    <definedName function="false" hidden="false" name="p_CajaMinFija" vbProcedure="false">Supuestos!$D$68</definedName>
    <definedName function="false" hidden="false" name="p_CostoCierre" vbProcedure="false">Supuestos!$D$37</definedName>
    <definedName function="false" hidden="false" name="p_Desp" vbProcedure="false">Supuestos!$D$58</definedName>
    <definedName function="false" hidden="false" name="p_DiasAnio" vbProcedure="false">Supuestos!$D$20</definedName>
    <definedName function="false" hidden="false" name="p_DiasMes" vbProcedure="false">Supuestos!$D$21</definedName>
    <definedName function="false" hidden="false" name="p_DivLag" vbProcedure="false">Supuestos!$D$65</definedName>
    <definedName function="false" hidden="false" name="p_DivRestr" vbProcedure="false">Supuestos!$D$66</definedName>
    <definedName function="false" hidden="false" name="p_Driver" vbProcedure="false">Supuestos!$D$42</definedName>
    <definedName function="false" hidden="false" name="p_DV" vbProcedure="false">Supuestos!$D$25</definedName>
    <definedName function="false" hidden="false" name="p_Escenario" vbProcedure="false">Supuestos!$D$5</definedName>
    <definedName function="false" hidden="false" name="p_EscIdx" vbProcedure="false">Supuestos!$D$6</definedName>
    <definedName function="false" hidden="false" name="p_EspDir" vbProcedure="false">Supuestos!$D$70</definedName>
    <definedName function="false" hidden="false" name="p_EspEne" vbProcedure="false">Supuestos!$D$71</definedName>
    <definedName function="false" hidden="false" name="p_EspFijos" vbProcedure="false">Supuestos!$D$72</definedName>
    <definedName function="false" hidden="false" name="p_EspInd" vbProcedure="false">Supuestos!$D$69</definedName>
    <definedName function="false" hidden="false" name="p_ExpM2" vbProcedure="false">Supuestos!$D$51</definedName>
    <definedName function="false" hidden="false" name="p_FechaInicio" vbProcedure="false">Supuestos!$D$16</definedName>
    <definedName function="false" hidden="false" name="p_g" vbProcedure="false">Supuestos!$D$33</definedName>
    <definedName function="false" hidden="false" name="p_HsC" vbProcedure="false">Supuestos!$D$46</definedName>
    <definedName function="false" hidden="false" name="p_HsG" vbProcedure="false">Supuestos!$D$45</definedName>
    <definedName function="false" hidden="false" name="p_ImpA" vbProcedure="false">Supuestos!$D$61</definedName>
    <definedName function="false" hidden="false" name="p_ImplMeses" vbProcedure="false">Supuestos!$D$15</definedName>
    <definedName function="false" hidden="false" name="p_ImpP" vbProcedure="false">Supuestos!$D$60</definedName>
    <definedName function="false" hidden="false" name="p_IRE" vbProcedure="false">Supuestos!$D$31</definedName>
    <definedName function="false" hidden="false" name="p_IVAalq" vbProcedure="false">Supuestos!$D$49</definedName>
    <definedName function="false" hidden="false" name="p_IVAint" vbProcedure="false">Supuestos!$D$53</definedName>
    <definedName function="false" hidden="false" name="p_Kd" vbProcedure="false">Supuestos!$D$23</definedName>
    <definedName function="false" hidden="false" name="p_KdEf" vbProcedure="false">Supuestos!$D$26</definedName>
    <definedName function="false" hidden="false" name="p_Ke" vbProcedure="false">Supuestos!$D$22</definedName>
    <definedName function="false" hidden="false" name="p_KgBaseMes" vbProcedure="false">Supuestos!$D$251</definedName>
    <definedName function="false" hidden="false" name="p_KgC" vbProcedure="false">Supuestos!$D$44</definedName>
    <definedName function="false" hidden="false" name="p_KgG" vbProcedure="false">Supuestos!$D$43</definedName>
    <definedName function="false" hidden="false" name="p_L1_Com" vbProcedure="false">Supuestos!$D$83</definedName>
    <definedName function="false" hidden="false" name="p_L1_Cuotas" vbProcedure="false">Supuestos!$D$82</definedName>
    <definedName function="false" hidden="false" name="p_L1_Gracia" vbProcedure="false">Supuestos!$D$81</definedName>
    <definedName function="false" hidden="false" name="p_L1_Mes" vbProcedure="false">Supuestos!$D$79</definedName>
    <definedName function="false" hidden="false" name="p_L1_Monto" vbProcedure="false">Supuestos!$D$78</definedName>
    <definedName function="false" hidden="false" name="p_L1_Tasa" vbProcedure="false">Supuestos!$D$80</definedName>
    <definedName function="false" hidden="false" name="p_Lcob" vbProcedure="false">Supuestos!$D$239</definedName>
    <definedName function="false" hidden="false" name="p_LcobF" vbProcedure="false">Supuestos!$D$241</definedName>
    <definedName function="false" hidden="false" name="p_LcobI" vbProcedure="false">Supuestos!$D$240</definedName>
    <definedName function="false" hidden="false" name="p_Lmen" vbProcedure="false">Supuestos!$D$245</definedName>
    <definedName function="false" hidden="false" name="p_LmenF" vbProcedure="false">Supuestos!$D$247</definedName>
    <definedName function="false" hidden="false" name="p_LmenI" vbProcedure="false">Supuestos!$D$246</definedName>
    <definedName function="false" hidden="false" name="p_Lmp" vbProcedure="false">Supuestos!$D$242</definedName>
    <definedName function="false" hidden="false" name="p_LmpF" vbProcedure="false">Supuestos!$D$244</definedName>
    <definedName function="false" hidden="false" name="p_LmpI" vbProcedure="false">Supuestos!$D$243</definedName>
    <definedName function="false" hidden="false" name="p_M2" vbProcedure="false">Supuestos!$D$47</definedName>
    <definedName function="false" hidden="false" name="p_ManInc" vbProcedure="false">Supuestos!$D$64</definedName>
    <definedName function="false" hidden="false" name="p_MesArranque" vbProcedure="false">Supuestos!$D$236</definedName>
    <definedName function="false" hidden="false" name="p_MesCorte" vbProcedure="false">Supuestos!$D$234</definedName>
    <definedName function="false" hidden="false" name="p_MesesOp" vbProcedure="false">Supuestos!$D$19</definedName>
    <definedName function="false" hidden="false" name="p_MesFin" vbProcedure="false">Supuestos!$D$237</definedName>
    <definedName function="false" hidden="false" name="p_MesFinTeor" vbProcedure="false">Supuestos!$D$238</definedName>
    <definedName function="false" hidden="false" name="p_MesRev" vbProcedure="false">Supuestos!$D$73</definedName>
    <definedName function="false" hidden="false" name="p_MetodoTasa" vbProcedure="false">Supuestos!$D$24</definedName>
    <definedName function="false" hidden="false" name="p_MixCobro" vbProcedure="false">Supuestos!$D$254</definedName>
    <definedName function="false" hidden="false" name="p_Modalidad" vbProcedure="false">Supuestos!$D$38</definedName>
    <definedName function="false" hidden="false" name="p_ModoHor" vbProcedure="false">Supuestos!$D$17</definedName>
    <definedName function="false" hidden="false" name="p_NCorr" vbProcedure="false">Supuestos!$C$93</definedName>
    <definedName function="false" hidden="false" name="p_Payout" vbProcedure="false">Supuestos!$D$212:$D$224</definedName>
    <definedName function="false" hidden="false" name="p_Pkg" vbProcedure="false">Supuestos!$D$59</definedName>
    <definedName function="false" hidden="false" name="p_Prest" vbProcedure="false">Supuestos!$D$62</definedName>
    <definedName function="false" hidden="false" name="p_PropCliente" vbProcedure="false">Supuestos!$D$41</definedName>
    <definedName function="false" hidden="false" name="p_PTf" vbProcedure="false">Supuestos!$D$250</definedName>
    <definedName function="false" hidden="false" name="p_RealAF" vbProcedure="false">Supuestos!$D$36</definedName>
    <definedName function="false" hidden="false" name="p_RealCxC" vbProcedure="false">Supuestos!$D$34</definedName>
    <definedName function="false" hidden="false" name="p_RealInv" vbProcedure="false">Supuestos!$D$35</definedName>
    <definedName function="false" hidden="false" name="p_SegCau" vbProcedure="false">Supuestos!$D$57</definedName>
    <definedName function="false" hidden="false" name="p_Sf" vbProcedure="false">Supuestos!$D$249</definedName>
    <definedName function="false" hidden="false" name="p_Shock" vbProcedure="false">Supuestos!$D$8</definedName>
    <definedName function="false" hidden="false" name="p_ShockIdx" vbProcedure="false">Supuestos!$D$9</definedName>
    <definedName function="false" hidden="false" name="p_Sk" vbProcedure="false">Supuestos!$D$248</definedName>
    <definedName function="false" hidden="false" name="p_TarifaC" vbProcedure="false">Supuestos!$D$40</definedName>
    <definedName function="false" hidden="false" name="p_TarifaG" vbProcedure="false">Supuestos!$D$39</definedName>
    <definedName function="false" hidden="false" name="p_TasaEstado" vbProcedure="false">Supuestos!$D$30</definedName>
    <definedName function="false" hidden="false" name="p_TasaManual" vbProcedure="false">Supuestos!$D$27</definedName>
    <definedName function="false" hidden="false" name="p_TasaPDF" vbProcedure="false">Supuestos!$D$28</definedName>
    <definedName function="false" hidden="false" name="p_TasaProy" vbProcedure="false">Supuestos!$D$29</definedName>
    <definedName function="false" hidden="false" name="p_TC_NomPDF" vbProcedure="false">Supuestos!$D$14</definedName>
    <definedName function="false" hidden="false" name="p_TC_Plan" vbProcedure="false">Supuestos!$D$13</definedName>
    <definedName function="false" hidden="false" name="p_TipoVT" vbProcedure="false">Supuestos!$D$32</definedName>
    <definedName function="false" hidden="false" name="p_TopeIVAServ" vbProcedure="false">Supuestos!$D$56</definedName>
    <definedName function="false" hidden="false" name="p_Trib" vbProcedure="false">Supuestos!$D$54</definedName>
    <definedName function="false" hidden="false" name="p_ValorSalida" vbProcedure="false">Supuestos!$D$74</definedName>
    <definedName function="false" hidden="false" name="p_WC" vbProcedure="false">Supuestos!$D$253</definedName>
    <definedName function="false" hidden="false" name="p_WG" vbProcedure="false">Supuestos!$D$252</definedName>
    <definedName function="false" hidden="false" name="r_Arranque" vbProcedure="false">Datos_Reales!$D$7</definedName>
    <definedName function="false" hidden="false" name="r_Corte" vbProcedure="false">Datos_Reales!$D$8</definedName>
    <definedName function="false" hidden="false" name="r_FechaCorte" vbProcedure="false">Datos_Reales!$D$9</definedName>
    <definedName function="false" hidden="false" name="r_FechaImpl" vbProcedure="false">Datos_Reales!$D$6</definedName>
    <definedName function="false" hidden="false" name="r_MinCompletos" vbProcedure="false">Datos_Reales!$C$125</definedName>
    <definedName function="false" hidden="false" name="r_MinN" vbProcedure="false">Datos_Reales!$C$126</definedName>
    <definedName function="false" hidden="false" name="r_S_CAJA" vbProcedure="false">Datos_Reales!$F$14</definedName>
    <definedName function="false" hidden="false" name="r_S_CXC" vbProcedure="false">Datos_Reales!$F$15</definedName>
    <definedName function="false" hidden="false" name="r_S_DEUDA1" vbProcedure="false">Datos_Reales!$F$21</definedName>
    <definedName function="false" hidden="false" name="r_S_DEUDA2" vbProcedure="false">Datos_Reales!$F$22</definedName>
    <definedName function="false" hidden="false" name="r_S_INVMAT" vbProcedure="false">Datos_Reales!$F$16</definedName>
    <definedName function="false" hidden="false" name="r_S_INVPT" vbProcedure="false">Datos_Reales!$F$17</definedName>
    <definedName function="false" hidden="false" name="r_S_IVA" vbProcedure="false">Datos_Reales!$F$20</definedName>
    <definedName function="false" hidden="false" name="r_S_PROVMAT" vbProcedure="false">Datos_Reales!$F$18</definedName>
    <definedName function="false" hidden="false" name="r_S_PROVMEN" vbProcedure="false">Datos_Reales!$F$19</definedName>
    <definedName function="false" hidden="false" name="s_Atraso" vbProcedure="false">Supuestos!$E$208</definedName>
    <definedName function="false" hidden="false" name="s_Capex" vbProcedure="false">Supuestos!$D$208</definedName>
    <definedName function="false" hidden="false" name="s_DSO" vbProcedure="false">Supuestos!$J$208</definedName>
    <definedName function="false" hidden="false" name="s_Mat" vbProcedure="false">Supuestos!$H$208</definedName>
    <definedName function="false" hidden="false" name="s_Precio" vbProcedure="false">Supuestos!$G$208</definedName>
    <definedName function="false" hidden="false" name="s_TC" vbProcedure="false">Supuestos!$I$208</definedName>
    <definedName function="false" hidden="false" name="s_Vol" vbProcedure="false">Supuestos!$F$208</definedName>
    <definedName function="false" hidden="false" name="v_Revisar" vbProcedure="false">Validaciones!$C$40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<sst xmlns="http://schemas.openxmlformats.org/spreadsheetml/2006/main" count="5592" uniqueCount="3103">
  <si>
    <t xml:space="preserve">Modelo financiero de maquila CIE-PERG — guía de uso</t>
  </si>
  <si>
    <t xml:space="preserve">Base documental: plan «Procesamiento de chapas para gabinetes metálicos» (Mujica &amp; Saldivar, Oct-2025) e informe de validación (29/09/2026).</t>
  </si>
  <si>
    <t xml:space="preserve">Propósito</t>
  </si>
  <si>
    <t xml:space="preserve">Reconstruir el plan publicado, documentar sus inconsistencias y convertirlo en un modelo de actualización continua: reales + forecast, escenarios y evaluación de rentabilidad, liquidez, financiamiento y creación de valor por separado.</t>
  </si>
  <si>
    <t xml:space="preserve">Tres capas: (1) PDF publicado Oct-2025 (Base_PDF, inalterado); (2) Base depurada (supuestos históricos + correcciones C1-C6 + motor mensual); (3) Reales + forecast (Datos_Reales hasta el último mes cerrado; escenario activo para el futuro).</t>
  </si>
  <si>
    <t xml:space="preserve">Hojas</t>
  </si>
  <si>
    <t xml:space="preserve">Resumen</t>
  </si>
  <si>
    <t xml:space="preserve">Tablero ejecutivo: PDF vs escenario activo, alertas y gráficos.</t>
  </si>
  <si>
    <t xml:space="preserve">Supuestos</t>
  </si>
  <si>
    <t xml:space="preserve">Selector único de escenario, prueba de sensibilidad, parámetros generales, préstamo, correcciones metodológicas, drivers por escenario, dividendos y aportes.</t>
  </si>
  <si>
    <t xml:space="preserve">Calendario</t>
  </si>
  <si>
    <t xml:space="preserve">Meses del modelo (0 = inicio de implantación), años de proyecto y operativos, banderas de operación/horizonte/reales, TC y factores de descuento.</t>
  </si>
  <si>
    <t xml:space="preserve">Produccion_Ventas</t>
  </si>
  <si>
    <t xml:space="preserve">Capacidad, demanda, rampa, recuperación de volumen, producción buena, rechazos, inventario de PT en unidades, precios y ventas.</t>
  </si>
  <si>
    <t xml:space="preserve">Costos_Personal</t>
  </si>
  <si>
    <t xml:space="preserve">Nómina por puesto (PYG), maestro de costos fijos con moneda de origen, materiales, costos variables, fijos y resúmenes.</t>
  </si>
  <si>
    <t xml:space="preserve">Inversion_Activos</t>
  </si>
  <si>
    <t xml:space="preserve">Presupuesto original, ejecutado, comprometido, por contratar, costo final estimado, pagos, altas y depreciación por ítem.</t>
  </si>
  <si>
    <t xml:space="preserve">Capital_Trabajo</t>
  </si>
  <si>
    <t xml:space="preserve">Clientes por cohortes (DSO interpolado), inventarios, proveedores, anticipos y CT operativo neto (sin caja mínima).</t>
  </si>
  <si>
    <t xml:space="preserve">Deuda_Tributos</t>
  </si>
  <si>
    <t xml:space="preserve">IVA recuperable, préstamo original (reproduce el PDF), tramo 2 opcional y aportes.</t>
  </si>
  <si>
    <t xml:space="preserve">Resultados_Caja</t>
  </si>
  <si>
    <t xml:space="preserve">Estado de resultados, caja por método directo con control indirecto, tesorería (caja mínima, brecha, dividendos, línea hipotética), balance de control y flujos de valuación.</t>
  </si>
  <si>
    <t xml:space="preserve">Resultados_Anuales</t>
  </si>
  <si>
    <t xml:space="preserve">Agregación anual, comparación con el PDF, indicadores (VAN/TIR proyecto y socios, payback, DSCR, equilibrio, rentabilidad por producto).</t>
  </si>
  <si>
    <t xml:space="preserve">Escenarios_Sensib</t>
  </si>
  <si>
    <t xml:space="preserve">Capturas identificadas de escenarios, pruebas de sensibilidad y puente de correcciones, con verificación en vivo.</t>
  </si>
  <si>
    <t xml:space="preserve">Datos_Reales</t>
  </si>
  <si>
    <t xml:space="preserve">Tablas vacías para fechas, saldos al corte, CAPEX por ítem, movimientos mensuales, documentación y campos mínimos.</t>
  </si>
  <si>
    <t xml:space="preserve">Base_PDF</t>
  </si>
  <si>
    <t xml:space="preserve">Datos publicados, reconstrucción de los cuadros 1-20, cronograma del préstamo, VAN/TIR/payback reproducidos y reexpresión de perspectivas.</t>
  </si>
  <si>
    <t xml:space="preserve">Validaciones</t>
  </si>
  <si>
    <t xml:space="preserve">Controles con tolerancia, registro de inconsistencias del PDF y pruebas realizadas.</t>
  </si>
  <si>
    <t xml:space="preserve">Convenciones</t>
  </si>
  <si>
    <t xml:space="preserve">Colores</t>
  </si>
  <si>
    <t xml:space="preserve">Azul sobre amarillo claro = entrada editable. Amarillo intenso = pendiente de cargar. Verde = vínculo a otra hoja. Negro = fórmula. Gris itálica = valor heredado de la base (sobrescribir para cambiar). Salmón = dato histórico del PDF.</t>
  </si>
  <si>
    <t xml:space="preserve">Moneda</t>
  </si>
  <si>
    <t xml:space="preserve">Presentación en USD. Nómina y varios costos fijos tienen origen en PYG y se convierten con el TC de cada año; compras en USD no cambian con el TC. Nunca se suman PYG con USD.</t>
  </si>
  <si>
    <t xml:space="preserve">Tiempo</t>
  </si>
  <si>
    <t xml:space="preserve">Mes 0 = inicio de implantación/desembolso. Sin fecha del mes 0 el modelo trabaja en meses relativos (no se asume año 1 = 2025 o 2026).</t>
  </si>
  <si>
    <t xml:space="preserve">Signos</t>
  </si>
  <si>
    <t xml:space="preserve">Costos y pagos positivos en sus filas; los flujos (FCFF, socios) llevan signo: negativo = salida.</t>
  </si>
  <si>
    <t xml:space="preserve">Cómo usar</t>
  </si>
  <si>
    <t xml:space="preserve">Cambiar escenario</t>
  </si>
  <si>
    <t xml:space="preserve">Supuestos!D5. Los escenarios Conservador y Recuperación son ILUSTRATIVOS. Actualizado y Personalizado heredan la base hasta que se sobrescriban (columna E/H).</t>
  </si>
  <si>
    <t xml:space="preserve">Prueba de sensibilidad</t>
  </si>
  <si>
    <t xml:space="preserve">Supuestos!D8 aplica un choque sobre el escenario activo y recalcula todo (tributos, CT, financiamiento e intereses). Volver a «Ninguna».</t>
  </si>
  <si>
    <t xml:space="preserve">Correcciones</t>
  </si>
  <si>
    <t xml:space="preserve">Supuestos sección C: poner 0 reproduce el criterio del PDF de esa corrección (para el puente de conciliación).</t>
  </si>
  <si>
    <t xml:space="preserve">Cierre mensual</t>
  </si>
  <si>
    <t xml:space="preserve">1) Cargar movimientos del mes en Datos_Reales T7 (código, mes, moneda, importe, TC, fuente, estado). 2) Cargar saldos al corte en T2 y CAPEX por ítem en T3. 3) Actualizar T1 «Último mes cerrado». 4) Revisar Validaciones (meses reales sin registros, ajustes de conciliación a patrimonio). 5) Ajustar supuestos futuros en la columna Actualizado. 6) Revisar Resumen y alertas.</t>
  </si>
  <si>
    <t xml:space="preserve">Congelamiento</t>
  </si>
  <si>
    <t xml:space="preserve">Los meses ≤ último mes cerrado usan solo reales; los escenarios afectan únicamente el futuro. Una diferencia entre saldos reales y calculados se registra como «ajuste de conciliación» en patrimonio y debe investigarse.</t>
  </si>
  <si>
    <t xml:space="preserve">Métricas</t>
  </si>
  <si>
    <t xml:space="preserve">VAN/TIR del proyecto</t>
  </si>
  <si>
    <t xml:space="preserve">FCFF: flujo operativo después de tributos - CAPEX - ΔCT operativo, sin préstamos, intereses, aportes ni dividendos. Tasa del proyecto (G17), mensual equivalente.</t>
  </si>
  <si>
    <t xml:space="preserve">VAN/TIR de socios</t>
  </si>
  <si>
    <t xml:space="preserve">Aportes (negativos), dividendos efectivamente pagados y valor final atribuible (caja + activos netos - deuda), descontados a Ke. No suma FCFE no distribuido.</t>
  </si>
  <si>
    <t xml:space="preserve">Payback</t>
  </si>
  <si>
    <t xml:space="preserve">Simple y descontado sobre la misma serie; «No recupera en el horizonte» si no cruza.</t>
  </si>
  <si>
    <t xml:space="preserve">Necesidad de financiamiento</t>
  </si>
  <si>
    <t xml:space="preserve">Pico antes de aportes adicionales (caja acumulada con préstamo original y aporte inicial vs caja mínima) y brecha no cubierta después del financiamiento planificado.</t>
  </si>
  <si>
    <t xml:space="preserve">CFADS y DSCR</t>
  </si>
  <si>
    <t xml:space="preserve">CFADS = flujo operativo - CAPEX de mantenimiento. DSCR = CFADS / (capital + intereses + IVA + comisiones). EBITDA/servicio es solo una aproximación.</t>
  </si>
  <si>
    <t xml:space="preserve">Equilibrio</t>
  </si>
  <si>
    <t xml:space="preserve">En ventas con el mix del año y unidades por producto; no se mezclan gabinetes y cajas como unidades equivalentes.</t>
  </si>
  <si>
    <t xml:space="preserve">Valor terminal</t>
  </si>
  <si>
    <t xml:space="preserve">Liquidación realizable (por defecto) o negocio en marcha; nunca ambos.</t>
  </si>
  <si>
    <t xml:space="preserve">Registro de avance</t>
  </si>
  <si>
    <t xml:space="preserve">Versión</t>
  </si>
  <si>
    <t xml:space="preserve">v1.0 — 29/09/2026. Libro construido con generar_modelo.py (reproducible).</t>
  </si>
  <si>
    <t xml:space="preserve">Terminado</t>
  </si>
  <si>
    <t xml:space="preserve">Base_PDF reproducida (diferencias ≤ redondeo), motor mensual integrado con balance y método directo/indirecto cuadrados, 5 escenarios, 16 pruebas, puente de correcciones, registro de inconsistencias y tablas de reales.</t>
  </si>
  <si>
    <t xml:space="preserve">Último control</t>
  </si>
  <si>
    <t xml:space="preserve">Ver Validaciones: controles V01-V33 y pruebas P01 en adelante (recálculo completo sin errores ni circularidades).</t>
  </si>
  <si>
    <t xml:space="preserve">Pendiente</t>
  </si>
  <si>
    <t xml:space="preserve">Datos reales desde Oct-2025, fecha del mes 0, CAPEX ejecutado/comprometido, contrato y modalidad de maquila, verificación de Ley 7547/2025 y Decreto 5714/2026, naturaleza del alquiler, gastos de venta, tasas vigentes, TC real/proyectado, vida útil del CAPEX adicional, respaldo técnico de capacidad.</t>
  </si>
  <si>
    <t xml:space="preserve">Resumen ejecutivo — Maquila CIE-PERG: procesamiento de chapas para gabinetes y cajas metálicas (USD)</t>
  </si>
  <si>
    <t xml:space="preserve">A. Estado del modelo</t>
  </si>
  <si>
    <t xml:space="preserve">Escenario activo</t>
  </si>
  <si>
    <t xml:space="preserve">Prueba de sensibilidad activa</t>
  </si>
  <si>
    <t xml:space="preserve">Correcciones metodológicas activas (de 6)</t>
  </si>
  <si>
    <t xml:space="preserve">Último mes cerrado con datos reales</t>
  </si>
  <si>
    <t xml:space="preserve">Campos mínimos para forecast actualizado</t>
  </si>
  <si>
    <t xml:space="preserve">Tasa del proyecto aplicada</t>
  </si>
  <si>
    <t xml:space="preserve">Ke aplicado (histórico)</t>
  </si>
  <si>
    <t xml:space="preserve">Controles de Validaciones en estado REVISAR</t>
  </si>
  <si>
    <t xml:space="preserve">B. PDF publicado (histórico) vs escenario activo recalculado</t>
  </si>
  <si>
    <t xml:space="preserve">Indicador</t>
  </si>
  <si>
    <t xml:space="preserve">PDF publicado Oct-2025 (histórico)</t>
  </si>
  <si>
    <t xml:space="preserve">Escenario activo (motor)</t>
  </si>
  <si>
    <t xml:space="preserve">Diferencia</t>
  </si>
  <si>
    <t xml:space="preserve">Nota</t>
  </si>
  <si>
    <t xml:space="preserve">Inversión fija inicial / CAPEX estimado total</t>
  </si>
  <si>
    <t xml:space="preserve">El motor incluye el CAPEX adicional del año 2 (USD 100.000).</t>
  </si>
  <si>
    <t xml:space="preserve">Capital operativo inicial (PDF) / CT operativo neto máximo (motor)</t>
  </si>
  <si>
    <t xml:space="preserve">Conceptos distintos: el PDF suma CT de un año al inicio; el motor lo construye mes a mes.</t>
  </si>
  <si>
    <t xml:space="preserve">Ventas año 1</t>
  </si>
  <si>
    <t xml:space="preserve">Año de proyecto 1.</t>
  </si>
  <si>
    <t xml:space="preserve">Ventas totales 10 años</t>
  </si>
  <si>
    <t xml:space="preserve">EBITDA año 1</t>
  </si>
  <si>
    <t xml:space="preserve">Tributo de maquila incluido una sola vez dentro del EBITDA.</t>
  </si>
  <si>
    <t xml:space="preserve">EBITDA total 10 años</t>
  </si>
  <si>
    <t xml:space="preserve">Resultado neto total</t>
  </si>
  <si>
    <t xml:space="preserve">VAN (PDF: cuadro 19 mezcla perspectivas / motor: FCFF del proyecto)</t>
  </si>
  <si>
    <t xml:space="preserve">PUBLICADO, METODOLOGÍA POR DEPURAR vs VAN del proyecto. No son comparables en sentido estricto.</t>
  </si>
  <si>
    <t xml:space="preserve">TIR (PDF «con financiamiento» / motor: TIR del proyecto)</t>
  </si>
  <si>
    <t xml:space="preserve">Una TIR alta no implica decisión conveniente sin VAN, caja y riesgo.</t>
  </si>
  <si>
    <t xml:space="preserve">VAN de los socios a Ke (PDF reexpresado / motor)</t>
  </si>
  <si>
    <t xml:space="preserve">Aportes, dividendos pagados y valor final.</t>
  </si>
  <si>
    <t xml:space="preserve">TIR de los socios (PDF reexpresado / motor)</t>
  </si>
  <si>
    <t xml:space="preserve">Payback descontado (PDF: serie desde -2.791.587 / motor: FCFF)</t>
  </si>
  <si>
    <t xml:space="preserve">Años. PDF «durante el 7mo año»; sobre la serie del VAN ≈ 6,89. Motor simple en Resultados_Anuales.</t>
  </si>
  <si>
    <t xml:space="preserve">Aportes de socios en efectivo (total)</t>
  </si>
  <si>
    <t xml:space="preserve">Pico de necesidad de fondos adicionales (antes de aportes adicionales)</t>
  </si>
  <si>
    <t xml:space="preserve">PDF: aportes adicionales planificados. Motor: necesidad mensual acumulada incluida la caja mínima.</t>
  </si>
  <si>
    <t xml:space="preserve">Brecha no cubierta máxima (con financiamiento planificado)</t>
  </si>
  <si>
    <t xml:space="preserve">El motor no inserta fondos ficticios: la brecha queda visible.</t>
  </si>
  <si>
    <t xml:space="preserve">Deuda financiera máxima</t>
  </si>
  <si>
    <t xml:space="preserve">DSCR mínimo (CFADS / servicio de deuda)</t>
  </si>
  <si>
    <t xml:space="preserve">n/d en el PDF</t>
  </si>
  <si>
    <t xml:space="preserve">EBITDA/servicio año 1 PDF ≈ 1,08x (aproximación, no DSCR).</t>
  </si>
  <si>
    <t xml:space="preserve">Equilibrio año 1 (PDF: unidades mezcladas / motor: ventas USD)</t>
  </si>
  <si>
    <t xml:space="preserve">Motor: ver gabinetes y cajas en equilibrio con el mix del año.</t>
  </si>
  <si>
    <t xml:space="preserve">C. Alertas específicas</t>
  </si>
  <si>
    <t xml:space="preserve">D. Lectura para la decisión</t>
  </si>
  <si>
    <t xml:space="preserve">• Esta versión reconstruye el plan de octubre de 2025, corrige su metodología y permite simular. No acredita la viabilidad actual del negocio: no se cargó ejecución real, compromisos vigentes ni condiciones contractuales.</t>
  </si>
  <si>
    <t xml:space="preserve">• Rentabilidad, liquidez y creación de valor se leen por separado: VAN/TIR del proyecto (FCFF), VAN/TIR de socios (Ke), brecha de caja y DSCR.</t>
  </si>
  <si>
    <t xml:space="preserve">• La base depurada mantiene ventas y precios del PDF; las diferencias de EBITDA y caja provienen de correcciones (C1-C6) y del calendario mensual del capital de trabajo.</t>
  </si>
  <si>
    <t xml:space="preserve">• La recomendación actualizada debe emitirse cuando se incorporen reales, CAPEX comprometido, contrato de maquila y tasas vigentes.</t>
  </si>
  <si>
    <t xml:space="preserve">E. Gráficos (años de proyecto 1 a 10)</t>
  </si>
  <si>
    <t xml:space="preserve">CAPEX presupuesto original</t>
  </si>
  <si>
    <t xml:space="preserve">CAPEX costo final estimado</t>
  </si>
  <si>
    <t xml:space="preserve">Supuestos — selector de escenario, parámetros y drivers</t>
  </si>
  <si>
    <t xml:space="preserve">Celdas amarillas con texto azul = entradas editables. Gris itálica = hereda de la base (sobrescribir para cambiar). Los parámetros tributarios y económicos no están embebidos en fórmulas.</t>
  </si>
  <si>
    <t xml:space="preserve">A. Selector de escenario y prueba de sensibilidad</t>
  </si>
  <si>
    <t xml:space="preserve">Escenario activo (único selector de supuestos futuros)</t>
  </si>
  <si>
    <t xml:space="preserve">Base depurada (supuestos Oct-2025)</t>
  </si>
  <si>
    <t xml:space="preserve">Cambia solo el futuro: los meses reales (hasta el último mes cerrado) no se modifican.</t>
  </si>
  <si>
    <t xml:space="preserve">Índice del escenario activo</t>
  </si>
  <si>
    <t xml:space="preserve">Estado del escenario activo</t>
  </si>
  <si>
    <t xml:space="preserve">Prueba de sensibilidad activa (choque ilustrativo sobre el escenario)</t>
  </si>
  <si>
    <t xml:space="preserve">Ninguna</t>
  </si>
  <si>
    <t xml:space="preserve">Choques de prueba del modelo, no premisas de negocio. Volver a «Ninguna» al terminar.</t>
  </si>
  <si>
    <t xml:space="preserve">Índice de la prueba activa</t>
  </si>
  <si>
    <t xml:space="preserve">B. Parámetros generales (no dependen del escenario)</t>
  </si>
  <si>
    <t xml:space="preserve">Cód.</t>
  </si>
  <si>
    <t xml:space="preserve">Parámetro</t>
  </si>
  <si>
    <t xml:space="preserve">Unidad / moneda</t>
  </si>
  <si>
    <t xml:space="preserve">Valor</t>
  </si>
  <si>
    <t xml:space="preserve">Vigencia</t>
  </si>
  <si>
    <t xml:space="preserve">Fuente / pág.</t>
  </si>
  <si>
    <t xml:space="preserve">Estado</t>
  </si>
  <si>
    <t xml:space="preserve">G01</t>
  </si>
  <si>
    <t xml:space="preserve">Tipo de cambio de referencia del plan</t>
  </si>
  <si>
    <t xml:space="preserve">Gs/USD</t>
  </si>
  <si>
    <t xml:space="preserve">Histórico Oct-2025</t>
  </si>
  <si>
    <t xml:space="preserve">PDF p. 4-5</t>
  </si>
  <si>
    <t xml:space="preserve">Publicado (PDF)</t>
  </si>
  <si>
    <t xml:space="preserve">G02</t>
  </si>
  <si>
    <t xml:space="preserve">TC implícito en la nómina del PDF (solo para reproducir)</t>
  </si>
  <si>
    <t xml:space="preserve">Histórico</t>
  </si>
  <si>
    <t xml:space="preserve">PDF p. 30-34</t>
  </si>
  <si>
    <t xml:space="preserve">Inferido</t>
  </si>
  <si>
    <t xml:space="preserve">Se usa únicamente si la corrección C1 está desactivada.</t>
  </si>
  <si>
    <t xml:space="preserve">G03</t>
  </si>
  <si>
    <t xml:space="preserve">Meses de implantación previstos antes del primer mes operativo</t>
  </si>
  <si>
    <t xml:space="preserve">meses</t>
  </si>
  <si>
    <t xml:space="preserve">Plan</t>
  </si>
  <si>
    <t xml:space="preserve">PDF: año 0 puntual</t>
  </si>
  <si>
    <t xml:space="preserve">Supuesto provisional</t>
  </si>
  <si>
    <t xml:space="preserve">El PDF concentra la inversión en el año 0 y opera desde el año 1. Cargar el cronograma real si difiere.</t>
  </si>
  <si>
    <t xml:space="preserve">G04</t>
  </si>
  <si>
    <t xml:space="preserve">Fecha calendario del mes 0 (inicio de implantación / desembolso)</t>
  </si>
  <si>
    <t xml:space="preserve">fecha</t>
  </si>
  <si>
    <t xml:space="preserve">—</t>
  </si>
  <si>
    <t xml:space="preserve">No informada en el PDF</t>
  </si>
  <si>
    <t xml:space="preserve">Pendiente de confirmar</t>
  </si>
  <si>
    <t xml:space="preserve">Sin fecha el modelo usa meses relativos. No se infiere que año 1 = 2025 o 2026.</t>
  </si>
  <si>
    <t xml:space="preserve">G05</t>
  </si>
  <si>
    <t xml:space="preserve">Modo de horizonte (1 = fecha final fija; 2 = 10 años desde el arranque efectivo)</t>
  </si>
  <si>
    <t xml:space="preserve">1/2</t>
  </si>
  <si>
    <t xml:space="preserve">Todo</t>
  </si>
  <si>
    <t xml:space="preserve">Prompt 5.6</t>
  </si>
  <si>
    <t xml:space="preserve">Con 1 un atraso acorta la operación (no prolonga la vida). Con 2 se compara 10 años desde la puesta en marcha efectiva.</t>
  </si>
  <si>
    <t xml:space="preserve">G06</t>
  </si>
  <si>
    <t xml:space="preserve">Años operativos del plan</t>
  </si>
  <si>
    <t xml:space="preserve">años</t>
  </si>
  <si>
    <t xml:space="preserve">PDF</t>
  </si>
  <si>
    <t xml:space="preserve">G07</t>
  </si>
  <si>
    <t xml:space="preserve">Meses operativos del plan</t>
  </si>
  <si>
    <t xml:space="preserve">Cálculo</t>
  </si>
  <si>
    <t xml:space="preserve">G08</t>
  </si>
  <si>
    <t xml:space="preserve">Días por año (convención de días de CT)</t>
  </si>
  <si>
    <t xml:space="preserve">días</t>
  </si>
  <si>
    <t xml:space="preserve">PDF cuadro 16</t>
  </si>
  <si>
    <t xml:space="preserve">G09</t>
  </si>
  <si>
    <t xml:space="preserve">Días promedio por mes</t>
  </si>
  <si>
    <t xml:space="preserve">G10</t>
  </si>
  <si>
    <t xml:space="preserve">Costo del capital propio Ke (anual efectiva, USD nominal)</t>
  </si>
  <si>
    <t xml:space="preserve">%</t>
  </si>
  <si>
    <t xml:space="preserve">PDF p. 9</t>
  </si>
  <si>
    <t xml:space="preserve">Publicado (PDF) - histórico no vigente confirmado</t>
  </si>
  <si>
    <t xml:space="preserve">Hipótesis histórica. Actualizar con fecha y fundamento (tasa libre de riesgo, prima, riesgo país, tamaño).</t>
  </si>
  <si>
    <t xml:space="preserve">G11</t>
  </si>
  <si>
    <t xml:space="preserve">Tasa bancaria de referencia (nominal anual)</t>
  </si>
  <si>
    <t xml:space="preserve">PDF p. 4</t>
  </si>
  <si>
    <t xml:space="preserve">Publicado (PDF) - histórico</t>
  </si>
  <si>
    <t xml:space="preserve">G12</t>
  </si>
  <si>
    <t xml:space="preserve">Tasa de descuento del proyecto: 1 = ponderada inicial PDF; 2 = WACC con estructura objetivo; 3 = manual</t>
  </si>
  <si>
    <t xml:space="preserve">1/2/3</t>
  </si>
  <si>
    <t xml:space="preserve">Prompt 8.5</t>
  </si>
  <si>
    <t xml:space="preserve">La ponderada inicial usa pesos del momento 0 (6,7%/93,3%), que no representan la estructura durante 10 años.</t>
  </si>
  <si>
    <t xml:space="preserve">G13</t>
  </si>
  <si>
    <t xml:space="preserve">Peso objetivo de la deuda D/(D+E) para el método 2</t>
  </si>
  <si>
    <t xml:space="preserve">Pendiente de definir</t>
  </si>
  <si>
    <t xml:space="preserve">Definir estructura objetivo justificada o usar APV si el apalancamiento cambia materialmente.</t>
  </si>
  <si>
    <t xml:space="preserve">G14</t>
  </si>
  <si>
    <t xml:space="preserve">Costo efectivo de la deuda = tasa x (1 + IVA intereses no recuperable)</t>
  </si>
  <si>
    <t xml:space="preserve">Sin escudo de IRE: el plan asume IRE no aplicable bajo maquila (verificar).</t>
  </si>
  <si>
    <t xml:space="preserve">G15</t>
  </si>
  <si>
    <t xml:space="preserve">Tasa manual del proyecto (método 3)</t>
  </si>
  <si>
    <t xml:space="preserve">G16</t>
  </si>
  <si>
    <t xml:space="preserve">Tasa ponderada inicial exacta (método 1)</t>
  </si>
  <si>
    <t xml:space="preserve">PDF p. 28</t>
  </si>
  <si>
    <t xml:space="preserve">Publicado (PDF) - cálculo exacto</t>
  </si>
  <si>
    <t xml:space="preserve">G17</t>
  </si>
  <si>
    <t xml:space="preserve">Tasa de descuento del proyecto aplicada (anual efectiva)</t>
  </si>
  <si>
    <t xml:space="preserve">Si faltan datos del método elegido, vuelve al método 1 y lo informa en el estado siguiente.</t>
  </si>
  <si>
    <t xml:space="preserve">G18</t>
  </si>
  <si>
    <t xml:space="preserve">Estado de la tasa del proyecto</t>
  </si>
  <si>
    <t xml:space="preserve">texto</t>
  </si>
  <si>
    <t xml:space="preserve">G19</t>
  </si>
  <si>
    <t xml:space="preserve">IRE sobre resultado (régimen de maquila)</t>
  </si>
  <si>
    <t xml:space="preserve">PDF p. 7-8</t>
  </si>
  <si>
    <t xml:space="preserve">Publicado (PDF) - verificar Ley 7547/2025</t>
  </si>
  <si>
    <t xml:space="preserve">El plan considera IRE no aplicable. No se aplica escudo fiscal de intereses. Impuesto a dividendos: pendiente de verificar.</t>
  </si>
  <si>
    <t xml:space="preserve">G20</t>
  </si>
  <si>
    <t xml:space="preserve">Valor terminal: 1 = liquidación realizable; 2 = negocio en marcha (perpetuidad)</t>
  </si>
  <si>
    <t xml:space="preserve">Fin de horizonte</t>
  </si>
  <si>
    <t xml:space="preserve">Prompt 8.9</t>
  </si>
  <si>
    <t xml:space="preserve">En negocio en marcha no se recupera el CT ni se vende el activo (se necesitan para operar).</t>
  </si>
  <si>
    <t xml:space="preserve">G21</t>
  </si>
  <si>
    <t xml:space="preserve">Crecimiento perpetuo nominal en USD (solo método 2)</t>
  </si>
  <si>
    <t xml:space="preserve">Perpetuidad</t>
  </si>
  <si>
    <t xml:space="preserve">G22</t>
  </si>
  <si>
    <t xml:space="preserve">Realización de cuentas por cobrar al cierre (liquidación)</t>
  </si>
  <si>
    <t xml:space="preserve">G23</t>
  </si>
  <si>
    <t xml:space="preserve">Realización de inventarios al cierre (liquidación)</t>
  </si>
  <si>
    <t xml:space="preserve">G24</t>
  </si>
  <si>
    <t xml:space="preserve">Realización del activo fijo (% del valor neto contable)</t>
  </si>
  <si>
    <t xml:space="preserve">Un valor contable residual no es automáticamente precio de venta. Reemplazar por tasación.</t>
  </si>
  <si>
    <t xml:space="preserve">G25</t>
  </si>
  <si>
    <t xml:space="preserve">Costos e impuestos de cierre / liquidación</t>
  </si>
  <si>
    <t xml:space="preserve">USD</t>
  </si>
  <si>
    <t xml:space="preserve">Pendiente de estimar</t>
  </si>
  <si>
    <t xml:space="preserve">G26</t>
  </si>
  <si>
    <t xml:space="preserve">Modalidad de facturación: 1 = venta de producto (PDF); 2 = servicio de maquila</t>
  </si>
  <si>
    <t xml:space="preserve">PDF p. 6; contrato pendiente</t>
  </si>
  <si>
    <t xml:space="preserve">Con 2 los ingresos son tarifa de servicio y los materiales del cliente no son costo ni inventario propio.</t>
  </si>
  <si>
    <t xml:space="preserve">G27</t>
  </si>
  <si>
    <t xml:space="preserve">Tarifa de servicio de maquila por gabinete (modalidad 2)</t>
  </si>
  <si>
    <t xml:space="preserve">USD/u</t>
  </si>
  <si>
    <t xml:space="preserve">Año 1</t>
  </si>
  <si>
    <t xml:space="preserve">Contrato</t>
  </si>
  <si>
    <t xml:space="preserve">Pendiente de cargar</t>
  </si>
  <si>
    <t xml:space="preserve">G28</t>
  </si>
  <si>
    <t xml:space="preserve">Tarifa de servicio de maquila por caja (modalidad 2)</t>
  </si>
  <si>
    <t xml:space="preserve">G29</t>
  </si>
  <si>
    <t xml:space="preserve">% de materiales (MP, insumos, flete MP) propiedad del cliente en modalidad 2</t>
  </si>
  <si>
    <t xml:space="preserve">G30</t>
  </si>
  <si>
    <t xml:space="preserve">Driver de costos comunes: 1 = kg procesado; 2 = costo directo (criterio PDF); 3 = horas estándar</t>
  </si>
  <si>
    <t xml:space="preserve">Prompt 6.6</t>
  </si>
  <si>
    <t xml:space="preserve">Reparto provisional. Reemplazar por horas máquina/hombre cuando se disponga.</t>
  </si>
  <si>
    <t xml:space="preserve">G31</t>
  </si>
  <si>
    <t xml:space="preserve">Peso por gabinete</t>
  </si>
  <si>
    <t xml:space="preserve">kg/u</t>
  </si>
  <si>
    <t xml:space="preserve">PDF p. 1</t>
  </si>
  <si>
    <t xml:space="preserve">G32</t>
  </si>
  <si>
    <t xml:space="preserve">Peso por caja</t>
  </si>
  <si>
    <t xml:space="preserve">G33</t>
  </si>
  <si>
    <t xml:space="preserve">Horas estándar por gabinete (driver 3)</t>
  </si>
  <si>
    <t xml:space="preserve">h/u</t>
  </si>
  <si>
    <t xml:space="preserve">Ingeniería</t>
  </si>
  <si>
    <t xml:space="preserve">G34</t>
  </si>
  <si>
    <t xml:space="preserve">Horas estándar por caja (driver 3)</t>
  </si>
  <si>
    <t xml:space="preserve">G35</t>
  </si>
  <si>
    <t xml:space="preserve">Superficie de nave</t>
  </si>
  <si>
    <t xml:space="preserve">m2</t>
  </si>
  <si>
    <t xml:space="preserve">PDF p. 6</t>
  </si>
  <si>
    <t xml:space="preserve">G36</t>
  </si>
  <si>
    <t xml:space="preserve">Alquiler neto de IVA</t>
  </si>
  <si>
    <t xml:space="preserve">USD/m2/mes</t>
  </si>
  <si>
    <t xml:space="preserve">G37</t>
  </si>
  <si>
    <t xml:space="preserve">IVA incluido en el alquiler</t>
  </si>
  <si>
    <t xml:space="preserve">G38</t>
  </si>
  <si>
    <t xml:space="preserve">Incremento anual de alquiler y expensas</t>
  </si>
  <si>
    <t xml:space="preserve">Desde año 2</t>
  </si>
  <si>
    <t xml:space="preserve">PDF cuadro 10a (inferido)</t>
  </si>
  <si>
    <t xml:space="preserve">G39</t>
  </si>
  <si>
    <t xml:space="preserve">Expensas</t>
  </si>
  <si>
    <t xml:space="preserve">PDF p. 19</t>
  </si>
  <si>
    <t xml:space="preserve">G40</t>
  </si>
  <si>
    <t xml:space="preserve">Alquiler: 1 = pago real a tercero; 2 = pago a relacionada (CIE); 3 = costo económico sin desembolso</t>
  </si>
  <si>
    <t xml:space="preserve">PDF p. 6 («costo de oportunidad»)</t>
  </si>
  <si>
    <t xml:space="preserve">Con 3 el alquiler sigue en resultados y en el FCFF (costo económico) pero no sale de tesorería; se registra como aporte en especie.</t>
  </si>
  <si>
    <t xml:space="preserve">G41</t>
  </si>
  <si>
    <t xml:space="preserve">IVA sobre intereses (costo, no recuperable)</t>
  </si>
  <si>
    <t xml:space="preserve">G42</t>
  </si>
  <si>
    <t xml:space="preserve">Tributo único de maquila</t>
  </si>
  <si>
    <t xml:space="preserve">PDF p. 7; Ley 7547/2025 (fuente secundaria)</t>
  </si>
  <si>
    <t xml:space="preserve">Publicado (PDF) - verificar</t>
  </si>
  <si>
    <t xml:space="preserve">G43</t>
  </si>
  <si>
    <t xml:space="preserve">Base del tributo: 1 = factura de exportación (PDF); 2 = mayor entre factura y valor agregado nacional</t>
  </si>
  <si>
    <t xml:space="preserve">Ley 7547/2025 y Dec. 5714/2026 según fuentes secundarias</t>
  </si>
  <si>
    <t xml:space="preserve">Pendiente de verificar en texto oficial</t>
  </si>
  <si>
    <t xml:space="preserve">No se pudo acceder a mic.gov.py ni bacn.gov.py desde este entorno (29/09/2026). Verificar texto vigente y transición.</t>
  </si>
  <si>
    <t xml:space="preserve">G44</t>
  </si>
  <si>
    <t xml:space="preserve">Tope de recuperación de IVA para maquila de servicios (% de facturación)</t>
  </si>
  <si>
    <t xml:space="preserve">Ley 7547/2025 según fuentes secundarias</t>
  </si>
  <si>
    <t xml:space="preserve">Se aplica solo en modalidad 2.</t>
  </si>
  <si>
    <t xml:space="preserve">G45</t>
  </si>
  <si>
    <t xml:space="preserve">Seguro de caución maquila (% de ventas)</t>
  </si>
  <si>
    <t xml:space="preserve">PDF cuadro 10a (inferido exacto)</t>
  </si>
  <si>
    <t xml:space="preserve">G46</t>
  </si>
  <si>
    <t xml:space="preserve">Despacho de importación (% de MP + insumos)</t>
  </si>
  <si>
    <t xml:space="preserve">PDF p. 19; base inferida</t>
  </si>
  <si>
    <t xml:space="preserve">Publicado (PDF) / base inferida</t>
  </si>
  <si>
    <t xml:space="preserve">G47</t>
  </si>
  <si>
    <t xml:space="preserve">Packaging (% de materiales + flete + MO directa con cargas y alimentación)</t>
  </si>
  <si>
    <t xml:space="preserve">Base reproducida del PDF. Reemplazar por USD/unidad si se dispone del costo real de embalaje.</t>
  </si>
  <si>
    <t xml:space="preserve">G48</t>
  </si>
  <si>
    <t xml:space="preserve">Imprevistos de producción (% costos producción excl. imprevistos y tributo)</t>
  </si>
  <si>
    <t xml:space="preserve">G49</t>
  </si>
  <si>
    <t xml:space="preserve">Imprevistos de administración (% adm. excl. alquiler y expensas)</t>
  </si>
  <si>
    <t xml:space="preserve">G50</t>
  </si>
  <si>
    <t xml:space="preserve">Prestaciones sociales (coeficiente del plan)</t>
  </si>
  <si>
    <t xml:space="preserve">% s/ remun.</t>
  </si>
  <si>
    <t xml:space="preserve">Publicado (PDF) - no validado legalmente</t>
  </si>
  <si>
    <t xml:space="preserve">Desagregar IPS, aguinaldo, vacaciones y provisiones cuando se aporten, evitando duplicaciones.</t>
  </si>
  <si>
    <t xml:space="preserve">G51</t>
  </si>
  <si>
    <t xml:space="preserve">Alimentación por persona</t>
  </si>
  <si>
    <t xml:space="preserve">Gs/mes</t>
  </si>
  <si>
    <t xml:space="preserve">G52</t>
  </si>
  <si>
    <t xml:space="preserve">Mantenimiento de planta: incremento lineal anual (% del año 1)</t>
  </si>
  <si>
    <t xml:space="preserve">G53</t>
  </si>
  <si>
    <t xml:space="preserve">Meses entre el cierre del año y el pago de dividendos</t>
  </si>
  <si>
    <t xml:space="preserve">PDF: pago al año siguiente</t>
  </si>
  <si>
    <t xml:space="preserve">G54</t>
  </si>
  <si>
    <t xml:space="preserve">Pagar dividendos solo con caja sobre el mínimo (1 = sí; 0 = no)</t>
  </si>
  <si>
    <t xml:space="preserve">1/0</t>
  </si>
  <si>
    <t xml:space="preserve">Prompt 8.2</t>
  </si>
  <si>
    <t xml:space="preserve">Los dividendos no se pagan solo porque existe utilidad.</t>
  </si>
  <si>
    <t xml:space="preserve">G55</t>
  </si>
  <si>
    <t xml:space="preserve">Caja mínima operativa (días de ventas del mes)</t>
  </si>
  <si>
    <t xml:space="preserve">PDF cuadro 16 (3 días)</t>
  </si>
  <si>
    <t xml:space="preserve">Se modela en tesorería, separada del capital de trabajo operativo.</t>
  </si>
  <si>
    <t xml:space="preserve">G56</t>
  </si>
  <si>
    <t xml:space="preserve">Caja mínima fija adicional</t>
  </si>
  <si>
    <t xml:space="preserve">G57</t>
  </si>
  <si>
    <t xml:space="preserve">Costos de espera: % del personal indirecto y administrativo activo antes del arranque</t>
  </si>
  <si>
    <t xml:space="preserve">Meses pre-operativos</t>
  </si>
  <si>
    <t xml:space="preserve">Supuesto provisional (ilustrativo)</t>
  </si>
  <si>
    <t xml:space="preserve">Aplica a meses de implantación/atraso. Reemplazar por dotación real.</t>
  </si>
  <si>
    <t xml:space="preserve">G58</t>
  </si>
  <si>
    <t xml:space="preserve">Costos de espera: % del personal directo activo antes del arranque</t>
  </si>
  <si>
    <t xml:space="preserve">G59</t>
  </si>
  <si>
    <t xml:space="preserve">Costos de espera: % de energía y mantenimiento de planta</t>
  </si>
  <si>
    <t xml:space="preserve">G60</t>
  </si>
  <si>
    <t xml:space="preserve">Costos de espera: % de alquiler, expensas y costos fijos administrativos</t>
  </si>
  <si>
    <t xml:space="preserve">G61</t>
  </si>
  <si>
    <t xml:space="preserve">Mes de revisión para la evaluación incremental (continuar vs. salir; -1 = desde el inicio)</t>
  </si>
  <si>
    <t xml:space="preserve">mes modelo</t>
  </si>
  <si>
    <t xml:space="preserve">Prompt 8.8</t>
  </si>
  <si>
    <t xml:space="preserve">Cálculo (editable)</t>
  </si>
  <si>
    <t xml:space="preserve">Por defecto = último mes cerrado. Los costos anteriores son hundidos y no se cargan.</t>
  </si>
  <si>
    <t xml:space="preserve">G62</t>
  </si>
  <si>
    <t xml:space="preserve">Alternativa de salida: valor neto recuperable en el mes de revisión</t>
  </si>
  <si>
    <t xml:space="preserve">Mes de revisión</t>
  </si>
  <si>
    <t xml:space="preserve">Venta de activos + recuperación de CT - pasivos a cancelar - costos de salida.</t>
  </si>
  <si>
    <t xml:space="preserve">G63</t>
  </si>
  <si>
    <t xml:space="preserve">Aportes hipotéticos de socios para cubrir la brecha de caja (1 = activar) — NO APROBADOS</t>
  </si>
  <si>
    <t xml:space="preserve">Horizonte</t>
  </si>
  <si>
    <t xml:space="preserve">Prompt 7.8</t>
  </si>
  <si>
    <t xml:space="preserve">Apagado: la brecha queda visible y el VAN/TIR de socios supone cobertura implícita sin costo. Encendido: mide el esfuerzo de los socios.</t>
  </si>
  <si>
    <t xml:space="preserve">B2. Préstamo original (condiciones contractuales; modificar solo si el contrato lo establece)</t>
  </si>
  <si>
    <t xml:space="preserve">L01</t>
  </si>
  <si>
    <t xml:space="preserve">Préstamo 1: monto</t>
  </si>
  <si>
    <t xml:space="preserve">Publicado (PDF) - confirmar contrato</t>
  </si>
  <si>
    <t xml:space="preserve">L02</t>
  </si>
  <si>
    <t xml:space="preserve">Préstamo 1: mes de desembolso</t>
  </si>
  <si>
    <t xml:space="preserve">PDF: año 0</t>
  </si>
  <si>
    <t xml:space="preserve">L03</t>
  </si>
  <si>
    <t xml:space="preserve">Préstamo 1: tasa nominal anual (mensual = tasa/12)</t>
  </si>
  <si>
    <t xml:space="preserve">Tasa nominal bancaria con capitalización mensual: tasa mensual = nominal/12 (no aplica a tasas efectivas anuales).</t>
  </si>
  <si>
    <t xml:space="preserve">L04</t>
  </si>
  <si>
    <t xml:space="preserve">Préstamo 1: meses de gracia (solo intereses)</t>
  </si>
  <si>
    <t xml:space="preserve">L05</t>
  </si>
  <si>
    <t xml:space="preserve">Préstamo 1: cuotas francesas</t>
  </si>
  <si>
    <t xml:space="preserve">L06</t>
  </si>
  <si>
    <t xml:space="preserve">Préstamo 1: comisión inicial (% del monto)</t>
  </si>
  <si>
    <t xml:space="preserve">No informada</t>
  </si>
  <si>
    <t xml:space="preserve">C. Correcciones metodológicas (1 = aplicada; 0 = criterio del PDF). Base depurada = todas en 1</t>
  </si>
  <si>
    <t xml:space="preserve">Corrección</t>
  </si>
  <si>
    <t xml:space="preserve">Efecto esperado</t>
  </si>
  <si>
    <t xml:space="preserve">Fuente</t>
  </si>
  <si>
    <t xml:space="preserve">Detalle</t>
  </si>
  <si>
    <t xml:space="preserve">C1</t>
  </si>
  <si>
    <t xml:space="preserve">Tipo de cambio único para la nómina (Gs/USD del escenario en lugar de 8.000 implícito)</t>
  </si>
  <si>
    <t xml:space="preserve">Mayor costo USD de nómina (≈ USD 59.730/año a 7.300).</t>
  </si>
  <si>
    <t xml:space="preserve">Informe validación 1</t>
  </si>
  <si>
    <t xml:space="preserve">C2</t>
  </si>
  <si>
    <t xml:space="preserve">Materia prima de cajas con incremento acumulativo de 1% anual (texto del PDF)</t>
  </si>
  <si>
    <t xml:space="preserve">Mayor costo desde año 3 (≈ USD 74.413 en año 10).</t>
  </si>
  <si>
    <t xml:space="preserve">Informe validación 4</t>
  </si>
  <si>
    <t xml:space="preserve">C3</t>
  </si>
  <si>
    <t xml:space="preserve">Depreciación desde la puesta en servicio (año 1) y no desde el año 2</t>
  </si>
  <si>
    <t xml:space="preserve">Resultado contable; en FCFF solo vía valor terminal si la realización del activo se aproxima con su valor contable (G24).</t>
  </si>
  <si>
    <t xml:space="preserve">Informe validación 9</t>
  </si>
  <si>
    <t xml:space="preserve">C4</t>
  </si>
  <si>
    <t xml:space="preserve">CAPEX adicional del año 2 incorporado al activo depreciable (vida provisional)</t>
  </si>
  <si>
    <t xml:space="preserve">Resultado contable; menor valor contable final (afecta el valor terminal vía G24).</t>
  </si>
  <si>
    <t xml:space="preserve">C5</t>
  </si>
  <si>
    <t xml:space="preserve">Inventario de materiales valuado a costo de adquisición (incluye flete y despacho)</t>
  </si>
  <si>
    <t xml:space="preserve">Más capital de trabajo inmovilizado en stock.</t>
  </si>
  <si>
    <t xml:space="preserve">Prompt 2.5 / 7.4</t>
  </si>
  <si>
    <t xml:space="preserve">C6</t>
  </si>
  <si>
    <t xml:space="preserve">Supervisión e indirectos de fábrica clasificados como costo de producción</t>
  </si>
  <si>
    <t xml:space="preserve">Cambia costo de ventas/adm. y valuación de PT; EBITDA casi igual.</t>
  </si>
  <si>
    <t xml:space="preserve">Prompt 6.5</t>
  </si>
  <si>
    <t xml:space="preserve">Cantidad de correcciones activas (6 = base depurada completa)</t>
  </si>
  <si>
    <t xml:space="preserve">Correcciones inherentes al motor (no desactivables): CxC por calendario de ventas; CT mensual; FCFF y flujo de socios separados; payback sobre la misma serie; márgenes rotulados; valor terminal explícito; dividendos pagados con caja disponible.</t>
  </si>
  <si>
    <t xml:space="preserve">D. Drivers por escenario (columna J = valor efectivo que usa el motor, incluye la prueba de sensibilidad)</t>
  </si>
  <si>
    <t xml:space="preserve">Driver</t>
  </si>
  <si>
    <t xml:space="preserve">Unidad</t>
  </si>
  <si>
    <t xml:space="preserve">Actualizado</t>
  </si>
  <si>
    <t xml:space="preserve">Conservador</t>
  </si>
  <si>
    <t xml:space="preserve">Recuperación operativa</t>
  </si>
  <si>
    <t xml:space="preserve">Personalizado</t>
  </si>
  <si>
    <t xml:space="preserve">Activo</t>
  </si>
  <si>
    <t xml:space="preserve">Efectivo</t>
  </si>
  <si>
    <t xml:space="preserve">Fuente / estado</t>
  </si>
  <si>
    <t xml:space="preserve">Estado del escenario</t>
  </si>
  <si>
    <t xml:space="preserve">Supuestos históricos Oct-2025 con correcciones metodológicas. NO es ejecución real.</t>
  </si>
  <si>
    <t xml:space="preserve">ILUSTRATIVO: choques de prueba, no premisas aprobadas.</t>
  </si>
  <si>
    <t xml:space="preserve">ILUSTRATIVO: atraso con recuperación parcial y mejoras de CT, no premisas aprobadas.</t>
  </si>
  <si>
    <t xml:space="preserve">Combinación definida por el usuario (hereda la base hasta que se modifique).</t>
  </si>
  <si>
    <t xml:space="preserve">E01</t>
  </si>
  <si>
    <t xml:space="preserve">Atraso de arranque respecto del plan</t>
  </si>
  <si>
    <t xml:space="preserve">Arranque</t>
  </si>
  <si>
    <t xml:space="preserve">Ilustrativo en escenarios 3-4</t>
  </si>
  <si>
    <t xml:space="preserve">Si se carga el mes real de arranque en Datos_Reales, prevalece el real.</t>
  </si>
  <si>
    <t xml:space="preserve">E02</t>
  </si>
  <si>
    <t xml:space="preserve">Meses de rampa de aprendizaje</t>
  </si>
  <si>
    <t xml:space="preserve">Desde arranque</t>
  </si>
  <si>
    <t xml:space="preserve">Ilustrativo</t>
  </si>
  <si>
    <t xml:space="preserve">E03</t>
  </si>
  <si>
    <t xml:space="preserve">Eficiencia del primer mes de rampa (% del ritmo del plan)</t>
  </si>
  <si>
    <t xml:space="preserve">Rampa</t>
  </si>
  <si>
    <t xml:space="preserve">E04</t>
  </si>
  <si>
    <t xml:space="preserve">% del volumen no producido (atraso/rampa) recuperable luego</t>
  </si>
  <si>
    <t xml:space="preserve">0% = pérdida definitiva; &gt;0% = desplazamiento recuperable sujeto a holgura de capacidad.</t>
  </si>
  <si>
    <t xml:space="preserve">E05</t>
  </si>
  <si>
    <t xml:space="preserve">Volumen gabinetes año operativo 1 (% del plan PDF)</t>
  </si>
  <si>
    <t xml:space="preserve">Año op. 1</t>
  </si>
  <si>
    <t xml:space="preserve">Plan PDF = 100%</t>
  </si>
  <si>
    <t xml:space="preserve">E06</t>
  </si>
  <si>
    <t xml:space="preserve">Volumen gabinetes año operativo 2 (% del plan PDF)</t>
  </si>
  <si>
    <t xml:space="preserve">Año op. 2</t>
  </si>
  <si>
    <t xml:space="preserve">E07</t>
  </si>
  <si>
    <t xml:space="preserve">Volumen gabinetes año operativo 3 (% del plan PDF)</t>
  </si>
  <si>
    <t xml:space="preserve">Año op. 3</t>
  </si>
  <si>
    <t xml:space="preserve">E08</t>
  </si>
  <si>
    <t xml:space="preserve">Volumen gabinetes año operativo 4 (% del plan PDF)</t>
  </si>
  <si>
    <t xml:space="preserve">Año op. 4</t>
  </si>
  <si>
    <t xml:space="preserve">E09</t>
  </si>
  <si>
    <t xml:space="preserve">Volumen gabinetes año operativo 5 (% del plan PDF)</t>
  </si>
  <si>
    <t xml:space="preserve">Año op. 5</t>
  </si>
  <si>
    <t xml:space="preserve">E10</t>
  </si>
  <si>
    <t xml:space="preserve">Volumen gabinetes año operativo 6 (% del plan PDF)</t>
  </si>
  <si>
    <t xml:space="preserve">Año op. 6</t>
  </si>
  <si>
    <t xml:space="preserve">E11</t>
  </si>
  <si>
    <t xml:space="preserve">Volumen gabinetes año operativo 7 (% del plan PDF)</t>
  </si>
  <si>
    <t xml:space="preserve">Año op. 7</t>
  </si>
  <si>
    <t xml:space="preserve">E12</t>
  </si>
  <si>
    <t xml:space="preserve">Volumen gabinetes año operativo 8 (% del plan PDF)</t>
  </si>
  <si>
    <t xml:space="preserve">Año op. 8</t>
  </si>
  <si>
    <t xml:space="preserve">E13</t>
  </si>
  <si>
    <t xml:space="preserve">Volumen gabinetes año operativo 9 (% del plan PDF)</t>
  </si>
  <si>
    <t xml:space="preserve">Año op. 9</t>
  </si>
  <si>
    <t xml:space="preserve">E14</t>
  </si>
  <si>
    <t xml:space="preserve">Volumen gabinetes año operativo 10 (% del plan PDF)</t>
  </si>
  <si>
    <t xml:space="preserve">Año op. 10</t>
  </si>
  <si>
    <t xml:space="preserve">E15</t>
  </si>
  <si>
    <t xml:space="preserve">Volumen cajas año operativo 1 (% del plan PDF)</t>
  </si>
  <si>
    <t xml:space="preserve">E16</t>
  </si>
  <si>
    <t xml:space="preserve">Volumen cajas año operativo 2 (% del plan PDF)</t>
  </si>
  <si>
    <t xml:space="preserve">E17</t>
  </si>
  <si>
    <t xml:space="preserve">Volumen cajas año operativo 3 (% del plan PDF)</t>
  </si>
  <si>
    <t xml:space="preserve">E18</t>
  </si>
  <si>
    <t xml:space="preserve">Volumen cajas año operativo 4 (% del plan PDF)</t>
  </si>
  <si>
    <t xml:space="preserve">E19</t>
  </si>
  <si>
    <t xml:space="preserve">Volumen cajas año operativo 5 (% del plan PDF)</t>
  </si>
  <si>
    <t xml:space="preserve">E20</t>
  </si>
  <si>
    <t xml:space="preserve">Volumen cajas año operativo 6 (% del plan PDF)</t>
  </si>
  <si>
    <t xml:space="preserve">E21</t>
  </si>
  <si>
    <t xml:space="preserve">Volumen cajas año operativo 7 (% del plan PDF)</t>
  </si>
  <si>
    <t xml:space="preserve">E22</t>
  </si>
  <si>
    <t xml:space="preserve">Volumen cajas año operativo 8 (% del plan PDF)</t>
  </si>
  <si>
    <t xml:space="preserve">E23</t>
  </si>
  <si>
    <t xml:space="preserve">Volumen cajas año operativo 9 (% del plan PDF)</t>
  </si>
  <si>
    <t xml:space="preserve">E24</t>
  </si>
  <si>
    <t xml:space="preserve">Volumen cajas año operativo 10 (% del plan PDF)</t>
  </si>
  <si>
    <t xml:space="preserve">E25</t>
  </si>
  <si>
    <t xml:space="preserve">Capacidad adicional sobre el plan (turnos / horas extra)</t>
  </si>
  <si>
    <t xml:space="preserve">Requiere respaldo técnico (equipos, turnos, horas y cuellos de botella comunes).</t>
  </si>
  <si>
    <t xml:space="preserve">E26</t>
  </si>
  <si>
    <t xml:space="preserve">Precio gabinete año 1</t>
  </si>
  <si>
    <t xml:space="preserve">PDF p. 16</t>
  </si>
  <si>
    <t xml:space="preserve">E27</t>
  </si>
  <si>
    <t xml:space="preserve">Precio caja año 1</t>
  </si>
  <si>
    <t xml:space="preserve">E28</t>
  </si>
  <si>
    <t xml:space="preserve">Variación de precio sobre la base</t>
  </si>
  <si>
    <t xml:space="preserve">E29</t>
  </si>
  <si>
    <t xml:space="preserve">Incremento anual de precios desde año 2 (año de proyecto)</t>
  </si>
  <si>
    <t xml:space="preserve">PDF p. 2</t>
  </si>
  <si>
    <t xml:space="preserve">E30</t>
  </si>
  <si>
    <t xml:space="preserve">Materia prima gabinete año 1</t>
  </si>
  <si>
    <t xml:space="preserve">PDF p. 17</t>
  </si>
  <si>
    <t xml:space="preserve">E31</t>
  </si>
  <si>
    <t xml:space="preserve">Materia prima caja año 1</t>
  </si>
  <si>
    <t xml:space="preserve">E32</t>
  </si>
  <si>
    <t xml:space="preserve">Incremento anual de materia prima desde año 2</t>
  </si>
  <si>
    <t xml:space="preserve">E33</t>
  </si>
  <si>
    <t xml:space="preserve">Variación del costo de materia prima (acero)</t>
  </si>
  <si>
    <t xml:space="preserve">E34</t>
  </si>
  <si>
    <t xml:space="preserve">Insumos por gabinete</t>
  </si>
  <si>
    <t xml:space="preserve">PDF p. 18</t>
  </si>
  <si>
    <t xml:space="preserve">E35</t>
  </si>
  <si>
    <t xml:space="preserve">Insumos por caja</t>
  </si>
  <si>
    <t xml:space="preserve">PDF p. 18 (4,851)</t>
  </si>
  <si>
    <t xml:space="preserve">E36</t>
  </si>
  <si>
    <t xml:space="preserve">Consumibles por gabinete (inferido)</t>
  </si>
  <si>
    <t xml:space="preserve">PDF p. 18 (inferido)</t>
  </si>
  <si>
    <t xml:space="preserve">E37</t>
  </si>
  <si>
    <t xml:space="preserve">Consumibles por caja</t>
  </si>
  <si>
    <t xml:space="preserve">E38</t>
  </si>
  <si>
    <t xml:space="preserve">Incremento anual de insumos y consumibles</t>
  </si>
  <si>
    <t xml:space="preserve">PDF: constantes</t>
  </si>
  <si>
    <t xml:space="preserve">E39</t>
  </si>
  <si>
    <t xml:space="preserve">Variación del costo de insumos y consumibles</t>
  </si>
  <si>
    <t xml:space="preserve">E40</t>
  </si>
  <si>
    <t xml:space="preserve">Flete MP por gabinete (inferido)</t>
  </si>
  <si>
    <t xml:space="preserve">E41</t>
  </si>
  <si>
    <t xml:space="preserve">Flete MP por caja (inferido)</t>
  </si>
  <si>
    <t xml:space="preserve">E42</t>
  </si>
  <si>
    <t xml:space="preserve">Variación del flete de MP</t>
  </si>
  <si>
    <t xml:space="preserve">E43</t>
  </si>
  <si>
    <t xml:space="preserve">Rechazo (% de unidades iniciadas)</t>
  </si>
  <si>
    <t xml:space="preserve">PDF implícito 0%; ilustrativo</t>
  </si>
  <si>
    <t xml:space="preserve">Si el precio por pieza de MP ya incluye merma, no aplicar rechazo sobre la misma pérdida.</t>
  </si>
  <si>
    <t xml:space="preserve">E44</t>
  </si>
  <si>
    <t xml:space="preserve">Valor de chatarra por unidad rechazada</t>
  </si>
  <si>
    <t xml:space="preserve">No informado</t>
  </si>
  <si>
    <t xml:space="preserve">E45</t>
  </si>
  <si>
    <t xml:space="preserve">Factor de dotación directa (productividad; 100% = plan)</t>
  </si>
  <si>
    <t xml:space="preserve">E46</t>
  </si>
  <si>
    <t xml:space="preserve">Ajuste salarial anual en Gs (desde año 2)</t>
  </si>
  <si>
    <t xml:space="preserve">PDF: constantes; ilustrativo (no dato de mercado)</t>
  </si>
  <si>
    <t xml:space="preserve">E47</t>
  </si>
  <si>
    <t xml:space="preserve">Inflación anual de costos fijos (desde año 2)</t>
  </si>
  <si>
    <t xml:space="preserve">PDF: constantes; ilustrativo</t>
  </si>
  <si>
    <t xml:space="preserve">E48</t>
  </si>
  <si>
    <t xml:space="preserve">Tipo de cambio año de proyecto 0</t>
  </si>
  <si>
    <t xml:space="preserve">Año 0</t>
  </si>
  <si>
    <t xml:space="preserve">PDF 7.300 (histórico); cargar TC real/proyectado</t>
  </si>
  <si>
    <t xml:space="preserve">E49</t>
  </si>
  <si>
    <t xml:space="preserve">Tipo de cambio año de proyecto 1</t>
  </si>
  <si>
    <t xml:space="preserve">E50</t>
  </si>
  <si>
    <t xml:space="preserve">Tipo de cambio año de proyecto 2</t>
  </si>
  <si>
    <t xml:space="preserve">Año 2</t>
  </si>
  <si>
    <t xml:space="preserve">E51</t>
  </si>
  <si>
    <t xml:space="preserve">Tipo de cambio año de proyecto 3</t>
  </si>
  <si>
    <t xml:space="preserve">Año 3</t>
  </si>
  <si>
    <t xml:space="preserve">E52</t>
  </si>
  <si>
    <t xml:space="preserve">Tipo de cambio año de proyecto 4</t>
  </si>
  <si>
    <t xml:space="preserve">Año 4</t>
  </si>
  <si>
    <t xml:space="preserve">E53</t>
  </si>
  <si>
    <t xml:space="preserve">Tipo de cambio año de proyecto 5</t>
  </si>
  <si>
    <t xml:space="preserve">Año 5</t>
  </si>
  <si>
    <t xml:space="preserve">E54</t>
  </si>
  <si>
    <t xml:space="preserve">Tipo de cambio año de proyecto 6</t>
  </si>
  <si>
    <t xml:space="preserve">Año 6</t>
  </si>
  <si>
    <t xml:space="preserve">E55</t>
  </si>
  <si>
    <t xml:space="preserve">Tipo de cambio año de proyecto 7</t>
  </si>
  <si>
    <t xml:space="preserve">Año 7</t>
  </si>
  <si>
    <t xml:space="preserve">E56</t>
  </si>
  <si>
    <t xml:space="preserve">Tipo de cambio año de proyecto 8</t>
  </si>
  <si>
    <t xml:space="preserve">Año 8</t>
  </si>
  <si>
    <t xml:space="preserve">E57</t>
  </si>
  <si>
    <t xml:space="preserve">Tipo de cambio año de proyecto 9</t>
  </si>
  <si>
    <t xml:space="preserve">Año 9</t>
  </si>
  <si>
    <t xml:space="preserve">E58</t>
  </si>
  <si>
    <t xml:space="preserve">Tipo de cambio año de proyecto 10</t>
  </si>
  <si>
    <t xml:space="preserve">Año 10</t>
  </si>
  <si>
    <t xml:space="preserve">E59</t>
  </si>
  <si>
    <t xml:space="preserve">Tipo de cambio año de proyecto 11</t>
  </si>
  <si>
    <t xml:space="preserve">Año 11</t>
  </si>
  <si>
    <t xml:space="preserve">E60</t>
  </si>
  <si>
    <t xml:space="preserve">Tipo de cambio año de proyecto 12</t>
  </si>
  <si>
    <t xml:space="preserve">Año 12</t>
  </si>
  <si>
    <t xml:space="preserve">E61</t>
  </si>
  <si>
    <t xml:space="preserve">Tipo de cambio año de proyecto 13</t>
  </si>
  <si>
    <t xml:space="preserve">Año 13</t>
  </si>
  <si>
    <t xml:space="preserve">E62</t>
  </si>
  <si>
    <t xml:space="preserve">Ventas a crédito</t>
  </si>
  <si>
    <t xml:space="preserve">% ventas</t>
  </si>
  <si>
    <t xml:space="preserve">PDF p. 3</t>
  </si>
  <si>
    <t xml:space="preserve">E63</t>
  </si>
  <si>
    <t xml:space="preserve">Plazo de cobro de ventas a crédito (DSO)</t>
  </si>
  <si>
    <t xml:space="preserve">PDF p. 8; ilustrativo</t>
  </si>
  <si>
    <t xml:space="preserve">E64</t>
  </si>
  <si>
    <t xml:space="preserve">Ventas al contado</t>
  </si>
  <si>
    <t xml:space="preserve">E65</t>
  </si>
  <si>
    <t xml:space="preserve">Anticipos de clientes</t>
  </si>
  <si>
    <t xml:space="preserve">E66</t>
  </si>
  <si>
    <t xml:space="preserve">Meses de anticipación del anticipo de clientes</t>
  </si>
  <si>
    <t xml:space="preserve">E67</t>
  </si>
  <si>
    <t xml:space="preserve">Incobrables</t>
  </si>
  <si>
    <t xml:space="preserve">% ventas a crédito</t>
  </si>
  <si>
    <t xml:space="preserve">E68</t>
  </si>
  <si>
    <t xml:space="preserve">Stock de materiales (días de consumo futuro)</t>
  </si>
  <si>
    <t xml:space="preserve">PDF p. 8</t>
  </si>
  <si>
    <t xml:space="preserve">E69</t>
  </si>
  <si>
    <t xml:space="preserve">Stock de producto terminado (días de ventas siguientes)</t>
  </si>
  <si>
    <t xml:space="preserve">E70</t>
  </si>
  <si>
    <t xml:space="preserve">Plazo de pago a proveedores de materiales (DPO)</t>
  </si>
  <si>
    <t xml:space="preserve">PDF p. 24</t>
  </si>
  <si>
    <t xml:space="preserve">E71</t>
  </si>
  <si>
    <t xml:space="preserve">Anticipo a proveedores de materiales</t>
  </si>
  <si>
    <t xml:space="preserve">% compras</t>
  </si>
  <si>
    <t xml:space="preserve">E72</t>
  </si>
  <si>
    <t xml:space="preserve">Meses de anticipación del pago a proveedores</t>
  </si>
  <si>
    <t xml:space="preserve">E73</t>
  </si>
  <si>
    <t xml:space="preserve">Plazo de pago a proveedores menores (DPO)</t>
  </si>
  <si>
    <t xml:space="preserve">E74</t>
  </si>
  <si>
    <t xml:space="preserve">Anticipos al personal (días de remuneración)</t>
  </si>
  <si>
    <t xml:space="preserve">E75</t>
  </si>
  <si>
    <t xml:space="preserve">Sobrecosto sobre CAPEX pendiente (por contratar)</t>
  </si>
  <si>
    <t xml:space="preserve">Implantación</t>
  </si>
  <si>
    <t xml:space="preserve">E76</t>
  </si>
  <si>
    <t xml:space="preserve">CAPEX adicional del año 2</t>
  </si>
  <si>
    <t xml:space="preserve">PDF cuadros 18-19</t>
  </si>
  <si>
    <t xml:space="preserve">E77</t>
  </si>
  <si>
    <t xml:space="preserve">Mes de pago del CAPEX adicional</t>
  </si>
  <si>
    <t xml:space="preserve">Supuesto provisional (inicio año 2)</t>
  </si>
  <si>
    <t xml:space="preserve">E78</t>
  </si>
  <si>
    <t xml:space="preserve">IVA soportado recuperable</t>
  </si>
  <si>
    <t xml:space="preserve">PDF: IVA como costo (prudencial)</t>
  </si>
  <si>
    <t xml:space="preserve">Escenario conservador de no recuperación = criterio histórico, no certeza jurídica.</t>
  </si>
  <si>
    <t xml:space="preserve">E79</t>
  </si>
  <si>
    <t xml:space="preserve">Plazo de recuperación del IVA</t>
  </si>
  <si>
    <t xml:space="preserve">E80</t>
  </si>
  <si>
    <t xml:space="preserve">Incluir aportes adicionales del plan (567.782 y 371.928): 1 = sí</t>
  </si>
  <si>
    <t xml:space="preserve">Años 1-2</t>
  </si>
  <si>
    <t xml:space="preserve">PDF cuadro 18</t>
  </si>
  <si>
    <t xml:space="preserve">E81</t>
  </si>
  <si>
    <t xml:space="preserve">Nuevo préstamo (tramo 2): monto</t>
  </si>
  <si>
    <t xml:space="preserve">Sin contrato</t>
  </si>
  <si>
    <t xml:space="preserve">E82</t>
  </si>
  <si>
    <t xml:space="preserve">Tramo 2: mes de desembolso</t>
  </si>
  <si>
    <t xml:space="preserve">E83</t>
  </si>
  <si>
    <t xml:space="preserve">Tramo 2: tasa nominal anual</t>
  </si>
  <si>
    <t xml:space="preserve">Histórica PDF</t>
  </si>
  <si>
    <t xml:space="preserve">E84</t>
  </si>
  <si>
    <t xml:space="preserve">Tramo 2: meses de gracia</t>
  </si>
  <si>
    <t xml:space="preserve">E85</t>
  </si>
  <si>
    <t xml:space="preserve">Tramo 2: cuotas francesas</t>
  </si>
  <si>
    <t xml:space="preserve">E86</t>
  </si>
  <si>
    <t xml:space="preserve">Línea de crédito hipotética automática (1 = activar) — NO APROBADA</t>
  </si>
  <si>
    <t xml:space="preserve">Hipotética</t>
  </si>
  <si>
    <t xml:space="preserve">Sin circularidad: interés sobre saldo inicial del mes. Estado: no aprobada.</t>
  </si>
  <si>
    <t xml:space="preserve">E87</t>
  </si>
  <si>
    <t xml:space="preserve">Cupo de la línea hipotética</t>
  </si>
  <si>
    <t xml:space="preserve">E88</t>
  </si>
  <si>
    <t xml:space="preserve">Tasa nominal anual de la línea hipotética</t>
  </si>
  <si>
    <t xml:space="preserve">E89</t>
  </si>
  <si>
    <t xml:space="preserve">Gastos de venta y logística de exportación (flete, seguros, comisiones, garantías)</t>
  </si>
  <si>
    <t xml:space="preserve">PDF: cero; pendiente confirmar quién los asume</t>
  </si>
  <si>
    <t xml:space="preserve">E90</t>
  </si>
  <si>
    <t xml:space="preserve">Energía: porción variable con kg procesados</t>
  </si>
  <si>
    <t xml:space="preserve">PDF: constante</t>
  </si>
  <si>
    <t xml:space="preserve">E. Pruebas de sensibilidad (choques ilustrativos aplicados sobre el escenario activo)</t>
  </si>
  <si>
    <t xml:space="preserve">N°</t>
  </si>
  <si>
    <t xml:space="preserve">Prueba</t>
  </si>
  <si>
    <t xml:space="preserve">CAPEX pendiente</t>
  </si>
  <si>
    <t xml:space="preserve">Atraso (meses)</t>
  </si>
  <si>
    <t xml:space="preserve">Volumen</t>
  </si>
  <si>
    <t xml:space="preserve">Precio</t>
  </si>
  <si>
    <t xml:space="preserve">Materiales</t>
  </si>
  <si>
    <t xml:space="preserve">TC Gs/USD</t>
  </si>
  <si>
    <t xml:space="preserve">DSO (días)</t>
  </si>
  <si>
    <t xml:space="preserve">CAPEX +10%</t>
  </si>
  <si>
    <t xml:space="preserve">CAPEX +20%</t>
  </si>
  <si>
    <t xml:space="preserve">Atraso +3 meses</t>
  </si>
  <si>
    <t xml:space="preserve">Atraso +6 meses</t>
  </si>
  <si>
    <t xml:space="preserve">Volumen -10%</t>
  </si>
  <si>
    <t xml:space="preserve">Volumen -20%</t>
  </si>
  <si>
    <t xml:space="preserve">Precio -5%</t>
  </si>
  <si>
    <t xml:space="preserve">Precio -10%</t>
  </si>
  <si>
    <t xml:space="preserve">Materiales +10%</t>
  </si>
  <si>
    <t xml:space="preserve">Materiales +20%</t>
  </si>
  <si>
    <t xml:space="preserve">PYG/USD +10% (más Gs por USD)</t>
  </si>
  <si>
    <t xml:space="preserve">PYG/USD -10% (menos Gs por USD)</t>
  </si>
  <si>
    <t xml:space="preserve">DSO 90 días</t>
  </si>
  <si>
    <t xml:space="preserve">DSO 120 días</t>
  </si>
  <si>
    <t xml:space="preserve">DSO 150 días</t>
  </si>
  <si>
    <t xml:space="preserve">Choque activo</t>
  </si>
  <si>
    <t xml:space="preserve">F. Política de dividendos (% de utilidad del año de proyecto) y aportes planificados</t>
  </si>
  <si>
    <t xml:space="preserve">Año</t>
  </si>
  <si>
    <t xml:space="preserve">Payout (% de la utilidad del año)</t>
  </si>
  <si>
    <t xml:space="preserve">Año de proyecto 1</t>
  </si>
  <si>
    <t xml:space="preserve">PDF cuadro 15</t>
  </si>
  <si>
    <t xml:space="preserve">Año de proyecto 2</t>
  </si>
  <si>
    <t xml:space="preserve">Año de proyecto 3</t>
  </si>
  <si>
    <t xml:space="preserve">Año de proyecto 4</t>
  </si>
  <si>
    <t xml:space="preserve">Año de proyecto 5</t>
  </si>
  <si>
    <t xml:space="preserve">Año de proyecto 6</t>
  </si>
  <si>
    <t xml:space="preserve">Año de proyecto 7</t>
  </si>
  <si>
    <t xml:space="preserve">Año de proyecto 8</t>
  </si>
  <si>
    <t xml:space="preserve">Año de proyecto 9</t>
  </si>
  <si>
    <t xml:space="preserve">Año de proyecto 10</t>
  </si>
  <si>
    <t xml:space="preserve">Año de proyecto 11</t>
  </si>
  <si>
    <t xml:space="preserve">Supuesto: igual al año 10</t>
  </si>
  <si>
    <t xml:space="preserve">Año de proyecto 12</t>
  </si>
  <si>
    <t xml:space="preserve">Año de proyecto 13</t>
  </si>
  <si>
    <t xml:space="preserve">Aporte planificado adicional (no confirmado)</t>
  </si>
  <si>
    <t xml:space="preserve">Mes modelo</t>
  </si>
  <si>
    <t xml:space="preserve">Monto USD</t>
  </si>
  <si>
    <t xml:space="preserve">Aporte de socios planificado</t>
  </si>
  <si>
    <t xml:space="preserve">Vacío = no hay compromiso</t>
  </si>
  <si>
    <t xml:space="preserve">G. Parámetros derivados (cálculo; no editar)</t>
  </si>
  <si>
    <t xml:space="preserve">Último mes cerrado con datos reales (-1 = ninguno)</t>
  </si>
  <si>
    <t xml:space="preserve">Mes real de arranque cargado (vacío = no informado)</t>
  </si>
  <si>
    <t xml:space="preserve">Primer mes operativo efectivo (mes modelo)</t>
  </si>
  <si>
    <t xml:space="preserve">Último mes del horizonte evaluado</t>
  </si>
  <si>
    <t xml:space="preserve">Tope técnico de la rejilla: mes 156.</t>
  </si>
  <si>
    <t xml:space="preserve">Último mes teórico sin tope de rejilla</t>
  </si>
  <si>
    <t xml:space="preserve">Plazo de cobro en meses</t>
  </si>
  <si>
    <t xml:space="preserve">Plazo de cobro: meses enteros</t>
  </si>
  <si>
    <t xml:space="preserve">Plazo de cobro: fracción</t>
  </si>
  <si>
    <t xml:space="preserve">Plazo de pago materiales en meses</t>
  </si>
  <si>
    <t xml:space="preserve">Pago materiales: meses enteros</t>
  </si>
  <si>
    <t xml:space="preserve">Pago materiales: fracción</t>
  </si>
  <si>
    <t xml:space="preserve">Plazo de pago proveedores menores en meses</t>
  </si>
  <si>
    <t xml:space="preserve">Pago menores: meses enteros</t>
  </si>
  <si>
    <t xml:space="preserve">Pago menores: fracción</t>
  </si>
  <si>
    <t xml:space="preserve">Stock de materiales: meses enteros de consumo futuro</t>
  </si>
  <si>
    <t xml:space="preserve">Stock de materiales: fracción del mes siguiente</t>
  </si>
  <si>
    <t xml:space="preserve">Stock de PT: fracción de las ventas del mes siguiente</t>
  </si>
  <si>
    <t xml:space="preserve">Kg procesados por mes en el plan del año 1 (base de energía variable)</t>
  </si>
  <si>
    <t xml:space="preserve">Peso del driver de costos comunes: gabinete</t>
  </si>
  <si>
    <t xml:space="preserve">Driver 3 sin horas cargadas vuelve a kg. Driver 2 = costo directo unitario año 1 (criterio PDF).</t>
  </si>
  <si>
    <t xml:space="preserve">Peso del driver de costos comunes: caja</t>
  </si>
  <si>
    <t xml:space="preserve">Control: crédito + contado + anticipo (debe ser 100%)</t>
  </si>
  <si>
    <t xml:space="preserve">Calendario — meses del modelo, años, banderas de operación/horizonte/reales, TC y factores de descuento</t>
  </si>
  <si>
    <t xml:space="preserve">Motor único: fórmulas homogéneas por mes. Columna E = total del horizonte o saldo al cierre del horizonte. No editar fórmulas; los supuestos se cambian en Supuestos / Datos_Reales.</t>
  </si>
  <si>
    <t xml:space="preserve">Calendario del modelo (meses relativos; fechas solo si se cargó la fecha del mes 0)</t>
  </si>
  <si>
    <t xml:space="preserve">m</t>
  </si>
  <si>
    <t xml:space="preserve">Mes del modelo (0 = inicio de implantación / desembolso)</t>
  </si>
  <si>
    <t xml:space="preserve">n°</t>
  </si>
  <si>
    <t xml:space="preserve">Fecha de fin de mes</t>
  </si>
  <si>
    <t xml:space="preserve">anio</t>
  </si>
  <si>
    <t xml:space="preserve">Año de proyecto (0 = implantación)</t>
  </si>
  <si>
    <t xml:space="preserve">ini</t>
  </si>
  <si>
    <t xml:space="preserve">Inicio de año de proyecto (1/0)</t>
  </si>
  <si>
    <t xml:space="preserve">cierre</t>
  </si>
  <si>
    <t xml:space="preserve">Cierre de año de proyecto (1/0)</t>
  </si>
  <si>
    <t xml:space="preserve">mes_op</t>
  </si>
  <si>
    <t xml:space="preserve">Mes operativo desde el arranque efectivo</t>
  </si>
  <si>
    <t xml:space="preserve">anio_op</t>
  </si>
  <si>
    <t xml:space="preserve">Año operativo (curva de volumen, capacidad y dotación)</t>
  </si>
  <si>
    <t xml:space="preserve">f_op</t>
  </si>
  <si>
    <t xml:space="preserve">Operación (1/0)</t>
  </si>
  <si>
    <t xml:space="preserve">f_hor</t>
  </si>
  <si>
    <t xml:space="preserve">Dentro del horizonte evaluado (1/0)</t>
  </si>
  <si>
    <t xml:space="preserve">f_pre</t>
  </si>
  <si>
    <t xml:space="preserve">Pre-operación: implantación o atraso con costos de espera (1/0)</t>
  </si>
  <si>
    <t xml:space="preserve">f_fin</t>
  </si>
  <si>
    <t xml:space="preserve">Mes final del horizonte (1/0)</t>
  </si>
  <si>
    <t xml:space="preserve">mes_plan</t>
  </si>
  <si>
    <t xml:space="preserve">Mes operativo del plan original (sin atraso)</t>
  </si>
  <si>
    <t xml:space="preserve">anio_plan</t>
  </si>
  <si>
    <t xml:space="preserve">Año operativo del plan original</t>
  </si>
  <si>
    <t xml:space="preserve">f_real</t>
  </si>
  <si>
    <t xml:space="preserve">Mes real cerrado (1/0) — congelado</t>
  </si>
  <si>
    <t xml:space="preserve">anio_px</t>
  </si>
  <si>
    <t xml:space="preserve">Índice de año para precios, costos y TC (año de proyecto, mín. 1)</t>
  </si>
  <si>
    <t xml:space="preserve">tc</t>
  </si>
  <si>
    <t xml:space="preserve">Tipo de cambio del mes (escenario efectivo)</t>
  </si>
  <si>
    <t xml:space="preserve">df_p</t>
  </si>
  <si>
    <t xml:space="preserve">Factor de descuento del proyecto (tasa anual efectiva, capitalización mensual)</t>
  </si>
  <si>
    <t xml:space="preserve">factor</t>
  </si>
  <si>
    <t xml:space="preserve">df_e</t>
  </si>
  <si>
    <t xml:space="preserve">Factor de descuento del capital propio (Ke)</t>
  </si>
  <si>
    <t xml:space="preserve">Produccion_Ventas — capacidad, demanda, rampa, recuperación, producción buena, inventario PT, precios y ventas (mensual)</t>
  </si>
  <si>
    <t xml:space="preserve">h_m</t>
  </si>
  <si>
    <t xml:space="preserve">Mes del modelo</t>
  </si>
  <si>
    <t xml:space="preserve">Total / cierre</t>
  </si>
  <si>
    <t xml:space="preserve">h_fecha</t>
  </si>
  <si>
    <t xml:space="preserve">Fecha</t>
  </si>
  <si>
    <t xml:space="preserve">h_anio</t>
  </si>
  <si>
    <t xml:space="preserve">Año de proyecto</t>
  </si>
  <si>
    <t xml:space="preserve">h_aop</t>
  </si>
  <si>
    <t xml:space="preserve">Año operativo</t>
  </si>
  <si>
    <t xml:space="preserve">h_fop</t>
  </si>
  <si>
    <t xml:space="preserve">h_freal</t>
  </si>
  <si>
    <t xml:space="preserve">Real cerrado (1/0)</t>
  </si>
  <si>
    <t xml:space="preserve">Curva de aprendizaje (común a ambos productos)</t>
  </si>
  <si>
    <t xml:space="preserve">rampa</t>
  </si>
  <si>
    <t xml:space="preserve">Factor de rampa (% del ritmo del plan alcanzado)</t>
  </si>
  <si>
    <t xml:space="preserve">Gabinetes (153 kg) — unidades</t>
  </si>
  <si>
    <t xml:space="preserve">cap_g</t>
  </si>
  <si>
    <t xml:space="preserve">Capacidad instalada del plan (u/mes)</t>
  </si>
  <si>
    <t xml:space="preserve">u</t>
  </si>
  <si>
    <t xml:space="preserve">plan_g</t>
  </si>
  <si>
    <t xml:space="preserve">Plan PDF de ventas según año operativo (u/mes)</t>
  </si>
  <si>
    <t xml:space="preserve">fvol_g</t>
  </si>
  <si>
    <t xml:space="preserve">Factor de volumen del escenario</t>
  </si>
  <si>
    <t xml:space="preserve">dem_g</t>
  </si>
  <si>
    <t xml:space="preserve">Demanda del escenario (u)</t>
  </si>
  <si>
    <t xml:space="preserve">vbase_g</t>
  </si>
  <si>
    <t xml:space="preserve">Ventas posibles con rampa (u)</t>
  </si>
  <si>
    <t xml:space="preserve">prampa_g</t>
  </si>
  <si>
    <t xml:space="preserve">Volumen no producido por rampa (u)</t>
  </si>
  <si>
    <t xml:space="preserve">patraso_g</t>
  </si>
  <si>
    <t xml:space="preserve">Demanda del plan no atendida por atraso (u)</t>
  </si>
  <si>
    <t xml:space="preserve">holg_g</t>
  </si>
  <si>
    <t xml:space="preserve">Holgura de capacidad para recuperar (u buenas)</t>
  </si>
  <si>
    <t xml:space="preserve">rec_g</t>
  </si>
  <si>
    <t xml:space="preserve">Volumen recuperado (desplazamiento)</t>
  </si>
  <si>
    <t xml:space="preserve">pend_g</t>
  </si>
  <si>
    <t xml:space="preserve">Pendiente recuperable acumulado (u)</t>
  </si>
  <si>
    <t xml:space="preserve">pdef_g</t>
  </si>
  <si>
    <t xml:space="preserve">Pérdida definitiva de ventas (u)</t>
  </si>
  <si>
    <t xml:space="preserve">vtas_u_g</t>
  </si>
  <si>
    <t xml:space="preserve">UNIDADES VENDIDAS</t>
  </si>
  <si>
    <t xml:space="preserve">ptobj_g</t>
  </si>
  <si>
    <t xml:space="preserve">Stock objetivo de PT (u) = ventas del mes siguiente x días PT</t>
  </si>
  <si>
    <t xml:space="preserve">prod_g</t>
  </si>
  <si>
    <t xml:space="preserve">Producción buena (u)</t>
  </si>
  <si>
    <t xml:space="preserve">ptu_g</t>
  </si>
  <si>
    <t xml:space="preserve">Inventario de PT (u): inicial + producción - ventas</t>
  </si>
  <si>
    <t xml:space="preserve">ini_g</t>
  </si>
  <si>
    <t xml:space="preserve">Unidades iniciadas (incluye rechazo)</t>
  </si>
  <si>
    <t xml:space="preserve">rch_g</t>
  </si>
  <si>
    <t xml:space="preserve">Unidades rechazadas</t>
  </si>
  <si>
    <t xml:space="preserve">exc_g</t>
  </si>
  <si>
    <t xml:space="preserve">ALERTA: exceso de unidades iniciadas sobre capacidad</t>
  </si>
  <si>
    <t xml:space="preserve">precio_g</t>
  </si>
  <si>
    <t xml:space="preserve">Precio / tarifa neta vigente (USD/u)</t>
  </si>
  <si>
    <t xml:space="preserve">vtas_g</t>
  </si>
  <si>
    <t xml:space="preserve">VENTAS (USD)</t>
  </si>
  <si>
    <t xml:space="preserve">Cajas (13 kg) — unidades</t>
  </si>
  <si>
    <t xml:space="preserve">cap_c</t>
  </si>
  <si>
    <t xml:space="preserve">plan_c</t>
  </si>
  <si>
    <t xml:space="preserve">fvol_c</t>
  </si>
  <si>
    <t xml:space="preserve">dem_c</t>
  </si>
  <si>
    <t xml:space="preserve">vbase_c</t>
  </si>
  <si>
    <t xml:space="preserve">prampa_c</t>
  </si>
  <si>
    <t xml:space="preserve">patraso_c</t>
  </si>
  <si>
    <t xml:space="preserve">holg_c</t>
  </si>
  <si>
    <t xml:space="preserve">rec_c</t>
  </si>
  <si>
    <t xml:space="preserve">pend_c</t>
  </si>
  <si>
    <t xml:space="preserve">pdef_c</t>
  </si>
  <si>
    <t xml:space="preserve">vtas_u_c</t>
  </si>
  <si>
    <t xml:space="preserve">ptobj_c</t>
  </si>
  <si>
    <t xml:space="preserve">prod_c</t>
  </si>
  <si>
    <t xml:space="preserve">ptu_c</t>
  </si>
  <si>
    <t xml:space="preserve">ini_c</t>
  </si>
  <si>
    <t xml:space="preserve">rch_c</t>
  </si>
  <si>
    <t xml:space="preserve">exc_c</t>
  </si>
  <si>
    <t xml:space="preserve">precio_c</t>
  </si>
  <si>
    <t xml:space="preserve">vtas_c</t>
  </si>
  <si>
    <t xml:space="preserve">Totales</t>
  </si>
  <si>
    <t xml:space="preserve">vtas_prod</t>
  </si>
  <si>
    <t xml:space="preserve">Ventas de productos (USD)</t>
  </si>
  <si>
    <t xml:space="preserve">chat</t>
  </si>
  <si>
    <t xml:space="preserve">Venta de chatarra (USD)</t>
  </si>
  <si>
    <t xml:space="preserve">vtas_tot</t>
  </si>
  <si>
    <t xml:space="preserve">VENTAS TOTALES (USD)</t>
  </si>
  <si>
    <t xml:space="preserve">kg_prod</t>
  </si>
  <si>
    <t xml:space="preserve">Kg procesados (producción buena)</t>
  </si>
  <si>
    <t xml:space="preserve">kg</t>
  </si>
  <si>
    <t xml:space="preserve">exc_tot</t>
  </si>
  <si>
    <t xml:space="preserve">Exceso total sobre capacidad (u)</t>
  </si>
  <si>
    <t xml:space="preserve">exc_flag</t>
  </si>
  <si>
    <t xml:space="preserve">Mes con producción superior a la capacidad (1/0)</t>
  </si>
  <si>
    <t xml:space="preserve">Costos_Personal — nómina por puesto, costos fijos, materiales y motor mensual de costos (USD salvo indicación)</t>
  </si>
  <si>
    <t xml:space="preserve">Tablas superiores: plan de dotación y maestro de costos (editables). Bloque inferior: motor mensual (no editar fórmulas).</t>
  </si>
  <si>
    <t xml:space="preserve">A. Dotación y salarios por puesto (plan vigente; por defecto = PDF pp. 30-34)</t>
  </si>
  <si>
    <t xml:space="preserve">Puesto</t>
  </si>
  <si>
    <t xml:space="preserve">Clase PDF</t>
  </si>
  <si>
    <t xml:space="preserve">Clase depurada (editable)</t>
  </si>
  <si>
    <t xml:space="preserve">Clase efectiva</t>
  </si>
  <si>
    <t xml:space="preserve">Salario Gs/mes</t>
  </si>
  <si>
    <t xml:space="preserve">Dot. año 1</t>
  </si>
  <si>
    <t xml:space="preserve">Dot. año 2</t>
  </si>
  <si>
    <t xml:space="preserve">Dot. año 3</t>
  </si>
  <si>
    <t xml:space="preserve">Dot. año 4</t>
  </si>
  <si>
    <t xml:space="preserve">Dot. año 5</t>
  </si>
  <si>
    <t xml:space="preserve">Dot. año 6</t>
  </si>
  <si>
    <t xml:space="preserve">Dot. año 7</t>
  </si>
  <si>
    <t xml:space="preserve">Dot. año 8</t>
  </si>
  <si>
    <t xml:space="preserve">Dot. año 9</t>
  </si>
  <si>
    <t xml:space="preserve">Dot. año 10</t>
  </si>
  <si>
    <t xml:space="preserve">D01</t>
  </si>
  <si>
    <t xml:space="preserve">Directo</t>
  </si>
  <si>
    <t xml:space="preserve">PDF pp. 30-34; años 6-10 = año 5 (plantilla invariable)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</si>
  <si>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</si>
  <si>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</si>
  <si>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</si>
  <si>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</si>
  <si>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</si>
  <si>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</si>
  <si>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I01</t>
  </si>
  <si>
    <t xml:space="preserve">Administración</t>
  </si>
  <si>
    <t xml:space="preserve">I02</t>
  </si>
  <si>
    <t xml:space="preserve">Indirecto fábrica</t>
  </si>
  <si>
    <t xml:space="preserve">I03</t>
  </si>
  <si>
    <t xml:space="preserve">I04</t>
  </si>
  <si>
    <t xml:space="preserve">I05</t>
  </si>
  <si>
    <t xml:space="preserve">I06</t>
  </si>
  <si>
    <t xml:space="preserve">I07</t>
  </si>
  <si>
    <t xml:space="preserve">I08</t>
  </si>
  <si>
    <t xml:space="preserve">I09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</si>
  <si>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</si>
  <si>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</si>
  <si>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</si>
  <si>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</si>
  <si>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</si>
  <si>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</si>
  <si>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</si>
  <si>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</si>
  <si>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</si>
  <si>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</si>
  <si>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Clasificación depurada propuesta: supervisión, ingeniería, calidad, PCP, depósito y mantenimiento = indirectos de fábrica; gerencia general, administración, compras y logística/comex = administración. Confirmar.</t>
  </si>
  <si>
    <t xml:space="preserve">Resumen por clase efectiva y año operativo</t>
  </si>
  <si>
    <t xml:space="preserve">Dotación directa (plan)</t>
  </si>
  <si>
    <t xml:space="preserve">Dotación indirecta de fábrica</t>
  </si>
  <si>
    <t xml:space="preserve">Dotación administrativa</t>
  </si>
  <si>
    <t xml:space="preserve">Masa salarial directa (Gs/mes, plan)</t>
  </si>
  <si>
    <t xml:space="preserve">Masa salarial indirecta fábrica (Gs/mes)</t>
  </si>
  <si>
    <t xml:space="preserve">Masa salarial administrativa (Gs/mes)</t>
  </si>
  <si>
    <t xml:space="preserve">Dotación directa ajustada por productividad (factor del escenario)</t>
  </si>
  <si>
    <t xml:space="preserve">Masa salarial directa ajustada (Gs/mes; mantiene el mix de puestos)</t>
  </si>
  <si>
    <t xml:space="preserve">B. Maestro de costos fijos por rubro (importe anual del año 1 en moneda de origen)</t>
  </si>
  <si>
    <t xml:space="preserve">Concepto</t>
  </si>
  <si>
    <t xml:space="preserve">Clasificación</t>
  </si>
  <si>
    <t xml:space="preserve">Comportamiento</t>
  </si>
  <si>
    <t xml:space="preserve">Importe anual origen</t>
  </si>
  <si>
    <t xml:space="preserve">IVA incluido %</t>
  </si>
  <si>
    <t xml:space="preserve">Origen local (VA nac.)</t>
  </si>
  <si>
    <t xml:space="preserve">USD año 1 a TC plan</t>
  </si>
  <si>
    <t xml:space="preserve">ENE</t>
  </si>
  <si>
    <t xml:space="preserve">Energía eléctrica planta</t>
  </si>
  <si>
    <t xml:space="preserve">Producción</t>
  </si>
  <si>
    <t xml:space="preserve">Fijo (porción variable editable)</t>
  </si>
  <si>
    <t xml:space="preserve">PYG</t>
  </si>
  <si>
    <t xml:space="preserve">PDF 10a: USD 23.014 ≈ Gs 168 M a 7.300</t>
  </si>
  <si>
    <t xml:space="preserve">Inferido - confirmar moneda y tarifa</t>
  </si>
  <si>
    <t xml:space="preserve">MAN</t>
  </si>
  <si>
    <t xml:space="preserve">Mantenimiento y reparaciones planta</t>
  </si>
  <si>
    <t xml:space="preserve">Fijo creciente (lineal)</t>
  </si>
  <si>
    <t xml:space="preserve">PDF 10a año 1</t>
  </si>
  <si>
    <t xml:space="preserve">SRV</t>
  </si>
  <si>
    <t xml:space="preserve">Agua, comunicaciones y electricidad (adm.)</t>
  </si>
  <si>
    <t xml:space="preserve">Fijo</t>
  </si>
  <si>
    <t xml:space="preserve">PDF 10a: USD 1.233 ≈ Gs 9 M</t>
  </si>
  <si>
    <t xml:space="preserve">Inferido - confirmar</t>
  </si>
  <si>
    <t xml:space="preserve">MAA</t>
  </si>
  <si>
    <t xml:space="preserve">Mantenimiento y reparaciones (adm.)</t>
  </si>
  <si>
    <t xml:space="preserve">PDF 10a: USD 4.932 ≈ Gs 36 M</t>
  </si>
  <si>
    <t xml:space="preserve">SGA</t>
  </si>
  <si>
    <t xml:space="preserve">Seguros sobre activos fijos</t>
  </si>
  <si>
    <t xml:space="preserve">PDF 10a: USD 8.219 ≈ Gs 60 M</t>
  </si>
  <si>
    <t xml:space="preserve">GG</t>
  </si>
  <si>
    <t xml:space="preserve">Gastos generales</t>
  </si>
  <si>
    <t xml:space="preserve">HON</t>
  </si>
  <si>
    <t xml:space="preserve">Honorarios y otros fijos</t>
  </si>
  <si>
    <t xml:space="preserve">PDF 10a: USD 24.932 ≈ Gs 182 M</t>
  </si>
  <si>
    <t xml:space="preserve">IVA incluido %: 0 = no identificado en el PDF (pendiente). Solo el alquiler declara IVA de 10% (parámetro G37).</t>
  </si>
  <si>
    <t xml:space="preserve">C. Clasificación de origen local para el valor agregado nacional (base alternativa del tributo)</t>
  </si>
  <si>
    <t xml:space="preserve">Local (1/0)</t>
  </si>
  <si>
    <t xml:space="preserve">CON</t>
  </si>
  <si>
    <t xml:space="preserve">Insumos consumibles</t>
  </si>
  <si>
    <t xml:space="preserve">Clasificación provisional. Nómina siempre local; MP, insumos y flete MP se consideran importados.</t>
  </si>
  <si>
    <t xml:space="preserve">DES</t>
  </si>
  <si>
    <t xml:space="preserve">Despachos de importación (servicio local)</t>
  </si>
  <si>
    <t xml:space="preserve">PKG</t>
  </si>
  <si>
    <t xml:space="preserve">Packaging</t>
  </si>
  <si>
    <t xml:space="preserve">SEGC</t>
  </si>
  <si>
    <t xml:space="preserve">Seguro de caución</t>
  </si>
  <si>
    <t xml:space="preserve">ALQ</t>
  </si>
  <si>
    <t xml:space="preserve">Alquiler de nave</t>
  </si>
  <si>
    <t xml:space="preserve">EXP</t>
  </si>
  <si>
    <t xml:space="preserve">Tipo de cambio e índices</t>
  </si>
  <si>
    <t xml:space="preserve">Tipo de cambio del mes (Gs/USD)</t>
  </si>
  <si>
    <t xml:space="preserve">tcn</t>
  </si>
  <si>
    <t xml:space="preserve">TC aplicado a la nómina (C1: único; sin C1: 8.000 del PDF)</t>
  </si>
  <si>
    <t xml:space="preserve">isal</t>
  </si>
  <si>
    <t xml:space="preserve">Índice salarial (ajuste anual en Gs)</t>
  </si>
  <si>
    <t xml:space="preserve">índice</t>
  </si>
  <si>
    <t xml:space="preserve">ifij</t>
  </si>
  <si>
    <t xml:space="preserve">Índice de costos fijos</t>
  </si>
  <si>
    <t xml:space="preserve">afij</t>
  </si>
  <si>
    <t xml:space="preserve">Actividad de costos fijos (1 operación; % espera; 0 fuera)</t>
  </si>
  <si>
    <t xml:space="preserve">aene</t>
  </si>
  <si>
    <t xml:space="preserve">Actividad de energía y mantenimiento de planta</t>
  </si>
  <si>
    <t xml:space="preserve">Personal directo (clase efectiva según C6)</t>
  </si>
  <si>
    <t xml:space="preserve">dot_d</t>
  </si>
  <si>
    <t xml:space="preserve">Dotación activa (personas)</t>
  </si>
  <si>
    <t xml:space="preserve">pers.</t>
  </si>
  <si>
    <t xml:space="preserve">rem_d</t>
  </si>
  <si>
    <t xml:space="preserve">Remuneración base (USD)</t>
  </si>
  <si>
    <t xml:space="preserve">pre_d</t>
  </si>
  <si>
    <t xml:space="preserve">ali_d</t>
  </si>
  <si>
    <t xml:space="preserve">Alimentación</t>
  </si>
  <si>
    <t xml:space="preserve">tot_d</t>
  </si>
  <si>
    <t xml:space="preserve">COSTO TOTAL PERSONAL DIRECTO</t>
  </si>
  <si>
    <t xml:space="preserve">Personal indirecto de fábrica (clase efectiva según C6)</t>
  </si>
  <si>
    <t xml:space="preserve">dot_i</t>
  </si>
  <si>
    <t xml:space="preserve">rem_i</t>
  </si>
  <si>
    <t xml:space="preserve">pre_i</t>
  </si>
  <si>
    <t xml:space="preserve">ali_i</t>
  </si>
  <si>
    <t xml:space="preserve">tot_i</t>
  </si>
  <si>
    <t xml:space="preserve">COSTO TOTAL PERSONAL INDIRECTO DE FÁBRICA</t>
  </si>
  <si>
    <t xml:space="preserve">Personal administrativo (clase efectiva según C6)</t>
  </si>
  <si>
    <t xml:space="preserve">dot_a</t>
  </si>
  <si>
    <t xml:space="preserve">rem_a</t>
  </si>
  <si>
    <t xml:space="preserve">pre_a</t>
  </si>
  <si>
    <t xml:space="preserve">ali_a</t>
  </si>
  <si>
    <t xml:space="preserve">tot_a</t>
  </si>
  <si>
    <t xml:space="preserve">COSTO TOTAL PERSONAL ADMINISTRATIVO</t>
  </si>
  <si>
    <t xml:space="preserve">Resumen de personal</t>
  </si>
  <si>
    <t xml:space="preserve">dot_tot</t>
  </si>
  <si>
    <t xml:space="preserve">Dotación total activa</t>
  </si>
  <si>
    <t xml:space="preserve">rem_tot</t>
  </si>
  <si>
    <t xml:space="preserve">Remuneración base total (base de anticipos)</t>
  </si>
  <si>
    <t xml:space="preserve">per_tot</t>
  </si>
  <si>
    <t xml:space="preserve">Costo total de personal</t>
  </si>
  <si>
    <t xml:space="preserve">Materiales: costo unitario por año de proyecto (USD/u)</t>
  </si>
  <si>
    <t xml:space="preserve">u_mp_g</t>
  </si>
  <si>
    <t xml:space="preserve">MP por gabinete</t>
  </si>
  <si>
    <t xml:space="preserve">u_mp_c</t>
  </si>
  <si>
    <t xml:space="preserve">MP por caja (C2: 1% acumulativo; sin C2: criterio PDF)</t>
  </si>
  <si>
    <t xml:space="preserve">u_ins_g</t>
  </si>
  <si>
    <t xml:space="preserve">u_ins_c</t>
  </si>
  <si>
    <t xml:space="preserve">u_con_g</t>
  </si>
  <si>
    <t xml:space="preserve">Consumibles por gabinete</t>
  </si>
  <si>
    <t xml:space="preserve">u_con_c</t>
  </si>
  <si>
    <t xml:space="preserve">u_fle_g</t>
  </si>
  <si>
    <t xml:space="preserve">Flete MP por gabinete</t>
  </si>
  <si>
    <t xml:space="preserve">u_fle_c</t>
  </si>
  <si>
    <t xml:space="preserve">Flete MP por caja</t>
  </si>
  <si>
    <t xml:space="preserve">own</t>
  </si>
  <si>
    <t xml:space="preserve">Factor de materiales propios (modalidad 2 = materiales del cliente)</t>
  </si>
  <si>
    <t xml:space="preserve">Materiales consumidos (USD)</t>
  </si>
  <si>
    <t xml:space="preserve">mp</t>
  </si>
  <si>
    <t xml:space="preserve">Materia prima</t>
  </si>
  <si>
    <t xml:space="preserve">ins</t>
  </si>
  <si>
    <t xml:space="preserve">Insumos</t>
  </si>
  <si>
    <t xml:space="preserve">con</t>
  </si>
  <si>
    <t xml:space="preserve">Consumibles</t>
  </si>
  <si>
    <t xml:space="preserve">fle</t>
  </si>
  <si>
    <t xml:space="preserve">Flete marítimo y terrestre de MP</t>
  </si>
  <si>
    <t xml:space="preserve">des</t>
  </si>
  <si>
    <t xml:space="preserve">Despachos de importación (% de MP + insumos)</t>
  </si>
  <si>
    <t xml:space="preserve">mat_land</t>
  </si>
  <si>
    <t xml:space="preserve">Consumo valuado a costo de adquisición (C5 incluye flete y despacho)</t>
  </si>
  <si>
    <t xml:space="preserve">std_g</t>
  </si>
  <si>
    <t xml:space="preserve">Costo estándar de materiales gabinetes (para asignación)</t>
  </si>
  <si>
    <t xml:space="preserve">std_c</t>
  </si>
  <si>
    <t xml:space="preserve">Costo estándar de materiales cajas (para asignación)</t>
  </si>
  <si>
    <t xml:space="preserve">umat_g</t>
  </si>
  <si>
    <t xml:space="preserve">Materiales por gabinete bueno (valuación de PT)</t>
  </si>
  <si>
    <t xml:space="preserve">umat_c</t>
  </si>
  <si>
    <t xml:space="preserve">Materiales por caja buena (valuación de PT)</t>
  </si>
  <si>
    <t xml:space="preserve">Otros costos de producción (USD)</t>
  </si>
  <si>
    <t xml:space="preserve">ene</t>
  </si>
  <si>
    <t xml:space="preserve">man</t>
  </si>
  <si>
    <t xml:space="preserve">pkg</t>
  </si>
  <si>
    <t xml:space="preserve">Packaging (base identificada del PDF)</t>
  </si>
  <si>
    <t xml:space="preserve">impp</t>
  </si>
  <si>
    <t xml:space="preserve">Imprevistos de producción</t>
  </si>
  <si>
    <t xml:space="preserve">Gastos variables de venta y tributos (USD)</t>
  </si>
  <si>
    <t xml:space="preserve">segc</t>
  </si>
  <si>
    <t xml:space="preserve">Seguro de caución maquila</t>
  </si>
  <si>
    <t xml:space="preserve">gvta</t>
  </si>
  <si>
    <t xml:space="preserve">Gastos de venta y logística de exportación</t>
  </si>
  <si>
    <t xml:space="preserve">va_nac</t>
  </si>
  <si>
    <t xml:space="preserve">Valor agregado nacional (base alternativa del tributo)</t>
  </si>
  <si>
    <t xml:space="preserve">btrib</t>
  </si>
  <si>
    <t xml:space="preserve">Base del tributo de maquila</t>
  </si>
  <si>
    <t xml:space="preserve">trib</t>
  </si>
  <si>
    <t xml:space="preserve">Gastos de administración (USD)</t>
  </si>
  <si>
    <t xml:space="preserve">alq</t>
  </si>
  <si>
    <t xml:space="preserve">Alquiler de nave (incluye IVA)</t>
  </si>
  <si>
    <t xml:space="preserve">exp</t>
  </si>
  <si>
    <t xml:space="preserve">srv</t>
  </si>
  <si>
    <t xml:space="preserve">Agua, comunicaciones y electricidad</t>
  </si>
  <si>
    <t xml:space="preserve">maa</t>
  </si>
  <si>
    <t xml:space="preserve">sga</t>
  </si>
  <si>
    <t xml:space="preserve">gg</t>
  </si>
  <si>
    <t xml:space="preserve">hon</t>
  </si>
  <si>
    <t xml:space="preserve">impa</t>
  </si>
  <si>
    <t xml:space="preserve">Imprevistos de administración (base sin alquiler ni expensas)</t>
  </si>
  <si>
    <t xml:space="preserve">extra</t>
  </si>
  <si>
    <t xml:space="preserve">Costos preoperativos / extraordinarios reales</t>
  </si>
  <si>
    <t xml:space="preserve">IVA contenido en costos y resúmenes (USD)</t>
  </si>
  <si>
    <t xml:space="preserve">iva_cont</t>
  </si>
  <si>
    <t xml:space="preserve">IVA contenido en costos gravados identificados</t>
  </si>
  <si>
    <t xml:space="preserve">c_prod</t>
  </si>
  <si>
    <t xml:space="preserve">COSTO DE PRODUCCIÓN INCURRIDO</t>
  </si>
  <si>
    <t xml:space="preserve">c_varv</t>
  </si>
  <si>
    <t xml:space="preserve">Gastos variables de venta y tributo</t>
  </si>
  <si>
    <t xml:space="preserve">c_adm</t>
  </si>
  <si>
    <t xml:space="preserve">GASTOS DE ADMINISTRACIÓN</t>
  </si>
  <si>
    <t xml:space="preserve">conv</t>
  </si>
  <si>
    <t xml:space="preserve">Pool de conversión fabril (MO directa, indirectos, energía, mant., packaging)</t>
  </si>
  <si>
    <t xml:space="preserve">c_var</t>
  </si>
  <si>
    <t xml:space="preserve">Costos variables (equilibrio)</t>
  </si>
  <si>
    <t xml:space="preserve">c_fij</t>
  </si>
  <si>
    <t xml:space="preserve">Costos fijos operativos (equilibrio)</t>
  </si>
  <si>
    <t xml:space="preserve">preop</t>
  </si>
  <si>
    <t xml:space="preserve">Memo: costos incurridos en meses de espera / implantación</t>
  </si>
  <si>
    <t xml:space="preserve">acc_men</t>
  </si>
  <si>
    <t xml:space="preserve">Devengado a pagar vía proveedores menores (incl. IVA)</t>
  </si>
  <si>
    <t xml:space="preserve">alq_esp</t>
  </si>
  <si>
    <t xml:space="preserve">Alquiler como costo económico sin desembolso (aporte en especie)</t>
  </si>
  <si>
    <t xml:space="preserve">Inversion_Activos — presupuesto, ejecutado, comprometido, por contratar, pagos, altas y depreciación (USD)</t>
  </si>
  <si>
    <t xml:space="preserve">Costo final estimado = ejecutado devengado + comprometido pendiente + estimado por contratar (estados excluyentes). Los datos reales por ítem se cargan en Datos_Reales (tabla T3).</t>
  </si>
  <si>
    <t xml:space="preserve">A. Ítems de inversión</t>
  </si>
  <si>
    <t xml:space="preserve">Ítem</t>
  </si>
  <si>
    <t xml:space="preserve">Clase</t>
  </si>
  <si>
    <t xml:space="preserve">Tipo</t>
  </si>
  <si>
    <t xml:space="preserve">Base / FOB USD</t>
  </si>
  <si>
    <t xml:space="preserve">Seguro + flete</t>
  </si>
  <si>
    <t xml:space="preserve">Despacho asignado</t>
  </si>
  <si>
    <t xml:space="preserve">Presupuesto original</t>
  </si>
  <si>
    <t xml:space="preserve">Ejecutado devengado (real)</t>
  </si>
  <si>
    <t xml:space="preserve">Pagado (real)</t>
  </si>
  <si>
    <t xml:space="preserve">Devengado no pagado</t>
  </si>
  <si>
    <t xml:space="preserve">Comprometido pendiente (real)</t>
  </si>
  <si>
    <t xml:space="preserve">Por contratar revisado (real)</t>
  </si>
  <si>
    <t xml:space="preserve">Por contratar estimado</t>
  </si>
  <si>
    <t xml:space="preserve">Costo final estimado</t>
  </si>
  <si>
    <t xml:space="preserve">Desviación USD</t>
  </si>
  <si>
    <t xml:space="preserve">Desviación %</t>
  </si>
  <si>
    <t xml:space="preserve">Avance financiero %</t>
  </si>
  <si>
    <t xml:space="preserve">Mes de pago previsto</t>
  </si>
  <si>
    <t xml:space="preserve">Mes de pago efectivo</t>
  </si>
  <si>
    <t xml:space="preserve">Mes de puesta en servicio</t>
  </si>
  <si>
    <t xml:space="preserve">Vida útil (años)</t>
  </si>
  <si>
    <t xml:space="preserve">Valor residual %</t>
  </si>
  <si>
    <t xml:space="preserve">Pendiente de pago</t>
  </si>
  <si>
    <t xml:space="preserve">Pendiente de devengar</t>
  </si>
  <si>
    <t xml:space="preserve">INF</t>
  </si>
  <si>
    <t xml:space="preserve">Adecuación de infraestructura</t>
  </si>
  <si>
    <t xml:space="preserve">Infraestructura</t>
  </si>
  <si>
    <t xml:space="preserve">Inicial</t>
  </si>
  <si>
    <t xml:space="preserve">PDF cuadro 5 - Publicado</t>
  </si>
  <si>
    <t xml:space="preserve">M01</t>
  </si>
  <si>
    <t xml:space="preserve">Conjunto línea de pintura</t>
  </si>
  <si>
    <t xml:space="preserve">Maquinaria y equipos</t>
  </si>
  <si>
    <t xml:space="preserve">PDF cuadro 2 - Publicado (FOB total del renglón)</t>
  </si>
  <si>
    <t xml:space="preserve">M02</t>
  </si>
  <si>
    <t xml:space="preserve">Cortadoras láser (2)</t>
  </si>
  <si>
    <t xml:space="preserve">M03</t>
  </si>
  <si>
    <t xml:space="preserve">Manipulador</t>
  </si>
  <si>
    <t xml:space="preserve">M04</t>
  </si>
  <si>
    <t xml:space="preserve">Dobladoras (4)</t>
  </si>
  <si>
    <t xml:space="preserve">M05</t>
  </si>
  <si>
    <t xml:space="preserve">Soldadoras (6)</t>
  </si>
  <si>
    <t xml:space="preserve">M06</t>
  </si>
  <si>
    <t xml:space="preserve">Lijadoras (4)</t>
  </si>
  <si>
    <t xml:space="preserve">M07</t>
  </si>
  <si>
    <t xml:space="preserve">Conjunto baño</t>
  </si>
  <si>
    <t xml:space="preserve">M08</t>
  </si>
  <si>
    <t xml:space="preserve">Línea de montaje</t>
  </si>
  <si>
    <t xml:space="preserve">M09</t>
  </si>
  <si>
    <t xml:space="preserve">Montacargas</t>
  </si>
  <si>
    <t xml:space="preserve">M10</t>
  </si>
  <si>
    <t xml:space="preserve">Soldadoras capacitivas (2)</t>
  </si>
  <si>
    <t xml:space="preserve">SOF</t>
  </si>
  <si>
    <t xml:space="preserve">Software de gestión del negocio</t>
  </si>
  <si>
    <t xml:space="preserve">Software (intangible)</t>
  </si>
  <si>
    <t xml:space="preserve">PDF cuadro 6 - Publicado</t>
  </si>
  <si>
    <t xml:space="preserve">MOB</t>
  </si>
  <si>
    <t xml:space="preserve">Mobiliario</t>
  </si>
  <si>
    <t xml:space="preserve">ADD</t>
  </si>
  <si>
    <t xml:space="preserve">CAPEX adicional año 2 (naturaleza no desagregada)</t>
  </si>
  <si>
    <t xml:space="preserve">Expansión</t>
  </si>
  <si>
    <t xml:space="preserve">PDF cuadros 18-19. Vida útil 10 = SUPUESTO PROVISIONAL</t>
  </si>
  <si>
    <t xml:space="preserve">N01</t>
  </si>
  <si>
    <t xml:space="preserve">Nuevo ítem / reposición 1</t>
  </si>
  <si>
    <t xml:space="preserve">Mantenimiento/Reposición</t>
  </si>
  <si>
    <t xml:space="preserve">Vacío</t>
  </si>
  <si>
    <t xml:space="preserve">N02</t>
  </si>
  <si>
    <t xml:space="preserve">Nuevo ítem / reposición 2</t>
  </si>
  <si>
    <t xml:space="preserve">N03</t>
  </si>
  <si>
    <t xml:space="preserve">Nuevo ítem / expansión 3</t>
  </si>
  <si>
    <t xml:space="preserve">TOTAL</t>
  </si>
  <si>
    <t xml:space="preserve">Subtotal inversión inicial (control vs USD 655.044)</t>
  </si>
  <si>
    <t xml:space="preserve">Mes de pago/servicio: mes del modelo. Si el mes previsto ya es real, el pendiente se reprograma al mes siguiente al corte. La vida útil y el valor residual son editables; la del ítem ADD es provisional (no informada en el PDF).</t>
  </si>
  <si>
    <t xml:space="preserve">CAPEX: pagos y devengamiento (USD)</t>
  </si>
  <si>
    <t xml:space="preserve">pag_real</t>
  </si>
  <si>
    <t xml:space="preserve">CAPEX pagado real</t>
  </si>
  <si>
    <t xml:space="preserve">dev_real</t>
  </si>
  <si>
    <t xml:space="preserve">CAPEX devengado real</t>
  </si>
  <si>
    <t xml:space="preserve">pag_fc</t>
  </si>
  <si>
    <t xml:space="preserve">CAPEX pagos previstos (devengado no pagado + comprometido + por contratar)</t>
  </si>
  <si>
    <t xml:space="preserve">dev_fc</t>
  </si>
  <si>
    <t xml:space="preserve">CAPEX devengamiento previsto (comprometido + por contratar)</t>
  </si>
  <si>
    <t xml:space="preserve">pag</t>
  </si>
  <si>
    <t xml:space="preserve">CAPEX PAGADO TOTAL</t>
  </si>
  <si>
    <t xml:space="preserve">dev</t>
  </si>
  <si>
    <t xml:space="preserve">CAPEX DEVENGADO TOTAL (altas)</t>
  </si>
  <si>
    <t xml:space="preserve">pag_mant</t>
  </si>
  <si>
    <t xml:space="preserve">CAPEX de mantenimiento / reposición (para CFADS)</t>
  </si>
  <si>
    <t xml:space="preserve">cum_dev</t>
  </si>
  <si>
    <t xml:space="preserve">Activo fijo bruto acumulado (devengado)</t>
  </si>
  <si>
    <t xml:space="preserve">cum_pag</t>
  </si>
  <si>
    <t xml:space="preserve">CAPEX pagado acumulado</t>
  </si>
  <si>
    <t xml:space="preserve">cxp</t>
  </si>
  <si>
    <t xml:space="preserve">Cuentas por pagar de CAPEX</t>
  </si>
  <si>
    <t xml:space="preserve">Depreciación / amortización por ítem (desde la puesta en servicio; USD)</t>
  </si>
  <si>
    <t xml:space="preserve">dep_INF</t>
  </si>
  <si>
    <t xml:space="preserve">Depreciación INF</t>
  </si>
  <si>
    <t xml:space="preserve">dep_M01</t>
  </si>
  <si>
    <t xml:space="preserve">Depreciación M01</t>
  </si>
  <si>
    <t xml:space="preserve">dep_M02</t>
  </si>
  <si>
    <t xml:space="preserve">Depreciación M02</t>
  </si>
  <si>
    <t xml:space="preserve">dep_M03</t>
  </si>
  <si>
    <t xml:space="preserve">Depreciación M03</t>
  </si>
  <si>
    <t xml:space="preserve">dep_M04</t>
  </si>
  <si>
    <t xml:space="preserve">Depreciación M04</t>
  </si>
  <si>
    <t xml:space="preserve">dep_M05</t>
  </si>
  <si>
    <t xml:space="preserve">Depreciación M05</t>
  </si>
  <si>
    <t xml:space="preserve">dep_M06</t>
  </si>
  <si>
    <t xml:space="preserve">Depreciación M06</t>
  </si>
  <si>
    <t xml:space="preserve">dep_M07</t>
  </si>
  <si>
    <t xml:space="preserve">Depreciación M07</t>
  </si>
  <si>
    <t xml:space="preserve">dep_M08</t>
  </si>
  <si>
    <t xml:space="preserve">Depreciación M08</t>
  </si>
  <si>
    <t xml:space="preserve">dep_M09</t>
  </si>
  <si>
    <t xml:space="preserve">Depreciación M09</t>
  </si>
  <si>
    <t xml:space="preserve">dep_M10</t>
  </si>
  <si>
    <t xml:space="preserve">Depreciación M10</t>
  </si>
  <si>
    <t xml:space="preserve">dep_SOF</t>
  </si>
  <si>
    <t xml:space="preserve">Depreciación SOF</t>
  </si>
  <si>
    <t xml:space="preserve">dep_MOB</t>
  </si>
  <si>
    <t xml:space="preserve">Depreciación MOB</t>
  </si>
  <si>
    <t xml:space="preserve">dep_ADD</t>
  </si>
  <si>
    <t xml:space="preserve">Depreciación ADD</t>
  </si>
  <si>
    <t xml:space="preserve">dep_N01</t>
  </si>
  <si>
    <t xml:space="preserve">Depreciación N01</t>
  </si>
  <si>
    <t xml:space="preserve">dep_N02</t>
  </si>
  <si>
    <t xml:space="preserve">Depreciación N02</t>
  </si>
  <si>
    <t xml:space="preserve">dep_N03</t>
  </si>
  <si>
    <t xml:space="preserve">Depreciación N03</t>
  </si>
  <si>
    <t xml:space="preserve">Resumen de activo fijo</t>
  </si>
  <si>
    <t xml:space="preserve">dep</t>
  </si>
  <si>
    <t xml:space="preserve">DEPRECIACIÓN Y AMORTIZACIÓN TOTAL</t>
  </si>
  <si>
    <t xml:space="preserve">dep_acum</t>
  </si>
  <si>
    <t xml:space="preserve">Depreciación acumulada</t>
  </si>
  <si>
    <t xml:space="preserve">costo_serv</t>
  </si>
  <si>
    <t xml:space="preserve">Costo de activos en servicio</t>
  </si>
  <si>
    <t xml:space="preserve">af_neto</t>
  </si>
  <si>
    <t xml:space="preserve">ACTIVO FIJO NETO (devengado - depreciación acumulada)</t>
  </si>
  <si>
    <t xml:space="preserve">ctrl_dep</t>
  </si>
  <si>
    <t xml:space="preserve">Control: depreciación acumulada ≤ base depreciable en servicio (0 = OK)</t>
  </si>
  <si>
    <t xml:space="preserve">Capital_Trabajo — clientes, inventarios, proveedores y anticipos (roll-forward mensual, USD)</t>
  </si>
  <si>
    <t xml:space="preserve">Clientes (USD)</t>
  </si>
  <si>
    <t xml:space="preserve">vtas</t>
  </si>
  <si>
    <t xml:space="preserve">Ventas de productos</t>
  </si>
  <si>
    <t xml:space="preserve">cred</t>
  </si>
  <si>
    <t xml:space="preserve">cont</t>
  </si>
  <si>
    <t xml:space="preserve">antap</t>
  </si>
  <si>
    <t xml:space="preserve">Anticipos de clientes aplicados a ventas</t>
  </si>
  <si>
    <t xml:space="preserve">antrec</t>
  </si>
  <si>
    <t xml:space="preserve">Anticipos de clientes recibidos (ventas futuras)</t>
  </si>
  <si>
    <t xml:space="preserve">incob</t>
  </si>
  <si>
    <t xml:space="preserve">Incobrables (baja de cartera)</t>
  </si>
  <si>
    <t xml:space="preserve">cobcred_fc</t>
  </si>
  <si>
    <t xml:space="preserve">Cobranza prevista de ventas a crédito (cohortes con plazo interpolado)</t>
  </si>
  <si>
    <t xml:space="preserve">cobaj</t>
  </si>
  <si>
    <t xml:space="preserve">Cobranza del ajuste de saldo real al corte</t>
  </si>
  <si>
    <t xml:space="preserve">cob</t>
  </si>
  <si>
    <t xml:space="preserve">COBRANZAS TOTALES</t>
  </si>
  <si>
    <t xml:space="preserve">cobcred</t>
  </si>
  <si>
    <t xml:space="preserve">Cobranza aplicada a cuentas por cobrar</t>
  </si>
  <si>
    <t xml:space="preserve">cxc_calc</t>
  </si>
  <si>
    <t xml:space="preserve">Cuentas por cobrar calculadas</t>
  </si>
  <si>
    <t xml:space="preserve">cxc</t>
  </si>
  <si>
    <t xml:space="preserve">CUENTAS POR COBRAR (saldo)</t>
  </si>
  <si>
    <t xml:space="preserve">cxc_dif</t>
  </si>
  <si>
    <t xml:space="preserve">Ajuste por saldo real al corte</t>
  </si>
  <si>
    <t xml:space="preserve">ajcxc</t>
  </si>
  <si>
    <t xml:space="preserve">Ajuste pendiente de cobro</t>
  </si>
  <si>
    <t xml:space="preserve">antcli</t>
  </si>
  <si>
    <t xml:space="preserve">Anticipos de clientes (pasivo)</t>
  </si>
  <si>
    <t xml:space="preserve">Inventario de materiales (USD, valuado según C5)</t>
  </si>
  <si>
    <t xml:space="preserve">cons</t>
  </si>
  <si>
    <t xml:space="preserve">Consumo de materiales</t>
  </si>
  <si>
    <t xml:space="preserve">stk_obj</t>
  </si>
  <si>
    <t xml:space="preserve">Stock objetivo = consumo de los próximos días de stock</t>
  </si>
  <si>
    <t xml:space="preserve">compras</t>
  </si>
  <si>
    <t xml:space="preserve">Compras de materiales</t>
  </si>
  <si>
    <t xml:space="preserve">stk_calc</t>
  </si>
  <si>
    <t xml:space="preserve">Inventario de materiales calculado</t>
  </si>
  <si>
    <t xml:space="preserve">stk</t>
  </si>
  <si>
    <t xml:space="preserve">INVENTARIO DE MATERIALES (saldo)</t>
  </si>
  <si>
    <t xml:space="preserve">stk_dif</t>
  </si>
  <si>
    <t xml:space="preserve">Proveedores de materiales (USD)</t>
  </si>
  <si>
    <t xml:space="preserve">adv</t>
  </si>
  <si>
    <t xml:space="preserve">Anticipos pagados a proveedores (compras futuras)</t>
  </si>
  <si>
    <t xml:space="preserve">advap</t>
  </si>
  <si>
    <t xml:space="preserve">Anticipos aplicados a compras del mes</t>
  </si>
  <si>
    <t xml:space="preserve">antprov</t>
  </si>
  <si>
    <t xml:space="preserve">Anticipos a proveedores (activo)</t>
  </si>
  <si>
    <t xml:space="preserve">accmp</t>
  </si>
  <si>
    <t xml:space="preserve">Compras a crédito (netas de anticipos)</t>
  </si>
  <si>
    <t xml:space="preserve">pagmp_fc</t>
  </si>
  <si>
    <t xml:space="preserve">Pago previsto de compras (plazo interpolado)</t>
  </si>
  <si>
    <t xml:space="preserve">pagaj_mp</t>
  </si>
  <si>
    <t xml:space="preserve">Pago del ajuste de saldo real al corte</t>
  </si>
  <si>
    <t xml:space="preserve">pag_mat</t>
  </si>
  <si>
    <t xml:space="preserve">PAGOS A PROVEEDORES DE MATERIALES</t>
  </si>
  <si>
    <t xml:space="preserve">prov_calc</t>
  </si>
  <si>
    <t xml:space="preserve">Proveedores de materiales calculados</t>
  </si>
  <si>
    <t xml:space="preserve">prov</t>
  </si>
  <si>
    <t xml:space="preserve">PROVEEDORES DE MATERIALES (saldo)</t>
  </si>
  <si>
    <t xml:space="preserve">prov_dif</t>
  </si>
  <si>
    <t xml:space="preserve">ajmp</t>
  </si>
  <si>
    <t xml:space="preserve">Ajuste pendiente de pago</t>
  </si>
  <si>
    <t xml:space="preserve">Proveedores menores y obligaciones (USD)</t>
  </si>
  <si>
    <t xml:space="preserve">accmen</t>
  </si>
  <si>
    <t xml:space="preserve">Devengado a pagar (costos no salariales ni de materiales, incl. IVA y tributo)</t>
  </si>
  <si>
    <t xml:space="preserve">pagmen_fc</t>
  </si>
  <si>
    <t xml:space="preserve">Pago previsto (plazo interpolado)</t>
  </si>
  <si>
    <t xml:space="preserve">pagaj_men</t>
  </si>
  <si>
    <t xml:space="preserve">pag_men</t>
  </si>
  <si>
    <t xml:space="preserve">PAGOS A PROVEEDORES MENORES</t>
  </si>
  <si>
    <t xml:space="preserve">pmen_calc</t>
  </si>
  <si>
    <t xml:space="preserve">Proveedores menores calculados</t>
  </si>
  <si>
    <t xml:space="preserve">pmen</t>
  </si>
  <si>
    <t xml:space="preserve">PROVEEDORES MENORES (saldo)</t>
  </si>
  <si>
    <t xml:space="preserve">pmen_dif</t>
  </si>
  <si>
    <t xml:space="preserve">ajmen</t>
  </si>
  <si>
    <t xml:space="preserve">Producto terminado y anticipos al personal (USD)</t>
  </si>
  <si>
    <t xml:space="preserve">pt_calc</t>
  </si>
  <si>
    <t xml:space="preserve">PT calculado: materiales por unidad + conversión asignada por driver</t>
  </si>
  <si>
    <t xml:space="preserve">pt</t>
  </si>
  <si>
    <t xml:space="preserve">INVENTARIO DE PRODUCTO TERMINADO (saldo)</t>
  </si>
  <si>
    <t xml:space="preserve">pt_dif</t>
  </si>
  <si>
    <t xml:space="preserve">Ajuste por saldo real al corte (se reconoce en el costo de ventas vía ΔPT)</t>
  </si>
  <si>
    <t xml:space="preserve">antpers</t>
  </si>
  <si>
    <t xml:space="preserve">Anticipos al personal (activo)</t>
  </si>
  <si>
    <t xml:space="preserve">Capital de trabajo operativo neto (USD; excluye caja mínima y deuda)</t>
  </si>
  <si>
    <t xml:space="preserve">ct_act</t>
  </si>
  <si>
    <t xml:space="preserve">Activo corriente operativo</t>
  </si>
  <si>
    <t xml:space="preserve">ct_pas</t>
  </si>
  <si>
    <t xml:space="preserve">Pasivo corriente operativo</t>
  </si>
  <si>
    <t xml:space="preserve">ctn</t>
  </si>
  <si>
    <t xml:space="preserve">CAPITAL DE TRABAJO OPERATIVO NETO</t>
  </si>
  <si>
    <t xml:space="preserve">dctn</t>
  </si>
  <si>
    <t xml:space="preserve">Variación del capital de trabajo operativo</t>
  </si>
  <si>
    <t xml:space="preserve">Deuda_Tributos — IVA recuperable, préstamo original, tramo 2 y aportes (mensual, USD)</t>
  </si>
  <si>
    <t xml:space="preserve">IVA soportado recuperable (USD)</t>
  </si>
  <si>
    <t xml:space="preserve">ivacont</t>
  </si>
  <si>
    <t xml:space="preserve">ivarec</t>
  </si>
  <si>
    <t xml:space="preserve">IVA recuperable devengado (crédito fiscal)</t>
  </si>
  <si>
    <t xml:space="preserve">ivacob_fc</t>
  </si>
  <si>
    <t xml:space="preserve">Recuperación prevista (con desfase)</t>
  </si>
  <si>
    <t xml:space="preserve">ivaaj</t>
  </si>
  <si>
    <t xml:space="preserve">Recuperación del ajuste de saldo real al corte</t>
  </si>
  <si>
    <t xml:space="preserve">ivacob</t>
  </si>
  <si>
    <t xml:space="preserve">IVA RECUPERADO (cobro)</t>
  </si>
  <si>
    <t xml:space="preserve">iva_calc</t>
  </si>
  <si>
    <t xml:space="preserve">Crédito fiscal calculado</t>
  </si>
  <si>
    <t xml:space="preserve">iva</t>
  </si>
  <si>
    <t xml:space="preserve">CRÉDITO FISCAL IVA (saldo; requiere financiamiento hasta recuperarse)</t>
  </si>
  <si>
    <t xml:space="preserve">iva_dif</t>
  </si>
  <si>
    <t xml:space="preserve">ivaajp</t>
  </si>
  <si>
    <t xml:space="preserve">Ajuste pendiente de recuperar</t>
  </si>
  <si>
    <t xml:space="preserve">Préstamo 1 (USD; tasa mensual = nominal anual / 12)</t>
  </si>
  <si>
    <t xml:space="preserve">l1_k</t>
  </si>
  <si>
    <t xml:space="preserve">Mes relativo al desembolso</t>
  </si>
  <si>
    <t xml:space="preserve">l1_th</t>
  </si>
  <si>
    <t xml:space="preserve">Saldo contractual teórico</t>
  </si>
  <si>
    <t xml:space="preserve">l1_tham</t>
  </si>
  <si>
    <t xml:space="preserve">Amortización contractual teórica (francés)</t>
  </si>
  <si>
    <t xml:space="preserve">l1_desemb</t>
  </si>
  <si>
    <t xml:space="preserve">Desembolso</t>
  </si>
  <si>
    <t xml:space="preserve">l1_sini</t>
  </si>
  <si>
    <t xml:space="preserve">Saldo inicial</t>
  </si>
  <si>
    <t xml:space="preserve">l1_int</t>
  </si>
  <si>
    <t xml:space="preserve">Intereses (sin IVA)</t>
  </si>
  <si>
    <t xml:space="preserve">l1_am</t>
  </si>
  <si>
    <t xml:space="preserve">Amortización de capital</t>
  </si>
  <si>
    <t xml:space="preserve">l1_iva</t>
  </si>
  <si>
    <t xml:space="preserve">IVA sobre intereses (costo)</t>
  </si>
  <si>
    <t xml:space="preserve">l1_com</t>
  </si>
  <si>
    <t xml:space="preserve">Comisión inicial</t>
  </si>
  <si>
    <t xml:space="preserve">l1_scalc</t>
  </si>
  <si>
    <t xml:space="preserve">Saldo final calculado</t>
  </si>
  <si>
    <t xml:space="preserve">l1_sal</t>
  </si>
  <si>
    <t xml:space="preserve">SALDO FINAL</t>
  </si>
  <si>
    <t xml:space="preserve">l1_dif</t>
  </si>
  <si>
    <t xml:space="preserve">l1_neg</t>
  </si>
  <si>
    <t xml:space="preserve">Control: saldo negativo (0 = OK)</t>
  </si>
  <si>
    <t xml:space="preserve">Préstamo 2 (USD; tasa mensual = nominal anual / 12)</t>
  </si>
  <si>
    <t xml:space="preserve">l2_k</t>
  </si>
  <si>
    <t xml:space="preserve">l2_th</t>
  </si>
  <si>
    <t xml:space="preserve">l2_tham</t>
  </si>
  <si>
    <t xml:space="preserve">l2_desemb</t>
  </si>
  <si>
    <t xml:space="preserve">l2_sini</t>
  </si>
  <si>
    <t xml:space="preserve">l2_int</t>
  </si>
  <si>
    <t xml:space="preserve">l2_am</t>
  </si>
  <si>
    <t xml:space="preserve">l2_iva</t>
  </si>
  <si>
    <t xml:space="preserve">l2_com</t>
  </si>
  <si>
    <t xml:space="preserve">l2_scalc</t>
  </si>
  <si>
    <t xml:space="preserve">l2_sal</t>
  </si>
  <si>
    <t xml:space="preserve">l2_dif</t>
  </si>
  <si>
    <t xml:space="preserve">l2_neg</t>
  </si>
  <si>
    <t xml:space="preserve">Aportes de socios en efectivo (USD)</t>
  </si>
  <si>
    <t xml:space="preserve">ap_ini</t>
  </si>
  <si>
    <t xml:space="preserve">Aporte propio inicial (plan)</t>
  </si>
  <si>
    <t xml:space="preserve">ap_pdf</t>
  </si>
  <si>
    <t xml:space="preserve">Aportes adicionales del plan PDF (inicio de años 1 y 2)</t>
  </si>
  <si>
    <t xml:space="preserve">ap_plan</t>
  </si>
  <si>
    <t xml:space="preserve">Aportes planificados adicionales (Supuestos F)</t>
  </si>
  <si>
    <t xml:space="preserve">aportes</t>
  </si>
  <si>
    <t xml:space="preserve">APORTES EN EFECTIVO</t>
  </si>
  <si>
    <t xml:space="preserve">Resultados_Caja — estado de resultados, caja directa, tesorería, balance de control y flujos de valuación (mensual, USD)</t>
  </si>
  <si>
    <t xml:space="preserve">Estado de resultados (USD)</t>
  </si>
  <si>
    <t xml:space="preserve">v_g</t>
  </si>
  <si>
    <t xml:space="preserve">Ventas gabinetes</t>
  </si>
  <si>
    <t xml:space="preserve">v_c</t>
  </si>
  <si>
    <t xml:space="preserve">Ventas cajas</t>
  </si>
  <si>
    <t xml:space="preserve">v_ch</t>
  </si>
  <si>
    <t xml:space="preserve">Venta de chatarra</t>
  </si>
  <si>
    <t xml:space="preserve">v</t>
  </si>
  <si>
    <t xml:space="preserve">VENTAS NETAS</t>
  </si>
  <si>
    <t xml:space="preserve">c_mat</t>
  </si>
  <si>
    <t xml:space="preserve">Materia prima, insumos y consumibles</t>
  </si>
  <si>
    <t xml:space="preserve">c_fle</t>
  </si>
  <si>
    <t xml:space="preserve">Flete de materia prima</t>
  </si>
  <si>
    <t xml:space="preserve">c_des</t>
  </si>
  <si>
    <t xml:space="preserve">Despachos de importación</t>
  </si>
  <si>
    <t xml:space="preserve">c_pkg</t>
  </si>
  <si>
    <t xml:space="preserve">c_mod</t>
  </si>
  <si>
    <t xml:space="preserve">Personal directo (con cargas y alimentación)</t>
  </si>
  <si>
    <t xml:space="preserve">c_moi</t>
  </si>
  <si>
    <t xml:space="preserve">Personal indirecto de fábrica</t>
  </si>
  <si>
    <t xml:space="preserve">c_ene</t>
  </si>
  <si>
    <t xml:space="preserve">Energía de planta</t>
  </si>
  <si>
    <t xml:space="preserve">c_man</t>
  </si>
  <si>
    <t xml:space="preserve">Mantenimiento de planta</t>
  </si>
  <si>
    <t xml:space="preserve">c_imp</t>
  </si>
  <si>
    <t xml:space="preserve">Costo de producción incurrido</t>
  </si>
  <si>
    <t xml:space="preserve">d_pt</t>
  </si>
  <si>
    <t xml:space="preserve">(-) Aumento del inventario de producto terminado</t>
  </si>
  <si>
    <t xml:space="preserve">cv</t>
  </si>
  <si>
    <t xml:space="preserve">COSTO DE VENTAS</t>
  </si>
  <si>
    <t xml:space="preserve">mb</t>
  </si>
  <si>
    <t xml:space="preserve">MARGEN BRUTO</t>
  </si>
  <si>
    <t xml:space="preserve">g_trib</t>
  </si>
  <si>
    <t xml:space="preserve">Tributo único de maquila (una sola vez, dentro del EBITDA)</t>
  </si>
  <si>
    <t xml:space="preserve">g_segc</t>
  </si>
  <si>
    <t xml:space="preserve">g_gvta</t>
  </si>
  <si>
    <t xml:space="preserve">g_incob</t>
  </si>
  <si>
    <t xml:space="preserve">g_var</t>
  </si>
  <si>
    <t xml:space="preserve">g_adm</t>
  </si>
  <si>
    <t xml:space="preserve">Gastos de administración (incl. alquiler)</t>
  </si>
  <si>
    <t xml:space="preserve">g_alq</t>
  </si>
  <si>
    <t xml:space="preserve">   de los cuales: alquiler de nave (incl. IVA)</t>
  </si>
  <si>
    <t xml:space="preserve">g_extra</t>
  </si>
  <si>
    <t xml:space="preserve">iva_rec</t>
  </si>
  <si>
    <t xml:space="preserve">(+) IVA soportado recuperable reclasificado a crédito fiscal</t>
  </si>
  <si>
    <t xml:space="preserve">ebitda</t>
  </si>
  <si>
    <t xml:space="preserve">EBITDA</t>
  </si>
  <si>
    <t xml:space="preserve">Depreciación y amortización</t>
  </si>
  <si>
    <t xml:space="preserve">ebit</t>
  </si>
  <si>
    <t xml:space="preserve">EBIT (resultado operativo)</t>
  </si>
  <si>
    <t xml:space="preserve">f_int</t>
  </si>
  <si>
    <t xml:space="preserve">Intereses de préstamos</t>
  </si>
  <si>
    <t xml:space="preserve">f_lin</t>
  </si>
  <si>
    <t xml:space="preserve">Intereses de la línea hipotética</t>
  </si>
  <si>
    <t xml:space="preserve">f_iva</t>
  </si>
  <si>
    <t xml:space="preserve">IVA sobre intereses (no recuperable)</t>
  </si>
  <si>
    <t xml:space="preserve">f_com</t>
  </si>
  <si>
    <t xml:space="preserve">Comisiones</t>
  </si>
  <si>
    <t xml:space="preserve">gfin</t>
  </si>
  <si>
    <t xml:space="preserve">Gastos financieros</t>
  </si>
  <si>
    <t xml:space="preserve">ebt</t>
  </si>
  <si>
    <t xml:space="preserve">Resultado antes de IRE</t>
  </si>
  <si>
    <t xml:space="preserve">ire</t>
  </si>
  <si>
    <t xml:space="preserve">IRE (parámetro; 0% según el plan)</t>
  </si>
  <si>
    <t xml:space="preserve">ni</t>
  </si>
  <si>
    <t xml:space="preserve">RESULTADO NETO</t>
  </si>
  <si>
    <t xml:space="preserve">m_preop</t>
  </si>
  <si>
    <t xml:space="preserve">Memo: costos de espera / implantación incluidos arriba</t>
  </si>
  <si>
    <t xml:space="preserve">Flujo de caja — método directo (USD)</t>
  </si>
  <si>
    <t xml:space="preserve">Cobranzas de clientes</t>
  </si>
  <si>
    <t xml:space="preserve">cob_ch</t>
  </si>
  <si>
    <t xml:space="preserve">Cobro de chatarra</t>
  </si>
  <si>
    <t xml:space="preserve">Recuperación de IVA</t>
  </si>
  <si>
    <t xml:space="preserve">Pagos a proveedores de materiales</t>
  </si>
  <si>
    <t xml:space="preserve">Pagos a proveedores menores, servicios, alquiler y tributo</t>
  </si>
  <si>
    <t xml:space="preserve">pag_nom</t>
  </si>
  <si>
    <t xml:space="preserve">Pagos de nómina (incl. variación de anticipos al personal)</t>
  </si>
  <si>
    <t xml:space="preserve">ire_pag</t>
  </si>
  <si>
    <t xml:space="preserve">IRE pagado</t>
  </si>
  <si>
    <t xml:space="preserve">cfo</t>
  </si>
  <si>
    <t xml:space="preserve">FLUJO OPERATIVO (antes de financiamiento)</t>
  </si>
  <si>
    <t xml:space="preserve">capex</t>
  </si>
  <si>
    <t xml:space="preserve">CAPEX pagado</t>
  </si>
  <si>
    <t xml:space="preserve">Alquiler económico sin desembolso (solo valuación)</t>
  </si>
  <si>
    <t xml:space="preserve">fcff_op</t>
  </si>
  <si>
    <t xml:space="preserve">FCFF antes de valor terminal</t>
  </si>
  <si>
    <t xml:space="preserve">vt</t>
  </si>
  <si>
    <t xml:space="preserve">Valor terminal del proyecto (mes final)</t>
  </si>
  <si>
    <t xml:space="preserve">fcff</t>
  </si>
  <si>
    <t xml:space="preserve">FLUJO LIBRE DEL PROYECTO (FCFF)</t>
  </si>
  <si>
    <t xml:space="preserve">ind_chk</t>
  </si>
  <si>
    <t xml:space="preserve">Control: método indirecto (EBITDA - ΔCT - IRE) menos directo (0 = OK)</t>
  </si>
  <si>
    <t xml:space="preserve">Financiamiento y tesorería (USD)</t>
  </si>
  <si>
    <t xml:space="preserve">desemb</t>
  </si>
  <si>
    <t xml:space="preserve">Desembolsos de préstamos contratados</t>
  </si>
  <si>
    <t xml:space="preserve">amort</t>
  </si>
  <si>
    <t xml:space="preserve">Amortización de préstamos</t>
  </si>
  <si>
    <t xml:space="preserve">int_pag</t>
  </si>
  <si>
    <t xml:space="preserve">Intereses, IVA y comisiones pagados</t>
  </si>
  <si>
    <t xml:space="preserve">Aportes de socios en efectivo</t>
  </si>
  <si>
    <t xml:space="preserve">caja_ini</t>
  </si>
  <si>
    <t xml:space="preserve">Caja inicial</t>
  </si>
  <si>
    <t xml:space="preserve">lin_ini</t>
  </si>
  <si>
    <t xml:space="preserve">Línea hipotética: saldo inicial</t>
  </si>
  <si>
    <t xml:space="preserve">lin_int</t>
  </si>
  <si>
    <t xml:space="preserve">Línea hipotética: intereses</t>
  </si>
  <si>
    <t xml:space="preserve">lin_iva</t>
  </si>
  <si>
    <t xml:space="preserve">Línea hipotética: IVA sobre intereses</t>
  </si>
  <si>
    <t xml:space="preserve">x1</t>
  </si>
  <si>
    <t xml:space="preserve">Caja antes de dividendos y línea</t>
  </si>
  <si>
    <t xml:space="preserve">cmin</t>
  </si>
  <si>
    <t xml:space="preserve">Caja mínima operativa</t>
  </si>
  <si>
    <t xml:space="preserve">lin_rep</t>
  </si>
  <si>
    <t xml:space="preserve">Línea hipotética: cancelación</t>
  </si>
  <si>
    <t xml:space="preserve">x2</t>
  </si>
  <si>
    <t xml:space="preserve">Caja disponible para dividendos</t>
  </si>
  <si>
    <t xml:space="preserve">ytd</t>
  </si>
  <si>
    <t xml:space="preserve">Resultado neto acumulado del año de proyecto</t>
  </si>
  <si>
    <t xml:space="preserve">decl</t>
  </si>
  <si>
    <t xml:space="preserve">Dividendos declarados al cierre del año (política x resultado, con límite de resultados acumulados)</t>
  </si>
  <si>
    <t xml:space="preserve">re</t>
  </si>
  <si>
    <t xml:space="preserve">Resultados acumulados no distribuidos</t>
  </si>
  <si>
    <t xml:space="preserve">tesp</t>
  </si>
  <si>
    <t xml:space="preserve">Meses desde la declaración</t>
  </si>
  <si>
    <t xml:space="preserve">hab</t>
  </si>
  <si>
    <t xml:space="preserve">Dividendos habilitados para pago (después del desfase)</t>
  </si>
  <si>
    <t xml:space="preserve">esp</t>
  </si>
  <si>
    <t xml:space="preserve">Dividendos declarados en espera</t>
  </si>
  <si>
    <t xml:space="preserve">divpag</t>
  </si>
  <si>
    <t xml:space="preserve">DIVIDENDOS PAGADOS (solo con caja sobre el mínimo)</t>
  </si>
  <si>
    <t xml:space="preserve">dpp</t>
  </si>
  <si>
    <t xml:space="preserve">Dividendos por pagar</t>
  </si>
  <si>
    <t xml:space="preserve">x3</t>
  </si>
  <si>
    <t xml:space="preserve">Caja antes de la línea hipotética</t>
  </si>
  <si>
    <t xml:space="preserve">brecha</t>
  </si>
  <si>
    <t xml:space="preserve">NECESIDAD DE FINANCIAMIENTO del mes (caja mínima - caja disponible)</t>
  </si>
  <si>
    <t xml:space="preserve">lin_uso</t>
  </si>
  <si>
    <t xml:space="preserve">Línea hipotética: uso (NO APROBADA)</t>
  </si>
  <si>
    <t xml:space="preserve">lin</t>
  </si>
  <si>
    <t xml:space="preserve">Línea hipotética: saldo</t>
  </si>
  <si>
    <t xml:space="preserve">ap_auto</t>
  </si>
  <si>
    <t xml:space="preserve">Aportes hipotéticos de cobertura de brecha (NO APROBADOS)</t>
  </si>
  <si>
    <t xml:space="preserve">caja_calc</t>
  </si>
  <si>
    <t xml:space="preserve">Caja final calculada</t>
  </si>
  <si>
    <t xml:space="preserve">caja</t>
  </si>
  <si>
    <t xml:space="preserve">CAJA FINAL</t>
  </si>
  <si>
    <t xml:space="preserve">caja_dif</t>
  </si>
  <si>
    <t xml:space="preserve">Ajuste por saldo real de caja al corte</t>
  </si>
  <si>
    <t xml:space="preserve">brecha_nc</t>
  </si>
  <si>
    <t xml:space="preserve">BRECHA NO CUBIERTA (caja final bajo el mínimo)</t>
  </si>
  <si>
    <t xml:space="preserve">cum_pre</t>
  </si>
  <si>
    <t xml:space="preserve">Caja acumulada antes de financiamiento adicional (solo préstamo original y aporte inicial)</t>
  </si>
  <si>
    <t xml:space="preserve">nec_pre</t>
  </si>
  <si>
    <t xml:space="preserve">Necesidad de fondos adicionales acumulada (incluye caja mínima)</t>
  </si>
  <si>
    <t xml:space="preserve">deuda</t>
  </si>
  <si>
    <t xml:space="preserve">Deuda financiera total</t>
  </si>
  <si>
    <t xml:space="preserve">Balance de control (USD) — debe cuadrar todos los meses</t>
  </si>
  <si>
    <t xml:space="preserve">b_act</t>
  </si>
  <si>
    <t xml:space="preserve">Activo total</t>
  </si>
  <si>
    <t xml:space="preserve">b_pas</t>
  </si>
  <si>
    <t xml:space="preserve">Pasivo total</t>
  </si>
  <si>
    <t xml:space="preserve">b_cap</t>
  </si>
  <si>
    <t xml:space="preserve">Aportes acumulados (efectivo y especie)</t>
  </si>
  <si>
    <t xml:space="preserve">b_ni</t>
  </si>
  <si>
    <t xml:space="preserve">Resultados acumulados (antes de dividendos)</t>
  </si>
  <si>
    <t xml:space="preserve">b_div</t>
  </si>
  <si>
    <t xml:space="preserve">Dividendos declarados acumulados</t>
  </si>
  <si>
    <t xml:space="preserve">b_aj</t>
  </si>
  <si>
    <t xml:space="preserve">Ajustes de conciliación con saldos reales (a patrimonio; el de PT va a costo de ventas)</t>
  </si>
  <si>
    <t xml:space="preserve">b_pat</t>
  </si>
  <si>
    <t xml:space="preserve">Patrimonio</t>
  </si>
  <si>
    <t xml:space="preserve">b_chk</t>
  </si>
  <si>
    <t xml:space="preserve">CONTROL: activo - pasivo - patrimonio (0 = OK)</t>
  </si>
  <si>
    <t xml:space="preserve">b_chk_min</t>
  </si>
  <si>
    <t xml:space="preserve">Control (mínimo)</t>
  </si>
  <si>
    <t xml:space="preserve">Valuación (USD)</t>
  </si>
  <si>
    <t xml:space="preserve">Factor de descuento del proyecto</t>
  </si>
  <si>
    <t xml:space="preserve">Factor de descuento Ke</t>
  </si>
  <si>
    <t xml:space="preserve">tv_liq</t>
  </si>
  <si>
    <t xml:space="preserve">Valor de liquidación de activos operativos netos (si fuera el mes final)</t>
  </si>
  <si>
    <t xml:space="preserve">tv_gc</t>
  </si>
  <si>
    <t xml:space="preserve">Valor de negocio en marcha (perpetuidad del EBITDA de 12 meses - reposición - CT incremental)</t>
  </si>
  <si>
    <t xml:space="preserve">tv</t>
  </si>
  <si>
    <t xml:space="preserve">Valor terminal según método elegido</t>
  </si>
  <si>
    <t xml:space="preserve">fcff_pv</t>
  </si>
  <si>
    <t xml:space="preserve">FCFF descontado</t>
  </si>
  <si>
    <t xml:space="preserve">cum_f</t>
  </si>
  <si>
    <t xml:space="preserve">FCFF acumulado</t>
  </si>
  <si>
    <t xml:space="preserve">cum_fd</t>
  </si>
  <si>
    <t xml:space="preserve">FCFF descontado acumulado</t>
  </si>
  <si>
    <t xml:space="preserve">eq_tv</t>
  </si>
  <si>
    <t xml:space="preserve">Valor final atribuible a socios (caja + activos netos - deuda)</t>
  </si>
  <si>
    <t xml:space="preserve">eq</t>
  </si>
  <si>
    <t xml:space="preserve">FLUJO DE LOS SOCIOS (-aportes en efectivo, hipotéticos y en especie + dividendos pagados + valor final)</t>
  </si>
  <si>
    <t xml:space="preserve">eq_pv</t>
  </si>
  <si>
    <t xml:space="preserve">Flujo de socios descontado a Ke</t>
  </si>
  <si>
    <t xml:space="preserve">cum_e</t>
  </si>
  <si>
    <t xml:space="preserve">Flujo de socios acumulado</t>
  </si>
  <si>
    <t xml:space="preserve">fcfe</t>
  </si>
  <si>
    <t xml:space="preserve">Memo: FCFE potencial (no se suma a dividendos)</t>
  </si>
  <si>
    <t xml:space="preserve">inc</t>
  </si>
  <si>
    <t xml:space="preserve">Flujo incremental de continuar desde el mes de revisión (sin costos hundidos)</t>
  </si>
  <si>
    <t xml:space="preserve">sc_f</t>
  </si>
  <si>
    <t xml:space="preserve">Cambio de signo del FCFF acumulado (1/0)</t>
  </si>
  <si>
    <t xml:space="preserve">sc_e</t>
  </si>
  <si>
    <t xml:space="preserve">Cambio de signo del flujo de socios acumulado (1/0)</t>
  </si>
  <si>
    <t xml:space="preserve">pb_f</t>
  </si>
  <si>
    <t xml:space="preserve">Payback simple FCFF (mes con interpolación, último cruce)</t>
  </si>
  <si>
    <t xml:space="preserve">mes</t>
  </si>
  <si>
    <t xml:space="preserve">pb_fd</t>
  </si>
  <si>
    <t xml:space="preserve">Payback descontado FCFF (mes)</t>
  </si>
  <si>
    <t xml:space="preserve">pb_e</t>
  </si>
  <si>
    <t xml:space="preserve">Payback simple socios (mes)</t>
  </si>
  <si>
    <t xml:space="preserve">Resultados_Anuales — agregación por año de proyecto, comparación con el PDF e indicadores (USD)</t>
  </si>
  <si>
    <t xml:space="preserve">Flujos = suma de meses del año; saldos = cierre del año (no suma de saldos); ratios = cálculo sobre componentes. Año de proyecto 1 = primeros 12 meses después de la implantación prevista.</t>
  </si>
  <si>
    <t xml:space="preserve">A. Indicadores clave del escenario activo (se recalculan con el selector)</t>
  </si>
  <si>
    <t xml:space="preserve">van_p</t>
  </si>
  <si>
    <t xml:space="preserve">VAN del proyecto (FCFF, descuento mensual a la tasa del proyecto)</t>
  </si>
  <si>
    <t xml:space="preserve">FCFF: excluye préstamos, intereses, aportes y dividendos.</t>
  </si>
  <si>
    <t xml:space="preserve">tir_p</t>
  </si>
  <si>
    <t xml:space="preserve">TIR del proyecto (anual equivalente de la TIR mensual)</t>
  </si>
  <si>
    <t xml:space="preserve">tir_p_u</t>
  </si>
  <si>
    <t xml:space="preserve">Unicidad de la TIR del proyecto</t>
  </si>
  <si>
    <t xml:space="preserve">van_a</t>
  </si>
  <si>
    <t xml:space="preserve">VAN del proyecto con convención anual (flujos anuales a fin de año)</t>
  </si>
  <si>
    <t xml:space="preserve">Comparable con el método del PDF; difiere del mensual por la oportunidad de los flujos.</t>
  </si>
  <si>
    <t xml:space="preserve">tir_a</t>
  </si>
  <si>
    <t xml:space="preserve">TIR del proyecto con convención anual</t>
  </si>
  <si>
    <t xml:space="preserve">van_e</t>
  </si>
  <si>
    <t xml:space="preserve">VAN de los socios (aportes, dividendos pagados y valor final; descuento a Ke)</t>
  </si>
  <si>
    <t xml:space="preserve">No suma el FCFE no distribuido: queda dentro del valor final.</t>
  </si>
  <si>
    <t xml:space="preserve">tir_e</t>
  </si>
  <si>
    <t xml:space="preserve">TIR de los socios (anual equivalente)</t>
  </si>
  <si>
    <t xml:space="preserve">tir_e_u</t>
  </si>
  <si>
    <t xml:space="preserve">Unicidad de la TIR de los socios</t>
  </si>
  <si>
    <t xml:space="preserve">pb_s</t>
  </si>
  <si>
    <t xml:space="preserve">Payback simple del proyecto (FCFF)</t>
  </si>
  <si>
    <t xml:space="preserve">pb_d</t>
  </si>
  <si>
    <t xml:space="preserve">Payback descontado del proyecto (misma serie FCFF)</t>
  </si>
  <si>
    <t xml:space="preserve">Payback simple de los socios</t>
  </si>
  <si>
    <t xml:space="preserve">tasa</t>
  </si>
  <si>
    <t xml:space="preserve">Tasa del proyecto aplicada / estado</t>
  </si>
  <si>
    <t xml:space="preserve">van_inc</t>
  </si>
  <si>
    <t xml:space="preserve">VAN incremental de continuar vs. salir, desde el mes de revisión</t>
  </si>
  <si>
    <t xml:space="preserve">capex_o</t>
  </si>
  <si>
    <t xml:space="preserve">CAPEX presupuesto original (todos los ítems)</t>
  </si>
  <si>
    <t xml:space="preserve">capex_e</t>
  </si>
  <si>
    <t xml:space="preserve">capex_d</t>
  </si>
  <si>
    <t xml:space="preserve">Desviación de CAPEX</t>
  </si>
  <si>
    <t xml:space="preserve">capex_pag</t>
  </si>
  <si>
    <t xml:space="preserve">CAPEX pagado a la fecha (real)</t>
  </si>
  <si>
    <t xml:space="preserve">capex_pend</t>
  </si>
  <si>
    <t xml:space="preserve">CAPEX pendiente de pago</t>
  </si>
  <si>
    <t xml:space="preserve">v1</t>
  </si>
  <si>
    <t xml:space="preserve">Ventas del año de proyecto 1</t>
  </si>
  <si>
    <t xml:space="preserve">e1</t>
  </si>
  <si>
    <t xml:space="preserve">EBITDA del año de proyecto 1</t>
  </si>
  <si>
    <t xml:space="preserve">e1p</t>
  </si>
  <si>
    <t xml:space="preserve">Margen EBITDA del año 1</t>
  </si>
  <si>
    <t xml:space="preserve">Ventas totales del horizonte</t>
  </si>
  <si>
    <t xml:space="preserve">et</t>
  </si>
  <si>
    <t xml:space="preserve">EBITDA total del horizonte</t>
  </si>
  <si>
    <t xml:space="preserve">nit</t>
  </si>
  <si>
    <t xml:space="preserve">Resultado neto total del horizonte</t>
  </si>
  <si>
    <t xml:space="preserve">ap</t>
  </si>
  <si>
    <t xml:space="preserve">Aportes hipotéticos de cobertura de brecha (NO APROBADOS; solo si G63 = 1)</t>
  </si>
  <si>
    <t xml:space="preserve">ap_esp</t>
  </si>
  <si>
    <t xml:space="preserve">Aportes en especie (alquiler sin desembolso)</t>
  </si>
  <si>
    <t xml:space="preserve">div</t>
  </si>
  <si>
    <t xml:space="preserve">Dividendos pagados (total)</t>
  </si>
  <si>
    <t xml:space="preserve">nec</t>
  </si>
  <si>
    <t xml:space="preserve">Pico de necesidad de fondos adicionales (antes de aportes adicionales, tramo 2 y línea)</t>
  </si>
  <si>
    <t xml:space="preserve">Incluye caja mínima. Financiado en el plan con aportes adicionales.</t>
  </si>
  <si>
    <t xml:space="preserve">nec_m</t>
  </si>
  <si>
    <t xml:space="preserve">Mes del pico de necesidad</t>
  </si>
  <si>
    <t xml:space="preserve">Necesidad mensual máxima con el financiamiento planificado</t>
  </si>
  <si>
    <t xml:space="preserve">brecha_m</t>
  </si>
  <si>
    <t xml:space="preserve">Mes de la necesidad máxima</t>
  </si>
  <si>
    <t xml:space="preserve">Brecha no cubierta máxima (después de la línea hipotética)</t>
  </si>
  <si>
    <t xml:space="preserve">brecha_nc_n</t>
  </si>
  <si>
    <t xml:space="preserve">Meses con brecha no cubierta</t>
  </si>
  <si>
    <t xml:space="preserve">caja_min</t>
  </si>
  <si>
    <t xml:space="preserve">Caja final mínima del horizonte</t>
  </si>
  <si>
    <t xml:space="preserve">deuda_max</t>
  </si>
  <si>
    <t xml:space="preserve">dscr_min</t>
  </si>
  <si>
    <t xml:space="preserve">DSCR mínimo (años con servicio de deuda)</t>
  </si>
  <si>
    <t xml:space="preserve">x</t>
  </si>
  <si>
    <t xml:space="preserve">pe1</t>
  </si>
  <si>
    <t xml:space="preserve">Equilibrio EBITDA del año 1 (ventas)</t>
  </si>
  <si>
    <t xml:space="preserve">pe1g</t>
  </si>
  <si>
    <t xml:space="preserve">   Gabinetes en equilibrio año 1 (mix del año)</t>
  </si>
  <si>
    <t xml:space="preserve">pe1c</t>
  </si>
  <si>
    <t xml:space="preserve">   Cajas en equilibrio año 1 (mix del año)</t>
  </si>
  <si>
    <t xml:space="preserve">ctn_max</t>
  </si>
  <si>
    <t xml:space="preserve">Capital de trabajo operativo neto máximo</t>
  </si>
  <si>
    <t xml:space="preserve">chk_bal</t>
  </si>
  <si>
    <t xml:space="preserve">Control balance: máxima diferencia absoluta (0 = OK)</t>
  </si>
  <si>
    <t xml:space="preserve">chk_ind</t>
  </si>
  <si>
    <t xml:space="preserve">Control directo vs indirecto: máxima diferencia absoluta (0 = OK)</t>
  </si>
  <si>
    <t xml:space="preserve">chk_cap</t>
  </si>
  <si>
    <t xml:space="preserve">Meses con producción sobre capacidad</t>
  </si>
  <si>
    <t xml:space="preserve">chk_real</t>
  </si>
  <si>
    <t xml:space="preserve">Meses reales cerrados sin registros cargados</t>
  </si>
  <si>
    <t xml:space="preserve">chk_grid</t>
  </si>
  <si>
    <t xml:space="preserve">Horizonte dentro de la rejilla (1 = OK)</t>
  </si>
  <si>
    <t xml:space="preserve">B. Resumen anual del escenario activo</t>
  </si>
  <si>
    <t xml:space="preserve">Operación (unidades)</t>
  </si>
  <si>
    <t xml:space="preserve">u_vg</t>
  </si>
  <si>
    <t xml:space="preserve">Gabinetes vendidos</t>
  </si>
  <si>
    <t xml:space="preserve">u_vg_pdf</t>
  </si>
  <si>
    <t xml:space="preserve">Gabinetes vendidos — PDF</t>
  </si>
  <si>
    <t xml:space="preserve">u_vc</t>
  </si>
  <si>
    <t xml:space="preserve">Cajas vendidas</t>
  </si>
  <si>
    <t xml:space="preserve">u_vc_pdf</t>
  </si>
  <si>
    <t xml:space="preserve">Cajas vendidas — PDF</t>
  </si>
  <si>
    <t xml:space="preserve">u_pg</t>
  </si>
  <si>
    <t xml:space="preserve">Gabinetes producidos (buenos)</t>
  </si>
  <si>
    <t xml:space="preserve">u_pc</t>
  </si>
  <si>
    <t xml:space="preserve">Cajas producidas (buenas)</t>
  </si>
  <si>
    <t xml:space="preserve">u_ig</t>
  </si>
  <si>
    <t xml:space="preserve">Gabinetes iniciados</t>
  </si>
  <si>
    <t xml:space="preserve">u_ic</t>
  </si>
  <si>
    <t xml:space="preserve">Cajas iniciadas</t>
  </si>
  <si>
    <t xml:space="preserve">Capacidad gabinetes</t>
  </si>
  <si>
    <t xml:space="preserve">Capacidad cajas</t>
  </si>
  <si>
    <t xml:space="preserve">ut_g</t>
  </si>
  <si>
    <t xml:space="preserve">Utilización gabinetes (iniciadas / capacidad)</t>
  </si>
  <si>
    <t xml:space="preserve">ut_c</t>
  </si>
  <si>
    <t xml:space="preserve">Utilización cajas</t>
  </si>
  <si>
    <t xml:space="preserve">pdef</t>
  </si>
  <si>
    <t xml:space="preserve">Ventas perdidas definitivamente (u, ambos productos)</t>
  </si>
  <si>
    <t xml:space="preserve">exc_m</t>
  </si>
  <si>
    <t xml:space="preserve">Meses con producción sobre capacidad (alerta)</t>
  </si>
  <si>
    <t xml:space="preserve">Ventas netas</t>
  </si>
  <si>
    <t xml:space="preserve">   Gabinetes</t>
  </si>
  <si>
    <t xml:space="preserve">   Cajas</t>
  </si>
  <si>
    <t xml:space="preserve">Costo de ventas</t>
  </si>
  <si>
    <t xml:space="preserve">Margen bruto</t>
  </si>
  <si>
    <t xml:space="preserve">mb_p</t>
  </si>
  <si>
    <t xml:space="preserve">Margen bruto / ventas</t>
  </si>
  <si>
    <t xml:space="preserve">Gastos variables de venta y tributo de maquila</t>
  </si>
  <si>
    <t xml:space="preserve">Gastos de administración</t>
  </si>
  <si>
    <t xml:space="preserve">g_ext</t>
  </si>
  <si>
    <t xml:space="preserve">iva_r</t>
  </si>
  <si>
    <t xml:space="preserve">IVA recuperable reclasificado</t>
  </si>
  <si>
    <t xml:space="preserve">ebitda_p</t>
  </si>
  <si>
    <t xml:space="preserve">Margen EBITDA</t>
  </si>
  <si>
    <t xml:space="preserve">EBIT</t>
  </si>
  <si>
    <t xml:space="preserve">Gastos financieros (intereses + IVA + comisiones)</t>
  </si>
  <si>
    <t xml:space="preserve">IRE</t>
  </si>
  <si>
    <t xml:space="preserve">Resultado neto</t>
  </si>
  <si>
    <t xml:space="preserve">ni_p</t>
  </si>
  <si>
    <t xml:space="preserve">Resultado neto / ventas</t>
  </si>
  <si>
    <t xml:space="preserve">Memo: costos de espera / implantación</t>
  </si>
  <si>
    <t xml:space="preserve">Comparación con el PDF publicado (periodos equivalentes solo si implantación prevista = 0)</t>
  </si>
  <si>
    <t xml:space="preserve">v_pdf</t>
  </si>
  <si>
    <t xml:space="preserve">Ventas — PDF</t>
  </si>
  <si>
    <t xml:space="preserve">ebitda_pdf</t>
  </si>
  <si>
    <t xml:space="preserve">EBITDA — PDF</t>
  </si>
  <si>
    <t xml:space="preserve">ni_pdf</t>
  </si>
  <si>
    <t xml:space="preserve">Utilidad neta — PDF</t>
  </si>
  <si>
    <t xml:space="preserve">dv</t>
  </si>
  <si>
    <t xml:space="preserve">Diferencia ventas (activo - PDF)</t>
  </si>
  <si>
    <t xml:space="preserve">debitda</t>
  </si>
  <si>
    <t xml:space="preserve">Diferencia EBITDA (activo - PDF)</t>
  </si>
  <si>
    <t xml:space="preserve">dni</t>
  </si>
  <si>
    <t xml:space="preserve">Diferencia resultado neto (activo - PDF)</t>
  </si>
  <si>
    <t xml:space="preserve">Detalle de costos (USD)</t>
  </si>
  <si>
    <t xml:space="preserve">Flete de MP</t>
  </si>
  <si>
    <t xml:space="preserve">Personal directo</t>
  </si>
  <si>
    <t xml:space="preserve">Gastos de venta y logística</t>
  </si>
  <si>
    <t xml:space="preserve">g_inc</t>
  </si>
  <si>
    <t xml:space="preserve">Alquiler de nave (incl. IVA)</t>
  </si>
  <si>
    <t xml:space="preserve">per</t>
  </si>
  <si>
    <t xml:space="preserve">dot</t>
  </si>
  <si>
    <t xml:space="preserve">Dotación máxima del año</t>
  </si>
  <si>
    <t xml:space="preserve">Flujo de caja y financiamiento (USD)</t>
  </si>
  <si>
    <t xml:space="preserve">Flujo operativo</t>
  </si>
  <si>
    <t xml:space="preserve">capex_m</t>
  </si>
  <si>
    <t xml:space="preserve">CAPEX de mantenimiento / reposición</t>
  </si>
  <si>
    <t xml:space="preserve">FCFF (proyecto)</t>
  </si>
  <si>
    <t xml:space="preserve">fl19_pdf</t>
  </si>
  <si>
    <t xml:space="preserve">Flujo cuadro 19 PDF (mezcla perspectivas — solo referencia)</t>
  </si>
  <si>
    <t xml:space="preserve">fcff_pdf</t>
  </si>
  <si>
    <t xml:space="preserve">FCFF reexpresado con datos PDF (Base_PDF X01)</t>
  </si>
  <si>
    <t xml:space="preserve">Desembolsos de préstamos</t>
  </si>
  <si>
    <t xml:space="preserve">Amortizaciones</t>
  </si>
  <si>
    <t xml:space="preserve">Intereses, IVA y comisiones</t>
  </si>
  <si>
    <t xml:space="preserve">Intereses + IVA línea hipotética</t>
  </si>
  <si>
    <t xml:space="preserve">Aportes hipotéticos de cobertura de brecha (no aprobados)</t>
  </si>
  <si>
    <t xml:space="preserve">Dividendos pagados</t>
  </si>
  <si>
    <t xml:space="preserve">Dividendos declarados</t>
  </si>
  <si>
    <t xml:space="preserve">Flujo de los socios</t>
  </si>
  <si>
    <t xml:space="preserve">eq_pdf</t>
  </si>
  <si>
    <t xml:space="preserve">Flujo de socios reexpresado con datos PDF (Base_PDF X04)</t>
  </si>
  <si>
    <t xml:space="preserve">Caja al cierre</t>
  </si>
  <si>
    <t xml:space="preserve">Necesidad de financiamiento máxima del año (mensual)</t>
  </si>
  <si>
    <t xml:space="preserve">Brecha no cubierta máxima del año</t>
  </si>
  <si>
    <t xml:space="preserve">Necesidad acumulada antes de financiamiento adicional (máx.)</t>
  </si>
  <si>
    <t xml:space="preserve">Deuda financiera al cierre</t>
  </si>
  <si>
    <t xml:space="preserve">Capital de trabajo al cierre (USD)</t>
  </si>
  <si>
    <t xml:space="preserve">Cuentas por cobrar</t>
  </si>
  <si>
    <t xml:space="preserve">Inventario de materiales</t>
  </si>
  <si>
    <t xml:space="preserve">Inventario de PT</t>
  </si>
  <si>
    <t xml:space="preserve">Crédito fiscal IVA</t>
  </si>
  <si>
    <t xml:space="preserve">antp</t>
  </si>
  <si>
    <t xml:space="preserve">Anticipos al personal y proveedores</t>
  </si>
  <si>
    <t xml:space="preserve">Proveedores de materiales</t>
  </si>
  <si>
    <t xml:space="preserve">Proveedores menores</t>
  </si>
  <si>
    <t xml:space="preserve">Capital de trabajo operativo neto</t>
  </si>
  <si>
    <t xml:space="preserve">ctn_pdf</t>
  </si>
  <si>
    <t xml:space="preserve">CT neto — PDF (cuadro 16; incluye caja 3 días)</t>
  </si>
  <si>
    <t xml:space="preserve">dso</t>
  </si>
  <si>
    <t xml:space="preserve">Días de cuentas por cobrar al cierre (CxC / ventas x 365; aproximación)</t>
  </si>
  <si>
    <t xml:space="preserve">dio</t>
  </si>
  <si>
    <t xml:space="preserve">Días de inventario de materiales (stock / consumo x 365)</t>
  </si>
  <si>
    <t xml:space="preserve">Servicio de la deuda y cobertura</t>
  </si>
  <si>
    <t xml:space="preserve">ds</t>
  </si>
  <si>
    <t xml:space="preserve">Servicio de deuda exigible (capital + intereses + IVA + comisiones + línea)</t>
  </si>
  <si>
    <t xml:space="preserve">cfads</t>
  </si>
  <si>
    <t xml:space="preserve">CFADS = flujo operativo - CAPEX de mantenimiento</t>
  </si>
  <si>
    <t xml:space="preserve">dscr</t>
  </si>
  <si>
    <t xml:space="preserve">DSCR = CFADS / servicio de deuda</t>
  </si>
  <si>
    <t xml:space="preserve">ebitda_ds</t>
  </si>
  <si>
    <t xml:space="preserve">EBITDA / servicio de deuda (aproximación, no DSCR completo)</t>
  </si>
  <si>
    <t xml:space="preserve">Punto de equilibrio con mix del año (ventas en USD; unidades por producto)</t>
  </si>
  <si>
    <t xml:space="preserve">cvar</t>
  </si>
  <si>
    <t xml:space="preserve">Costos variables</t>
  </si>
  <si>
    <t xml:space="preserve">cfij</t>
  </si>
  <si>
    <t xml:space="preserve">Costos fijos operativos (neto de IVA recuperable)</t>
  </si>
  <si>
    <t xml:space="preserve">mc_p</t>
  </si>
  <si>
    <t xml:space="preserve">Margen de contribución / ventas</t>
  </si>
  <si>
    <t xml:space="preserve">pe_ebitda</t>
  </si>
  <si>
    <t xml:space="preserve">Equilibrio EBITDA = 0 (ventas)</t>
  </si>
  <si>
    <t xml:space="preserve">pe_ebit</t>
  </si>
  <si>
    <t xml:space="preserve">Equilibrio contable EBIT = 0 (incluye D&amp;A)</t>
  </si>
  <si>
    <t xml:space="preserve">pe_caja</t>
  </si>
  <si>
    <t xml:space="preserve">Equilibrio de cobertura de deuda (fijos + servicio de deuda)</t>
  </si>
  <si>
    <t xml:space="preserve">pe_ug</t>
  </si>
  <si>
    <t xml:space="preserve">Gabinetes en equilibrio EBITDA (mix del año)</t>
  </si>
  <si>
    <t xml:space="preserve">pe_uc</t>
  </si>
  <si>
    <t xml:space="preserve">Cajas en equilibrio EBITDA (mix del año)</t>
  </si>
  <si>
    <t xml:space="preserve">ms</t>
  </si>
  <si>
    <t xml:space="preserve">Margen de seguridad sobre equilibrio EBITDA</t>
  </si>
  <si>
    <t xml:space="preserve">Rentabilidad por producto (asignación provisional por driver; rótulos: margen = (venta - costo)/venta; markup = (venta - costo)/costo)</t>
  </si>
  <si>
    <t xml:space="preserve">stdg</t>
  </si>
  <si>
    <t xml:space="preserve">Costo estándar de materiales gabinetes (clave de asignación)</t>
  </si>
  <si>
    <t xml:space="preserve">stdc</t>
  </si>
  <si>
    <t xml:space="preserve">Costo estándar de materiales cajas (clave de asignación)</t>
  </si>
  <si>
    <t xml:space="preserve">wg</t>
  </si>
  <si>
    <t xml:space="preserve">Participación de gabinetes en el driver de conversión</t>
  </si>
  <si>
    <t xml:space="preserve">pg_v</t>
  </si>
  <si>
    <t xml:space="preserve">GABINETES: ventas</t>
  </si>
  <si>
    <t xml:space="preserve">pg_mat</t>
  </si>
  <si>
    <t xml:space="preserve">GABINETES: materiales, flete y despacho (asignado por costo estándar)</t>
  </si>
  <si>
    <t xml:space="preserve">pg_pkg</t>
  </si>
  <si>
    <t xml:space="preserve">GABINETES: packaging</t>
  </si>
  <si>
    <t xml:space="preserve">pg_vv</t>
  </si>
  <si>
    <t xml:space="preserve">GABINETES: tributo, seguro, logística e incobrables (por ventas)</t>
  </si>
  <si>
    <t xml:space="preserve">pg_cvar</t>
  </si>
  <si>
    <t xml:space="preserve">GABINETES: costo variable</t>
  </si>
  <si>
    <t xml:space="preserve">pg_contr</t>
  </si>
  <si>
    <t xml:space="preserve">GABINETES: contribución marginal</t>
  </si>
  <si>
    <t xml:space="preserve">pg_contr_p</t>
  </si>
  <si>
    <t xml:space="preserve">GABINETES: margen de contribución sobre ventas</t>
  </si>
  <si>
    <t xml:space="preserve">pg_conv</t>
  </si>
  <si>
    <t xml:space="preserve">GABINETES: conversión fabril asignada (MO, indirectos, energía, mant., imprevistos)</t>
  </si>
  <si>
    <t xml:space="preserve">pg_mfab</t>
  </si>
  <si>
    <t xml:space="preserve">GABINETES: margen después del costo de fabricación absorbido</t>
  </si>
  <si>
    <t xml:space="preserve">pg_adm</t>
  </si>
  <si>
    <t xml:space="preserve">GABINETES: gastos comunes de administración asignados</t>
  </si>
  <si>
    <t xml:space="preserve">pg_res</t>
  </si>
  <si>
    <t xml:space="preserve">GABINETES: resultado asignado (antes de D&amp;A, financieros y variación de PT)</t>
  </si>
  <si>
    <t xml:space="preserve">pg_pu</t>
  </si>
  <si>
    <t xml:space="preserve">GABINETES: precio medio</t>
  </si>
  <si>
    <t xml:space="preserve">pg_cvu</t>
  </si>
  <si>
    <t xml:space="preserve">GABINETES: costo variable unitario</t>
  </si>
  <si>
    <t xml:space="preserve">pg_ctu</t>
  </si>
  <si>
    <t xml:space="preserve">GABINETES: costo total asignado unitario</t>
  </si>
  <si>
    <t xml:space="preserve">pg_mk</t>
  </si>
  <si>
    <t xml:space="preserve">GABINETES: markup sobre costo total asignado</t>
  </si>
  <si>
    <t xml:space="preserve">pc_v</t>
  </si>
  <si>
    <t xml:space="preserve">CAJAS: ventas</t>
  </si>
  <si>
    <t xml:space="preserve">pc_mat</t>
  </si>
  <si>
    <t xml:space="preserve">CAJAS: materiales, flete y despacho (asignado por costo estándar)</t>
  </si>
  <si>
    <t xml:space="preserve">pc_pkg</t>
  </si>
  <si>
    <t xml:space="preserve">CAJAS: packaging</t>
  </si>
  <si>
    <t xml:space="preserve">pc_vv</t>
  </si>
  <si>
    <t xml:space="preserve">CAJAS: tributo, seguro, logística e incobrables (por ventas)</t>
  </si>
  <si>
    <t xml:space="preserve">pc_cvar</t>
  </si>
  <si>
    <t xml:space="preserve">CAJAS: costo variable</t>
  </si>
  <si>
    <t xml:space="preserve">pc_contr</t>
  </si>
  <si>
    <t xml:space="preserve">CAJAS: contribución marginal</t>
  </si>
  <si>
    <t xml:space="preserve">pc_contr_p</t>
  </si>
  <si>
    <t xml:space="preserve">CAJAS: margen de contribución sobre ventas</t>
  </si>
  <si>
    <t xml:space="preserve">pc_conv</t>
  </si>
  <si>
    <t xml:space="preserve">CAJAS: conversión fabril asignada (MO, indirectos, energía, mant., imprevistos)</t>
  </si>
  <si>
    <t xml:space="preserve">pc_mfab</t>
  </si>
  <si>
    <t xml:space="preserve">CAJAS: margen después del costo de fabricación absorbido</t>
  </si>
  <si>
    <t xml:space="preserve">pc_adm</t>
  </si>
  <si>
    <t xml:space="preserve">CAJAS: gastos comunes de administración asignados</t>
  </si>
  <si>
    <t xml:space="preserve">pc_res</t>
  </si>
  <si>
    <t xml:space="preserve">CAJAS: resultado asignado (antes de D&amp;A, financieros y variación de PT)</t>
  </si>
  <si>
    <t xml:space="preserve">pc_pu</t>
  </si>
  <si>
    <t xml:space="preserve">CAJAS: precio medio</t>
  </si>
  <si>
    <t xml:space="preserve">pc_cvu</t>
  </si>
  <si>
    <t xml:space="preserve">CAJAS: costo variable unitario</t>
  </si>
  <si>
    <t xml:space="preserve">pc_ctu</t>
  </si>
  <si>
    <t xml:space="preserve">CAJAS: costo total asignado unitario</t>
  </si>
  <si>
    <t xml:space="preserve">pc_mk</t>
  </si>
  <si>
    <t xml:space="preserve">CAJAS: markup sobre costo total asignado</t>
  </si>
  <si>
    <t xml:space="preserve">Valuación con convención anual (fin de año) — comparación con el método del PDF</t>
  </si>
  <si>
    <t xml:space="preserve">df_a</t>
  </si>
  <si>
    <t xml:space="preserve">Factor de descuento anual del proyecto</t>
  </si>
  <si>
    <t xml:space="preserve">Etiquetas de gráficos (no editar)</t>
  </si>
  <si>
    <t xml:space="preserve">Escenarios_Sensib — comparativas CAPTURADAS del motor (no se recalculan solas) y puente de correcciones</t>
  </si>
  <si>
    <t xml:space="preserve">Las tablas son capturas estáticas identificadas. Para actualizarlas: seleccionar el caso en Supuestos, recalcular y copiar los indicadores de Resultados_Anuales. La columna «Verificación en vivo» compara la captura con el motor cuando la selección coincide.</t>
  </si>
  <si>
    <t xml:space="preserve">Captura: 29/09/2026 — motor recalculado con LibreOffice 24.2 (headless) sobre este mismo libro; verificar en Excel con la columna «Verificación en vivo».</t>
  </si>
  <si>
    <t xml:space="preserve">A. Escenarios (sin prueba de sensibilidad, 6 correcciones activas, sin reales)</t>
  </si>
  <si>
    <t xml:space="preserve">Caso</t>
  </si>
  <si>
    <t xml:space="preserve">VAN proyecto</t>
  </si>
  <si>
    <t xml:space="preserve">TIR proyecto</t>
  </si>
  <si>
    <t xml:space="preserve">VAN socios</t>
  </si>
  <si>
    <t xml:space="preserve">TIR socios</t>
  </si>
  <si>
    <t xml:space="preserve">EBITDA total</t>
  </si>
  <si>
    <t xml:space="preserve">Pico necesidad adicional</t>
  </si>
  <si>
    <t xml:space="preserve">Brecha no cubierta máx.</t>
  </si>
  <si>
    <t xml:space="preserve">DSCR mínimo</t>
  </si>
  <si>
    <t xml:space="preserve">Payback simple (años)</t>
  </si>
  <si>
    <t xml:space="preserve">CT operativo máx.</t>
  </si>
  <si>
    <t xml:space="preserve">Verificación en vivo (VAN proyecto: motor - captura)</t>
  </si>
  <si>
    <t xml:space="preserve">B. Pruebas de sensibilidad sobre la Base depurada (choques ilustrativos, no premisas de negocio)</t>
  </si>
  <si>
    <t xml:space="preserve">Ninguna (Base depurada)</t>
  </si>
  <si>
    <t xml:space="preserve">C. Puente del VAN del proyecto: del motor con criterios del PDF (C1-C6 = 0) a la Base depurada</t>
  </si>
  <si>
    <t xml:space="preserve">Orden de aplicación acumulativo C1 → C6. El efecto de cada paso depende del orden (interacciones); la suma de pasos concilia por construcción. La columna «Efecto aislado» activa solo esa corrección sobre el motor con criterios del PDF; la diferencia con la suma es la interacción.</t>
  </si>
  <si>
    <t xml:space="preserve">Paso</t>
  </si>
  <si>
    <t xml:space="preserve">Estado del motor</t>
  </si>
  <si>
    <t xml:space="preserve">Efecto del paso</t>
  </si>
  <si>
    <t xml:space="preserve">Efecto aislado</t>
  </si>
  <si>
    <t xml:space="preserve">Verificación en vivo</t>
  </si>
  <si>
    <t xml:space="preserve">Motor con criterios del PDF (C1-C6 = 0)</t>
  </si>
  <si>
    <t xml:space="preserve">+ C1 TC único en nómina</t>
  </si>
  <si>
    <t xml:space="preserve">+ C2 MP cajas 1% acumulativo</t>
  </si>
  <si>
    <t xml:space="preserve">+ C3 depreciación desde puesta en servicio</t>
  </si>
  <si>
    <t xml:space="preserve">+ C4 CAPEX año 2 al activo depreciable</t>
  </si>
  <si>
    <t xml:space="preserve">+ C5 inventario a costo de adquisición</t>
  </si>
  <si>
    <t xml:space="preserve">+ C6 indirectos de fábrica en producción (= Base depurada)</t>
  </si>
  <si>
    <t xml:space="preserve">Suma de efectos de los pasos (concilia con la diferencia total)</t>
  </si>
  <si>
    <t xml:space="preserve">Interacción = suma de pasos - suma de efectos aislados</t>
  </si>
  <si>
    <t xml:space="preserve">D. Conciliación metodológica del VAN publicado (anual, datos del PDF)</t>
  </si>
  <si>
    <t xml:space="preserve">VAN publicado — cuadro 19 (mezcla proyecto y accionista)</t>
  </si>
  <si>
    <t xml:space="preserve">VAN FCFF con datos PDF (excluye préstamo y servicio de deuda), misma tasa</t>
  </si>
  <si>
    <t xml:space="preserve">VAN de los socios con datos PDF a Ke 16,32%</t>
  </si>
  <si>
    <t xml:space="preserve">VAN del motor con criterios del PDF (C1-C6 = 0), mensual — captura</t>
  </si>
  <si>
    <t xml:space="preserve">VAN de la Base depurada (motor, todas las correcciones) — captura</t>
  </si>
  <si>
    <t xml:space="preserve">Del paso 1 al 2: cambio de perspectiva (FCFF). Del 2 al 4: calendario mensual del CT (clientes sobre ventas, stock anticipado, PT a costo), valor terminal por liquidación y oportunidad de flujos. Del 4 al 5: correcciones C1-C6.</t>
  </si>
  <si>
    <t xml:space="preserve">Datos_Reales — ejecución real, saldos y documentación (inicialmente vacías: no se suministraron datos posteriores al plan)</t>
  </si>
  <si>
    <t xml:space="preserve">Cada registro debe tener fecha/mes, identificador, moneda, importe o cantidad, tipo de dato, fuente y estado. Un faltante NO equivale a cero: el modelo solo usa reales en meses ≤ último mes cerrado.</t>
  </si>
  <si>
    <t xml:space="preserve">T1. Fechas del proyecto y corte</t>
  </si>
  <si>
    <t xml:space="preserve">Dato</t>
  </si>
  <si>
    <t xml:space="preserve">Instrucción</t>
  </si>
  <si>
    <t xml:space="preserve">r_FechaImpl</t>
  </si>
  <si>
    <t xml:space="preserve">Fecha real de inicio de implantación</t>
  </si>
  <si>
    <t xml:space="preserve">Informativo.</t>
  </si>
  <si>
    <t xml:space="preserve">r_Arranque</t>
  </si>
  <si>
    <t xml:space="preserve">Mes del modelo del inicio real de operación</t>
  </si>
  <si>
    <t xml:space="preserve">Si se carga, prevalece sobre el atraso del escenario.</t>
  </si>
  <si>
    <t xml:space="preserve">r_Corte</t>
  </si>
  <si>
    <t xml:space="preserve">Último mes cerrado con datos reales (mes del modelo)</t>
  </si>
  <si>
    <t xml:space="preserve">No tomar automáticamente el mes en curso. Vacío = sin reales. Los meses ≤ corte quedan congelados.</t>
  </si>
  <si>
    <t xml:space="preserve">r_FechaCorte</t>
  </si>
  <si>
    <t xml:space="preserve">Fecha de corte</t>
  </si>
  <si>
    <t xml:space="preserve">Informativo; debe coincidir con el mes anterior.</t>
  </si>
  <si>
    <t xml:space="preserve">Responsable y fecha de la última carga</t>
  </si>
  <si>
    <t xml:space="preserve">T2. Saldos reales al último mes cerrado (se usan solo en el mes de corte; la diferencia con el cálculo va a «ajustes de conciliación»)</t>
  </si>
  <si>
    <t xml:space="preserve">Saldo</t>
  </si>
  <si>
    <t xml:space="preserve">Importe origen</t>
  </si>
  <si>
    <t xml:space="preserve">Importe USD</t>
  </si>
  <si>
    <t xml:space="preserve">Estado revisión</t>
  </si>
  <si>
    <t xml:space="preserve">S_CAJA</t>
  </si>
  <si>
    <t xml:space="preserve">Caja y bancos</t>
  </si>
  <si>
    <t xml:space="preserve">S_CXC</t>
  </si>
  <si>
    <t xml:space="preserve">Cuentas por cobrar a clientes</t>
  </si>
  <si>
    <t xml:space="preserve">S_INVMAT</t>
  </si>
  <si>
    <t xml:space="preserve">Inventario de materiales (costo de adquisición)</t>
  </si>
  <si>
    <t xml:space="preserve">S_INVPT</t>
  </si>
  <si>
    <t xml:space="preserve">Inventario de productos terminados</t>
  </si>
  <si>
    <t xml:space="preserve">S_PROVMAT</t>
  </si>
  <si>
    <t xml:space="preserve">S_PROVMEN</t>
  </si>
  <si>
    <t xml:space="preserve">Proveedores menores y obligaciones</t>
  </si>
  <si>
    <t xml:space="preserve">S_IVA</t>
  </si>
  <si>
    <t xml:space="preserve">Crédito fiscal IVA recuperable</t>
  </si>
  <si>
    <t xml:space="preserve">S_DEUDA1</t>
  </si>
  <si>
    <t xml:space="preserve">Saldo préstamo original</t>
  </si>
  <si>
    <t xml:space="preserve">S_DEUDA2</t>
  </si>
  <si>
    <t xml:space="preserve">Saldo préstamo tramo 2</t>
  </si>
  <si>
    <t xml:space="preserve">T3. CAPEX real por ítem (acumulado al corte, USD al TC de cada operación)</t>
  </si>
  <si>
    <t xml:space="preserve">Cód. ítem</t>
  </si>
  <si>
    <t xml:space="preserve">Ejecutado devengado</t>
  </si>
  <si>
    <t xml:space="preserve">Pagado</t>
  </si>
  <si>
    <t xml:space="preserve">Comprometido pendiente de devengar</t>
  </si>
  <si>
    <t xml:space="preserve">Por contratar (estimación revisada)</t>
  </si>
  <si>
    <t xml:space="preserve">Mes real de puesta en uso</t>
  </si>
  <si>
    <t xml:space="preserve">T4. Catálogo de códigos para la tabla de movimientos (T7)</t>
  </si>
  <si>
    <t xml:space="preserve">Código</t>
  </si>
  <si>
    <t xml:space="preserve">Descripción</t>
  </si>
  <si>
    <t xml:space="preserve">Tipo de dato</t>
  </si>
  <si>
    <t xml:space="preserve">Destino en el motor</t>
  </si>
  <si>
    <t xml:space="preserve">U_PROD_G</t>
  </si>
  <si>
    <t xml:space="preserve">Gabinetes buenos producidos</t>
  </si>
  <si>
    <t xml:space="preserve">unidades</t>
  </si>
  <si>
    <t xml:space="preserve">Cantidad</t>
  </si>
  <si>
    <t xml:space="preserve">Produccion_Ventas: producción buena</t>
  </si>
  <si>
    <t xml:space="preserve">U_PROD_C</t>
  </si>
  <si>
    <t xml:space="preserve">Cajas buenas producidas</t>
  </si>
  <si>
    <t xml:space="preserve">U_RCH_G</t>
  </si>
  <si>
    <t xml:space="preserve">Gabinetes rechazados</t>
  </si>
  <si>
    <t xml:space="preserve">Produccion_Ventas: rechazos</t>
  </si>
  <si>
    <t xml:space="preserve">U_RCH_C</t>
  </si>
  <si>
    <t xml:space="preserve">Cajas rechazadas</t>
  </si>
  <si>
    <t xml:space="preserve">U_VTA_G</t>
  </si>
  <si>
    <t xml:space="preserve">Gabinetes vendidos / facturados</t>
  </si>
  <si>
    <t xml:space="preserve">Produccion_Ventas: ventas</t>
  </si>
  <si>
    <t xml:space="preserve">U_VTA_C</t>
  </si>
  <si>
    <t xml:space="preserve">Cajas vendidas / facturadas</t>
  </si>
  <si>
    <t xml:space="preserve">VTA_G</t>
  </si>
  <si>
    <t xml:space="preserve">Facturación neta gabinetes</t>
  </si>
  <si>
    <t xml:space="preserve">Devengado</t>
  </si>
  <si>
    <t xml:space="preserve">VTA_C</t>
  </si>
  <si>
    <t xml:space="preserve">Facturación neta cajas</t>
  </si>
  <si>
    <t xml:space="preserve">VTA_CHAT</t>
  </si>
  <si>
    <t xml:space="preserve">Devengado = cobrado</t>
  </si>
  <si>
    <t xml:space="preserve">Otros ingresos</t>
  </si>
  <si>
    <t xml:space="preserve">COBRO</t>
  </si>
  <si>
    <t xml:space="preserve">Cobranzas totales de clientes (incl. contado y anticipos)</t>
  </si>
  <si>
    <t xml:space="preserve">Pagado/cobrado</t>
  </si>
  <si>
    <t xml:space="preserve">Capital_Trabajo: cobranzas</t>
  </si>
  <si>
    <t xml:space="preserve">MP</t>
  </si>
  <si>
    <t xml:space="preserve">Materia prima consumida</t>
  </si>
  <si>
    <t xml:space="preserve">Costo de producción</t>
  </si>
  <si>
    <t xml:space="preserve">INS</t>
  </si>
  <si>
    <t xml:space="preserve">Insumos consumidos</t>
  </si>
  <si>
    <t xml:space="preserve">FLE</t>
  </si>
  <si>
    <t xml:space="preserve">COMPRA_MAT</t>
  </si>
  <si>
    <t xml:space="preserve">Compras de materiales a costo de adquisición</t>
  </si>
  <si>
    <t xml:space="preserve">PAGO_MAT</t>
  </si>
  <si>
    <t xml:space="preserve">Pagos a proveedores de materiales (incl. anticipos)</t>
  </si>
  <si>
    <t xml:space="preserve">NOM_D</t>
  </si>
  <si>
    <t xml:space="preserve">Costo total personal directo (remuneración + cargas + alimentación)</t>
  </si>
  <si>
    <t xml:space="preserve">Devengado = pagado</t>
  </si>
  <si>
    <t xml:space="preserve">NOM_I</t>
  </si>
  <si>
    <t xml:space="preserve">Costo total personal indirecto de fábrica</t>
  </si>
  <si>
    <t xml:space="preserve">NOM_A</t>
  </si>
  <si>
    <t xml:space="preserve">Costo total personal administrativo</t>
  </si>
  <si>
    <t xml:space="preserve">Costos de producción</t>
  </si>
  <si>
    <t xml:space="preserve">Mantenimiento planta</t>
  </si>
  <si>
    <t xml:space="preserve">IMPP</t>
  </si>
  <si>
    <t xml:space="preserve">Imprevistos / otros de producción</t>
  </si>
  <si>
    <t xml:space="preserve">Gastos variables de venta</t>
  </si>
  <si>
    <t xml:space="preserve">TRIB</t>
  </si>
  <si>
    <t xml:space="preserve">GVTA</t>
  </si>
  <si>
    <t xml:space="preserve">Agua, comunicaciones y electricidad adm.</t>
  </si>
  <si>
    <t xml:space="preserve">Mantenimiento administración</t>
  </si>
  <si>
    <t xml:space="preserve">Seguros sobre activos</t>
  </si>
  <si>
    <t xml:space="preserve">IMPA</t>
  </si>
  <si>
    <t xml:space="preserve">Imprevistos / otros de administración</t>
  </si>
  <si>
    <t xml:space="preserve">PREOP</t>
  </si>
  <si>
    <t xml:space="preserve">Costos preoperativos, pruebas, capacitación, pérdidas de arranque y extraordinarios</t>
  </si>
  <si>
    <t xml:space="preserve">Resultados (línea separada)</t>
  </si>
  <si>
    <t xml:space="preserve">PAGO_MEN</t>
  </si>
  <si>
    <t xml:space="preserve">Pagos a proveedores menores y obligaciones</t>
  </si>
  <si>
    <t xml:space="preserve">IVA_RECUP</t>
  </si>
  <si>
    <t xml:space="preserve">IVA recuperado / certificados cobrados</t>
  </si>
  <si>
    <t xml:space="preserve">CAPEX_DEV</t>
  </si>
  <si>
    <t xml:space="preserve">CAPEX devengado del mes</t>
  </si>
  <si>
    <t xml:space="preserve">CAPEX_PAG</t>
  </si>
  <si>
    <t xml:space="preserve">CAPEX pagado del mes</t>
  </si>
  <si>
    <t xml:space="preserve">DESEMB_P1</t>
  </si>
  <si>
    <t xml:space="preserve">Desembolso préstamo original</t>
  </si>
  <si>
    <t xml:space="preserve">INT_P1</t>
  </si>
  <si>
    <t xml:space="preserve">Intereses préstamo original (sin IVA)</t>
  </si>
  <si>
    <t xml:space="preserve">AMORT_P1</t>
  </si>
  <si>
    <t xml:space="preserve">Amortización préstamo original</t>
  </si>
  <si>
    <t xml:space="preserve">DESEMB_P2</t>
  </si>
  <si>
    <t xml:space="preserve">Desembolso tramo 2</t>
  </si>
  <si>
    <t xml:space="preserve">INT_P2</t>
  </si>
  <si>
    <t xml:space="preserve">Intereses tramo 2 (sin IVA)</t>
  </si>
  <si>
    <t xml:space="preserve">AMORT_P2</t>
  </si>
  <si>
    <t xml:space="preserve">Amortización tramo 2</t>
  </si>
  <si>
    <t xml:space="preserve">APORTE</t>
  </si>
  <si>
    <t xml:space="preserve">Deuda_Tributos: aportes</t>
  </si>
  <si>
    <t xml:space="preserve">DIVIDENDO</t>
  </si>
  <si>
    <t xml:space="preserve">Resultados_Caja: tesorería</t>
  </si>
  <si>
    <t xml:space="preserve">T5. Documentación contractual y comercial requerida (estado)</t>
  </si>
  <si>
    <t xml:space="preserve">Documento / definición</t>
  </si>
  <si>
    <t xml:space="preserve">Efecto en el modelo</t>
  </si>
  <si>
    <t xml:space="preserve">Contrato CIE-PERG / matriz (modalidad: venta de producto o servicio de maquila)</t>
  </si>
  <si>
    <t xml:space="preserve">Modalidad G26, tarifas G27-G28, ingresos</t>
  </si>
  <si>
    <t xml:space="preserve">Programa de maquila aprobado (MIC) y régimen de transición Ley 7547/2025</t>
  </si>
  <si>
    <t xml:space="preserve">Tributo G42-G43, IVA E78-E79</t>
  </si>
  <si>
    <t xml:space="preserve">Propiedad de materias primas e insumos (quién compra e importa)</t>
  </si>
  <si>
    <t xml:space="preserve">G29, inventarios y costos propios</t>
  </si>
  <si>
    <t xml:space="preserve">Condiciones de entrega, flete de exportación, seguros, garantías y rechazos</t>
  </si>
  <si>
    <t xml:space="preserve">E89 gastos de venta; E43 rechazo</t>
  </si>
  <si>
    <t xml:space="preserve">Naturaleza del alquiler de la nave (tercero, relacionada o costo económico)</t>
  </si>
  <si>
    <t xml:space="preserve">G40 alquiler en caja</t>
  </si>
  <si>
    <t xml:space="preserve">Cartera de pedidos / contratos comerciales / evidencia de demanda</t>
  </si>
  <si>
    <t xml:space="preserve">Volumen E05-E24, precios E26-E29</t>
  </si>
  <si>
    <t xml:space="preserve">Contrato de préstamo (desembolsos, tasa, comisiones, garantías)</t>
  </si>
  <si>
    <t xml:space="preserve">L01-L06; T2 S_DEUDA1</t>
  </si>
  <si>
    <t xml:space="preserve">Acta de aportes de socios y política de dividendos</t>
  </si>
  <si>
    <t xml:space="preserve">Aportes, F. política de dividendos</t>
  </si>
  <si>
    <t xml:space="preserve">Tasación / valor de realización de activos</t>
  </si>
  <si>
    <t xml:space="preserve">G24 realización de activo fijo</t>
  </si>
  <si>
    <t xml:space="preserve">Estudio técnico de capacidad (equipos, turnos, horas, cuellos de botella)</t>
  </si>
  <si>
    <t xml:space="preserve">Capacidad, E25</t>
  </si>
  <si>
    <t xml:space="preserve">T6. Campos mínimos para considerar completo el forecast actualizado</t>
  </si>
  <si>
    <t xml:space="preserve">Campo mínimo</t>
  </si>
  <si>
    <t xml:space="preserve">Completo (1/0)</t>
  </si>
  <si>
    <t xml:space="preserve">Criterio</t>
  </si>
  <si>
    <t xml:space="preserve">Último mes cerrado cargado</t>
  </si>
  <si>
    <t xml:space="preserve">T1</t>
  </si>
  <si>
    <t xml:space="preserve">Mes real de arranque o confirmación de atraso</t>
  </si>
  <si>
    <t xml:space="preserve">Fecha calendario del mes 0</t>
  </si>
  <si>
    <t xml:space="preserve">Supuestos G04</t>
  </si>
  <si>
    <t xml:space="preserve">Saldos de caja, clientes, proveedores e inventarios al corte</t>
  </si>
  <si>
    <t xml:space="preserve">T2</t>
  </si>
  <si>
    <t xml:space="preserve">Saldo de deuda al corte</t>
  </si>
  <si>
    <t xml:space="preserve">CAPEX ejecutado/pagado/comprometido por ítem</t>
  </si>
  <si>
    <t xml:space="preserve">T3</t>
  </si>
  <si>
    <t xml:space="preserve">Movimientos reales mensuales (ventas, costos, cobros y pagos)</t>
  </si>
  <si>
    <t xml:space="preserve">T7</t>
  </si>
  <si>
    <t xml:space="preserve">Contrato y modalidad de maquila validados</t>
  </si>
  <si>
    <t xml:space="preserve">T5-1</t>
  </si>
  <si>
    <t xml:space="preserve">Tipo de cambio real/proyectado cargado en escenario Actualizado</t>
  </si>
  <si>
    <t xml:space="preserve">Supuestos E49</t>
  </si>
  <si>
    <t xml:space="preserve">Tasas vigentes (Ke, deuda) con fecha y fundamento</t>
  </si>
  <si>
    <t xml:space="preserve">Supuestos G10-G17 (marcar 1 al validar)</t>
  </si>
  <si>
    <t xml:space="preserve">Campos mínimos completos</t>
  </si>
  <si>
    <t xml:space="preserve">Cantidad completa (número)</t>
  </si>
  <si>
    <t xml:space="preserve">T7. Movimientos mensuales reales (formato largo). Filas 1 a 600</t>
  </si>
  <si>
    <t xml:space="preserve">EJEMPLO — NO SE INCLUYE EN CÁLCULOS (fuera del rango de la tabla):</t>
  </si>
  <si>
    <t xml:space="preserve">ID</t>
  </si>
  <si>
    <t xml:space="preserve">Producto / ítem</t>
  </si>
  <si>
    <t xml:space="preserve">Comentario</t>
  </si>
  <si>
    <t xml:space="preserve">EJ-0001</t>
  </si>
  <si>
    <t xml:space="preserve">Planilla IPS mar-26</t>
  </si>
  <si>
    <t xml:space="preserve">Ejemplo</t>
  </si>
  <si>
    <t xml:space="preserve">Formato ilustrativo</t>
  </si>
  <si>
    <t xml:space="preserve">Base_PDF — Plan publicado «PDF publicado - Oct-2025» (referencia histórica inalterada)</t>
  </si>
  <si>
    <t xml:space="preserve">Datos en azul = transcritos del PDF (páginas internas; página física = interna + 2). Filas «Recalc.» y «Dif.» = comprobaciones. ESTA BASE ES UN PRESUPUESTO HISTÓRICO, NO UN REGISTRO DE EJECUCIÓN REAL.</t>
  </si>
  <si>
    <t xml:space="preserve">Pág.</t>
  </si>
  <si>
    <t xml:space="preserve">Año 0 / Valor</t>
  </si>
  <si>
    <t xml:space="preserve">Total / Ref.</t>
  </si>
  <si>
    <t xml:space="preserve">Observación / criterio</t>
  </si>
  <si>
    <t xml:space="preserve">S1. Parámetros publicados (valor en columna E)</t>
  </si>
  <si>
    <t xml:space="preserve">P01</t>
  </si>
  <si>
    <t xml:space="preserve">Tipo de cambio de referencia declarado</t>
  </si>
  <si>
    <t xml:space="preserve">4-5</t>
  </si>
  <si>
    <t xml:space="preserve">P02</t>
  </si>
  <si>
    <t xml:space="preserve">Salario Gerente General (nómina)</t>
  </si>
  <si>
    <t xml:space="preserve">30</t>
  </si>
  <si>
    <t xml:space="preserve">P03</t>
  </si>
  <si>
    <t xml:space="preserve">Salario Gerente General convertido en la nómina</t>
  </si>
  <si>
    <t xml:space="preserve">USD/mes</t>
  </si>
  <si>
    <t xml:space="preserve">P04</t>
  </si>
  <si>
    <t xml:space="preserve">TC implícito en la nómina = P02 / P03</t>
  </si>
  <si>
    <t xml:space="preserve">30-34</t>
  </si>
  <si>
    <t xml:space="preserve">Cálculo inferido: la nómina convierte a Gs 8.000/USD, no a Gs 7.300 declarados.</t>
  </si>
  <si>
    <t xml:space="preserve">P05</t>
  </si>
  <si>
    <t xml:space="preserve">Costo de capital propio (Ke) histórico</t>
  </si>
  <si>
    <t xml:space="preserve">% anual</t>
  </si>
  <si>
    <t xml:space="preserve">9, 28</t>
  </si>
  <si>
    <t xml:space="preserve">P06</t>
  </si>
  <si>
    <t xml:space="preserve">Tasa préstamo bancario (nominal anual)</t>
  </si>
  <si>
    <t xml:space="preserve">4</t>
  </si>
  <si>
    <t xml:space="preserve">P07</t>
  </si>
  <si>
    <t xml:space="preserve">Tasa ponderada publicada (redondeada)</t>
  </si>
  <si>
    <t xml:space="preserve">P08</t>
  </si>
  <si>
    <t xml:space="preserve">Aporte propio inicial</t>
  </si>
  <si>
    <t xml:space="preserve">5, 11</t>
  </si>
  <si>
    <t xml:space="preserve">P09</t>
  </si>
  <si>
    <t xml:space="preserve">Préstamo bancario</t>
  </si>
  <si>
    <t xml:space="preserve">4, 11</t>
  </si>
  <si>
    <t xml:space="preserve">P10</t>
  </si>
  <si>
    <t xml:space="preserve">Plazo total préstamo</t>
  </si>
  <si>
    <t xml:space="preserve">P11</t>
  </si>
  <si>
    <t xml:space="preserve">Gracia (solo intereses)</t>
  </si>
  <si>
    <t xml:space="preserve">P12</t>
  </si>
  <si>
    <t xml:space="preserve">Cuotas francesas</t>
  </si>
  <si>
    <t xml:space="preserve">P13</t>
  </si>
  <si>
    <t xml:space="preserve">IVA sobre intereses</t>
  </si>
  <si>
    <t xml:space="preserve">4, 22</t>
  </si>
  <si>
    <t xml:space="preserve">P14</t>
  </si>
  <si>
    <t xml:space="preserve">19</t>
  </si>
  <si>
    <t xml:space="preserve">Coeficiente del plan, no tasa legal validada. Ratio implícito en cuadro 10a ≈ 43,087% (diferencia de redondeo).</t>
  </si>
  <si>
    <t xml:space="preserve">P15</t>
  </si>
  <si>
    <t xml:space="preserve">Superficie nave alquilada</t>
  </si>
  <si>
    <t xml:space="preserve">6</t>
  </si>
  <si>
    <t xml:space="preserve">P16</t>
  </si>
  <si>
    <t xml:space="preserve">Alquiler</t>
  </si>
  <si>
    <t xml:space="preserve">P17</t>
  </si>
  <si>
    <t xml:space="preserve">IVA sobre alquiler</t>
  </si>
  <si>
    <t xml:space="preserve">P18</t>
  </si>
  <si>
    <t xml:space="preserve">P19</t>
  </si>
  <si>
    <t xml:space="preserve">P20</t>
  </si>
  <si>
    <t xml:space="preserve">P21</t>
  </si>
  <si>
    <t xml:space="preserve">Imprevistos (producción y administración)</t>
  </si>
  <si>
    <t xml:space="preserve">P22</t>
  </si>
  <si>
    <t xml:space="preserve">Tributo maquila (s/ valor facturado y exportado)</t>
  </si>
  <si>
    <t xml:space="preserve">7, 19</t>
  </si>
  <si>
    <t xml:space="preserve">P23</t>
  </si>
  <si>
    <t xml:space="preserve">24</t>
  </si>
  <si>
    <t xml:space="preserve">P24</t>
  </si>
  <si>
    <t xml:space="preserve">Sueldos y anticipos</t>
  </si>
  <si>
    <t xml:space="preserve">8, 24</t>
  </si>
  <si>
    <t xml:space="preserve">P25</t>
  </si>
  <si>
    <t xml:space="preserve">Stock de materiales</t>
  </si>
  <si>
    <t xml:space="preserve">P26</t>
  </si>
  <si>
    <t xml:space="preserve">Financiación al cliente (ventas a crédito)</t>
  </si>
  <si>
    <t xml:space="preserve">P27</t>
  </si>
  <si>
    <t xml:space="preserve">Productos terminados</t>
  </si>
  <si>
    <t xml:space="preserve">P28</t>
  </si>
  <si>
    <t xml:space="preserve">Proveedores de materia prima</t>
  </si>
  <si>
    <t xml:space="preserve">P29</t>
  </si>
  <si>
    <t xml:space="preserve">P30</t>
  </si>
  <si>
    <t xml:space="preserve">16</t>
  </si>
  <si>
    <t xml:space="preserve">P31</t>
  </si>
  <si>
    <t xml:space="preserve">P32</t>
  </si>
  <si>
    <t xml:space="preserve">Incremento anual de precios desde año 2</t>
  </si>
  <si>
    <t xml:space="preserve">2</t>
  </si>
  <si>
    <t xml:space="preserve">P33</t>
  </si>
  <si>
    <t xml:space="preserve">17</t>
  </si>
  <si>
    <t xml:space="preserve">P34</t>
  </si>
  <si>
    <t xml:space="preserve">P35</t>
  </si>
  <si>
    <t xml:space="preserve">Incremento anual materia prima desde año 2 (texto)</t>
  </si>
  <si>
    <t xml:space="preserve">P36</t>
  </si>
  <si>
    <t xml:space="preserve">Insumos gabinete</t>
  </si>
  <si>
    <t xml:space="preserve">18</t>
  </si>
  <si>
    <t xml:space="preserve">P37</t>
  </si>
  <si>
    <t xml:space="preserve">Insumos cajas año 1 (total)</t>
  </si>
  <si>
    <t xml:space="preserve">P38</t>
  </si>
  <si>
    <t xml:space="preserve">Insumos caja = P37 / 70.000 (cálculo)</t>
  </si>
  <si>
    <t xml:space="preserve">Se muestra 4,85 en el PDF; la precisión surge del total publicado.</t>
  </si>
  <si>
    <t xml:space="preserve">P39</t>
  </si>
  <si>
    <t xml:space="preserve">Consumibles gabinetes año 1 (total)</t>
  </si>
  <si>
    <t xml:space="preserve">P40</t>
  </si>
  <si>
    <t xml:space="preserve">Consumibles gabinete = P39 / 12.000 (inferido)</t>
  </si>
  <si>
    <t xml:space="preserve">Precisión inferida de cifras redondeadas; no es el dato exacto del archivo fuente.</t>
  </si>
  <si>
    <t xml:space="preserve">P41</t>
  </si>
  <si>
    <t xml:space="preserve">Consumibles caja</t>
  </si>
  <si>
    <t xml:space="preserve">P42</t>
  </si>
  <si>
    <t xml:space="preserve">Peso gabinete</t>
  </si>
  <si>
    <t xml:space="preserve">1</t>
  </si>
  <si>
    <t xml:space="preserve">P43</t>
  </si>
  <si>
    <t xml:space="preserve">Peso caja</t>
  </si>
  <si>
    <t xml:space="preserve">P44</t>
  </si>
  <si>
    <t xml:space="preserve">Inversión fija inicial</t>
  </si>
  <si>
    <t xml:space="preserve">P45</t>
  </si>
  <si>
    <t xml:space="preserve">Capital operativo inicial</t>
  </si>
  <si>
    <t xml:space="preserve">P46</t>
  </si>
  <si>
    <t xml:space="preserve">Inversión inicial total</t>
  </si>
  <si>
    <t xml:space="preserve">P47</t>
  </si>
  <si>
    <t xml:space="preserve">Inversión fija adicional año 2 (cuadros 18-19)</t>
  </si>
  <si>
    <t xml:space="preserve">26-27</t>
  </si>
  <si>
    <t xml:space="preserve">Naturaleza y vida útil no desagregadas en el PDF.</t>
  </si>
  <si>
    <t xml:space="preserve">P48</t>
  </si>
  <si>
    <t xml:space="preserve">Aporte adicional socios año 1</t>
  </si>
  <si>
    <t xml:space="preserve">26</t>
  </si>
  <si>
    <t xml:space="preserve">P49</t>
  </si>
  <si>
    <t xml:space="preserve">Aporte adicional socios año 2</t>
  </si>
  <si>
    <t xml:space="preserve">P50</t>
  </si>
  <si>
    <t xml:space="preserve">Recuperación de capital operativo año 10 (cuadro 19)</t>
  </si>
  <si>
    <t xml:space="preserve">27</t>
  </si>
  <si>
    <t xml:space="preserve">P51</t>
  </si>
  <si>
    <t xml:space="preserve">Valor residual inversión año 10 (cuadro 19)</t>
  </si>
  <si>
    <t xml:space="preserve">P52</t>
  </si>
  <si>
    <t xml:space="preserve">VAN publicado (al 9,49%)</t>
  </si>
  <si>
    <t xml:space="preserve">27, 35</t>
  </si>
  <si>
    <t xml:space="preserve">P53</t>
  </si>
  <si>
    <t xml:space="preserve">TIR publicada «con financiamiento»</t>
  </si>
  <si>
    <t xml:space="preserve">P54</t>
  </si>
  <si>
    <t xml:space="preserve">Payback publicado («durante el 7mo año»)</t>
  </si>
  <si>
    <t xml:space="preserve">28</t>
  </si>
  <si>
    <t xml:space="preserve">P55</t>
  </si>
  <si>
    <t xml:space="preserve">Alimentación inferida por persona</t>
  </si>
  <si>
    <t xml:space="preserve">Inferido: USD 40.715/43 = USD 946,85/persona/año = Gs 576.000/mes a Gs 7.300 (p.ej. 24.000 Gs x 24 días). Confirmar.</t>
  </si>
  <si>
    <t xml:space="preserve">S2. Inversión (cuadros 1, 2, 5 y 6)</t>
  </si>
  <si>
    <t xml:space="preserve">Ítem (cuadro 2)</t>
  </si>
  <si>
    <t xml:space="preserve">Cant.</t>
  </si>
  <si>
    <t xml:space="preserve">FOB USD</t>
  </si>
  <si>
    <t xml:space="preserve">Seg/flete</t>
  </si>
  <si>
    <t xml:space="preserve">CIF USD</t>
  </si>
  <si>
    <t xml:space="preserve">CIF publ.</t>
  </si>
  <si>
    <t xml:space="preserve">Dif.</t>
  </si>
  <si>
    <t xml:space="preserve">Conj.</t>
  </si>
  <si>
    <t xml:space="preserve">12</t>
  </si>
  <si>
    <t xml:space="preserve">Valor FOB = total del renglón (no multiplicar por cantidad).</t>
  </si>
  <si>
    <t xml:space="preserve">Cortadoras láser</t>
  </si>
  <si>
    <t xml:space="preserve">Dobladoras</t>
  </si>
  <si>
    <t xml:space="preserve">Soldadoras</t>
  </si>
  <si>
    <t xml:space="preserve">Lijadoras</t>
  </si>
  <si>
    <t xml:space="preserve">Soldadoras capacitivas</t>
  </si>
  <si>
    <t xml:space="preserve">Subtotal maquinaria</t>
  </si>
  <si>
    <t xml:space="preserve">Publicado: FOB 447.631; seguro/flete 44.763,10; CIF 492.394 (redondeado).</t>
  </si>
  <si>
    <t xml:space="preserve">Gastos de despacho maquinaria (publicado)</t>
  </si>
  <si>
    <t xml:space="preserve">Col. F = despacho / CIF (≈3%). Se usa esa proporción exacta para asignar el despacho por ítem en Inversion_Activos.</t>
  </si>
  <si>
    <t xml:space="preserve">K01</t>
  </si>
  <si>
    <t xml:space="preserve">Adecuación de infraestructura (cuadro 5)</t>
  </si>
  <si>
    <t xml:space="preserve">13</t>
  </si>
  <si>
    <t xml:space="preserve">K02</t>
  </si>
  <si>
    <t xml:space="preserve">Software de gestión (cuadro 6)</t>
  </si>
  <si>
    <t xml:space="preserve">K03</t>
  </si>
  <si>
    <t xml:space="preserve">Mobiliario (cuadro 6)</t>
  </si>
  <si>
    <t xml:space="preserve">K04</t>
  </si>
  <si>
    <t xml:space="preserve">Inversión fija recalculada = infra + CIF + despacho + software + mobiliario</t>
  </si>
  <si>
    <t xml:space="preserve">11</t>
  </si>
  <si>
    <t xml:space="preserve">K05</t>
  </si>
  <si>
    <t xml:space="preserve">Dif. vs inversión fija publicada</t>
  </si>
  <si>
    <t xml:space="preserve">Diferencia por redondeo del CIF (0,10).</t>
  </si>
  <si>
    <t xml:space="preserve">K06</t>
  </si>
  <si>
    <t xml:space="preserve">Inversión inicial = fija + capital operativo</t>
  </si>
  <si>
    <t xml:space="preserve">K07</t>
  </si>
  <si>
    <t xml:space="preserve">Fuentes iniciales = aporte + préstamo</t>
  </si>
  <si>
    <t xml:space="preserve">S3. Producción, capacidad y ventas (cuadros 7, 7a y 8)</t>
  </si>
  <si>
    <t xml:space="preserve">Q01</t>
  </si>
  <si>
    <t xml:space="preserve">Gabinetes - capacidad instalada</t>
  </si>
  <si>
    <t xml:space="preserve">u/año</t>
  </si>
  <si>
    <t xml:space="preserve">14</t>
  </si>
  <si>
    <t xml:space="preserve">Q02</t>
  </si>
  <si>
    <t xml:space="preserve">Gabinetes - producción</t>
  </si>
  <si>
    <t xml:space="preserve">Q03</t>
  </si>
  <si>
    <t xml:space="preserve">Gabinetes - venta</t>
  </si>
  <si>
    <t xml:space="preserve">Q04</t>
  </si>
  <si>
    <t xml:space="preserve">Cajas - capacidad instalada</t>
  </si>
  <si>
    <t xml:space="preserve">Q05</t>
  </si>
  <si>
    <t xml:space="preserve">Cajas - producción</t>
  </si>
  <si>
    <t xml:space="preserve">Q06</t>
  </si>
  <si>
    <t xml:space="preserve">Cajas - venta</t>
  </si>
  <si>
    <t xml:space="preserve">Q07</t>
  </si>
  <si>
    <t xml:space="preserve">Recalc. utilización gabinetes = producción / capacidad</t>
  </si>
  <si>
    <t xml:space="preserve">15</t>
  </si>
  <si>
    <t xml:space="preserve">Q08</t>
  </si>
  <si>
    <t xml:space="preserve">Recalc. utilización cajas</t>
  </si>
  <si>
    <t xml:space="preserve">Q09</t>
  </si>
  <si>
    <t xml:space="preserve">Aumento de capacidad gabinetes vs año 2</t>
  </si>
  <si>
    <t xml:space="preserve">3</t>
  </si>
  <si>
    <t xml:space="preserve">El texto (p. 3) menciona +10%; la tabla sube 46,7% (gabinetes) y 34,4% (cajas) desde el año 3.</t>
  </si>
  <si>
    <t xml:space="preserve">Q10</t>
  </si>
  <si>
    <t xml:space="preserve">Aumento de capacidad cajas vs año 2</t>
  </si>
  <si>
    <t xml:space="preserve">Q11</t>
  </si>
  <si>
    <t xml:space="preserve">Precio gabinete publicado (2 decimales)</t>
  </si>
  <si>
    <t xml:space="preserve">Q12</t>
  </si>
  <si>
    <t xml:space="preserve">Precio caja publicado (2 decimales)</t>
  </si>
  <si>
    <t xml:space="preserve">Q13</t>
  </si>
  <si>
    <t xml:space="preserve">Recalc. precio gabinete = P30 x (1+P32)^(año-1)</t>
  </si>
  <si>
    <t xml:space="preserve">Q14</t>
  </si>
  <si>
    <t xml:space="preserve">Recalc. precio caja</t>
  </si>
  <si>
    <t xml:space="preserve">Q15</t>
  </si>
  <si>
    <t xml:space="preserve">Ventas gabinetes publicadas</t>
  </si>
  <si>
    <t xml:space="preserve">Q16</t>
  </si>
  <si>
    <t xml:space="preserve">Ventas cajas publicadas</t>
  </si>
  <si>
    <t xml:space="preserve">Q17</t>
  </si>
  <si>
    <t xml:space="preserve">Ingresos totales publicados</t>
  </si>
  <si>
    <t xml:space="preserve">16, 23</t>
  </si>
  <si>
    <t xml:space="preserve">Q18</t>
  </si>
  <si>
    <t xml:space="preserve">Recalc. ventas gabinetes (precio sin redondear)</t>
  </si>
  <si>
    <t xml:space="preserve">Q19</t>
  </si>
  <si>
    <t xml:space="preserve">Recalc. ventas cajas</t>
  </si>
  <si>
    <t xml:space="preserve">Q20</t>
  </si>
  <si>
    <t xml:space="preserve">Recalc. ingresos totales</t>
  </si>
  <si>
    <t xml:space="preserve">Q21</t>
  </si>
  <si>
    <t xml:space="preserve">Dif. ingresos recalculados - publicados</t>
  </si>
  <si>
    <t xml:space="preserve">Q22</t>
  </si>
  <si>
    <t xml:space="preserve">Dif. suma productos publicados - total publicado</t>
  </si>
  <si>
    <t xml:space="preserve">S4. Materia prima e insumos (cuadros 9a y 9b)</t>
  </si>
  <si>
    <t xml:space="preserve">MP gabinetes publicada</t>
  </si>
  <si>
    <t xml:space="preserve">MP cajas publicada</t>
  </si>
  <si>
    <t xml:space="preserve">MP caja por pieza publicada</t>
  </si>
  <si>
    <t xml:space="preserve">Recalc. MP gabinetes = u x 82,65 x 1,01^(año-1)</t>
  </si>
  <si>
    <t xml:space="preserve">2, 17</t>
  </si>
  <si>
    <t xml:space="preserve">Recalc. MP cajas criterio PDF (1% solo una vez)</t>
  </si>
  <si>
    <t xml:space="preserve">Recalc. MP cajas con 1% acumulativo (texto p. 2)</t>
  </si>
  <si>
    <t xml:space="preserve">Dif. MP gabinetes recalc. - publicada</t>
  </si>
  <si>
    <t xml:space="preserve">Dif. MP cajas criterio PDF - publicada</t>
  </si>
  <si>
    <t xml:space="preserve">Efecto corrección 1% acumulativo cajas (acum. - publicada)</t>
  </si>
  <si>
    <t xml:space="preserve">Año 10 ≈ USD 74.413 antes de efectos asociados (despacho, packaging, imprevistos, CT).</t>
  </si>
  <si>
    <t xml:space="preserve">Insumos gabinetes publicados</t>
  </si>
  <si>
    <t xml:space="preserve">M11</t>
  </si>
  <si>
    <t xml:space="preserve">Insumos cajas publicados</t>
  </si>
  <si>
    <t xml:space="preserve">M12</t>
  </si>
  <si>
    <t xml:space="preserve">Consumibles gabinetes publicados</t>
  </si>
  <si>
    <t xml:space="preserve">M13</t>
  </si>
  <si>
    <t xml:space="preserve">Consumibles cajas publicados</t>
  </si>
  <si>
    <t xml:space="preserve">M14</t>
  </si>
  <si>
    <t xml:space="preserve">Dif. insumos+consumibles recalc. (u x costo unitario) - publicados</t>
  </si>
  <si>
    <t xml:space="preserve">Diferencias por redondeo del consumible inferido de gabinetes.</t>
  </si>
  <si>
    <t xml:space="preserve">S5. Nómina publicada (pp. 30-34). Salario mensual en Gs; dotación años 1-5 (6-10 = año 5)</t>
  </si>
  <si>
    <t xml:space="preserve">USD/mes publ.</t>
  </si>
  <si>
    <t xml:space="preserve">USD año 1 publ.</t>
  </si>
  <si>
    <t xml:space="preserve">Operador láser</t>
  </si>
  <si>
    <t xml:space="preserve">Doblador («Dobrador» en el PDF)</t>
  </si>
  <si>
    <t xml:space="preserve">Soldador («Soladador» en el PDF)</t>
  </si>
  <si>
    <t xml:space="preserve">Baño</t>
  </si>
  <si>
    <t xml:space="preserve">Pintor</t>
  </si>
  <si>
    <t xml:space="preserve">Montador</t>
  </si>
  <si>
    <t xml:space="preserve">Ayudante</t>
  </si>
  <si>
    <t xml:space="preserve">Gerente General</t>
  </si>
  <si>
    <t xml:space="preserve">Indirecto</t>
  </si>
  <si>
    <t xml:space="preserve">Gerente Industrial</t>
  </si>
  <si>
    <t xml:space="preserve">Coord. Prod. Corte y Deformación</t>
  </si>
  <si>
    <t xml:space="preserve">Coord. Prod. Soldadura</t>
  </si>
  <si>
    <t xml:space="preserve">Coord. Prod. Trat. Sup. y Pintura</t>
  </si>
  <si>
    <t xml:space="preserve">Coord. Prod. Montaje</t>
  </si>
  <si>
    <t xml:space="preserve">Mantenimiento</t>
  </si>
  <si>
    <t xml:space="preserve">PCP</t>
  </si>
  <si>
    <t xml:space="preserve">Analista PCP</t>
  </si>
  <si>
    <t xml:space="preserve">Depósito</t>
  </si>
  <si>
    <t xml:space="preserve">Compras</t>
  </si>
  <si>
    <t xml:space="preserve">Logística/Comex</t>
  </si>
  <si>
    <t xml:space="preserve">Coord. Control Calidad</t>
  </si>
  <si>
    <t xml:space="preserve">Asistente Control Calidad</t>
  </si>
  <si>
    <t xml:space="preserve">Coord. Procesos</t>
  </si>
  <si>
    <t xml:space="preserve">Asistente Procesos</t>
  </si>
  <si>
    <t xml:space="preserve">Administrador</t>
  </si>
  <si>
    <t xml:space="preserve">Asistente Administrativo</t>
  </si>
  <si>
    <t xml:space="preserve">Dotación directa</t>
  </si>
  <si>
    <t xml:space="preserve">personas</t>
  </si>
  <si>
    <t xml:space="preserve">Dotación indirecta</t>
  </si>
  <si>
    <t xml:space="preserve">Remuneración base anual directos</t>
  </si>
  <si>
    <t xml:space="preserve">Gs</t>
  </si>
  <si>
    <t xml:space="preserve">N04</t>
  </si>
  <si>
    <t xml:space="preserve">Remuneración base anual indirectos</t>
  </si>
  <si>
    <t xml:space="preserve">N05</t>
  </si>
  <si>
    <t xml:space="preserve">Recalc. MO fábrica a TC nómina (8.000)</t>
  </si>
  <si>
    <t xml:space="preserve">N06</t>
  </si>
  <si>
    <t xml:space="preserve">Recalc. MO administrativa a TC nómina (8.000)</t>
  </si>
  <si>
    <t xml:space="preserve">N07</t>
  </si>
  <si>
    <t xml:space="preserve">Sensibilidad: MO fábrica a TC declarado (7.300)</t>
  </si>
  <si>
    <t xml:space="preserve">N08</t>
  </si>
  <si>
    <t xml:space="preserve">Sensibilidad: MO administrativa a TC declarado (7.300)</t>
  </si>
  <si>
    <t xml:space="preserve">N09</t>
  </si>
  <si>
    <t xml:space="preserve">Efecto coherencia cambiaria (remuneración + prestaciones)</t>
  </si>
  <si>
    <t xml:space="preserve">Año 1 ≈ USD 59.730. Sensibilidad por coherencia cambiaria, no dato salarial real de 2026.</t>
  </si>
  <si>
    <t xml:space="preserve">S6. Costos anuales (cuadro 10a) — publicado</t>
  </si>
  <si>
    <t xml:space="preserve">a Materia prima</t>
  </si>
  <si>
    <t xml:space="preserve">b Insumos</t>
  </si>
  <si>
    <t xml:space="preserve">c Insumos consumibles</t>
  </si>
  <si>
    <t xml:space="preserve">MOD</t>
  </si>
  <si>
    <t xml:space="preserve">d Mano de obra fábrica</t>
  </si>
  <si>
    <t xml:space="preserve">PRD</t>
  </si>
  <si>
    <t xml:space="preserve">e Prestaciones sociales 43,09%</t>
  </si>
  <si>
    <t xml:space="preserve">ALD</t>
  </si>
  <si>
    <t xml:space="preserve">h Alimentación de personal</t>
  </si>
  <si>
    <t xml:space="preserve">i Flete marítimo + terrestre MP</t>
  </si>
  <si>
    <t xml:space="preserve">j Energía eléctrica planta</t>
  </si>
  <si>
    <t xml:space="preserve">k Mantenimiento y reparaciones</t>
  </si>
  <si>
    <t xml:space="preserve">l Despachos de importación 3%</t>
  </si>
  <si>
    <t xml:space="preserve">SEG</t>
  </si>
  <si>
    <t xml:space="preserve">m Seguros caución maquila</t>
  </si>
  <si>
    <t xml:space="preserve">o Packaging 1%</t>
  </si>
  <si>
    <t xml:space="preserve">IMP</t>
  </si>
  <si>
    <t xml:space="preserve">q Imprevistos 5%</t>
  </si>
  <si>
    <t xml:space="preserve">TRI</t>
  </si>
  <si>
    <t xml:space="preserve">r Tasas y tributos - maquila 1%</t>
  </si>
  <si>
    <t xml:space="preserve">PROD</t>
  </si>
  <si>
    <t xml:space="preserve">1 TOTAL COSTOS DE PRODUCCIÓN</t>
  </si>
  <si>
    <t xml:space="preserve">MOA</t>
  </si>
  <si>
    <t xml:space="preserve">a Mano de obra administrativa</t>
  </si>
  <si>
    <t xml:space="preserve">PRA</t>
  </si>
  <si>
    <t xml:space="preserve">b Prestaciones sociales 43,09%</t>
  </si>
  <si>
    <t xml:space="preserve">ALA</t>
  </si>
  <si>
    <t xml:space="preserve">c Alimentación de personal</t>
  </si>
  <si>
    <t xml:space="preserve">d Agua, comunicaciones y electricidad</t>
  </si>
  <si>
    <t xml:space="preserve">e Alquiler nave industrial (USD 4,4/m2 con IVA)</t>
  </si>
  <si>
    <t xml:space="preserve">f Mantenimiento y reparaciones</t>
  </si>
  <si>
    <t xml:space="preserve">g Seguros sobre activos fijos</t>
  </si>
  <si>
    <t xml:space="preserve">h Gastos generales</t>
  </si>
  <si>
    <t xml:space="preserve">j Honorarios y otros fijos</t>
  </si>
  <si>
    <t xml:space="preserve">l Expensas USD 0,2/m2</t>
  </si>
  <si>
    <t xml:space="preserve">IMA</t>
  </si>
  <si>
    <t xml:space="preserve">k Imprevistos 5%</t>
  </si>
  <si>
    <t xml:space="preserve">ADM</t>
  </si>
  <si>
    <t xml:space="preserve">2 TOTAL GASTOS DE ADMINISTRACIÓN</t>
  </si>
  <si>
    <t xml:space="preserve">GV</t>
  </si>
  <si>
    <t xml:space="preserve">3 Gastos de ventas</t>
  </si>
  <si>
    <t xml:space="preserve">DEP</t>
  </si>
  <si>
    <t xml:space="preserve">4 Depreciación (gastos no desembolsados)</t>
  </si>
  <si>
    <t xml:space="preserve">FIN</t>
  </si>
  <si>
    <t xml:space="preserve">5 Gastos financieros (incluye IVA)</t>
  </si>
  <si>
    <t xml:space="preserve">TOT</t>
  </si>
  <si>
    <t xml:space="preserve">TOTAL COSTOS ANUALES</t>
  </si>
  <si>
    <t xml:space="preserve">S6b. Cuadro 10a — reconstrucción con bases identificadas (cálculo inferido; ver columna Q)</t>
  </si>
  <si>
    <t xml:space="preserve">F01</t>
  </si>
  <si>
    <t xml:space="preserve">Flete MP por caja inferido (resuelve años 1-2)</t>
  </si>
  <si>
    <t xml:space="preserve">b = (F2·G1 - F1·G2)/(C2·G1 - C1·G2). Ajuste exacto también en años 3 y 4. Inferido; confirmar con el origen.</t>
  </si>
  <si>
    <t xml:space="preserve">F02</t>
  </si>
  <si>
    <t xml:space="preserve">Flete MP por gabinete inferido</t>
  </si>
  <si>
    <t xml:space="preserve">F03</t>
  </si>
  <si>
    <t xml:space="preserve">Energía planta inferida en Gs</t>
  </si>
  <si>
    <t xml:space="preserve">Gs/año</t>
  </si>
  <si>
    <t xml:space="preserve">USD 23.014 x 7.300 ≈ Gs 168.000.000 (monto redondo). Inferencia de moneda de origen; confirmar.</t>
  </si>
  <si>
    <t xml:space="preserve">F04</t>
  </si>
  <si>
    <t xml:space="preserve">Agua, comunicaciones y electricidad inferida en Gs</t>
  </si>
  <si>
    <t xml:space="preserve">F05</t>
  </si>
  <si>
    <t xml:space="preserve">Mantenimiento administración inferido en Gs</t>
  </si>
  <si>
    <t xml:space="preserve">F06</t>
  </si>
  <si>
    <t xml:space="preserve">Seguros activos fijos inferidos en Gs</t>
  </si>
  <si>
    <t xml:space="preserve">F07</t>
  </si>
  <si>
    <t xml:space="preserve">Honorarios y otros fijos inferidos en Gs</t>
  </si>
  <si>
    <t xml:space="preserve">F08</t>
  </si>
  <si>
    <t xml:space="preserve">Mantenimiento planta: incremento lineal anual (% del año 1)</t>
  </si>
  <si>
    <t xml:space="preserve">Inferido: 29.708 + 594,16 por año (= 2% de 29.708; también = 5% de maquinaria+infraestructura 594.166, +0,1% anual).</t>
  </si>
  <si>
    <t xml:space="preserve">F09</t>
  </si>
  <si>
    <t xml:space="preserve">Seguro de caución: % sobre ventas</t>
  </si>
  <si>
    <t xml:space="preserve">Inferido exacto: 4.850 / 4.850.000.</t>
  </si>
  <si>
    <t xml:space="preserve">Recalc. a Materia prima</t>
  </si>
  <si>
    <t xml:space="preserve">Suma cuadro 9a (gabinetes + cajas).</t>
  </si>
  <si>
    <t xml:space="preserve">Recalc. b Insumos</t>
  </si>
  <si>
    <t xml:space="preserve">Suma cuadro 9b.</t>
  </si>
  <si>
    <t xml:space="preserve">Recalc. c Insumos consumibles</t>
  </si>
  <si>
    <t xml:space="preserve">Recalc. d Mano de obra fábrica</t>
  </si>
  <si>
    <t xml:space="preserve">Nómina directa a Gs 8.000 (TC implícito).</t>
  </si>
  <si>
    <t xml:space="preserve">Recalc. e Prestaciones sociales 43,09%</t>
  </si>
  <si>
    <t xml:space="preserve">43,09% x MO fábrica.</t>
  </si>
  <si>
    <t xml:space="preserve">Recalc. h Alimentación de personal</t>
  </si>
  <si>
    <t xml:space="preserve">Gs 576.000/persona/mes a Gs 7.300.</t>
  </si>
  <si>
    <t xml:space="preserve">Recalc. i Flete marítimo + terrestre MP</t>
  </si>
  <si>
    <t xml:space="preserve">USD/u inferidos (F01-F02).</t>
  </si>
  <si>
    <t xml:space="preserve">Recalc. j Energía eléctrica planta</t>
  </si>
  <si>
    <t xml:space="preserve">Gs 168 M / 7.300.</t>
  </si>
  <si>
    <t xml:space="preserve">Recalc. k Mantenimiento y reparaciones</t>
  </si>
  <si>
    <t xml:space="preserve">Año 1 publicado + 2% lineal.</t>
  </si>
  <si>
    <t xml:space="preserve">Recalc. l Despachos de importación 3%</t>
  </si>
  <si>
    <t xml:space="preserve">Base identificada: 3% x (MP + insumos).</t>
  </si>
  <si>
    <t xml:space="preserve">Recalc. m Seguros caución maquila</t>
  </si>
  <si>
    <t xml:space="preserve">0,1% x ventas.</t>
  </si>
  <si>
    <t xml:space="preserve">Recalc. o Packaging 1%</t>
  </si>
  <si>
    <t xml:space="preserve">Base identificada: 1% x (MP+insumos+consumibles+flete+MO fábrica+prestaciones+alimentación).</t>
  </si>
  <si>
    <t xml:space="preserve">Recalc. q Imprevistos 5%</t>
  </si>
  <si>
    <t xml:space="preserve">Base identificada: 5% x costos de producción excepto imprevistos y tributo.</t>
  </si>
  <si>
    <t xml:space="preserve">Recalc. r Tasas y tributos - maquila 1%</t>
  </si>
  <si>
    <t xml:space="preserve">1% x ventas exportadas.</t>
  </si>
  <si>
    <t xml:space="preserve">Recalc. 1 TOTAL COSTOS DE PRODUCCIÓN</t>
  </si>
  <si>
    <t xml:space="preserve">Suma.</t>
  </si>
  <si>
    <t xml:space="preserve">Recalc. a Mano de obra administrativa</t>
  </si>
  <si>
    <t xml:space="preserve">Nómina indirecta (22) a Gs 8.000.</t>
  </si>
  <si>
    <t xml:space="preserve">Recalc. b Prestaciones sociales 43,09%</t>
  </si>
  <si>
    <t xml:space="preserve">43,09%.</t>
  </si>
  <si>
    <t xml:space="preserve">Recalc. c Alimentación de personal</t>
  </si>
  <si>
    <t xml:space="preserve">Gs 576.000/persona/mes.</t>
  </si>
  <si>
    <t xml:space="preserve">Recalc. d Agua, comunicaciones y electricidad</t>
  </si>
  <si>
    <t xml:space="preserve">Gs 9 M / 7.300.</t>
  </si>
  <si>
    <t xml:space="preserve">Recalc. e Alquiler nave industrial (USD 4,4/m2 con IVA)</t>
  </si>
  <si>
    <t xml:space="preserve">3.865 m2 x USD 4 x 12 x 1,10 x 1,03^(año-1).</t>
  </si>
  <si>
    <t xml:space="preserve">Recalc. f Mantenimiento y reparaciones</t>
  </si>
  <si>
    <t xml:space="preserve">Gs 36 M / 7.300.</t>
  </si>
  <si>
    <t xml:space="preserve">Recalc. g Seguros sobre activos fijos</t>
  </si>
  <si>
    <t xml:space="preserve">Gs 60 M / 7.300.</t>
  </si>
  <si>
    <t xml:space="preserve">Recalc. h Gastos generales</t>
  </si>
  <si>
    <t xml:space="preserve">Publicado (moneda de origen no identificable).</t>
  </si>
  <si>
    <t xml:space="preserve">Recalc. j Honorarios y otros fijos</t>
  </si>
  <si>
    <t xml:space="preserve">Gs 182 M / 7.300.</t>
  </si>
  <si>
    <t xml:space="preserve">Recalc. l Expensas USD 0,2/m2</t>
  </si>
  <si>
    <t xml:space="preserve">3.865 m2 x USD 0,20 x 12 x 1,03^(año-1).</t>
  </si>
  <si>
    <t xml:space="preserve">Recalc. k Imprevistos 5%</t>
  </si>
  <si>
    <t xml:space="preserve">Base identificada: 5% x administración excepto alquiler y expensas.</t>
  </si>
  <si>
    <t xml:space="preserve">Recalc. 2 TOTAL GASTOS DE ADMINISTRACIÓN</t>
  </si>
  <si>
    <t xml:space="preserve">S6c. Cuadro 10a — diferencias reconstrucción - publicado (tolerancia: redondeo)</t>
  </si>
  <si>
    <t xml:space="preserve">Dif. MP</t>
  </si>
  <si>
    <t xml:space="preserve">Dif. INS</t>
  </si>
  <si>
    <t xml:space="preserve">Dif. CON</t>
  </si>
  <si>
    <t xml:space="preserve">Dif. MOD</t>
  </si>
  <si>
    <t xml:space="preserve">Dif. PRD</t>
  </si>
  <si>
    <t xml:space="preserve">Dif. ALD</t>
  </si>
  <si>
    <t xml:space="preserve">Dif. FLE</t>
  </si>
  <si>
    <t xml:space="preserve">Dif. ENE</t>
  </si>
  <si>
    <t xml:space="preserve">Dif. MAN</t>
  </si>
  <si>
    <t xml:space="preserve">Dif. DES</t>
  </si>
  <si>
    <t xml:space="preserve">Dif. SEG</t>
  </si>
  <si>
    <t xml:space="preserve">Dif. PKG</t>
  </si>
  <si>
    <t xml:space="preserve">Dif. IMP</t>
  </si>
  <si>
    <t xml:space="preserve">Dif. TRI</t>
  </si>
  <si>
    <t xml:space="preserve">Dif. PROD</t>
  </si>
  <si>
    <t xml:space="preserve">Dif. MOA</t>
  </si>
  <si>
    <t xml:space="preserve">Dif. PRA</t>
  </si>
  <si>
    <t xml:space="preserve">Dif. ALA</t>
  </si>
  <si>
    <t xml:space="preserve">Dif. SRV</t>
  </si>
  <si>
    <t xml:space="preserve">Dif. ALQ</t>
  </si>
  <si>
    <t xml:space="preserve">Dif. MAA</t>
  </si>
  <si>
    <t xml:space="preserve">Dif. SGA</t>
  </si>
  <si>
    <t xml:space="preserve">Dif. GG</t>
  </si>
  <si>
    <t xml:space="preserve">Dif. HON</t>
  </si>
  <si>
    <t xml:space="preserve">Dif. EXP</t>
  </si>
  <si>
    <t xml:space="preserve">Dif. IMA</t>
  </si>
  <si>
    <t xml:space="preserve">Dif. ADM</t>
  </si>
  <si>
    <t xml:space="preserve">DMX</t>
  </si>
  <si>
    <t xml:space="preserve">Máxima diferencia absoluta del bloque (control)</t>
  </si>
  <si>
    <t xml:space="preserve">S7. Costos unitarios por producto (cuadro 10b) y márgenes</t>
  </si>
  <si>
    <t xml:space="preserve">U01</t>
  </si>
  <si>
    <t xml:space="preserve">Costo MP e insumos gabinetes (base directa 10b)</t>
  </si>
  <si>
    <t xml:space="preserve">20</t>
  </si>
  <si>
    <t xml:space="preserve">U02</t>
  </si>
  <si>
    <t xml:space="preserve">Costo MP e insumos cajas (base directa 10b)</t>
  </si>
  <si>
    <t xml:space="preserve">U03</t>
  </si>
  <si>
    <t xml:space="preserve">«Margen bruto %» gabinetes publicado</t>
  </si>
  <si>
    <t xml:space="preserve">U04</t>
  </si>
  <si>
    <t xml:space="preserve">«Margen bruto %» cajas publicado</t>
  </si>
  <si>
    <t xml:space="preserve">U05</t>
  </si>
  <si>
    <t xml:space="preserve">Recalc. costo directo / precio gabinetes</t>
  </si>
  <si>
    <t xml:space="preserve">Coincide con el «margen» publicado: el PDF rotula como margen el cociente costo/precio.</t>
  </si>
  <si>
    <t xml:space="preserve">U06</t>
  </si>
  <si>
    <t xml:space="preserve">Margen sobre costo parcial incluido gabinetes = (precio - costo)/precio</t>
  </si>
  <si>
    <t xml:space="preserve">U07</t>
  </si>
  <si>
    <t xml:space="preserve">Recalc. costo directo / precio cajas</t>
  </si>
  <si>
    <t xml:space="preserve">U08</t>
  </si>
  <si>
    <t xml:space="preserve">Margen sobre costo parcial incluido cajas</t>
  </si>
  <si>
    <t xml:space="preserve">U09</t>
  </si>
  <si>
    <t xml:space="preserve">Dif. base directa 10b vs MP+insumos+consumibles+flete (10a)</t>
  </si>
  <si>
    <t xml:space="preserve">19-21</t>
  </si>
  <si>
    <t xml:space="preserve">Año 1: -25.830. El 10b asigna flete a USD 0,145/kg; el 10a implica 23,20 y 2,08 USD/u.</t>
  </si>
  <si>
    <t xml:space="preserve">U10</t>
  </si>
  <si>
    <t xml:space="preserve">Flete implícito 10b por kg (gabinetes)</t>
  </si>
  <si>
    <t xml:space="preserve">USD/kg</t>
  </si>
  <si>
    <t xml:space="preserve">U11</t>
  </si>
  <si>
    <t xml:space="preserve">Costo total asignado cajas (10b)</t>
  </si>
  <si>
    <t xml:space="preserve">U12</t>
  </si>
  <si>
    <t xml:space="preserve">Costo total asignado gabinetes (10b)</t>
  </si>
  <si>
    <t xml:space="preserve">U13</t>
  </si>
  <si>
    <t xml:space="preserve">Resultado asignado cajas = ventas - costo total asignado</t>
  </si>
  <si>
    <t xml:space="preserve">Año 1: -19.801 por prorrateo de costos comunes según costo directo. La contribución directa es positiva.</t>
  </si>
  <si>
    <t xml:space="preserve">U14</t>
  </si>
  <si>
    <t xml:space="preserve">Contribución directa cajas = ventas - base directa 10b</t>
  </si>
  <si>
    <t xml:space="preserve">U15</t>
  </si>
  <si>
    <t xml:space="preserve">Participación gabinetes en otros costos (10b) vs costo directo</t>
  </si>
  <si>
    <t xml:space="preserve">Reparto de costos comunes proporcional al costo directo (criterio provisional del PDF).</t>
  </si>
  <si>
    <t xml:space="preserve">S8. Servicio de la deuda (cuadro 13) — publicado y reproducción mensual</t>
  </si>
  <si>
    <t xml:space="preserve">Amortizaciones publicadas</t>
  </si>
  <si>
    <t xml:space="preserve">22</t>
  </si>
  <si>
    <t xml:space="preserve">Intereses publicados</t>
  </si>
  <si>
    <t xml:space="preserve">IVA sobre intereses publicado</t>
  </si>
  <si>
    <t xml:space="preserve">«% amortizaciones» publicado (fila inconsistente)</t>
  </si>
  <si>
    <t xml:space="preserve">No corresponde a los montos: se recalcula en D08.</t>
  </si>
  <si>
    <t xml:space="preserve">Recalc. amortización (cronograma mensual abajo)</t>
  </si>
  <si>
    <t xml:space="preserve">Recalc. intereses</t>
  </si>
  <si>
    <t xml:space="preserve">Recalc. IVA sobre intereses</t>
  </si>
  <si>
    <t xml:space="preserve">D08</t>
  </si>
  <si>
    <t xml:space="preserve">Recalc. % amortización sobre préstamo</t>
  </si>
  <si>
    <t xml:space="preserve">D09</t>
  </si>
  <si>
    <t xml:space="preserve">Dif. (amortización + intereses) recalc. - publicado</t>
  </si>
  <si>
    <t xml:space="preserve">Cronograma mensual préstamo original</t>
  </si>
  <si>
    <t xml:space="preserve">Mes</t>
  </si>
  <si>
    <t xml:space="preserve">Interés</t>
  </si>
  <si>
    <t xml:space="preserve">Amortización</t>
  </si>
  <si>
    <t xml:space="preserve">Cuota</t>
  </si>
  <si>
    <t xml:space="preserve">IVA interés</t>
  </si>
  <si>
    <t xml:space="preserve">Saldo final</t>
  </si>
  <si>
    <t xml:space="preserve">D10</t>
  </si>
  <si>
    <t xml:space="preserve">Interés mensual en gracia (control 20.936,9025)</t>
  </si>
  <si>
    <t xml:space="preserve">D11</t>
  </si>
  <si>
    <t xml:space="preserve">Cuota francesa sin IVA (control 63.060,2066)</t>
  </si>
  <si>
    <t xml:space="preserve">D12</t>
  </si>
  <si>
    <t xml:space="preserve">Saldo final mes 60 (debe ser 0)</t>
  </si>
  <si>
    <t xml:space="preserve">S9. Resultados (cuadro 15) y capital de trabajo (cuadro 16)</t>
  </si>
  <si>
    <t xml:space="preserve">R01</t>
  </si>
  <si>
    <t xml:space="preserve">EBITDA publicado («fondos generados en operaciones»)</t>
  </si>
  <si>
    <t xml:space="preserve">23</t>
  </si>
  <si>
    <t xml:space="preserve">R02</t>
  </si>
  <si>
    <t xml:space="preserve">Utilidad neta publicada</t>
  </si>
  <si>
    <t xml:space="preserve">R03</t>
  </si>
  <si>
    <t xml:space="preserve">Dividendos devengados (% de utilidad)</t>
  </si>
  <si>
    <t xml:space="preserve">R04</t>
  </si>
  <si>
    <t xml:space="preserve">Recalc. EBITDA = ventas - producción - administración (publicados)</t>
  </si>
  <si>
    <t xml:space="preserve">R05</t>
  </si>
  <si>
    <t xml:space="preserve">Recalc. utilidad = EBITDA - depreciación - financieros</t>
  </si>
  <si>
    <t xml:space="preserve">R06</t>
  </si>
  <si>
    <t xml:space="preserve">Dif. EBITDA recalc. - publicado</t>
  </si>
  <si>
    <t xml:space="preserve">R07</t>
  </si>
  <si>
    <t xml:space="preserve">Dif. utilidad recalc. - publicada</t>
  </si>
  <si>
    <t xml:space="preserve">R08</t>
  </si>
  <si>
    <t xml:space="preserve">Dif. gastos financieros (int. + IVA) recalc. - publicados</t>
  </si>
  <si>
    <t xml:space="preserve">R09</t>
  </si>
  <si>
    <t xml:space="preserve">Dividendos declarados publicados</t>
  </si>
  <si>
    <t xml:space="preserve">W01</t>
  </si>
  <si>
    <t xml:space="preserve">Caja y bancos (3 días)</t>
  </si>
  <si>
    <t xml:space="preserve">W02</t>
  </si>
  <si>
    <t xml:space="preserve">Sueldos y anticipos (15 días)</t>
  </si>
  <si>
    <t xml:space="preserve">W03</t>
  </si>
  <si>
    <t xml:space="preserve">Stock de materiales (120 días)</t>
  </si>
  <si>
    <t xml:space="preserve">W04</t>
  </si>
  <si>
    <t xml:space="preserve">«Ventas a crédito» (120 días)</t>
  </si>
  <si>
    <t xml:space="preserve">W05</t>
  </si>
  <si>
    <t xml:space="preserve">Productos terminados (10 días)</t>
  </si>
  <si>
    <t xml:space="preserve">W06</t>
  </si>
  <si>
    <t xml:space="preserve">Proveedores menores (30 días)</t>
  </si>
  <si>
    <t xml:space="preserve">W07</t>
  </si>
  <si>
    <t xml:space="preserve">Capital de trabajo neto publicado</t>
  </si>
  <si>
    <t xml:space="preserve">W08</t>
  </si>
  <si>
    <t xml:space="preserve">Recalc. caja = ventas x 3/365</t>
  </si>
  <si>
    <t xml:space="preserve">W09</t>
  </si>
  <si>
    <t xml:space="preserve">Recalc. sueldos = (MO fábrica + MO adm.) x 15/365</t>
  </si>
  <si>
    <t xml:space="preserve">W10</t>
  </si>
  <si>
    <t xml:space="preserve">Recalc. stock = (MP + insumos + consumibles) x 120/365</t>
  </si>
  <si>
    <t xml:space="preserve">Excluye flete y despacho: base de valuación a revisar (costo de adquisición).</t>
  </si>
  <si>
    <t xml:space="preserve">W11</t>
  </si>
  <si>
    <t xml:space="preserve">Recalc. «ventas a crédito» = (producción + adm.) x 120/365</t>
  </si>
  <si>
    <t xml:space="preserve">Hallazgo: el PDF calcula la cuenta por cobrar sobre COSTOS, no sobre ventas.</t>
  </si>
  <si>
    <t xml:space="preserve">W12</t>
  </si>
  <si>
    <t xml:space="preserve">Alternativa: cuentas por cobrar = ventas x 120/365</t>
  </si>
  <si>
    <t xml:space="preserve">W13</t>
  </si>
  <si>
    <t xml:space="preserve">Dif. CxC sobre ventas - publicado</t>
  </si>
  <si>
    <t xml:space="preserve">Año 1 ≈ USD 188.391,55 (condicionado a ventas uniformes y 100% a crédito).</t>
  </si>
  <si>
    <t xml:space="preserve">W14</t>
  </si>
  <si>
    <t xml:space="preserve">Recalc. PT = (producción + adm.) x 10/365</t>
  </si>
  <si>
    <t xml:space="preserve">Incluye gastos administrativos en la valuación del inventario: criterio a corregir.</t>
  </si>
  <si>
    <t xml:space="preserve">W15</t>
  </si>
  <si>
    <t xml:space="preserve">Recalc. CT neto (con proveedores menores publicados)</t>
  </si>
  <si>
    <t xml:space="preserve">W16</t>
  </si>
  <si>
    <t xml:space="preserve">Dif. CT neto recalc. - publicado</t>
  </si>
  <si>
    <t xml:space="preserve">Proveedores menores: base de 30 días no identificada; se toma el publicado.</t>
  </si>
  <si>
    <t xml:space="preserve">W17</t>
  </si>
  <si>
    <t xml:space="preserve">Variación del CT (año siguiente - año actual), convención PDF</t>
  </si>
  <si>
    <t xml:space="preserve">W18</t>
  </si>
  <si>
    <t xml:space="preserve">Variación del CT para años 2 y 3 (control 1.087.311)</t>
  </si>
  <si>
    <t xml:space="preserve">W19</t>
  </si>
  <si>
    <t xml:space="preserve">Aportes adicionales años 1-2 (control 939.710)</t>
  </si>
  <si>
    <t xml:space="preserve">W20</t>
  </si>
  <si>
    <t xml:space="preserve">Dif. CT año 10 (cuadro 16) - recuperación cuadro 19</t>
  </si>
  <si>
    <t xml:space="preserve">24, 27</t>
  </si>
  <si>
    <t xml:space="preserve">USD 6.525 sin explicación en el PDF.</t>
  </si>
  <si>
    <t xml:space="preserve">S10. Punto de equilibrio (17), fuentes y usos (18), VAN-TIR (19), payback y depreciación (20)</t>
  </si>
  <si>
    <t xml:space="preserve">Costos variables publicados (cuadro 17)</t>
  </si>
  <si>
    <t xml:space="preserve">25</t>
  </si>
  <si>
    <t xml:space="preserve">Costos fijos publicados (incl. financieros y depreciación)</t>
  </si>
  <si>
    <t xml:space="preserve">Punto de equilibrio publicado (unidades mezcladas)</t>
  </si>
  <si>
    <t xml:space="preserve">Recalc. equilibrio en ventas = CF / (1 - CV/ventas)</t>
  </si>
  <si>
    <t xml:space="preserve">Recalc. unidades = equilibrio en ventas / ventas x unidades totales</t>
  </si>
  <si>
    <t xml:space="preserve">Solo válido con el mix del año. Ver equilibrio por producto en Resultados_Anuales.</t>
  </si>
  <si>
    <t xml:space="preserve">Gabinetes en equilibrio (manteniendo mix)</t>
  </si>
  <si>
    <t xml:space="preserve">Cajas en equilibrio (manteniendo mix)</t>
  </si>
  <si>
    <t xml:space="preserve">S01</t>
  </si>
  <si>
    <t xml:space="preserve">Usos: inversiones fijas (cuadro 18)</t>
  </si>
  <si>
    <t xml:space="preserve">S02</t>
  </si>
  <si>
    <t xml:space="preserve">Usos: necesidad de capital de trabajo</t>
  </si>
  <si>
    <t xml:space="preserve">S03</t>
  </si>
  <si>
    <t xml:space="preserve">Usos: dividendos pagados (desfase de un año)</t>
  </si>
  <si>
    <t xml:space="preserve">S04</t>
  </si>
  <si>
    <t xml:space="preserve">Fuentes: aportes propios</t>
  </si>
  <si>
    <t xml:space="preserve">S05</t>
  </si>
  <si>
    <t xml:space="preserve">Saldo anual acumulado publicado (cuadro 18)</t>
  </si>
  <si>
    <t xml:space="preserve">S06</t>
  </si>
  <si>
    <t xml:space="preserve">Recalc. saldo = anterior + EBITDA + aportes - usos - servicio deuda</t>
  </si>
  <si>
    <t xml:space="preserve">S07</t>
  </si>
  <si>
    <t xml:space="preserve">Dif. saldo recalc. - publicado</t>
  </si>
  <si>
    <t xml:space="preserve">V01</t>
  </si>
  <si>
    <t xml:space="preserve">Flujo de beneficios netos publicado (cuadro 19)</t>
  </si>
  <si>
    <t xml:space="preserve">V02</t>
  </si>
  <si>
    <t xml:space="preserve">Recalc. = EBITDA + VR + recup. CT - inversión - CT - amortización - financieros</t>
  </si>
  <si>
    <t xml:space="preserve">V03</t>
  </si>
  <si>
    <t xml:space="preserve">Dif. flujo recalc. - publicado</t>
  </si>
  <si>
    <t xml:space="preserve">V04</t>
  </si>
  <si>
    <t xml:space="preserve">Tasa ponderada exacta = (200.000 x 16,32% + 2.791.587 x 9%) / 2.991.587</t>
  </si>
  <si>
    <t xml:space="preserve">V05</t>
  </si>
  <si>
    <t xml:space="preserve">VAN reproducido (tasa exacta) — PUBLICADO, METODOLOGÍA POR DEPURAR</t>
  </si>
  <si>
    <t xml:space="preserve">V06</t>
  </si>
  <si>
    <t xml:space="preserve">VAN con 9,49% exacto</t>
  </si>
  <si>
    <t xml:space="preserve">≈ USD 357 menos: efecto de precisión de la tasa, no error del VAN publicado.</t>
  </si>
  <si>
    <t xml:space="preserve">V07</t>
  </si>
  <si>
    <t xml:space="preserve">TIR reproducida — PUBLICADA, METODOLOGÍA POR DEPURAR</t>
  </si>
  <si>
    <t xml:space="preserve">El cuadro 19 descuenta toda la inversión y resta servicio de deuda sin registrar el préstamo: mezcla perspectivas.</t>
  </si>
  <si>
    <t xml:space="preserve">V08</t>
  </si>
  <si>
    <t xml:space="preserve">Dif. VAN reproducido - publicado</t>
  </si>
  <si>
    <t xml:space="preserve">V09</t>
  </si>
  <si>
    <t xml:space="preserve">Dif. TIR reproducida - publicada</t>
  </si>
  <si>
    <t xml:space="preserve">p.p.</t>
  </si>
  <si>
    <t xml:space="preserve">V10</t>
  </si>
  <si>
    <t xml:space="preserve">Flujo publicado acumulado (payback simple, misma serie del VAN)</t>
  </si>
  <si>
    <t xml:space="preserve">V11</t>
  </si>
  <si>
    <t xml:space="preserve">Flujo publicado descontado (tasa exacta)</t>
  </si>
  <si>
    <t xml:space="preserve">V12</t>
  </si>
  <si>
    <t xml:space="preserve">Descontado acumulado (payback descontado)</t>
  </si>
  <si>
    <t xml:space="preserve">V13</t>
  </si>
  <si>
    <t xml:space="preserve">Payback simple (misma serie del VAN, interpolación uniforme)</t>
  </si>
  <si>
    <t xml:space="preserve">≈ 5,71 años.</t>
  </si>
  <si>
    <t xml:space="preserve">V14</t>
  </si>
  <si>
    <t xml:space="preserve">Payback descontado (misma serie, tasa exacta)</t>
  </si>
  <si>
    <t xml:space="preserve">≈ 6,89 años (cruce durante el año 7).</t>
  </si>
  <si>
    <t xml:space="preserve">V15</t>
  </si>
  <si>
    <t xml:space="preserve">Serie de payback publicada (parte de -2.791.587)</t>
  </si>
  <si>
    <t xml:space="preserve">Inicia en -2.791.587 (préstamo), no en -2.991.587 como el VAN: diferencia USD 200.000.</t>
  </si>
  <si>
    <t xml:space="preserve">S10b. Reexpresión de perspectivas con datos del PDF (anual, fin de año) — conciliación metodológica</t>
  </si>
  <si>
    <t xml:space="preserve">X01</t>
  </si>
  <si>
    <t xml:space="preserve">FCFF con datos PDF = EBITDA - inversión - ΔCT + (año 10: recup. CT + VR)</t>
  </si>
  <si>
    <t xml:space="preserve">Excluye préstamo, intereses y amortizaciones. Mantiene los supuestos (y errores) de CT del PDF.</t>
  </si>
  <si>
    <t xml:space="preserve">X02</t>
  </si>
  <si>
    <t xml:space="preserve">VAN FCFF datos PDF a la tasa ponderada exacta</t>
  </si>
  <si>
    <t xml:space="preserve">X03</t>
  </si>
  <si>
    <t xml:space="preserve">TIR FCFF datos PDF (TIR del proyecto)</t>
  </si>
  <si>
    <t xml:space="preserve">X04</t>
  </si>
  <si>
    <t xml:space="preserve">Flujo socios datos PDF = -aportes + dividendos pagados + (año 10: saldo caja + recup. CT + VR)</t>
  </si>
  <si>
    <t xml:space="preserve">Valor final atribuible: caja acumulada no distribuida + CT + VR (deuda ya cancelada). No se suma FCFE no distribuido.</t>
  </si>
  <si>
    <t xml:space="preserve">X05</t>
  </si>
  <si>
    <t xml:space="preserve">VAN socios datos PDF a Ke 16,32%</t>
  </si>
  <si>
    <t xml:space="preserve">X06</t>
  </si>
  <si>
    <t xml:space="preserve">TIR socios datos PDF</t>
  </si>
  <si>
    <t xml:space="preserve">Z01</t>
  </si>
  <si>
    <t xml:space="preserve">Depreciación maquinaria y equipos (507.166 / 10)</t>
  </si>
  <si>
    <t xml:space="preserve">29</t>
  </si>
  <si>
    <t xml:space="preserve">Z02</t>
  </si>
  <si>
    <t xml:space="preserve">Depreciación infraestructura (87.000 / 10)</t>
  </si>
  <si>
    <t xml:space="preserve">Z03</t>
  </si>
  <si>
    <t xml:space="preserve">Depreciación otras inversiones (60.878 / 5)</t>
  </si>
  <si>
    <t xml:space="preserve">Z04</t>
  </si>
  <si>
    <t xml:space="preserve">Recalc. depreciación total</t>
  </si>
  <si>
    <t xml:space="preserve">Empieza en año 2 (nota del cuadro dice año 3). No incluye el CAPEX de USD 100.000 del año 2.</t>
  </si>
  <si>
    <t xml:space="preserve">Z05</t>
  </si>
  <si>
    <t xml:space="preserve">Dif. vs cuadro 10a</t>
  </si>
  <si>
    <t xml:space="preserve">Z06</t>
  </si>
  <si>
    <t xml:space="preserve">Valor neto contable al cierre del año 10 (activos del cuadro 20)</t>
  </si>
  <si>
    <t xml:space="preserve">≈ valor residual 59.417 publicado: es valor contable, no precio de venta realizable.</t>
  </si>
  <si>
    <t xml:space="preserve">Validaciones — controles de reproducción e integridad, registro de inconsistencias y pruebas</t>
  </si>
  <si>
    <t xml:space="preserve">Esta hoja revisa; no alimenta los cálculos del negocio. Estado «OK» cuando |diferencia| ≤ tolerancia.</t>
  </si>
  <si>
    <t xml:space="preserve">A. Controles con diferencia calculada y tolerancia</t>
  </si>
  <si>
    <t xml:space="preserve">Control</t>
  </si>
  <si>
    <t xml:space="preserve">Valor calculado</t>
  </si>
  <si>
    <t xml:space="preserve">Referencia</t>
  </si>
  <si>
    <t xml:space="preserve">Tolerancia</t>
  </si>
  <si>
    <t xml:space="preserve">Explicación de la tolerancia / resultado</t>
  </si>
  <si>
    <t xml:space="preserve">Inversión inicial = USD 655.044 + USD 2.336.543</t>
  </si>
  <si>
    <t xml:space="preserve">Exacto.</t>
  </si>
  <si>
    <t xml:space="preserve">Fuentes iniciales = USD 200.000 + USD 2.791.587</t>
  </si>
  <si>
    <t xml:space="preserve">Inversión fija = infraestructura + CIF + despacho + software + mobiliario</t>
  </si>
  <si>
    <t xml:space="preserve">CIF publicado 492.394 redondea 492.394,10.</t>
  </si>
  <si>
    <t xml:space="preserve">Ventas por producto suman ventas totales (PDF, máx. dif. anual)</t>
  </si>
  <si>
    <t xml:space="preserve">Redondeo de la publicación (±1).</t>
  </si>
  <si>
    <t xml:space="preserve">Ventas recalculadas (precio sin redondear) vs publicadas (máx. dif.)</t>
  </si>
  <si>
    <t xml:space="preserve">Precisión interna del precio.</t>
  </si>
  <si>
    <t xml:space="preserve">Reproducción cuadro 10a con bases identificadas (máx. dif. de todas las líneas)</t>
  </si>
  <si>
    <t xml:space="preserve">Hasta USD 9,3/año: coeficiente de prestaciones publicado 43,09% vs implícito ≈43,087%.</t>
  </si>
  <si>
    <t xml:space="preserve">EBITDA recalculado vs publicado (máx. dif.)</t>
  </si>
  <si>
    <t xml:space="preserve">Redondeo.</t>
  </si>
  <si>
    <t xml:space="preserve">Utilidad neta recalculada vs publicada (máx. dif.)</t>
  </si>
  <si>
    <t xml:space="preserve">Préstamo: suma de amortizaciones del cronograma = monto</t>
  </si>
  <si>
    <t xml:space="preserve">Cancela el préstamo.</t>
  </si>
  <si>
    <t xml:space="preserve">Préstamo: cuota francesa posterior (sin IVA)</t>
  </si>
  <si>
    <t xml:space="preserve">Control independiente del prompt.</t>
  </si>
  <si>
    <t xml:space="preserve">Préstamo: interés mensual en gracia</t>
  </si>
  <si>
    <t xml:space="preserve">Control independiente.</t>
  </si>
  <si>
    <t xml:space="preserve">Préstamo: (amortización + intereses) anuales vs cuadro 13 (máx. dif.)</t>
  </si>
  <si>
    <t xml:space="preserve">Redondeo de la publicación.</t>
  </si>
  <si>
    <t xml:space="preserve">VAN reproducido con tasa exacta vs publicado</t>
  </si>
  <si>
    <t xml:space="preserve">Diferencia ≈ USD 0,60 por redondeo de los flujos.</t>
  </si>
  <si>
    <t xml:space="preserve">TIR reproducida vs publicada</t>
  </si>
  <si>
    <t xml:space="preserve">22,6055% vs 22,61%.</t>
  </si>
  <si>
    <t xml:space="preserve">CT neto reconstruido (cuadro 16) vs publicado (máx. dif.)</t>
  </si>
  <si>
    <t xml:space="preserve">Con proveedores menores publicados (base no identificada).</t>
  </si>
  <si>
    <t xml:space="preserve">V16</t>
  </si>
  <si>
    <t xml:space="preserve">Flujo cuadro 19 reproducido vs publicado (máx. dif.)</t>
  </si>
  <si>
    <t xml:space="preserve">V17</t>
  </si>
  <si>
    <t xml:space="preserve">Saldo cuadro 18 reproducido vs publicado (máx. dif.)</t>
  </si>
  <si>
    <t xml:space="preserve">V18</t>
  </si>
  <si>
    <t xml:space="preserve">Motor: ventas anuales = suma de meses (total horizonte)</t>
  </si>
  <si>
    <t xml:space="preserve">Año = suma de flujos mensuales.</t>
  </si>
  <si>
    <t xml:space="preserve">V19</t>
  </si>
  <si>
    <t xml:space="preserve">Motor: balance de control cuadra todos los meses</t>
  </si>
  <si>
    <t xml:space="preserve">Activo - pasivo - patrimonio.</t>
  </si>
  <si>
    <t xml:space="preserve">V20</t>
  </si>
  <si>
    <t xml:space="preserve">Motor: método directo = método indirecto todos los meses</t>
  </si>
  <si>
    <t xml:space="preserve">EBITDA - ΔCT operativo - IRE vs cobros - pagos.</t>
  </si>
  <si>
    <t xml:space="preserve">V21</t>
  </si>
  <si>
    <t xml:space="preserve">Motor: préstamo 1 amortizado = desembolsado (si el horizonte cubre el plazo)</t>
  </si>
  <si>
    <t xml:space="preserve">Capital pagado + saldo final = desembolsos.</t>
  </si>
  <si>
    <t xml:space="preserve">V22</t>
  </si>
  <si>
    <t xml:space="preserve">Motor: saldo de préstamos nunca negativo</t>
  </si>
  <si>
    <t xml:space="preserve">0 = OK.</t>
  </si>
  <si>
    <t xml:space="preserve">V23</t>
  </si>
  <si>
    <t xml:space="preserve">Motor: depreciación acumulada ≤ base depreciable en servicio</t>
  </si>
  <si>
    <t xml:space="preserve">V24</t>
  </si>
  <si>
    <t xml:space="preserve">Motor: activo fijo neto final = devengado - depreciación acumulada</t>
  </si>
  <si>
    <t xml:space="preserve">Roll-forward.</t>
  </si>
  <si>
    <t xml:space="preserve">V25</t>
  </si>
  <si>
    <t xml:space="preserve">Motor: inventario de PT en unidades nunca negativo</t>
  </si>
  <si>
    <t xml:space="preserve">Inicial + producción - ventas = final.</t>
  </si>
  <si>
    <t xml:space="preserve">V26</t>
  </si>
  <si>
    <t xml:space="preserve">Mix de cobro: crédito + contado + anticipo = 100%</t>
  </si>
  <si>
    <t xml:space="preserve">Si difiere, las ventas no se cobran completas.</t>
  </si>
  <si>
    <t xml:space="preserve">V27</t>
  </si>
  <si>
    <t xml:space="preserve">CAPEX: costo final = ejecutado + comprometido + por contratar</t>
  </si>
  <si>
    <t xml:space="preserve">Estados excluyentes.</t>
  </si>
  <si>
    <t xml:space="preserve">V28</t>
  </si>
  <si>
    <t xml:space="preserve">CAPEX real: pagos mensuales cargados (T7) = pagado por ítem (T3)</t>
  </si>
  <si>
    <t xml:space="preserve">Debe conciliar cuando se carguen reales.</t>
  </si>
  <si>
    <t xml:space="preserve">V29</t>
  </si>
  <si>
    <t xml:space="preserve">Un faltante no equivale a cero.</t>
  </si>
  <si>
    <t xml:space="preserve">V30</t>
  </si>
  <si>
    <t xml:space="preserve">Horizonte dentro de la rejilla mensual</t>
  </si>
  <si>
    <t xml:space="preserve">Rejilla de 156 meses.</t>
  </si>
  <si>
    <t xml:space="preserve">V31</t>
  </si>
  <si>
    <t xml:space="preserve">Reales cargados con mes real de arranque informado (1 = OK)</t>
  </si>
  <si>
    <t xml:space="preserve">Con reales, cargar T1 «mes real de arranque»; si no, el atraso del escenario podría contradecir la operación real.</t>
  </si>
  <si>
    <t xml:space="preserve">V32</t>
  </si>
  <si>
    <t xml:space="preserve">Errores en indicadores clave (conteo)</t>
  </si>
  <si>
    <t xml:space="preserve">Indicadores no disponibles se informan con texto, no con cero.</t>
  </si>
  <si>
    <t xml:space="preserve">V33</t>
  </si>
  <si>
    <t xml:space="preserve">Base depurada: ventas año 1 del motor = PDF (válido con la base sin modificar, sin choque)</t>
  </si>
  <si>
    <t xml:space="preserve">Solo aplica con el escenario base y sin prueba de sensibilidad.</t>
  </si>
  <si>
    <t xml:space="preserve">V34</t>
  </si>
  <si>
    <t xml:space="preserve">Base depurada: CxC al cierre del año 1 = ventas x 120/365 (validación)</t>
  </si>
  <si>
    <t xml:space="preserve">Con ventas mensuales uniformes el calendario de cobro reproduce la aproximación anual.</t>
  </si>
  <si>
    <t xml:space="preserve">Controles en estado REVISAR</t>
  </si>
  <si>
    <t xml:space="preserve">Sin circularidades ni errores de fórmula: verificado con recálculo completo en LibreOffice (ver sección C).</t>
  </si>
  <si>
    <t xml:space="preserve">B. Registro de inconsistencias del PDF (dato original, comprobación, diferencia, criterio propuesto y estado)</t>
  </si>
  <si>
    <t xml:space="preserve">Inconsistencia (página)</t>
  </si>
  <si>
    <t xml:space="preserve">Dato publicado</t>
  </si>
  <si>
    <t xml:space="preserve">Comprobación</t>
  </si>
  <si>
    <t xml:space="preserve">Criterio propuesto y tratamiento en el modelo</t>
  </si>
  <si>
    <t xml:space="preserve">TC de la nómina 8.000 vs 7.300 declarado (pp. 4-5, 30-34). Remuneración + prestaciones año 1</t>
  </si>
  <si>
    <t xml:space="preserve">Corregido (C1)</t>
  </si>
  <si>
    <t xml:space="preserve">TC único por periodo; nómina en PYG convertida al TC del escenario. Efecto ≈ USD 59.730/año con 43,09%.</t>
  </si>
  <si>
    <t xml:space="preserve">Margen 10b rotulado como margen pero es costo/precio (p. 20). Gabinetes año 1</t>
  </si>
  <si>
    <t xml:space="preserve">Corregido (rótulo)</t>
  </si>
  <si>
    <t xml:space="preserve">Margen = (precio - costo)/precio ≈ 42,8% (gabinetes) y 35,7% (cajas) sobre costo parcial. Rentabilidad por producto rotulada en Resultados_Anuales.</t>
  </si>
  <si>
    <t xml:space="preserve">Cuentas por cobrar calculadas sobre costos (p. 24). Año 1</t>
  </si>
  <si>
    <t xml:space="preserve">Corregido (motor)</t>
  </si>
  <si>
    <t xml:space="preserve">Clientes = facturación a crédito - cobranzas con calendario de cohortes (DSO). No se usa ventas x DSO/365 salvo como control.</t>
  </si>
  <si>
    <t xml:space="preserve">MP de cajas sin 1% acumulativo (p. 2 vs p. 17). Año 10</t>
  </si>
  <si>
    <t xml:space="preserve">Corregido (C2) - confirmar</t>
  </si>
  <si>
    <t xml:space="preserve">Aplicar el texto (1% acumulativo) salvo que exista decisión comercial documentada.</t>
  </si>
  <si>
    <t xml:space="preserve">VAN/TIR del cuadro 19 mezclan flujo del proyecto y del accionista (p. 27)</t>
  </si>
  <si>
    <t xml:space="preserve">FCFF descontado a la tasa del proyecto y flujo de socios a Ke, por separado. El VAN publicado se conserva solo como referencia.</t>
  </si>
  <si>
    <t xml:space="preserve">Payback parte de -2.791.587 y el VAN de -2.991.587 (p. 28)</t>
  </si>
  <si>
    <t xml:space="preserve">Misma serie para VAN, TIR y payback. Payback simple ≈ 5,71 y descontado ≈ 6,89 años sobre la serie publicada.</t>
  </si>
  <si>
    <t xml:space="preserve">Aporte propio no termina en USD 200.000 (p. 26). Aportes adicionales vs ΔCT años 2-3</t>
  </si>
  <si>
    <t xml:space="preserve">Documentado</t>
  </si>
  <si>
    <t xml:space="preserve">6,7%/93,3% describe solo el momento inicial. 939.710 = aportes adicionales ≠ ΔCT años 2-3 (1.087.311).</t>
  </si>
  <si>
    <t xml:space="preserve">Depreciación desde año 2 (tabla) / año 3 (nota) con ventas desde año 1 (p. 29)</t>
  </si>
  <si>
    <t xml:space="preserve">Corregido (C3)</t>
  </si>
  <si>
    <t xml:space="preserve">Depreciación desde la puesta en servicio de cada ítem.</t>
  </si>
  <si>
    <t xml:space="preserve">CAPEX USD 100.000 del año 2 sin alta en el cuadro 20 (pp. 26-29)</t>
  </si>
  <si>
    <t xml:space="preserve">Corregido (C4) - vida provisional</t>
  </si>
  <si>
    <t xml:space="preserve">Se incorpora como ítem ADD con vida útil provisional de 10 años (no informada). Confirmar clase y vida útil.</t>
  </si>
  <si>
    <t xml:space="preserve">Recuperación de CT año 10: 3.974.293 vs CT cuadro 16 3.980.818 (pp. 24, 27)</t>
  </si>
  <si>
    <t xml:space="preserve">Sin explicación en el PDF</t>
  </si>
  <si>
    <t xml:space="preserve">Valor terminal explícito: liquidación realizable o negocio en marcha (sin sumar ambos).</t>
  </si>
  <si>
    <t xml:space="preserve">Valor residual 59.417 = valor neto contable, no precio de venta (p. 27, 29)</t>
  </si>
  <si>
    <t xml:space="preserve">Realización del activo fijo como parámetro (G24); requiere tasación.</t>
  </si>
  <si>
    <t xml:space="preserve">Base directa 10b usa flete a USD 0,145/kg y difiere del 10a (pp. 19-21). Año 1</t>
  </si>
  <si>
    <t xml:space="preserve">El 10a implica USD 23,20/gabinete y USD 2,08/caja (ajuste exacto 4 años). Se usa el 10a; confirmar con el origen.</t>
  </si>
  <si>
    <t xml:space="preserve">Caja con pérdida asignada año 1 por prorrateo de costos comunes (p. 20)</t>
  </si>
  <si>
    <t xml:space="preserve">La contribución directa es positiva. No eliminar el producto solo por absorber costos comunes; ver contribución y driver.</t>
  </si>
  <si>
    <t xml:space="preserve">Capacidad: texto +10% vs tabla +46,7% gabinetes / +34,4% cajas (pp. 3, 14)</t>
  </si>
  <si>
    <t xml:space="preserve">Pendiente de respaldo técnico</t>
  </si>
  <si>
    <t xml:space="preserve">Vincular capacidad con equipos, turnos y cuellos de botella; E25 permite capacidad adicional explícita.</t>
  </si>
  <si>
    <t xml:space="preserve">Costos constantes con producción creciente (energía, salarios, insumos) (p. 19)</t>
  </si>
  <si>
    <t xml:space="preserve">Supuesto histórico</t>
  </si>
  <si>
    <t xml:space="preserve">Drivers editables: energía variable (E90), ajuste salarial (E46), inflación de fijos (E47), productividad (E45).</t>
  </si>
  <si>
    <t xml:space="preserve">Equilibrio en unidades mezcladas (p. 25). Año 1</t>
  </si>
  <si>
    <t xml:space="preserve">Corregido (presentación)</t>
  </si>
  <si>
    <t xml:space="preserve">Equilibrio en ventas con mix del año y unidades por producto (Resultados_Anuales).</t>
  </si>
  <si>
    <t xml:space="preserve">Tributo 1% s/ ventas e IVA como costo (pp. 2, 7, 22)</t>
  </si>
  <si>
    <t xml:space="preserve">Ley 7547/2025</t>
  </si>
  <si>
    <t xml:space="preserve">Pendiente de verificación oficial</t>
  </si>
  <si>
    <t xml:space="preserve">Se conserva como histórico. Base alternativa: mayor entre factura y valor agregado nacional (G43) e IVA recuperable (E78) como escenarios.</t>
  </si>
  <si>
    <t xml:space="preserve">Alquiler llamado «costo de oportunidad» (p. 6)</t>
  </si>
  <si>
    <t xml:space="preserve">Naturaleza</t>
  </si>
  <si>
    <t xml:space="preserve">G40: pago a tercero, a relacionada o costo económico sin desembolso (se mantiene en resultados y FCFF).</t>
  </si>
  <si>
    <t xml:space="preserve">Gastos de ventas en cero (p. 19)</t>
  </si>
  <si>
    <t xml:space="preserve">Quién asume</t>
  </si>
  <si>
    <t xml:space="preserve">E89 permite cargar flete de exportación, seguros, comisiones, garantías y rechazos.</t>
  </si>
  <si>
    <t xml:space="preserve">I20</t>
  </si>
  <si>
    <t xml:space="preserve">Fila «% amortizaciones» del cuadro 13 inconsistente con los montos (p. 22). Año 1</t>
  </si>
  <si>
    <t xml:space="preserve">Corregido</t>
  </si>
  <si>
    <t xml:space="preserve">Se recalcula sobre el cronograma mensual reproducido.</t>
  </si>
  <si>
    <t xml:space="preserve">I21</t>
  </si>
  <si>
    <t xml:space="preserve">Prestaciones: rótulo 43,09% vs ratio implícito ≈ 43,087% (p. 19)</t>
  </si>
  <si>
    <t xml:space="preserve">Diferencia de redondeo</t>
  </si>
  <si>
    <t xml:space="preserve">Coeficiente del plan, no tasa legal. Desagregar componentes cuando se aporten.</t>
  </si>
  <si>
    <t xml:space="preserve">I22</t>
  </si>
  <si>
    <t xml:space="preserve">Proveedores menores 30 días: base de cálculo no identificada (p. 24)</t>
  </si>
  <si>
    <t xml:space="preserve">No reproducible</t>
  </si>
  <si>
    <t xml:space="preserve">El motor paga a 30 días todos los costos no salariales ni de materiales.</t>
  </si>
  <si>
    <t xml:space="preserve">I23</t>
  </si>
  <si>
    <t xml:space="preserve">Cuadro 9a rotula «MP e insumos» pero incluye solo materia prima (p. 17)</t>
  </si>
  <si>
    <t xml:space="preserve">Sin efecto numérico.</t>
  </si>
  <si>
    <t xml:space="preserve">I24</t>
  </si>
  <si>
    <t xml:space="preserve">Cuadro 17 clasifica energía y mantenimiento como variables (p. 25)</t>
  </si>
  <si>
    <t xml:space="preserve">Corregido (clasificación)</t>
  </si>
  <si>
    <t xml:space="preserve">Energía fija con porción variable editable; mantenimiento crece con el tiempo, no con el volumen.</t>
  </si>
  <si>
    <t xml:space="preserve">I25</t>
  </si>
  <si>
    <t xml:space="preserve">Tasa ponderada con pesos iniciales (6,7%/93,3%) para 10 años; IVA de intereses (p. 28)</t>
  </si>
  <si>
    <t xml:space="preserve">Pendiente de actualizar</t>
  </si>
  <si>
    <t xml:space="preserve">Métodos 2 (WACC con estructura objetivo) o 3 (manual) en G12-G17; sin escudo de IRE.</t>
  </si>
  <si>
    <t xml:space="preserve">I26</t>
  </si>
  <si>
    <t xml:space="preserve">Dividendos devengados vs pagados con un año de desfase (pp. 23, 26)</t>
  </si>
  <si>
    <t xml:space="preserve">Declaración al cierre y pago con desfase (G53) solo si hay caja sobre el mínimo (G54).</t>
  </si>
  <si>
    <t xml:space="preserve">I27</t>
  </si>
  <si>
    <t xml:space="preserve">Stock y PT: PT valuado con gastos administrativos; stock sin flete (p. 24)</t>
  </si>
  <si>
    <t xml:space="preserve">Corregido (C5)</t>
  </si>
  <si>
    <t xml:space="preserve">PT a costo de producción (materiales + conversión asignada); materiales a costo de adquisición.</t>
  </si>
  <si>
    <t xml:space="preserve">C. Pruebas del motor realizadas antes de la entrega (capturas; ver Escenarios_Sensib para verificación en vivo)</t>
  </si>
  <si>
    <t xml:space="preserve">Resultado base</t>
  </si>
  <si>
    <t xml:space="preserve">Resultado con cambio</t>
  </si>
  <si>
    <t xml:space="preserve">Variación</t>
  </si>
  <si>
    <t xml:space="preserve">Comportamiento esperado / observado</t>
  </si>
  <si>
    <t xml:space="preserve">Volumen -10%: ventas totales</t>
  </si>
  <si>
    <t xml:space="preserve">OK</t>
  </si>
  <si>
    <t xml:space="preserve">Esperado ≈ -10% (el recupero/rampa no aplica en la base). Observado: ventas x 0,90; costos variables y CT también bajan.</t>
  </si>
  <si>
    <t xml:space="preserve">Volumen -10%: EBITDA total</t>
  </si>
  <si>
    <t xml:space="preserve">Baja más que proporcional por costos fijos (apalancamiento operativo).</t>
  </si>
  <si>
    <t xml:space="preserve">Precio -5%: ventas totales</t>
  </si>
  <si>
    <t xml:space="preserve">Esperado -5% exacto.</t>
  </si>
  <si>
    <t xml:space="preserve">Precio -5%: tributo de maquila total</t>
  </si>
  <si>
    <t xml:space="preserve">El tributo sobre factura se recalcula con el precio.</t>
  </si>
  <si>
    <t xml:space="preserve">PYG/USD +10% (más Gs por USD): costo de personal total</t>
  </si>
  <si>
    <t xml:space="preserve">Salarios en Gs fijos: su equivalente USD cae 1/1,10.</t>
  </si>
  <si>
    <t xml:space="preserve">PYG/USD +10%: materia prima e insumos (USD) total</t>
  </si>
  <si>
    <t xml:space="preserve">Compras pactadas en USD no cambian con el TC.</t>
  </si>
  <si>
    <t xml:space="preserve">PYG/USD -10% (menos Gs por USD): costo de personal total</t>
  </si>
  <si>
    <t xml:space="preserve">Una caída de Gs/USD encarece en USD el costo en guaraníes.</t>
  </si>
  <si>
    <t xml:space="preserve">DSO 150 días: cuentas por cobrar al cierre del año 1</t>
  </si>
  <si>
    <t xml:space="preserve">Más plazo = más CxC y mayor necesidad de fondos; el EBITDA no cambia.</t>
  </si>
  <si>
    <t xml:space="preserve">DSO 150 días: pico de necesidad de fondos adicionales</t>
  </si>
  <si>
    <t xml:space="preserve">Liberación/consumo de caja medido además del resultado.</t>
  </si>
  <si>
    <t xml:space="preserve">DSO 150 días: EBITDA total (no debe cambiar)</t>
  </si>
  <si>
    <t xml:space="preserve">El plazo de cobro no es un costo contable (sin incobrables).</t>
  </si>
  <si>
    <t xml:space="preserve">DSO 90 días: pico de necesidad de fondos adicionales</t>
  </si>
  <si>
    <t xml:space="preserve">Reducción de DSO libera caja.</t>
  </si>
  <si>
    <t xml:space="preserve">Atraso +3 meses: meses de operación en el horizonte fijo</t>
  </si>
  <si>
    <t xml:space="preserve">Fecha final fija: el atraso no prolonga la vida del proyecto.</t>
  </si>
  <si>
    <t xml:space="preserve">Atraso +3 meses: costos de espera / implantación</t>
  </si>
  <si>
    <t xml:space="preserve">Alquiler, personal indirecto, parte del directo, energía e intereses sin ventas.</t>
  </si>
  <si>
    <t xml:space="preserve">Atraso +3 meses: VAN del proyecto</t>
  </si>
  <si>
    <t xml:space="preserve">Cobros y pagos desplazados en el calendario mensual.</t>
  </si>
  <si>
    <t xml:space="preserve">CAPEX +10% (sobre pendiente): costo final estimado</t>
  </si>
  <si>
    <t xml:space="preserve">Sin reales todo el CAPEX está pendiente; con reales solo lo no ejecutado.</t>
  </si>
  <si>
    <t xml:space="preserve">CAPEX +10%: depreciación total</t>
  </si>
  <si>
    <t xml:space="preserve">La depreciación aumenta sin salida de caja adicional por sí misma.</t>
  </si>
  <si>
    <t xml:space="preserve">Reales congelados: ventas del mes 1 (real) — Base vs Conservador</t>
  </si>
  <si>
    <t xml:space="preserve">Con último mes cerrado = 2 y ventas reales cargadas, cambiar de escenario no modifica los meses reales (prueba temporal; el libro entregado no tiene reales).</t>
  </si>
  <si>
    <t xml:space="preserve">Reales congelados: ventas del mes 3 (forecast) — Base vs Conservador</t>
  </si>
  <si>
    <t xml:space="preserve">El futuro sí responde al escenario.</t>
  </si>
  <si>
    <t xml:space="preserve">Correcciones C1-C6 desactivadas: EBITDA total</t>
  </si>
  <si>
    <t xml:space="preserve">Sin C1 (nómina a 8.000) y C2 (MP cajas plana) el EBITDA vuelve a acercarse al PDF.</t>
  </si>
  <si>
    <t xml:space="preserve">Aportes hipotéticos de cobertura (G63 = 1): brecha no cubierta</t>
  </si>
  <si>
    <t xml:space="preserve">La brecha se cubre con aportes hipotéticos rotulados como no aprobados.</t>
  </si>
  <si>
    <t xml:space="preserve">Aportes hipotéticos de cobertura: VAN de los socios</t>
  </si>
  <si>
    <t xml:space="preserve">Medir la cobertura reduce el VAN de socios: el esfuerzo adicional deja de ser implícito.</t>
  </si>
  <si>
    <t xml:space="preserve">Integridad bajo configuración extrema A: balance y directo-indirecto</t>
  </si>
  <si>
    <t xml:space="preserve">Configuración: alquiler sin desembolso, implantación 3 meses, horizonte 10 años desde arranque, tributo s/ VA nacional, IRE 10%, valor terminal en marcha, línea hipotética, IVA recuperable, contado/anticipos, anticipos a proveedores, DPO 45, incobrables, rechazo, chatarra, atraso 4, rampa 6, tramo 2. Prueba temporal; el libro entregado conserva la base.</t>
  </si>
  <si>
    <t xml:space="preserve">Integridad bajo configuración extrema B: balance y directo-indirecto</t>
  </si>
  <si>
    <t xml:space="preserve">Configuración: modalidad servicio de maquila con materiales del cliente, alquiler a relacionada, IVA recuperable con tope, línea hipotética. Prueba temporal; el libro entregado conserva la base.</t>
  </si>
  <si>
    <t xml:space="preserve">Integridad bajo configuración extrema C: balance y directo-indirecto</t>
  </si>
  <si>
    <t xml:space="preserve">Configuración: reales meses 0-9 (incl. nómina en PYG con TC propio), saldos reales al corte (caja, clientes, inventarios, proveedores, IVA, deuda). Prueba temporal; el libro entregado conserva la base.</t>
  </si>
  <si>
    <t xml:space="preserve">Errores de fórmula en todas las corridas</t>
  </si>
  <si>
    <t xml:space="preserve">39 recálculos completos en LibreOffice sin errores ni circularidades.</t>
  </si>
  <si>
    <t xml:space="preserve">Pruebas y capturas: 39 recálculos completos con LibreOffice 24.2 headless el 29/09/2026. Después de probar se restauró la base elegida (Base depurada, prueba «Ninguna», C1-C6 = 1, sin reales). Pendiente: repetir la verificación abriendo el libro en Microsoft Excel (no disponible en este entorno).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</si>
</sst>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;\(#,##0\);\-"/>
    <numFmt numFmtId="167" formatCode="0.00%;\(0.00%\);\-"/>
    <numFmt numFmtId="168" formatCode="#,##0.00;\(#,##0.00\);\-"/>
    <numFmt numFmtId="169" formatCode="0.00\x;\(0.00&quot;x)&quot;;\-"/>
    <numFmt numFmtId="170" formatCode="General"/>
    <numFmt numFmtId="171" formatCode="dd/mm/yyyy"/>
    <numFmt numFmtId="172" formatCode="0.0%;\(0.0%\);\-"/>
    <numFmt numFmtId="173" formatCode="0.0000%;\(0.0000%\);\-"/>
    <numFmt numFmtId="174" formatCode="#,##0.0000;\(#,##0.0000\);\-"/>
    <numFmt numFmtId="175" formatCode="mmm\-yy"/>
    <numFmt numFmtId="176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7F7F7F"/>
      <name val="Arial"/>
      <family val="0"/>
      <charset val="1"/>
    </font>
    <font>
      <b val="true"/>
      <sz val="9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2F5597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E1F2"/>
      <rgbColor rgb="FF7F7F7F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4A7EBB"/>
      <rgbColor rgb="FF33CCCC"/>
      <rgbColor rgb="FF98B855"/>
      <rgbColor rgb="FFFFC000"/>
      <rgbColor rgb="FFFF9900"/>
      <rgbColor rgb="FFC65911"/>
      <rgbColor rgb="FF7D5FA0"/>
      <rgbColor rgb="FF878787"/>
      <rgbColor rgb="FF1F3864"/>
      <rgbColor rgb="FF4F81BD"/>
      <rgbColor rgb="FF003300"/>
      <rgbColor rgb="FF333300"/>
      <rgbColor rgb="FF993300"/>
      <rgbColor rgb="FFC0504D"/>
      <rgbColor rgb="FF2F5597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y EBITDA — escenario activo vs PDF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"Ventas (activo)"</c:f>
              <c:strCache>
                <c:ptCount val="1"/>
                <c:pt idx="0">
                  <c:v>Ventas (activo)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Resultados_Anuales!$F$86:$O$86</c:f>
              <c:numCache>
                <c:formatCode>#,##0;\(#,##0\);\-</c:formatCode>
                <c:ptCount val="10"/>
                <c:pt idx="0">
                  <c:v>4850000</c:v>
                </c:pt>
                <c:pt idx="1">
                  <c:v>6181200</c:v>
                </c:pt>
                <c:pt idx="2">
                  <c:v>7538539</c:v>
                </c:pt>
                <c:pt idx="3">
                  <c:v>8685437.43</c:v>
                </c:pt>
                <c:pt idx="4">
                  <c:v>8772291.8043</c:v>
                </c:pt>
                <c:pt idx="5">
                  <c:v>8860014.722343</c:v>
                </c:pt>
                <c:pt idx="6">
                  <c:v>8948614.86956643</c:v>
                </c:pt>
                <c:pt idx="7">
                  <c:v>9038101.01826209</c:v>
                </c:pt>
                <c:pt idx="8">
                  <c:v>9128482.02844472</c:v>
                </c:pt>
                <c:pt idx="9">
                  <c:v>9219766.84872916</c:v>
                </c:pt>
              </c:numCache>
            </c:numRef>
          </c:val>
        </c:ser>
        <c:ser>
          <c:idx val="1"/>
          <c:order val="1"/>
          <c:tx>
            <c:strRef>
              <c:f>"Ventas (PDF)"</c:f>
              <c:strCache>
                <c:ptCount val="1"/>
                <c:pt idx="0">
                  <c:v>Ventas (PDF)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Resultados_Anuales!$F$106:$O$106</c:f>
              <c:numCache>
                <c:formatCode>#,##0;\(#,##0\);\-</c:formatCode>
                <c:ptCount val="10"/>
                <c:pt idx="0">
                  <c:v>4850000</c:v>
                </c:pt>
                <c:pt idx="1">
                  <c:v>6181200</c:v>
                </c:pt>
                <c:pt idx="2">
                  <c:v>7538539</c:v>
                </c:pt>
                <c:pt idx="3">
                  <c:v>8685437</c:v>
                </c:pt>
                <c:pt idx="4">
                  <c:v>8772292</c:v>
                </c:pt>
                <c:pt idx="5">
                  <c:v>8860015</c:v>
                </c:pt>
                <c:pt idx="6">
                  <c:v>8948615</c:v>
                </c:pt>
                <c:pt idx="7">
                  <c:v>9038101</c:v>
                </c:pt>
                <c:pt idx="8">
                  <c:v>9128482</c:v>
                </c:pt>
                <c:pt idx="9">
                  <c:v>9219767</c:v>
                </c:pt>
              </c:numCache>
            </c:numRef>
          </c:val>
        </c:ser>
        <c:gapWidth val="150"/>
        <c:overlap val="0"/>
        <c:axId val="39871133"/>
        <c:axId val="15614069"/>
      </c:barChart>
      <c:lineChart>
        <c:grouping val="standard"/>
        <c:varyColors val="0"/>
        <c:ser>
          <c:idx val="2"/>
          <c:order val="2"/>
          <c:tx>
            <c:strRef>
              <c:f>"EBITDA (activo)"</c:f>
              <c:strCache>
                <c:ptCount val="1"/>
                <c:pt idx="0">
                  <c:v>EBITDA (activo)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Resultados_Anuales!$F$96:$O$96</c:f>
              <c:numCache>
                <c:formatCode>#,##0;\(#,##0\);\-</c:formatCode>
                <c:ptCount val="10"/>
                <c:pt idx="0">
                  <c:v>526818.423288897</c:v>
                </c:pt>
                <c:pt idx="1">
                  <c:v>964829.565046463</c:v>
                </c:pt>
                <c:pt idx="2">
                  <c:v>1405028.22589381</c:v>
                </c:pt>
                <c:pt idx="3">
                  <c:v>1798443.84762083</c:v>
                </c:pt>
                <c:pt idx="4">
                  <c:v>1816278.39545918</c:v>
                </c:pt>
                <c:pt idx="5">
                  <c:v>1864527.14188481</c:v>
                </c:pt>
                <c:pt idx="6">
                  <c:v>1913986.8264967</c:v>
                </c:pt>
                <c:pt idx="7">
                  <c:v>1963798.94935159</c:v>
                </c:pt>
                <c:pt idx="8">
                  <c:v>2013962.58291341</c:v>
                </c:pt>
                <c:pt idx="9">
                  <c:v>2050425.90148202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"EBITDA (PDF)"</c:f>
              <c:strCache>
                <c:ptCount val="1"/>
                <c:pt idx="0">
                  <c:v>EBITDA (PDF)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Resultados_Anuales!$F$107:$O$107</c:f>
              <c:numCache>
                <c:formatCode>#,##0;\(#,##0\);\-</c:formatCode>
                <c:ptCount val="10"/>
                <c:pt idx="0">
                  <c:v>573024</c:v>
                </c:pt>
                <c:pt idx="1">
                  <c:v>1029011</c:v>
                </c:pt>
                <c:pt idx="2">
                  <c:v>1479759</c:v>
                </c:pt>
                <c:pt idx="3">
                  <c:v>1886306</c:v>
                </c:pt>
                <c:pt idx="4">
                  <c:v>1914796</c:v>
                </c:pt>
                <c:pt idx="5">
                  <c:v>1973999</c:v>
                </c:pt>
                <c:pt idx="6">
                  <c:v>2033657</c:v>
                </c:pt>
                <c:pt idx="7">
                  <c:v>2093768</c:v>
                </c:pt>
                <c:pt idx="8">
                  <c:v>2154335</c:v>
                </c:pt>
                <c:pt idx="9">
                  <c:v>2215355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871133"/>
        <c:axId val="15614069"/>
      </c:lineChart>
      <c:catAx>
        <c:axId val="398711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14069"/>
        <c:crosses val="autoZero"/>
        <c:auto val="1"/>
        <c:lblAlgn val="ctr"/>
        <c:lblOffset val="100"/>
        <c:noMultiLvlLbl val="0"/>
      </c:catAx>
      <c:valAx>
        <c:axId val="15614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711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Caja al cierre y necesidad máxima de financiamiento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"Caja al cierre"</c:f>
              <c:strCache>
                <c:ptCount val="1"/>
                <c:pt idx="0">
                  <c:v>Caja al cierre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Resultados_Anuales!$F$149:$O$149</c:f>
              <c:numCache>
                <c:formatCode>#,##0;\(#,##0\);\-</c:formatCode>
                <c:ptCount val="10"/>
                <c:pt idx="0">
                  <c:v>-33740.5062854385</c:v>
                </c:pt>
                <c:pt idx="1">
                  <c:v>-295367.749691137</c:v>
                </c:pt>
                <c:pt idx="2">
                  <c:v>-341276.106168287</c:v>
                </c:pt>
                <c:pt idx="3">
                  <c:v>71387.1569589041</c:v>
                </c:pt>
                <c:pt idx="4">
                  <c:v>173893.501563154</c:v>
                </c:pt>
                <c:pt idx="5">
                  <c:v>304817.764460983</c:v>
                </c:pt>
                <c:pt idx="6">
                  <c:v>385209.734714917</c:v>
                </c:pt>
                <c:pt idx="7">
                  <c:v>465581.147020578</c:v>
                </c:pt>
                <c:pt idx="8">
                  <c:v>545927.709791102</c:v>
                </c:pt>
                <c:pt idx="9">
                  <c:v>2574874.46451807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"Necesidad mensual máx."</c:f>
              <c:strCache>
                <c:ptCount val="1"/>
                <c:pt idx="0">
                  <c:v>Necesidad mensual máx.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Resultados_Anuales!$F$150:$O$150</c:f>
              <c:numCache>
                <c:formatCode>#,##0;\(#,##0\);\-</c:formatCode>
                <c:ptCount val="10"/>
                <c:pt idx="0">
                  <c:v>73603.5199840686</c:v>
                </c:pt>
                <c:pt idx="1">
                  <c:v>346172.133252781</c:v>
                </c:pt>
                <c:pt idx="2">
                  <c:v>589308.477036784</c:v>
                </c:pt>
                <c:pt idx="3">
                  <c:v>442894.961537716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"Necesidad antes de aportes adicionales"</c:f>
              <c:strCache>
                <c:ptCount val="1"/>
                <c:pt idx="0">
                  <c:v>Necesidad antes de aportes adicionales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Resultados_Anuales!$F$152:$O$152</c:f>
              <c:numCache>
                <c:formatCode>#,##0;\(#,##0\);\-</c:formatCode>
                <c:ptCount val="10"/>
                <c:pt idx="0">
                  <c:v>641385.519984069</c:v>
                </c:pt>
                <c:pt idx="1">
                  <c:v>1285882.13325278</c:v>
                </c:pt>
                <c:pt idx="2">
                  <c:v>1529018.47703678</c:v>
                </c:pt>
                <c:pt idx="3">
                  <c:v>1382604.96153772</c:v>
                </c:pt>
                <c:pt idx="4">
                  <c:v>623060.696834314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656573"/>
        <c:axId val="62861292"/>
      </c:lineChart>
      <c:catAx>
        <c:axId val="33656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61292"/>
        <c:crosses val="autoZero"/>
        <c:auto val="1"/>
        <c:lblAlgn val="ctr"/>
        <c:lblOffset val="100"/>
        <c:noMultiLvlLbl val="0"/>
      </c:catAx>
      <c:valAx>
        <c:axId val="628612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56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Deuda financiera al cierre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"Deuda"</c:f>
              <c:strCache>
                <c:ptCount val="1"/>
                <c:pt idx="0">
                  <c:v>Deuda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Resultados_Anuales!$F$153:$O$153</c:f>
              <c:numCache>
                <c:formatCode>#,##0;\(#,##0\);\-</c:formatCode>
                <c:ptCount val="10"/>
                <c:pt idx="0">
                  <c:v>2534060.6476419</c:v>
                </c:pt>
                <c:pt idx="1">
                  <c:v>1983042.03588878</c:v>
                </c:pt>
                <c:pt idx="2">
                  <c:v>1380334.07760814</c:v>
                </c:pt>
                <c:pt idx="3">
                  <c:v>721087.95555957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640879"/>
        <c:axId val="34379597"/>
      </c:lineChart>
      <c:catAx>
        <c:axId val="5564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79597"/>
        <c:crosses val="autoZero"/>
        <c:auto val="1"/>
        <c:lblAlgn val="ctr"/>
        <c:lblOffset val="100"/>
        <c:noMultiLvlLbl val="0"/>
      </c:catAx>
      <c:valAx>
        <c:axId val="34379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408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Contribución marginal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"Gabinetes"</c:f>
              <c:strCache>
                <c:ptCount val="1"/>
                <c:pt idx="0">
                  <c:v>Gabinetes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Resultados_Anuales!$F$190:$O$190</c:f>
              <c:numCache>
                <c:formatCode>#,##0;\(#,##0\);\-</c:formatCode>
                <c:ptCount val="10"/>
                <c:pt idx="0">
                  <c:v>1204436.47316993</c:v>
                </c:pt>
                <c:pt idx="1">
                  <c:v>1602736.78520959</c:v>
                </c:pt>
                <c:pt idx="2">
                  <c:v>1959104.66721743</c:v>
                </c:pt>
                <c:pt idx="3">
                  <c:v>2340224.73169146</c:v>
                </c:pt>
                <c:pt idx="4">
                  <c:v>2379204.41966107</c:v>
                </c:pt>
                <c:pt idx="5">
                  <c:v>2418775.85232586</c:v>
                </c:pt>
                <c:pt idx="6">
                  <c:v>2458742.9791271</c:v>
                </c:pt>
                <c:pt idx="7">
                  <c:v>2499109.75692472</c:v>
                </c:pt>
                <c:pt idx="8">
                  <c:v>2539880.18214842</c:v>
                </c:pt>
                <c:pt idx="9">
                  <c:v>2678286.43897022</c:v>
                </c:pt>
              </c:numCache>
            </c:numRef>
          </c:val>
        </c:ser>
        <c:ser>
          <c:idx val="1"/>
          <c:order val="1"/>
          <c:tx>
            <c:strRef>
              <c:f>"Cajas"</c:f>
              <c:strCache>
                <c:ptCount val="1"/>
                <c:pt idx="0">
                  <c:v>Cajas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Resultados_Anuales!$F$219:$O$219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</c:multiLvlStrCache>
            </c:multiLvlStrRef>
          </c:cat>
          <c:val>
            <c:numRef>
              <c:f>Resultados_Anuales!$F$205:$O$205</c:f>
              <c:numCache>
                <c:formatCode>#,##0;\(#,##0\);\-</c:formatCode>
                <c:ptCount val="10"/>
                <c:pt idx="0">
                  <c:v>466971.665761814</c:v>
                </c:pt>
                <c:pt idx="1">
                  <c:v>654934.063311195</c:v>
                </c:pt>
                <c:pt idx="2">
                  <c:v>823517.754436077</c:v>
                </c:pt>
                <c:pt idx="3">
                  <c:v>921587.801999104</c:v>
                </c:pt>
                <c:pt idx="4">
                  <c:v>940071.515686043</c:v>
                </c:pt>
                <c:pt idx="5">
                  <c:v>958851.182835043</c:v>
                </c:pt>
                <c:pt idx="6">
                  <c:v>977818.666845723</c:v>
                </c:pt>
                <c:pt idx="7">
                  <c:v>996975.845968143</c:v>
                </c:pt>
                <c:pt idx="8">
                  <c:v>1016324.61723368</c:v>
                </c:pt>
                <c:pt idx="9">
                  <c:v>1089231.29515439</c:v>
                </c:pt>
              </c:numCache>
            </c:numRef>
          </c:val>
        </c:ser>
        <c:gapWidth val="150"/>
        <c:overlap val="0"/>
        <c:axId val="54589360"/>
        <c:axId val="24791884"/>
      </c:barChart>
      <c:catAx>
        <c:axId val="5458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91884"/>
        <c:crosses val="autoZero"/>
        <c:auto val="1"/>
        <c:lblAlgn val="ctr"/>
        <c:lblOffset val="100"/>
        <c:noMultiLvlLbl val="0"/>
      </c:catAx>
      <c:valAx>
        <c:axId val="24791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89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Inversión: presupuesto original vs costo final estimado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"USD"</c:f>
              <c:strCache>
                <c:ptCount val="1"/>
                <c:pt idx="0">
                  <c:v>USD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Resumen!$B$61:$B$62</c:f>
              <c:strCache>
                <c:ptCount val="2"/>
                <c:pt idx="0">
                  <c:v>CAPEX presupuesto original</c:v>
                </c:pt>
                <c:pt idx="1">
                  <c:v>CAPEX costo final estimado</c:v>
                </c:pt>
              </c:strCache>
            </c:strRef>
          </c:cat>
          <c:val>
            <c:numRef>
              <c:f>Resumen!$C$61:$C$62</c:f>
              <c:numCache>
                <c:formatCode>#,##0;\(#,##0\);\-</c:formatCode>
                <c:ptCount val="2"/>
                <c:pt idx="0">
                  <c:v>755044.1</c:v>
                </c:pt>
                <c:pt idx="1">
                  <c:v>755044.1</c:v>
                </c:pt>
              </c:numCache>
            </c:numRef>
          </c:val>
        </c:ser>
        <c:gapWidth val="150"/>
        <c:overlap val="0"/>
        <c:axId val="86984338"/>
        <c:axId val="8467882"/>
      </c:barChart>
      <c:catAx>
        <c:axId val="869843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7882"/>
        <c:crosses val="autoZero"/>
        <c:auto val="1"/>
        <c:lblAlgn val="ctr"/>
        <c:lblOffset val="100"/>
        <c:noMultiLvlLbl val="0"/>
      </c:catAx>
      <c:valAx>
        <c:axId val="84678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84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63</xdr:row>
      <xdr:rowOff>82440</xdr:rowOff>
    </xdr:from>
    <xdr:to>
      <xdr:col>2</xdr:col>
      <xdr:colOff>70200</xdr:colOff>
      <xdr:row>77</xdr:row>
      <xdr:rowOff>115200</xdr:rowOff>
    </xdr:to>
    <xdr:graphicFrame>
      <xdr:nvGraphicFramePr>
        <xdr:cNvPr id="0" name="Chart 1"/>
        <xdr:cNvGraphicFramePr/>
      </xdr:nvGraphicFramePr>
      <xdr:xfrm>
        <a:off x="355680" y="128397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63</xdr:row>
      <xdr:rowOff>82440</xdr:rowOff>
    </xdr:from>
    <xdr:to>
      <xdr:col>5</xdr:col>
      <xdr:colOff>2559240</xdr:colOff>
      <xdr:row>77</xdr:row>
      <xdr:rowOff>115200</xdr:rowOff>
    </xdr:to>
    <xdr:graphicFrame>
      <xdr:nvGraphicFramePr>
        <xdr:cNvPr id="1" name="Chart 2"/>
        <xdr:cNvGraphicFramePr/>
      </xdr:nvGraphicFramePr>
      <xdr:xfrm>
        <a:off x="7823160" y="128397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79</xdr:row>
      <xdr:rowOff>82800</xdr:rowOff>
    </xdr:from>
    <xdr:to>
      <xdr:col>2</xdr:col>
      <xdr:colOff>70200</xdr:colOff>
      <xdr:row>93</xdr:row>
      <xdr:rowOff>115200</xdr:rowOff>
    </xdr:to>
    <xdr:graphicFrame>
      <xdr:nvGraphicFramePr>
        <xdr:cNvPr id="2" name="Chart 3"/>
        <xdr:cNvGraphicFramePr/>
      </xdr:nvGraphicFramePr>
      <xdr:xfrm>
        <a:off x="355680" y="15887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79</xdr:row>
      <xdr:rowOff>82800</xdr:rowOff>
    </xdr:from>
    <xdr:to>
      <xdr:col>5</xdr:col>
      <xdr:colOff>2559240</xdr:colOff>
      <xdr:row>93</xdr:row>
      <xdr:rowOff>115200</xdr:rowOff>
    </xdr:to>
    <xdr:graphicFrame>
      <xdr:nvGraphicFramePr>
        <xdr:cNvPr id="3" name="Chart 4"/>
        <xdr:cNvGraphicFramePr/>
      </xdr:nvGraphicFramePr>
      <xdr:xfrm>
        <a:off x="7823160" y="15887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95</xdr:row>
      <xdr:rowOff>82440</xdr:rowOff>
    </xdr:from>
    <xdr:to>
      <xdr:col>2</xdr:col>
      <xdr:colOff>70200</xdr:colOff>
      <xdr:row>109</xdr:row>
      <xdr:rowOff>115200</xdr:rowOff>
    </xdr:to>
    <xdr:graphicFrame>
      <xdr:nvGraphicFramePr>
        <xdr:cNvPr id="4" name="Chart 5"/>
        <xdr:cNvGraphicFramePr/>
      </xdr:nvGraphicFramePr>
      <xdr:xfrm>
        <a:off x="355680" y="189356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25.5" hidden="false" customHeight="true" outlineLevel="0" collapsed="false">
      <c r="B5" s="5"/>
      <c r="C5" s="6" t="s">
        <v>3</v>
      </c>
    </row>
    <row r="6" customFormat="false" ht="25.5" hidden="false" customHeight="true" outlineLevel="0" collapsed="false">
      <c r="B6" s="5"/>
      <c r="C6" s="6" t="s">
        <v>4</v>
      </c>
    </row>
    <row r="8" customFormat="false" ht="15" hidden="false" customHeight="false" outlineLevel="0" collapsed="false">
      <c r="A8" s="3" t="s">
        <v>5</v>
      </c>
      <c r="B8" s="4"/>
      <c r="C8" s="4"/>
    </row>
    <row r="9" customFormat="false" ht="15" hidden="false" customHeight="true" outlineLevel="0" collapsed="false">
      <c r="B9" s="5" t="s">
        <v>6</v>
      </c>
      <c r="C9" s="6" t="s">
        <v>7</v>
      </c>
    </row>
    <row r="10" customFormat="false" ht="25.5" hidden="false" customHeight="true" outlineLevel="0" collapsed="false">
      <c r="B10" s="5" t="s">
        <v>8</v>
      </c>
      <c r="C10" s="6" t="s">
        <v>9</v>
      </c>
    </row>
    <row r="11" customFormat="false" ht="25.5" hidden="false" customHeight="true" outlineLevel="0" collapsed="false">
      <c r="B11" s="5" t="s">
        <v>10</v>
      </c>
      <c r="C11" s="6" t="s">
        <v>11</v>
      </c>
    </row>
    <row r="12" customFormat="false" ht="15" hidden="false" customHeight="true" outlineLevel="0" collapsed="false">
      <c r="B12" s="5" t="s">
        <v>12</v>
      </c>
      <c r="C12" s="6" t="s">
        <v>13</v>
      </c>
    </row>
    <row r="13" customFormat="false" ht="15" hidden="false" customHeight="true" outlineLevel="0" collapsed="false">
      <c r="B13" s="5" t="s">
        <v>14</v>
      </c>
      <c r="C13" s="6" t="s">
        <v>15</v>
      </c>
    </row>
    <row r="14" customFormat="false" ht="15" hidden="false" customHeight="true" outlineLevel="0" collapsed="false">
      <c r="B14" s="5" t="s">
        <v>16</v>
      </c>
      <c r="C14" s="6" t="s">
        <v>17</v>
      </c>
    </row>
    <row r="15" customFormat="false" ht="15" hidden="false" customHeight="true" outlineLevel="0" collapsed="false">
      <c r="B15" s="5" t="s">
        <v>18</v>
      </c>
      <c r="C15" s="6" t="s">
        <v>19</v>
      </c>
    </row>
    <row r="16" customFormat="false" ht="15" hidden="false" customHeight="true" outlineLevel="0" collapsed="false">
      <c r="B16" s="5" t="s">
        <v>20</v>
      </c>
      <c r="C16" s="6" t="s">
        <v>21</v>
      </c>
    </row>
    <row r="17" customFormat="false" ht="25.5" hidden="false" customHeight="true" outlineLevel="0" collapsed="false">
      <c r="B17" s="5" t="s">
        <v>22</v>
      </c>
      <c r="C17" s="6" t="s">
        <v>23</v>
      </c>
    </row>
    <row r="18" customFormat="false" ht="25.5" hidden="false" customHeight="true" outlineLevel="0" collapsed="false">
      <c r="B18" s="5" t="s">
        <v>24</v>
      </c>
      <c r="C18" s="6" t="s">
        <v>25</v>
      </c>
    </row>
    <row r="19" customFormat="false" ht="15" hidden="false" customHeight="true" outlineLevel="0" collapsed="false">
      <c r="B19" s="5" t="s">
        <v>26</v>
      </c>
      <c r="C19" s="6" t="s">
        <v>27</v>
      </c>
    </row>
    <row r="20" customFormat="false" ht="15" hidden="false" customHeight="true" outlineLevel="0" collapsed="false">
      <c r="B20" s="5" t="s">
        <v>28</v>
      </c>
      <c r="C20" s="6" t="s">
        <v>29</v>
      </c>
    </row>
    <row r="21" customFormat="false" ht="25.5" hidden="false" customHeight="true" outlineLevel="0" collapsed="false">
      <c r="B21" s="5" t="s">
        <v>30</v>
      </c>
      <c r="C21" s="6" t="s">
        <v>31</v>
      </c>
    </row>
    <row r="22" customFormat="false" ht="15" hidden="false" customHeight="true" outlineLevel="0" collapsed="false">
      <c r="B22" s="5" t="s">
        <v>32</v>
      </c>
      <c r="C22" s="6" t="s">
        <v>33</v>
      </c>
    </row>
    <row r="24" customFormat="false" ht="15" hidden="false" customHeight="false" outlineLevel="0" collapsed="false">
      <c r="A24" s="3" t="s">
        <v>34</v>
      </c>
      <c r="B24" s="4"/>
      <c r="C24" s="4"/>
    </row>
    <row r="25" customFormat="false" ht="25.5" hidden="false" customHeight="true" outlineLevel="0" collapsed="false">
      <c r="B25" s="5" t="s">
        <v>35</v>
      </c>
      <c r="C25" s="6" t="s">
        <v>36</v>
      </c>
    </row>
    <row r="26" customFormat="false" ht="25.5" hidden="false" customHeight="true" outlineLevel="0" collapsed="false">
      <c r="B26" s="5" t="s">
        <v>37</v>
      </c>
      <c r="C26" s="6" t="s">
        <v>38</v>
      </c>
    </row>
    <row r="27" customFormat="false" ht="25.5" hidden="false" customHeight="true" outlineLevel="0" collapsed="false">
      <c r="B27" s="5" t="s">
        <v>39</v>
      </c>
      <c r="C27" s="6" t="s">
        <v>40</v>
      </c>
    </row>
    <row r="28" customFormat="false" ht="15" hidden="false" customHeight="true" outlineLevel="0" collapsed="false">
      <c r="B28" s="5" t="s">
        <v>41</v>
      </c>
      <c r="C28" s="6" t="s">
        <v>42</v>
      </c>
    </row>
    <row r="30" customFormat="false" ht="15" hidden="false" customHeight="false" outlineLevel="0" collapsed="false">
      <c r="A30" s="3" t="s">
        <v>43</v>
      </c>
      <c r="B30" s="4"/>
      <c r="C30" s="4"/>
    </row>
    <row r="31" customFormat="false" ht="25.5" hidden="false" customHeight="true" outlineLevel="0" collapsed="false">
      <c r="B31" s="5" t="s">
        <v>44</v>
      </c>
      <c r="C31" s="6" t="s">
        <v>45</v>
      </c>
    </row>
    <row r="32" customFormat="false" ht="25.5" hidden="false" customHeight="true" outlineLevel="0" collapsed="false">
      <c r="B32" s="5" t="s">
        <v>46</v>
      </c>
      <c r="C32" s="6" t="s">
        <v>47</v>
      </c>
    </row>
    <row r="33" customFormat="false" ht="15" hidden="false" customHeight="true" outlineLevel="0" collapsed="false">
      <c r="B33" s="5" t="s">
        <v>48</v>
      </c>
      <c r="C33" s="6" t="s">
        <v>49</v>
      </c>
    </row>
    <row r="34" customFormat="false" ht="39" hidden="false" customHeight="true" outlineLevel="0" collapsed="false">
      <c r="B34" s="5" t="s">
        <v>50</v>
      </c>
      <c r="C34" s="6" t="s">
        <v>51</v>
      </c>
    </row>
    <row r="35" customFormat="false" ht="25.5" hidden="false" customHeight="true" outlineLevel="0" collapsed="false">
      <c r="B35" s="5" t="s">
        <v>52</v>
      </c>
      <c r="C35" s="6" t="s">
        <v>53</v>
      </c>
    </row>
    <row r="37" customFormat="false" ht="15" hidden="false" customHeight="false" outlineLevel="0" collapsed="false">
      <c r="A37" s="3" t="s">
        <v>54</v>
      </c>
      <c r="B37" s="4"/>
      <c r="C37" s="4"/>
    </row>
    <row r="38" customFormat="false" ht="25.5" hidden="false" customHeight="true" outlineLevel="0" collapsed="false">
      <c r="B38" s="5" t="s">
        <v>55</v>
      </c>
      <c r="C38" s="6" t="s">
        <v>56</v>
      </c>
    </row>
    <row r="39" customFormat="false" ht="25.5" hidden="false" customHeight="true" outlineLevel="0" collapsed="false">
      <c r="B39" s="5" t="s">
        <v>57</v>
      </c>
      <c r="C39" s="6" t="s">
        <v>58</v>
      </c>
    </row>
    <row r="40" customFormat="false" ht="15" hidden="false" customHeight="true" outlineLevel="0" collapsed="false">
      <c r="B40" s="5" t="s">
        <v>59</v>
      </c>
      <c r="C40" s="6" t="s">
        <v>60</v>
      </c>
    </row>
    <row r="41" customFormat="false" ht="25.5" hidden="false" customHeight="true" outlineLevel="0" collapsed="false">
      <c r="B41" s="5" t="s">
        <v>61</v>
      </c>
      <c r="C41" s="6" t="s">
        <v>62</v>
      </c>
    </row>
    <row r="42" customFormat="false" ht="25.5" hidden="false" customHeight="true" outlineLevel="0" collapsed="false">
      <c r="B42" s="5" t="s">
        <v>63</v>
      </c>
      <c r="C42" s="6" t="s">
        <v>64</v>
      </c>
    </row>
    <row r="43" customFormat="false" ht="15" hidden="false" customHeight="true" outlineLevel="0" collapsed="false">
      <c r="B43" s="5" t="s">
        <v>65</v>
      </c>
      <c r="C43" s="6" t="s">
        <v>66</v>
      </c>
    </row>
    <row r="44" customFormat="false" ht="15" hidden="false" customHeight="true" outlineLevel="0" collapsed="false">
      <c r="B44" s="5" t="s">
        <v>67</v>
      </c>
      <c r="C44" s="6" t="s">
        <v>68</v>
      </c>
    </row>
    <row r="46" customFormat="false" ht="15" hidden="false" customHeight="false" outlineLevel="0" collapsed="false">
      <c r="A46" s="3" t="s">
        <v>69</v>
      </c>
      <c r="B46" s="4"/>
      <c r="C46" s="4"/>
    </row>
    <row r="47" customFormat="false" ht="15" hidden="false" customHeight="true" outlineLevel="0" collapsed="false">
      <c r="B47" s="5" t="s">
        <v>70</v>
      </c>
      <c r="C47" s="6" t="s">
        <v>71</v>
      </c>
    </row>
    <row r="48" customFormat="false" ht="25.5" hidden="false" customHeight="true" outlineLevel="0" collapsed="false">
      <c r="B48" s="5" t="s">
        <v>72</v>
      </c>
      <c r="C48" s="6" t="s">
        <v>73</v>
      </c>
    </row>
    <row r="49" customFormat="false" ht="15" hidden="false" customHeight="true" outlineLevel="0" collapsed="false">
      <c r="B49" s="5" t="s">
        <v>74</v>
      </c>
      <c r="C49" s="6" t="s">
        <v>75</v>
      </c>
    </row>
    <row r="50" customFormat="false" ht="39" hidden="false" customHeight="true" outlineLevel="0" collapsed="false">
      <c r="B50" s="5" t="s">
        <v>76</v>
      </c>
      <c r="C50" s="6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6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4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78</v>
      </c>
    </row>
    <row r="2" customFormat="false" ht="15" hidden="false" customHeight="false" outlineLevel="0" collapsed="false">
      <c r="A2" s="7" t="str">
        <f aca="false">"Escenario: "&amp;p_Escenario&amp;"  |  Prueba: "&amp;p_Shock&amp;"  |  "&amp;INDEX(Supuestos!$D$98:$H$98,1,p_EscIdx)</f>
        <v>Escenario: Base depurada (supuestos Oct-2025)  |  Prueba: Ninguna  |  Supuestos históricos Oct-2025 con correcciones metodológicas. NO es ejecución real.</v>
      </c>
    </row>
    <row r="4" customFormat="false" ht="15" hidden="false" customHeight="false" outlineLevel="0" collapsed="false">
      <c r="A4" s="3" t="s">
        <v>79</v>
      </c>
      <c r="B4" s="4"/>
      <c r="C4" s="4"/>
      <c r="D4" s="4"/>
      <c r="E4" s="4"/>
      <c r="F4" s="4"/>
    </row>
    <row r="5" customFormat="false" ht="15" hidden="false" customHeight="false" outlineLevel="0" collapsed="false">
      <c r="B5" s="8" t="s">
        <v>80</v>
      </c>
      <c r="C5" s="5" t="str">
        <f aca="false">p_Escenario</f>
        <v>Base depurada (supuestos Oct-2025)</v>
      </c>
    </row>
    <row r="6" customFormat="false" ht="15" hidden="false" customHeight="false" outlineLevel="0" collapsed="false">
      <c r="B6" s="8" t="s">
        <v>81</v>
      </c>
      <c r="C6" s="5" t="str">
        <f aca="false">p_Shock</f>
        <v>Ninguna</v>
      </c>
    </row>
    <row r="7" customFormat="false" ht="15" hidden="false" customHeight="false" outlineLevel="0" collapsed="false">
      <c r="B7" s="8" t="s">
        <v>82</v>
      </c>
      <c r="C7" s="9" t="n">
        <f aca="false">p_NCorr</f>
        <v>6</v>
      </c>
    </row>
    <row r="8" customFormat="false" ht="15" hidden="false" customHeight="false" outlineLevel="0" collapsed="false">
      <c r="B8" s="8" t="s">
        <v>83</v>
      </c>
      <c r="C8" s="5" t="str">
        <f aca="false">IF(p_MesCorte&lt;0,"Ninguno: proyección con supuestos históricos",p_MesCorte)</f>
        <v>Ninguno: proyección con supuestos históricos</v>
      </c>
    </row>
    <row r="9" customFormat="false" ht="15" hidden="false" customHeight="false" outlineLevel="0" collapsed="false">
      <c r="B9" s="8" t="s">
        <v>84</v>
      </c>
      <c r="C9" s="5" t="str">
        <f aca="false">r_MinCompletos</f>
        <v>0 de 10</v>
      </c>
    </row>
    <row r="10" customFormat="false" ht="15" hidden="false" customHeight="false" outlineLevel="0" collapsed="false">
      <c r="B10" s="8" t="s">
        <v>10</v>
      </c>
      <c r="C10" s="5" t="str">
        <f aca="false">IF(p_FechaInicio="","PENDIENTE: meses relativos (sin fecha del mes 0)","Mes 0 = "&amp;MONTH(p_FechaInicio)&amp;"/"&amp;YEAR(p_FechaInicio))</f>
        <v>PENDIENTE: meses relativos (sin fecha del mes 0)</v>
      </c>
    </row>
    <row r="11" customFormat="false" ht="15" hidden="false" customHeight="false" outlineLevel="0" collapsed="false">
      <c r="B11" s="8" t="s">
        <v>85</v>
      </c>
      <c r="C11" s="5" t="str">
        <f aca="false">FIXED(p_TasaProy*100,2)&amp;"% — "&amp;p_TasaEstado</f>
        <v>9.49% — Ponderada inicial PDF (histórica)</v>
      </c>
    </row>
    <row r="12" customFormat="false" ht="15" hidden="false" customHeight="false" outlineLevel="0" collapsed="false">
      <c r="B12" s="8" t="s">
        <v>86</v>
      </c>
      <c r="C12" s="5" t="str">
        <f aca="false">FIXED(p_Ke*100,2)&amp;"%"</f>
        <v>16.32%</v>
      </c>
    </row>
    <row r="13" customFormat="false" ht="15" hidden="false" customHeight="false" outlineLevel="0" collapsed="false">
      <c r="B13" s="8" t="s">
        <v>87</v>
      </c>
      <c r="C13" s="9" t="n">
        <f aca="false">v_Revisar</f>
        <v>0</v>
      </c>
    </row>
    <row r="15" customFormat="false" ht="15" hidden="false" customHeight="false" outlineLevel="0" collapsed="false">
      <c r="A15" s="3" t="s">
        <v>88</v>
      </c>
      <c r="B15" s="4"/>
      <c r="C15" s="4"/>
      <c r="D15" s="4"/>
      <c r="E15" s="4"/>
      <c r="F15" s="4"/>
    </row>
    <row r="16" customFormat="false" ht="22.35" hidden="false" customHeight="false" outlineLevel="0" collapsed="false">
      <c r="A16" s="10"/>
      <c r="B16" s="10" t="s">
        <v>89</v>
      </c>
      <c r="C16" s="10" t="s">
        <v>90</v>
      </c>
      <c r="D16" s="10" t="s">
        <v>91</v>
      </c>
      <c r="E16" s="10" t="s">
        <v>92</v>
      </c>
      <c r="F16" s="10" t="s">
        <v>93</v>
      </c>
    </row>
    <row r="17" customFormat="false" ht="15" hidden="false" customHeight="false" outlineLevel="0" collapsed="false">
      <c r="B17" s="8" t="s">
        <v>94</v>
      </c>
      <c r="C17" s="11" t="n">
        <f aca="false">Base_PDF!$E$50</f>
        <v>655044</v>
      </c>
      <c r="D17" s="12" t="n">
        <f aca="false">k_capex_e</f>
        <v>755044.1</v>
      </c>
      <c r="E17" s="13" t="n">
        <f aca="false">IF(AND(ISNUMBER(C17),ISNUMBER(D17)),D17-C17,"")</f>
        <v>100000.1</v>
      </c>
      <c r="F17" s="2" t="s">
        <v>95</v>
      </c>
    </row>
    <row r="18" customFormat="false" ht="15" hidden="false" customHeight="false" outlineLevel="0" collapsed="false">
      <c r="B18" s="8" t="s">
        <v>96</v>
      </c>
      <c r="C18" s="11" t="n">
        <f aca="false">Base_PDF!$E$51</f>
        <v>2336543</v>
      </c>
      <c r="D18" s="12" t="n">
        <f aca="false">k_ctn_max</f>
        <v>4942519.05732891</v>
      </c>
      <c r="E18" s="13" t="n">
        <f aca="false">IF(AND(ISNUMBER(C18),ISNUMBER(D18)),D18-C18,"")</f>
        <v>2605976.05732891</v>
      </c>
      <c r="F18" s="2" t="s">
        <v>97</v>
      </c>
    </row>
    <row r="19" customFormat="false" ht="15" hidden="false" customHeight="false" outlineLevel="0" collapsed="false">
      <c r="B19" s="8" t="s">
        <v>98</v>
      </c>
      <c r="C19" s="11" t="n">
        <f aca="false">Base_PDF!$F$102</f>
        <v>4850000</v>
      </c>
      <c r="D19" s="12" t="n">
        <f aca="false">k_v1</f>
        <v>4850000</v>
      </c>
      <c r="E19" s="13" t="n">
        <f aca="false">IF(AND(ISNUMBER(C19),ISNUMBER(D19)),D19-C19,"")</f>
        <v>0</v>
      </c>
      <c r="F19" s="2" t="s">
        <v>99</v>
      </c>
    </row>
    <row r="20" customFormat="false" ht="15" hidden="false" customHeight="false" outlineLevel="0" collapsed="false">
      <c r="B20" s="8" t="s">
        <v>100</v>
      </c>
      <c r="C20" s="11" t="n">
        <f aca="false">Base_PDF!$P$102</f>
        <v>81222448</v>
      </c>
      <c r="D20" s="12" t="n">
        <f aca="false">k_vt</f>
        <v>81222447.7216454</v>
      </c>
      <c r="E20" s="13" t="n">
        <f aca="false">IF(AND(ISNUMBER(C20),ISNUMBER(D20)),D20-C20,"")</f>
        <v>-0.278354585170746</v>
      </c>
      <c r="F20" s="2"/>
    </row>
    <row r="21" customFormat="false" ht="15" hidden="false" customHeight="false" outlineLevel="0" collapsed="false">
      <c r="B21" s="8" t="s">
        <v>101</v>
      </c>
      <c r="C21" s="11" t="n">
        <f aca="false">Base_PDF!$F$358</f>
        <v>573024</v>
      </c>
      <c r="D21" s="12" t="n">
        <f aca="false">k_e1</f>
        <v>526818.423288897</v>
      </c>
      <c r="E21" s="13" t="n">
        <f aca="false">IF(AND(ISNUMBER(C21),ISNUMBER(D21)),D21-C21,"")</f>
        <v>-46205.5767111029</v>
      </c>
      <c r="F21" s="2" t="s">
        <v>102</v>
      </c>
    </row>
    <row r="22" customFormat="false" ht="15" hidden="false" customHeight="false" outlineLevel="0" collapsed="false">
      <c r="B22" s="8" t="s">
        <v>103</v>
      </c>
      <c r="C22" s="11" t="n">
        <f aca="false">Base_PDF!$P$358</f>
        <v>17354010</v>
      </c>
      <c r="D22" s="12" t="n">
        <f aca="false">k_et</f>
        <v>16318099.8594377</v>
      </c>
      <c r="E22" s="13" t="n">
        <f aca="false">IF(AND(ISNUMBER(C22),ISNUMBER(D22)),D22-C22,"")</f>
        <v>-1035910.14056229</v>
      </c>
      <c r="F22" s="2"/>
    </row>
    <row r="23" customFormat="false" ht="15" hidden="false" customHeight="false" outlineLevel="0" collapsed="false">
      <c r="B23" s="8" t="s">
        <v>104</v>
      </c>
      <c r="C23" s="11" t="n">
        <f aca="false">Base_PDF!$P$359</f>
        <v>15945168</v>
      </c>
      <c r="D23" s="12" t="n">
        <f aca="false">k_nit</f>
        <v>14759841.6312133</v>
      </c>
      <c r="E23" s="13" t="n">
        <f aca="false">IF(AND(ISNUMBER(C23),ISNUMBER(D23)),D23-C23,"")</f>
        <v>-1185326.36878674</v>
      </c>
      <c r="F23" s="2"/>
    </row>
    <row r="24" customFormat="false" ht="15" hidden="false" customHeight="false" outlineLevel="0" collapsed="false">
      <c r="B24" s="8" t="s">
        <v>105</v>
      </c>
      <c r="C24" s="11" t="n">
        <f aca="false">Base_PDF!$E$58</f>
        <v>4588736</v>
      </c>
      <c r="D24" s="12" t="n">
        <f aca="false">k_van_p</f>
        <v>6732540.92587864</v>
      </c>
      <c r="E24" s="13" t="n">
        <f aca="false">IF(AND(ISNUMBER(C24),ISNUMBER(D24)),D24-C24,"")</f>
        <v>2143804.92587864</v>
      </c>
      <c r="F24" s="2" t="s">
        <v>106</v>
      </c>
    </row>
    <row r="25" customFormat="false" ht="15" hidden="false" customHeight="false" outlineLevel="0" collapsed="false">
      <c r="B25" s="8" t="s">
        <v>107</v>
      </c>
      <c r="C25" s="14" t="n">
        <f aca="false">Base_PDF!$E$59</f>
        <v>0.2261</v>
      </c>
      <c r="D25" s="15" t="n">
        <f aca="false">k_tir_p</f>
        <v>0.323128170462237</v>
      </c>
      <c r="E25" s="16" t="n">
        <f aca="false">IF(AND(ISNUMBER(C25),ISNUMBER(D25)),D25-C25,"")</f>
        <v>0.0970281704622366</v>
      </c>
      <c r="F25" s="2" t="s">
        <v>108</v>
      </c>
    </row>
    <row r="26" customFormat="false" ht="15" hidden="false" customHeight="false" outlineLevel="0" collapsed="false">
      <c r="B26" s="8" t="s">
        <v>109</v>
      </c>
      <c r="C26" s="11" t="n">
        <f aca="false">Base_PDF!$E$427</f>
        <v>3912957.61231469</v>
      </c>
      <c r="D26" s="12" t="n">
        <f aca="false">k_van_e</f>
        <v>3748260.0338038</v>
      </c>
      <c r="E26" s="13" t="n">
        <f aca="false">IF(AND(ISNUMBER(C26),ISNUMBER(D26)),D26-C26,"")</f>
        <v>-164697.578510887</v>
      </c>
      <c r="F26" s="2" t="s">
        <v>110</v>
      </c>
    </row>
    <row r="27" customFormat="false" ht="15" hidden="false" customHeight="false" outlineLevel="0" collapsed="false">
      <c r="B27" s="8" t="s">
        <v>111</v>
      </c>
      <c r="C27" s="14" t="n">
        <f aca="false">Base_PDF!$E$428</f>
        <v>0.493623581953424</v>
      </c>
      <c r="D27" s="15" t="n">
        <f aca="false">k_tir_e</f>
        <v>0.449829142883043</v>
      </c>
      <c r="E27" s="16" t="n">
        <f aca="false">IF(AND(ISNUMBER(C27),ISNUMBER(D27)),D27-C27,"")</f>
        <v>-0.0437944390703808</v>
      </c>
      <c r="F27" s="2"/>
    </row>
    <row r="28" customFormat="false" ht="15" hidden="false" customHeight="false" outlineLevel="0" collapsed="false">
      <c r="B28" s="8" t="s">
        <v>112</v>
      </c>
      <c r="C28" s="17" t="n">
        <f aca="false">Base_PDF!$E$60</f>
        <v>7</v>
      </c>
      <c r="D28" s="18" t="n">
        <f aca="false">k_pb_d</f>
        <v>5.13593946087943</v>
      </c>
      <c r="E28" s="19" t="n">
        <f aca="false">IF(AND(ISNUMBER(C28),ISNUMBER(D28)),D28-C28,"")</f>
        <v>-1.86406053912057</v>
      </c>
      <c r="F28" s="2" t="s">
        <v>113</v>
      </c>
    </row>
    <row r="29" customFormat="false" ht="15" hidden="false" customHeight="false" outlineLevel="0" collapsed="false">
      <c r="B29" s="8" t="s">
        <v>114</v>
      </c>
      <c r="C29" s="11" t="n">
        <f aca="false">Base_PDF!$E$14+Base_PDF!$E$386</f>
        <v>1139710</v>
      </c>
      <c r="D29" s="12" t="n">
        <f aca="false">k_ap</f>
        <v>1139710</v>
      </c>
      <c r="E29" s="13" t="n">
        <f aca="false">IF(AND(ISNUMBER(C29),ISNUMBER(D29)),D29-C29,"")</f>
        <v>0</v>
      </c>
      <c r="F29" s="2"/>
    </row>
    <row r="30" customFormat="false" ht="15" hidden="false" customHeight="false" outlineLevel="0" collapsed="false">
      <c r="B30" s="8" t="s">
        <v>115</v>
      </c>
      <c r="C30" s="11" t="n">
        <f aca="false">Base_PDF!$E$386</f>
        <v>939710</v>
      </c>
      <c r="D30" s="12" t="n">
        <f aca="false">k_nec</f>
        <v>1529018.47703678</v>
      </c>
      <c r="E30" s="13" t="n">
        <f aca="false">IF(AND(ISNUMBER(C30),ISNUMBER(D30)),D30-C30,"")</f>
        <v>589308.477036785</v>
      </c>
      <c r="F30" s="2" t="s">
        <v>116</v>
      </c>
    </row>
    <row r="31" customFormat="false" ht="15" hidden="false" customHeight="false" outlineLevel="0" collapsed="false">
      <c r="B31" s="8" t="s">
        <v>117</v>
      </c>
      <c r="C31" s="20" t="n">
        <v>0</v>
      </c>
      <c r="D31" s="12" t="n">
        <f aca="false">k_brecha_nc</f>
        <v>589308.477036784</v>
      </c>
      <c r="E31" s="13" t="n">
        <f aca="false">IF(AND(ISNUMBER(C31),ISNUMBER(D31)),D31-C31,"")</f>
        <v>589308.477036784</v>
      </c>
      <c r="F31" s="2" t="s">
        <v>118</v>
      </c>
    </row>
    <row r="32" customFormat="false" ht="15" hidden="false" customHeight="false" outlineLevel="0" collapsed="false">
      <c r="B32" s="8" t="s">
        <v>119</v>
      </c>
      <c r="C32" s="11" t="n">
        <f aca="false">Base_PDF!$E$15</f>
        <v>2791587</v>
      </c>
      <c r="D32" s="12" t="n">
        <f aca="false">k_deuda_max</f>
        <v>2791587</v>
      </c>
      <c r="E32" s="13" t="n">
        <f aca="false">IF(AND(ISNUMBER(C32),ISNUMBER(D32)),D32-C32,"")</f>
        <v>0</v>
      </c>
      <c r="F32" s="2"/>
    </row>
    <row r="33" customFormat="false" ht="15" hidden="false" customHeight="false" outlineLevel="0" collapsed="false">
      <c r="B33" s="8" t="s">
        <v>120</v>
      </c>
      <c r="C33" s="21" t="s">
        <v>121</v>
      </c>
      <c r="D33" s="22" t="n">
        <f aca="false">k_dscr_min</f>
        <v>-2.54487865673168</v>
      </c>
      <c r="E33" s="23" t="str">
        <f aca="false">IF(AND(ISNUMBER(C33),ISNUMBER(D33)),D33-C33,"")</f>
        <v/>
      </c>
      <c r="F33" s="2" t="s">
        <v>122</v>
      </c>
    </row>
    <row r="34" customFormat="false" ht="15" hidden="false" customHeight="false" outlineLevel="0" collapsed="false">
      <c r="B34" s="8" t="s">
        <v>123</v>
      </c>
      <c r="C34" s="11" t="n">
        <f aca="false">Base_PDF!$F$392</f>
        <v>66042</v>
      </c>
      <c r="D34" s="12" t="n">
        <f aca="false">k_pe1</f>
        <v>3538366.4146523</v>
      </c>
      <c r="E34" s="13" t="n">
        <f aca="false">IF(AND(ISNUMBER(C34),ISNUMBER(D34)),D34-C34,"")</f>
        <v>3472324.4146523</v>
      </c>
      <c r="F34" s="2" t="s">
        <v>124</v>
      </c>
    </row>
    <row r="36" customFormat="false" ht="15" hidden="false" customHeight="false" outlineLevel="0" collapsed="false">
      <c r="A36" s="3" t="s">
        <v>125</v>
      </c>
      <c r="B36" s="4"/>
      <c r="C36" s="4"/>
      <c r="D36" s="4"/>
      <c r="E36" s="4"/>
      <c r="F36" s="4"/>
    </row>
    <row r="37" customFormat="false" ht="15" hidden="false" customHeight="false" outlineLevel="0" collapsed="false">
      <c r="B37" s="24" t="str">
        <f aca="false">IF(p_EscIdx=1,"Base depurada: supuestos de Oct-2025 con correcciones metodológicas; NO es situación real de 2026.",IF(p_EscIdx=2,INDEX(Supuestos!$D$98:$H$98,1,2),"Escenario "&amp;p_Escenario&amp;": "&amp;INDEX(Supuestos!$D$98:$H$98,1,p_EscIdx)))</f>
        <v>Base depurada: supuestos de Oct-2025 con correcciones metodológicas; NO es situación real de 2026.</v>
      </c>
      <c r="C37" s="24"/>
      <c r="D37" s="24"/>
      <c r="E37" s="24"/>
      <c r="F37" s="24"/>
    </row>
    <row r="38" customFormat="false" ht="15" hidden="false" customHeight="false" outlineLevel="0" collapsed="false">
      <c r="B38" s="24" t="str">
        <f aca="false">IF(p_ShockIdx&gt;1,"PRUEBA DE SENSIBILIDAD ACTIVA («"&amp;p_Shock&amp;"»): los resultados son un choque ilustrativo. Volver a «Ninguna».","")</f>
        <v/>
      </c>
      <c r="C38" s="24"/>
      <c r="D38" s="24"/>
      <c r="E38" s="24"/>
      <c r="F38" s="24"/>
    </row>
    <row r="39" customFormat="false" ht="15" hidden="false" customHeight="false" outlineLevel="0" collapsed="false">
      <c r="B39" s="24" t="str">
        <f aca="false">IF(k_brecha_nc&gt;0.5,"Brecha de caja no cubierta: máx. USD "&amp;FIXED(k_brecha_nc,0)&amp;" en "&amp;k_brecha_nc_n&amp;" meses. El financiamiento planificado no alcanza; definir aportes, deuda o mejoras de CT.","Sin brecha de caja no cubierta con el financiamiento planificado.")</f>
        <v>Brecha de caja no cubierta: máx. USD 589,308 en 32 meses. El financiamiento planificado no alcanza; definir aportes, deuda o mejoras de CT.</v>
      </c>
      <c r="C39" s="24"/>
      <c r="D39" s="24"/>
      <c r="E39" s="24"/>
      <c r="F39" s="24"/>
    </row>
    <row r="40" customFormat="false" ht="15" hidden="false" customHeight="false" outlineLevel="0" collapsed="false">
      <c r="B40" s="24" t="str">
        <f aca="false">"Pico de necesidad antes de aportes adicionales: USD "&amp;FIXED(k_nec,0)&amp;" en el mes "&amp;k_nec_m&amp;" (PDF planificó USD 939.710 de aportes adicionales)."</f>
        <v>Pico de necesidad antes de aportes adicionales: USD 1,529,018 en el mes 28 (PDF planificó USD 939.710 de aportes adicionales).</v>
      </c>
      <c r="C40" s="24"/>
      <c r="D40" s="24"/>
      <c r="E40" s="24"/>
      <c r="F40" s="24"/>
    </row>
    <row r="41" customFormat="false" ht="15" hidden="false" customHeight="false" outlineLevel="0" collapsed="false">
      <c r="B41" s="24" t="str">
        <f aca="false">IF(k_chk_cap&gt;0,k_chk_cap&amp;" meses con producción sobre la capacidad del plan: requiere horas extra, turno o inversión explícitos.","")</f>
        <v>2 meses con producción sobre la capacidad del plan: requiere horas extra, turno o inversión explícitos.</v>
      </c>
      <c r="C41" s="24"/>
      <c r="D41" s="24"/>
      <c r="E41" s="24"/>
      <c r="F41" s="24"/>
    </row>
    <row r="42" customFormat="false" ht="15" hidden="false" customHeight="false" outlineLevel="0" collapsed="false">
      <c r="B42" s="24" t="str">
        <f aca="false">IF(ISNUMBER(k_dscr_min),IF(k_dscr_min&lt;1,"DSCR mínimo "&amp;FIXED(k_dscr_min,2)&amp;"x: el flujo operativo (incluida la formación de CT del arranque) no cubre el servicio de deuda en algún año; se financia con aportes o caja.",""),"")</f>
        <v>DSCR mínimo -2.54x: el flujo operativo (incluida la formación de CT del arranque) no cubre el servicio de deuda en algún año; se financia con aportes o caja.</v>
      </c>
      <c r="C42" s="24"/>
      <c r="D42" s="24"/>
      <c r="E42" s="24"/>
      <c r="F42" s="24"/>
    </row>
    <row r="43" customFormat="false" ht="15" hidden="false" customHeight="false" outlineLevel="0" collapsed="false">
      <c r="B43" s="24" t="str">
        <f aca="false">IF(ISNUMBER(k_tir_p),IF(LEFT(k_tir_p_u,5)&lt;&gt;"Única","TIR del proyecto con posibles valores múltiples: priorizar VAN.",""),"TIR del proyecto no disponible: "&amp;k_tir_p)</f>
        <v/>
      </c>
      <c r="C43" s="24"/>
      <c r="D43" s="24"/>
      <c r="E43" s="24"/>
      <c r="F43" s="24"/>
    </row>
    <row r="44" customFormat="false" ht="15" hidden="false" customHeight="false" outlineLevel="0" collapsed="false">
      <c r="B44" s="24" t="str">
        <f aca="false">IF(p_MesCorte&lt;0,"Sin datos reales cargados: la situación desde Oct-2025 no está incorporada. Ver Datos_Reales.","")</f>
        <v>Sin datos reales cargados: la situación desde Oct-2025 no está incorporada. Ver Datos_Reales.</v>
      </c>
      <c r="C44" s="24"/>
      <c r="D44" s="24"/>
      <c r="E44" s="24"/>
      <c r="F44" s="24"/>
    </row>
    <row r="45" customFormat="false" ht="15" hidden="false" customHeight="false" outlineLevel="0" collapsed="false">
      <c r="B45" s="24" t="str">
        <f aca="false">IF(p_FechaInicio="","Calendarización pendiente: el año 1 no se asocia a 2025 ni a 2026 hasta cargar la fecha del mes 0.","")</f>
        <v>Calendarización pendiente: el año 1 no se asocia a 2025 ni a 2026 hasta cargar la fecha del mes 0.</v>
      </c>
      <c r="C45" s="24"/>
      <c r="D45" s="24"/>
      <c r="E45" s="24"/>
      <c r="F45" s="24"/>
    </row>
    <row r="46" customFormat="false" ht="15" hidden="false" customHeight="false" outlineLevel="0" collapsed="false">
      <c r="B46" s="24" t="str">
        <f aca="false">IF(p_MetodoTasa=1,"Tasa del proyecto = ponderada inicial del PDF (93% deuda a 9%): hipótesis histórica, no WACC vigente.","")</f>
        <v>Tasa del proyecto = ponderada inicial del PDF (93% deuda a 9%): hipótesis histórica, no WACC vigente.</v>
      </c>
      <c r="C46" s="24"/>
      <c r="D46" s="24"/>
      <c r="E46" s="24"/>
      <c r="F46" s="24"/>
    </row>
    <row r="47" customFormat="false" ht="15" hidden="false" customHeight="false" outlineLevel="0" collapsed="false">
      <c r="B47" s="24" t="str">
        <f aca="false">IF(OR(p_BaseTrib=1,p_Modalidad=1),"Tributo de maquila, IVA y modalidad contractual: criterio histórico del PDF, pendiente de verificación con Ley 7547/2025 y el contrato.","")</f>
        <v>Tributo de maquila, IVA y modalidad contractual: criterio histórico del PDF, pendiente de verificación con Ley 7547/2025 y el contrato.</v>
      </c>
      <c r="C47" s="24"/>
      <c r="D47" s="24"/>
      <c r="E47" s="24"/>
      <c r="F47" s="24"/>
    </row>
    <row r="48" customFormat="false" ht="15" hidden="false" customHeight="false" outlineLevel="0" collapsed="false">
      <c r="B48" s="24" t="str">
        <f aca="false">IF(p_NCorr&lt;6,"Correcciones metodológicas incompletas ("&amp;p_NCorr&amp;" de 6): el resultado no es la base depurada.","")</f>
        <v/>
      </c>
      <c r="C48" s="24"/>
      <c r="D48" s="24"/>
      <c r="E48" s="24"/>
      <c r="F48" s="24"/>
    </row>
    <row r="49" customFormat="false" ht="15" hidden="false" customHeight="false" outlineLevel="0" collapsed="false">
      <c r="B49" s="24" t="str">
        <f aca="false">IF(k_chk_bal+k_chk_ind&gt;0.01,"ERROR DE INTEGRIDAD: balance o método directo/indirecto no cuadran. Revisar Validaciones.","")</f>
        <v/>
      </c>
      <c r="C49" s="24"/>
      <c r="D49" s="24"/>
      <c r="E49" s="24"/>
      <c r="F49" s="24"/>
    </row>
    <row r="50" customFormat="false" ht="15" hidden="false" customHeight="false" outlineLevel="0" collapsed="false">
      <c r="B50" s="24" t="str">
        <f aca="false">IF(v_Revisar&gt;0,v_Revisar&amp;" controles en estado REVISAR (hoja Validaciones).","")</f>
        <v/>
      </c>
      <c r="C50" s="24"/>
      <c r="D50" s="24"/>
      <c r="E50" s="24"/>
      <c r="F50" s="24"/>
    </row>
    <row r="51" customFormat="false" ht="15" hidden="false" customHeight="false" outlineLevel="0" collapsed="false">
      <c r="B51" s="24" t="str">
        <f aca="false">IF(p_ApAuto=1,"Aportes hipotéticos de cobertura ACTIVOS (no aprobados): USD "&amp;FIXED(k_ap_auto,0)&amp;" incluidos en el flujo de socios.",IF(k_brecha_nc&gt;0.5,"El VAN/TIR de socios supone que la brecha se cubre sin costo; activar Supuestos G63 para medir el aporte adicional requerido.",""))</f>
        <v>El VAN/TIR de socios supone que la brecha se cubre sin costo; activar Supuestos G63 para medir el aporte adicional requerido.</v>
      </c>
      <c r="C51" s="24"/>
      <c r="D51" s="24"/>
      <c r="E51" s="24"/>
      <c r="F51" s="24"/>
    </row>
    <row r="52" customFormat="false" ht="15" hidden="false" customHeight="false" outlineLevel="0" collapsed="false">
      <c r="B52" s="24" t="str">
        <f aca="false">IF(AND(p_MesCorte&gt;=0,p_ArranqueReal=""),"Hay reales cargados sin «mes real de arranque» (Datos_Reales T1): el atraso del escenario puede contradecir la operación real.","")</f>
        <v/>
      </c>
      <c r="C52" s="24"/>
      <c r="D52" s="24"/>
      <c r="E52" s="24"/>
      <c r="F52" s="24"/>
    </row>
    <row r="54" customFormat="false" ht="15" hidden="false" customHeight="false" outlineLevel="0" collapsed="false">
      <c r="A54" s="3" t="s">
        <v>126</v>
      </c>
      <c r="B54" s="4"/>
      <c r="C54" s="4"/>
      <c r="D54" s="4"/>
      <c r="E54" s="4"/>
      <c r="F54" s="4"/>
    </row>
    <row r="55" customFormat="false" ht="27.75" hidden="false" customHeight="true" outlineLevel="0" collapsed="false">
      <c r="B55" s="25" t="s">
        <v>127</v>
      </c>
      <c r="C55" s="25"/>
      <c r="D55" s="25"/>
      <c r="E55" s="25"/>
      <c r="F55" s="25"/>
    </row>
    <row r="56" customFormat="false" ht="27.75" hidden="false" customHeight="true" outlineLevel="0" collapsed="false">
      <c r="B56" s="25" t="s">
        <v>128</v>
      </c>
      <c r="C56" s="25"/>
      <c r="D56" s="25"/>
      <c r="E56" s="25"/>
      <c r="F56" s="25"/>
    </row>
    <row r="57" customFormat="false" ht="27.75" hidden="false" customHeight="true" outlineLevel="0" collapsed="false">
      <c r="B57" s="25" t="s">
        <v>129</v>
      </c>
      <c r="C57" s="25"/>
      <c r="D57" s="25"/>
      <c r="E57" s="25"/>
      <c r="F57" s="25"/>
    </row>
    <row r="58" customFormat="false" ht="27.75" hidden="false" customHeight="true" outlineLevel="0" collapsed="false">
      <c r="B58" s="25" t="s">
        <v>130</v>
      </c>
      <c r="C58" s="25"/>
      <c r="D58" s="25"/>
      <c r="E58" s="25"/>
      <c r="F58" s="25"/>
    </row>
    <row r="60" customFormat="false" ht="15" hidden="false" customHeight="false" outlineLevel="0" collapsed="false">
      <c r="A60" s="3" t="s">
        <v>131</v>
      </c>
      <c r="B60" s="4"/>
      <c r="C60" s="4"/>
      <c r="D60" s="4"/>
      <c r="E60" s="4"/>
      <c r="F60" s="4"/>
    </row>
    <row r="61" customFormat="false" ht="15" hidden="false" customHeight="false" outlineLevel="0" collapsed="false">
      <c r="B61" s="8" t="s">
        <v>132</v>
      </c>
      <c r="C61" s="13" t="n">
        <f aca="false">k_capex_o</f>
        <v>755044.1</v>
      </c>
    </row>
    <row r="62" customFormat="false" ht="15" hidden="false" customHeight="false" outlineLevel="0" collapsed="false">
      <c r="B62" s="8" t="s">
        <v>133</v>
      </c>
      <c r="C62" s="13" t="n">
        <f aca="false">k_capex_e</f>
        <v>755044.1</v>
      </c>
    </row>
  </sheetData>
  <mergeCells count="20"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5:F55"/>
    <mergeCell ref="B56:F56"/>
    <mergeCell ref="B57:F57"/>
    <mergeCell ref="B58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M2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8" min="4" style="0" width="16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34"/>
    <col collapsed="false" customWidth="true" hidden="false" outlineLevel="0" max="13" min="13" style="0" width="60"/>
  </cols>
  <sheetData>
    <row r="1" customFormat="false" ht="16.1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3" t="s">
        <v>136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B5" s="5" t="s">
        <v>137</v>
      </c>
      <c r="D5" s="26" t="s">
        <v>138</v>
      </c>
      <c r="E5" s="26"/>
      <c r="F5" s="26"/>
      <c r="H5" s="2" t="s">
        <v>139</v>
      </c>
    </row>
    <row r="6" customFormat="false" ht="15" hidden="false" customHeight="false" outlineLevel="0" collapsed="false">
      <c r="B6" s="8" t="s">
        <v>140</v>
      </c>
      <c r="D6" s="27" t="n">
        <f aca="false">MATCH(p_Escenario,$D$97:$H$97,0)</f>
        <v>1</v>
      </c>
    </row>
    <row r="7" customFormat="false" ht="15" hidden="false" customHeight="false" outlineLevel="0" collapsed="false">
      <c r="B7" s="5" t="s">
        <v>141</v>
      </c>
      <c r="D7" s="24" t="str">
        <f aca="false">INDEX($D$98:$H$98,1,p_EscIdx)</f>
        <v>Supuestos históricos Oct-2025 con correcciones metodológicas. NO es ejecución real.</v>
      </c>
      <c r="E7" s="24"/>
      <c r="F7" s="24"/>
      <c r="G7" s="24"/>
      <c r="H7" s="24"/>
      <c r="I7" s="24"/>
      <c r="J7" s="24"/>
      <c r="K7" s="24"/>
      <c r="L7" s="24"/>
    </row>
    <row r="8" customFormat="false" ht="15" hidden="false" customHeight="false" outlineLevel="0" collapsed="false">
      <c r="B8" s="5" t="s">
        <v>142</v>
      </c>
      <c r="D8" s="26" t="s">
        <v>143</v>
      </c>
      <c r="E8" s="26"/>
      <c r="F8" s="26"/>
      <c r="H8" s="2" t="s">
        <v>144</v>
      </c>
    </row>
    <row r="9" customFormat="false" ht="15" hidden="false" customHeight="false" outlineLevel="0" collapsed="false">
      <c r="B9" s="8" t="s">
        <v>145</v>
      </c>
      <c r="D9" s="27" t="n">
        <f aca="false">MATCH(p_Shock,$B$192:$B$207,0)</f>
        <v>1</v>
      </c>
    </row>
    <row r="11" customFormat="false" ht="15" hidden="false" customHeight="false" outlineLevel="0" collapsed="false">
      <c r="A11" s="3" t="s">
        <v>146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5" hidden="false" customHeight="false" outlineLevel="0" collapsed="false">
      <c r="A12" s="10" t="s">
        <v>147</v>
      </c>
      <c r="B12" s="10" t="s">
        <v>148</v>
      </c>
      <c r="C12" s="10" t="s">
        <v>149</v>
      </c>
      <c r="D12" s="10" t="s">
        <v>150</v>
      </c>
      <c r="E12" s="10" t="s">
        <v>151</v>
      </c>
      <c r="F12" s="10" t="s">
        <v>152</v>
      </c>
      <c r="G12" s="10" t="s">
        <v>153</v>
      </c>
      <c r="H12" s="10" t="s">
        <v>93</v>
      </c>
    </row>
    <row r="13" customFormat="false" ht="15" hidden="false" customHeight="false" outlineLevel="0" collapsed="false">
      <c r="A13" s="8" t="s">
        <v>154</v>
      </c>
      <c r="B13" s="8" t="s">
        <v>155</v>
      </c>
      <c r="C13" s="8" t="s">
        <v>156</v>
      </c>
      <c r="D13" s="28" t="n">
        <f aca="false">Base_PDF!$E$7</f>
        <v>7300</v>
      </c>
      <c r="E13" s="8" t="s">
        <v>157</v>
      </c>
      <c r="F13" s="8" t="s">
        <v>158</v>
      </c>
      <c r="G13" s="8" t="s">
        <v>159</v>
      </c>
    </row>
    <row r="14" customFormat="false" ht="15" hidden="false" customHeight="false" outlineLevel="0" collapsed="false">
      <c r="A14" s="8" t="s">
        <v>160</v>
      </c>
      <c r="B14" s="8" t="s">
        <v>161</v>
      </c>
      <c r="C14" s="8" t="s">
        <v>156</v>
      </c>
      <c r="D14" s="28" t="n">
        <f aca="false">Base_PDF!$E$10</f>
        <v>8000</v>
      </c>
      <c r="E14" s="8" t="s">
        <v>162</v>
      </c>
      <c r="F14" s="8" t="s">
        <v>163</v>
      </c>
      <c r="G14" s="8" t="s">
        <v>164</v>
      </c>
      <c r="H14" s="8" t="s">
        <v>165</v>
      </c>
    </row>
    <row r="15" customFormat="false" ht="15" hidden="false" customHeight="false" outlineLevel="0" collapsed="false">
      <c r="A15" s="8" t="s">
        <v>166</v>
      </c>
      <c r="B15" s="8" t="s">
        <v>167</v>
      </c>
      <c r="C15" s="8" t="s">
        <v>168</v>
      </c>
      <c r="D15" s="29" t="n">
        <v>0</v>
      </c>
      <c r="E15" s="8" t="s">
        <v>169</v>
      </c>
      <c r="F15" s="8" t="s">
        <v>170</v>
      </c>
      <c r="G15" s="8" t="s">
        <v>171</v>
      </c>
      <c r="H15" s="8" t="s">
        <v>172</v>
      </c>
    </row>
    <row r="16" customFormat="false" ht="15" hidden="false" customHeight="false" outlineLevel="0" collapsed="false">
      <c r="A16" s="8" t="s">
        <v>173</v>
      </c>
      <c r="B16" s="8" t="s">
        <v>174</v>
      </c>
      <c r="C16" s="8" t="s">
        <v>175</v>
      </c>
      <c r="D16" s="30"/>
      <c r="E16" s="8" t="s">
        <v>176</v>
      </c>
      <c r="F16" s="8" t="s">
        <v>177</v>
      </c>
      <c r="G16" s="7" t="s">
        <v>178</v>
      </c>
      <c r="H16" s="8" t="s">
        <v>179</v>
      </c>
    </row>
    <row r="17" customFormat="false" ht="15" hidden="false" customHeight="false" outlineLevel="0" collapsed="false">
      <c r="A17" s="8" t="s">
        <v>180</v>
      </c>
      <c r="B17" s="8" t="s">
        <v>181</v>
      </c>
      <c r="C17" s="8" t="s">
        <v>182</v>
      </c>
      <c r="D17" s="29" t="n">
        <v>1</v>
      </c>
      <c r="E17" s="8" t="s">
        <v>183</v>
      </c>
      <c r="F17" s="8" t="s">
        <v>184</v>
      </c>
      <c r="G17" s="8" t="s">
        <v>171</v>
      </c>
      <c r="H17" s="8" t="s">
        <v>185</v>
      </c>
    </row>
    <row r="18" customFormat="false" ht="15" hidden="false" customHeight="false" outlineLevel="0" collapsed="false">
      <c r="A18" s="8" t="s">
        <v>186</v>
      </c>
      <c r="B18" s="8" t="s">
        <v>187</v>
      </c>
      <c r="C18" s="8" t="s">
        <v>188</v>
      </c>
      <c r="D18" s="29" t="n">
        <v>10</v>
      </c>
      <c r="E18" s="8" t="s">
        <v>183</v>
      </c>
      <c r="F18" s="8" t="s">
        <v>189</v>
      </c>
      <c r="G18" s="8" t="s">
        <v>159</v>
      </c>
    </row>
    <row r="19" customFormat="false" ht="15" hidden="false" customHeight="false" outlineLevel="0" collapsed="false">
      <c r="A19" s="8" t="s">
        <v>190</v>
      </c>
      <c r="B19" s="8" t="s">
        <v>191</v>
      </c>
      <c r="C19" s="8" t="s">
        <v>168</v>
      </c>
      <c r="D19" s="31" t="n">
        <f aca="false">p_AniosOp*12</f>
        <v>120</v>
      </c>
      <c r="E19" s="8" t="s">
        <v>183</v>
      </c>
      <c r="F19" s="8" t="s">
        <v>192</v>
      </c>
      <c r="G19" s="8" t="s">
        <v>192</v>
      </c>
    </row>
    <row r="20" customFormat="false" ht="15" hidden="false" customHeight="false" outlineLevel="0" collapsed="false">
      <c r="A20" s="8" t="s">
        <v>193</v>
      </c>
      <c r="B20" s="8" t="s">
        <v>194</v>
      </c>
      <c r="C20" s="8" t="s">
        <v>195</v>
      </c>
      <c r="D20" s="29" t="n">
        <v>365</v>
      </c>
      <c r="E20" s="8" t="s">
        <v>183</v>
      </c>
      <c r="F20" s="8" t="s">
        <v>196</v>
      </c>
      <c r="G20" s="8" t="s">
        <v>159</v>
      </c>
    </row>
    <row r="21" customFormat="false" ht="15" hidden="false" customHeight="false" outlineLevel="0" collapsed="false">
      <c r="A21" s="8" t="s">
        <v>197</v>
      </c>
      <c r="B21" s="8" t="s">
        <v>198</v>
      </c>
      <c r="C21" s="8" t="s">
        <v>195</v>
      </c>
      <c r="D21" s="19" t="n">
        <f aca="false">p_DiasAnio/12</f>
        <v>30.4166666666667</v>
      </c>
      <c r="E21" s="8" t="s">
        <v>183</v>
      </c>
      <c r="F21" s="8" t="s">
        <v>192</v>
      </c>
      <c r="G21" s="8" t="s">
        <v>192</v>
      </c>
    </row>
    <row r="22" customFormat="false" ht="15" hidden="false" customHeight="false" outlineLevel="0" collapsed="false">
      <c r="A22" s="8" t="s">
        <v>199</v>
      </c>
      <c r="B22" s="8" t="s">
        <v>200</v>
      </c>
      <c r="C22" s="8" t="s">
        <v>201</v>
      </c>
      <c r="D22" s="32" t="n">
        <f aca="false">Base_PDF!$E$11</f>
        <v>0.1632</v>
      </c>
      <c r="E22" s="8" t="s">
        <v>162</v>
      </c>
      <c r="F22" s="8" t="s">
        <v>202</v>
      </c>
      <c r="G22" s="8" t="s">
        <v>203</v>
      </c>
      <c r="H22" s="8" t="s">
        <v>204</v>
      </c>
    </row>
    <row r="23" customFormat="false" ht="15" hidden="false" customHeight="false" outlineLevel="0" collapsed="false">
      <c r="A23" s="8" t="s">
        <v>205</v>
      </c>
      <c r="B23" s="8" t="s">
        <v>206</v>
      </c>
      <c r="C23" s="8" t="s">
        <v>201</v>
      </c>
      <c r="D23" s="32" t="n">
        <f aca="false">Base_PDF!$E$12</f>
        <v>0.09</v>
      </c>
      <c r="E23" s="8" t="s">
        <v>162</v>
      </c>
      <c r="F23" s="8" t="s">
        <v>207</v>
      </c>
      <c r="G23" s="8" t="s">
        <v>208</v>
      </c>
    </row>
    <row r="24" customFormat="false" ht="15" hidden="false" customHeight="false" outlineLevel="0" collapsed="false">
      <c r="A24" s="8" t="s">
        <v>209</v>
      </c>
      <c r="B24" s="8" t="s">
        <v>210</v>
      </c>
      <c r="C24" s="8" t="s">
        <v>211</v>
      </c>
      <c r="D24" s="29" t="n">
        <v>1</v>
      </c>
      <c r="E24" s="8" t="s">
        <v>183</v>
      </c>
      <c r="F24" s="8" t="s">
        <v>212</v>
      </c>
      <c r="G24" s="8" t="s">
        <v>171</v>
      </c>
      <c r="H24" s="8" t="s">
        <v>213</v>
      </c>
    </row>
    <row r="25" customFormat="false" ht="15" hidden="false" customHeight="false" outlineLevel="0" collapsed="false">
      <c r="A25" s="8" t="s">
        <v>214</v>
      </c>
      <c r="B25" s="8" t="s">
        <v>215</v>
      </c>
      <c r="C25" s="8" t="s">
        <v>201</v>
      </c>
      <c r="D25" s="33"/>
      <c r="E25" s="8" t="s">
        <v>183</v>
      </c>
      <c r="F25" s="8" t="s">
        <v>176</v>
      </c>
      <c r="G25" s="7" t="s">
        <v>216</v>
      </c>
      <c r="H25" s="8" t="s">
        <v>217</v>
      </c>
    </row>
    <row r="26" customFormat="false" ht="15" hidden="false" customHeight="false" outlineLevel="0" collapsed="false">
      <c r="A26" s="8" t="s">
        <v>218</v>
      </c>
      <c r="B26" s="8" t="s">
        <v>219</v>
      </c>
      <c r="C26" s="8" t="s">
        <v>201</v>
      </c>
      <c r="D26" s="16" t="n">
        <f aca="false">p_Kd*(1+p_IVAint)</f>
        <v>0.099</v>
      </c>
      <c r="E26" s="8" t="s">
        <v>183</v>
      </c>
      <c r="F26" s="8" t="s">
        <v>192</v>
      </c>
      <c r="G26" s="8" t="s">
        <v>192</v>
      </c>
      <c r="H26" s="8" t="s">
        <v>220</v>
      </c>
    </row>
    <row r="27" customFormat="false" ht="15" hidden="false" customHeight="false" outlineLevel="0" collapsed="false">
      <c r="A27" s="8" t="s">
        <v>221</v>
      </c>
      <c r="B27" s="8" t="s">
        <v>222</v>
      </c>
      <c r="C27" s="8" t="s">
        <v>201</v>
      </c>
      <c r="D27" s="34"/>
      <c r="E27" s="8" t="s">
        <v>183</v>
      </c>
      <c r="F27" s="8" t="s">
        <v>176</v>
      </c>
      <c r="G27" s="7" t="s">
        <v>216</v>
      </c>
    </row>
    <row r="28" customFormat="false" ht="15" hidden="false" customHeight="false" outlineLevel="0" collapsed="false">
      <c r="A28" s="8" t="s">
        <v>223</v>
      </c>
      <c r="B28" s="8" t="s">
        <v>224</v>
      </c>
      <c r="C28" s="8" t="s">
        <v>201</v>
      </c>
      <c r="D28" s="35" t="n">
        <f aca="false">Base_PDF!$E$409</f>
        <v>0.0948937236323062</v>
      </c>
      <c r="E28" s="8" t="s">
        <v>162</v>
      </c>
      <c r="F28" s="8" t="s">
        <v>225</v>
      </c>
      <c r="G28" s="8" t="s">
        <v>226</v>
      </c>
    </row>
    <row r="29" customFormat="false" ht="15" hidden="false" customHeight="false" outlineLevel="0" collapsed="false">
      <c r="A29" s="8" t="s">
        <v>227</v>
      </c>
      <c r="B29" s="8" t="s">
        <v>228</v>
      </c>
      <c r="C29" s="8" t="s">
        <v>201</v>
      </c>
      <c r="D29" s="36" t="n">
        <f aca="false">IF(p_MetodoTasa=2,IF(p_DV="",p_TasaPDF,p_DV*p_KdEf+(1-p_DV)*p_Ke),IF(p_MetodoTasa=3,IF(p_TasaManual="",p_TasaPDF,p_TasaManual),p_TasaPDF))</f>
        <v>0.0948937236323062</v>
      </c>
      <c r="E29" s="8" t="s">
        <v>183</v>
      </c>
      <c r="F29" s="8" t="s">
        <v>192</v>
      </c>
      <c r="G29" s="8" t="s">
        <v>192</v>
      </c>
      <c r="H29" s="8" t="s">
        <v>229</v>
      </c>
    </row>
    <row r="30" customFormat="false" ht="15" hidden="false" customHeight="false" outlineLevel="0" collapsed="false">
      <c r="A30" s="8" t="s">
        <v>230</v>
      </c>
      <c r="B30" s="8" t="s">
        <v>231</v>
      </c>
      <c r="C30" s="8" t="s">
        <v>232</v>
      </c>
      <c r="D30" s="8" t="str">
        <f aca="false">IF(AND(p_MetodoTasa=2,p_DV=""),"Método 2 sin peso objetivo: se usa ponderada inicial",IF(AND(p_MetodoTasa=3,p_TasaManual=""),"Método 3 sin tasa: se usa ponderada inicial",IF(p_MetodoTasa=1,"Ponderada inicial PDF (histórica)","OK")))</f>
        <v>Ponderada inicial PDF (histórica)</v>
      </c>
      <c r="E30" s="8" t="s">
        <v>183</v>
      </c>
      <c r="F30" s="8" t="s">
        <v>192</v>
      </c>
      <c r="G30" s="8" t="s">
        <v>192</v>
      </c>
    </row>
    <row r="31" customFormat="false" ht="15" hidden="false" customHeight="false" outlineLevel="0" collapsed="false">
      <c r="A31" s="8" t="s">
        <v>233</v>
      </c>
      <c r="B31" s="8" t="s">
        <v>234</v>
      </c>
      <c r="C31" s="8" t="s">
        <v>201</v>
      </c>
      <c r="D31" s="37" t="n">
        <v>0</v>
      </c>
      <c r="E31" s="8" t="s">
        <v>183</v>
      </c>
      <c r="F31" s="8" t="s">
        <v>235</v>
      </c>
      <c r="G31" s="8" t="s">
        <v>236</v>
      </c>
      <c r="H31" s="8" t="s">
        <v>237</v>
      </c>
    </row>
    <row r="32" customFormat="false" ht="15" hidden="false" customHeight="false" outlineLevel="0" collapsed="false">
      <c r="A32" s="8" t="s">
        <v>238</v>
      </c>
      <c r="B32" s="8" t="s">
        <v>239</v>
      </c>
      <c r="C32" s="8" t="s">
        <v>182</v>
      </c>
      <c r="D32" s="29" t="n">
        <v>1</v>
      </c>
      <c r="E32" s="8" t="s">
        <v>240</v>
      </c>
      <c r="F32" s="8" t="s">
        <v>241</v>
      </c>
      <c r="G32" s="8" t="s">
        <v>171</v>
      </c>
      <c r="H32" s="8" t="s">
        <v>242</v>
      </c>
    </row>
    <row r="33" customFormat="false" ht="15" hidden="false" customHeight="false" outlineLevel="0" collapsed="false">
      <c r="A33" s="8" t="s">
        <v>243</v>
      </c>
      <c r="B33" s="8" t="s">
        <v>244</v>
      </c>
      <c r="C33" s="8" t="s">
        <v>201</v>
      </c>
      <c r="D33" s="37" t="n">
        <v>0</v>
      </c>
      <c r="E33" s="8" t="s">
        <v>245</v>
      </c>
      <c r="F33" s="8" t="s">
        <v>176</v>
      </c>
      <c r="G33" s="8" t="s">
        <v>171</v>
      </c>
    </row>
    <row r="34" customFormat="false" ht="15" hidden="false" customHeight="false" outlineLevel="0" collapsed="false">
      <c r="A34" s="8" t="s">
        <v>246</v>
      </c>
      <c r="B34" s="8" t="s">
        <v>247</v>
      </c>
      <c r="C34" s="8" t="s">
        <v>201</v>
      </c>
      <c r="D34" s="37" t="n">
        <v>1</v>
      </c>
      <c r="E34" s="8" t="s">
        <v>240</v>
      </c>
      <c r="F34" s="8" t="s">
        <v>176</v>
      </c>
      <c r="G34" s="8" t="s">
        <v>171</v>
      </c>
    </row>
    <row r="35" customFormat="false" ht="15" hidden="false" customHeight="false" outlineLevel="0" collapsed="false">
      <c r="A35" s="8" t="s">
        <v>248</v>
      </c>
      <c r="B35" s="8" t="s">
        <v>249</v>
      </c>
      <c r="C35" s="8" t="s">
        <v>201</v>
      </c>
      <c r="D35" s="37" t="n">
        <v>1</v>
      </c>
      <c r="E35" s="8" t="s">
        <v>240</v>
      </c>
      <c r="F35" s="8" t="s">
        <v>176</v>
      </c>
      <c r="G35" s="8" t="s">
        <v>171</v>
      </c>
    </row>
    <row r="36" customFormat="false" ht="15" hidden="false" customHeight="false" outlineLevel="0" collapsed="false">
      <c r="A36" s="8" t="s">
        <v>250</v>
      </c>
      <c r="B36" s="8" t="s">
        <v>251</v>
      </c>
      <c r="C36" s="8" t="s">
        <v>201</v>
      </c>
      <c r="D36" s="37" t="n">
        <v>1</v>
      </c>
      <c r="E36" s="8" t="s">
        <v>240</v>
      </c>
      <c r="F36" s="8" t="s">
        <v>176</v>
      </c>
      <c r="G36" s="8" t="s">
        <v>171</v>
      </c>
      <c r="H36" s="8" t="s">
        <v>252</v>
      </c>
    </row>
    <row r="37" customFormat="false" ht="15" hidden="false" customHeight="false" outlineLevel="0" collapsed="false">
      <c r="A37" s="8" t="s">
        <v>253</v>
      </c>
      <c r="B37" s="8" t="s">
        <v>254</v>
      </c>
      <c r="C37" s="8" t="s">
        <v>255</v>
      </c>
      <c r="D37" s="38" t="n">
        <v>0</v>
      </c>
      <c r="E37" s="8" t="s">
        <v>240</v>
      </c>
      <c r="F37" s="8" t="s">
        <v>176</v>
      </c>
      <c r="G37" s="7" t="s">
        <v>256</v>
      </c>
    </row>
    <row r="38" customFormat="false" ht="15" hidden="false" customHeight="false" outlineLevel="0" collapsed="false">
      <c r="A38" s="8" t="s">
        <v>257</v>
      </c>
      <c r="B38" s="8" t="s">
        <v>258</v>
      </c>
      <c r="C38" s="8" t="s">
        <v>182</v>
      </c>
      <c r="D38" s="29" t="n">
        <v>1</v>
      </c>
      <c r="E38" s="8" t="s">
        <v>183</v>
      </c>
      <c r="F38" s="8" t="s">
        <v>259</v>
      </c>
      <c r="G38" s="7" t="s">
        <v>178</v>
      </c>
      <c r="H38" s="8" t="s">
        <v>260</v>
      </c>
    </row>
    <row r="39" customFormat="false" ht="15" hidden="false" customHeight="false" outlineLevel="0" collapsed="false">
      <c r="A39" s="8" t="s">
        <v>261</v>
      </c>
      <c r="B39" s="8" t="s">
        <v>262</v>
      </c>
      <c r="C39" s="8" t="s">
        <v>263</v>
      </c>
      <c r="D39" s="39"/>
      <c r="E39" s="8" t="s">
        <v>264</v>
      </c>
      <c r="F39" s="8" t="s">
        <v>265</v>
      </c>
      <c r="G39" s="7" t="s">
        <v>266</v>
      </c>
    </row>
    <row r="40" customFormat="false" ht="15" hidden="false" customHeight="false" outlineLevel="0" collapsed="false">
      <c r="A40" s="8" t="s">
        <v>267</v>
      </c>
      <c r="B40" s="8" t="s">
        <v>268</v>
      </c>
      <c r="C40" s="8" t="s">
        <v>263</v>
      </c>
      <c r="D40" s="39"/>
      <c r="E40" s="8" t="s">
        <v>264</v>
      </c>
      <c r="F40" s="8" t="s">
        <v>265</v>
      </c>
      <c r="G40" s="7" t="s">
        <v>266</v>
      </c>
    </row>
    <row r="41" customFormat="false" ht="15" hidden="false" customHeight="false" outlineLevel="0" collapsed="false">
      <c r="A41" s="8" t="s">
        <v>269</v>
      </c>
      <c r="B41" s="8" t="s">
        <v>270</v>
      </c>
      <c r="C41" s="8" t="s">
        <v>201</v>
      </c>
      <c r="D41" s="37" t="n">
        <v>1</v>
      </c>
      <c r="E41" s="8" t="s">
        <v>183</v>
      </c>
      <c r="F41" s="8" t="s">
        <v>265</v>
      </c>
      <c r="G41" s="7" t="s">
        <v>178</v>
      </c>
    </row>
    <row r="42" customFormat="false" ht="15" hidden="false" customHeight="false" outlineLevel="0" collapsed="false">
      <c r="A42" s="8" t="s">
        <v>271</v>
      </c>
      <c r="B42" s="8" t="s">
        <v>272</v>
      </c>
      <c r="C42" s="8" t="s">
        <v>211</v>
      </c>
      <c r="D42" s="29" t="n">
        <v>1</v>
      </c>
      <c r="E42" s="8" t="s">
        <v>183</v>
      </c>
      <c r="F42" s="8" t="s">
        <v>273</v>
      </c>
      <c r="G42" s="8" t="s">
        <v>171</v>
      </c>
      <c r="H42" s="8" t="s">
        <v>274</v>
      </c>
    </row>
    <row r="43" customFormat="false" ht="15" hidden="false" customHeight="false" outlineLevel="0" collapsed="false">
      <c r="A43" s="8" t="s">
        <v>275</v>
      </c>
      <c r="B43" s="8" t="s">
        <v>276</v>
      </c>
      <c r="C43" s="8" t="s">
        <v>277</v>
      </c>
      <c r="D43" s="28" t="n">
        <f aca="false">Base_PDF!$E$48</f>
        <v>153</v>
      </c>
      <c r="E43" s="8" t="s">
        <v>183</v>
      </c>
      <c r="F43" s="8" t="s">
        <v>278</v>
      </c>
      <c r="G43" s="8" t="s">
        <v>159</v>
      </c>
    </row>
    <row r="44" customFormat="false" ht="15" hidden="false" customHeight="false" outlineLevel="0" collapsed="false">
      <c r="A44" s="8" t="s">
        <v>279</v>
      </c>
      <c r="B44" s="8" t="s">
        <v>280</v>
      </c>
      <c r="C44" s="8" t="s">
        <v>277</v>
      </c>
      <c r="D44" s="28" t="n">
        <f aca="false">Base_PDF!$E$49</f>
        <v>13</v>
      </c>
      <c r="E44" s="8" t="s">
        <v>183</v>
      </c>
      <c r="F44" s="8" t="s">
        <v>278</v>
      </c>
      <c r="G44" s="8" t="s">
        <v>159</v>
      </c>
    </row>
    <row r="45" customFormat="false" ht="15" hidden="false" customHeight="false" outlineLevel="0" collapsed="false">
      <c r="A45" s="8" t="s">
        <v>281</v>
      </c>
      <c r="B45" s="8" t="s">
        <v>282</v>
      </c>
      <c r="C45" s="8" t="s">
        <v>283</v>
      </c>
      <c r="D45" s="39"/>
      <c r="E45" s="8" t="s">
        <v>183</v>
      </c>
      <c r="F45" s="8" t="s">
        <v>284</v>
      </c>
      <c r="G45" s="7" t="s">
        <v>266</v>
      </c>
    </row>
    <row r="46" customFormat="false" ht="15" hidden="false" customHeight="false" outlineLevel="0" collapsed="false">
      <c r="A46" s="8" t="s">
        <v>285</v>
      </c>
      <c r="B46" s="8" t="s">
        <v>286</v>
      </c>
      <c r="C46" s="8" t="s">
        <v>283</v>
      </c>
      <c r="D46" s="39"/>
      <c r="E46" s="8" t="s">
        <v>183</v>
      </c>
      <c r="F46" s="8" t="s">
        <v>284</v>
      </c>
      <c r="G46" s="7" t="s">
        <v>266</v>
      </c>
    </row>
    <row r="47" customFormat="false" ht="15" hidden="false" customHeight="false" outlineLevel="0" collapsed="false">
      <c r="A47" s="8" t="s">
        <v>287</v>
      </c>
      <c r="B47" s="8" t="s">
        <v>288</v>
      </c>
      <c r="C47" s="8" t="s">
        <v>289</v>
      </c>
      <c r="D47" s="28" t="n">
        <f aca="false">Base_PDF!$E$21</f>
        <v>3865</v>
      </c>
      <c r="E47" s="8" t="s">
        <v>183</v>
      </c>
      <c r="F47" s="8" t="s">
        <v>290</v>
      </c>
      <c r="G47" s="8" t="s">
        <v>159</v>
      </c>
    </row>
    <row r="48" customFormat="false" ht="15" hidden="false" customHeight="false" outlineLevel="0" collapsed="false">
      <c r="A48" s="8" t="s">
        <v>291</v>
      </c>
      <c r="B48" s="8" t="s">
        <v>292</v>
      </c>
      <c r="C48" s="8" t="s">
        <v>293</v>
      </c>
      <c r="D48" s="40" t="n">
        <f aca="false">Base_PDF!$E$22</f>
        <v>4</v>
      </c>
      <c r="E48" s="8" t="s">
        <v>264</v>
      </c>
      <c r="F48" s="8" t="s">
        <v>290</v>
      </c>
      <c r="G48" s="8" t="s">
        <v>159</v>
      </c>
    </row>
    <row r="49" customFormat="false" ht="15" hidden="false" customHeight="false" outlineLevel="0" collapsed="false">
      <c r="A49" s="8" t="s">
        <v>294</v>
      </c>
      <c r="B49" s="8" t="s">
        <v>295</v>
      </c>
      <c r="C49" s="8" t="s">
        <v>201</v>
      </c>
      <c r="D49" s="41" t="n">
        <f aca="false">Base_PDF!$E$23</f>
        <v>0.1</v>
      </c>
      <c r="E49" s="8" t="s">
        <v>183</v>
      </c>
      <c r="F49" s="8" t="s">
        <v>290</v>
      </c>
      <c r="G49" s="8" t="s">
        <v>159</v>
      </c>
    </row>
    <row r="50" customFormat="false" ht="15" hidden="false" customHeight="false" outlineLevel="0" collapsed="false">
      <c r="A50" s="8" t="s">
        <v>296</v>
      </c>
      <c r="B50" s="8" t="s">
        <v>297</v>
      </c>
      <c r="C50" s="8" t="s">
        <v>201</v>
      </c>
      <c r="D50" s="37" t="n">
        <v>0.03</v>
      </c>
      <c r="E50" s="8" t="s">
        <v>298</v>
      </c>
      <c r="F50" s="8" t="s">
        <v>299</v>
      </c>
      <c r="G50" s="8" t="s">
        <v>164</v>
      </c>
    </row>
    <row r="51" customFormat="false" ht="15" hidden="false" customHeight="false" outlineLevel="0" collapsed="false">
      <c r="A51" s="8" t="s">
        <v>300</v>
      </c>
      <c r="B51" s="8" t="s">
        <v>301</v>
      </c>
      <c r="C51" s="8" t="s">
        <v>293</v>
      </c>
      <c r="D51" s="40" t="n">
        <f aca="false">Base_PDF!$E$24</f>
        <v>0.2</v>
      </c>
      <c r="E51" s="8" t="s">
        <v>264</v>
      </c>
      <c r="F51" s="8" t="s">
        <v>302</v>
      </c>
      <c r="G51" s="8" t="s">
        <v>159</v>
      </c>
    </row>
    <row r="52" customFormat="false" ht="15" hidden="false" customHeight="false" outlineLevel="0" collapsed="false">
      <c r="A52" s="8" t="s">
        <v>303</v>
      </c>
      <c r="B52" s="8" t="s">
        <v>304</v>
      </c>
      <c r="C52" s="8" t="s">
        <v>211</v>
      </c>
      <c r="D52" s="29" t="n">
        <v>1</v>
      </c>
      <c r="E52" s="8" t="s">
        <v>183</v>
      </c>
      <c r="F52" s="8" t="s">
        <v>305</v>
      </c>
      <c r="G52" s="7" t="s">
        <v>178</v>
      </c>
      <c r="H52" s="8" t="s">
        <v>306</v>
      </c>
    </row>
    <row r="53" customFormat="false" ht="15" hidden="false" customHeight="false" outlineLevel="0" collapsed="false">
      <c r="A53" s="8" t="s">
        <v>307</v>
      </c>
      <c r="B53" s="8" t="s">
        <v>308</v>
      </c>
      <c r="C53" s="8" t="s">
        <v>201</v>
      </c>
      <c r="D53" s="41" t="n">
        <f aca="false">Base_PDF!$E$19</f>
        <v>0.1</v>
      </c>
      <c r="E53" s="8" t="s">
        <v>183</v>
      </c>
      <c r="F53" s="8" t="s">
        <v>207</v>
      </c>
      <c r="G53" s="8" t="s">
        <v>159</v>
      </c>
    </row>
    <row r="54" customFormat="false" ht="15" hidden="false" customHeight="false" outlineLevel="0" collapsed="false">
      <c r="A54" s="8" t="s">
        <v>309</v>
      </c>
      <c r="B54" s="8" t="s">
        <v>310</v>
      </c>
      <c r="C54" s="8" t="s">
        <v>201</v>
      </c>
      <c r="D54" s="41" t="n">
        <f aca="false">Base_PDF!$E$28</f>
        <v>0.01</v>
      </c>
      <c r="E54" s="8" t="s">
        <v>183</v>
      </c>
      <c r="F54" s="8" t="s">
        <v>311</v>
      </c>
      <c r="G54" s="8" t="s">
        <v>312</v>
      </c>
    </row>
    <row r="55" customFormat="false" ht="15" hidden="false" customHeight="false" outlineLevel="0" collapsed="false">
      <c r="A55" s="8" t="s">
        <v>313</v>
      </c>
      <c r="B55" s="8" t="s">
        <v>314</v>
      </c>
      <c r="C55" s="8" t="s">
        <v>182</v>
      </c>
      <c r="D55" s="29" t="n">
        <v>1</v>
      </c>
      <c r="E55" s="8" t="s">
        <v>183</v>
      </c>
      <c r="F55" s="8" t="s">
        <v>315</v>
      </c>
      <c r="G55" s="7" t="s">
        <v>316</v>
      </c>
      <c r="H55" s="8" t="s">
        <v>317</v>
      </c>
    </row>
    <row r="56" customFormat="false" ht="15" hidden="false" customHeight="false" outlineLevel="0" collapsed="false">
      <c r="A56" s="8" t="s">
        <v>318</v>
      </c>
      <c r="B56" s="8" t="s">
        <v>319</v>
      </c>
      <c r="C56" s="8" t="s">
        <v>201</v>
      </c>
      <c r="D56" s="42" t="n">
        <v>0.005</v>
      </c>
      <c r="E56" s="8" t="s">
        <v>183</v>
      </c>
      <c r="F56" s="8" t="s">
        <v>320</v>
      </c>
      <c r="G56" s="7" t="s">
        <v>316</v>
      </c>
      <c r="H56" s="8" t="s">
        <v>321</v>
      </c>
    </row>
    <row r="57" customFormat="false" ht="15" hidden="false" customHeight="false" outlineLevel="0" collapsed="false">
      <c r="A57" s="8" t="s">
        <v>322</v>
      </c>
      <c r="B57" s="8" t="s">
        <v>323</v>
      </c>
      <c r="C57" s="8" t="s">
        <v>201</v>
      </c>
      <c r="D57" s="32" t="n">
        <f aca="false">Base_PDF!$E$205</f>
        <v>0.001</v>
      </c>
      <c r="E57" s="8" t="s">
        <v>183</v>
      </c>
      <c r="F57" s="8" t="s">
        <v>324</v>
      </c>
      <c r="G57" s="8" t="s">
        <v>164</v>
      </c>
    </row>
    <row r="58" customFormat="false" ht="15" hidden="false" customHeight="false" outlineLevel="0" collapsed="false">
      <c r="A58" s="8" t="s">
        <v>325</v>
      </c>
      <c r="B58" s="8" t="s">
        <v>326</v>
      </c>
      <c r="C58" s="8" t="s">
        <v>201</v>
      </c>
      <c r="D58" s="41" t="n">
        <f aca="false">Base_PDF!$E$25</f>
        <v>0.03</v>
      </c>
      <c r="E58" s="8" t="s">
        <v>183</v>
      </c>
      <c r="F58" s="8" t="s">
        <v>327</v>
      </c>
      <c r="G58" s="8" t="s">
        <v>328</v>
      </c>
    </row>
    <row r="59" customFormat="false" ht="15" hidden="false" customHeight="false" outlineLevel="0" collapsed="false">
      <c r="A59" s="8" t="s">
        <v>329</v>
      </c>
      <c r="B59" s="8" t="s">
        <v>330</v>
      </c>
      <c r="C59" s="8" t="s">
        <v>201</v>
      </c>
      <c r="D59" s="41" t="n">
        <f aca="false">Base_PDF!$E$26</f>
        <v>0.01</v>
      </c>
      <c r="E59" s="8" t="s">
        <v>183</v>
      </c>
      <c r="F59" s="8" t="s">
        <v>327</v>
      </c>
      <c r="G59" s="8" t="s">
        <v>328</v>
      </c>
      <c r="H59" s="8" t="s">
        <v>331</v>
      </c>
    </row>
    <row r="60" customFormat="false" ht="15" hidden="false" customHeight="false" outlineLevel="0" collapsed="false">
      <c r="A60" s="8" t="s">
        <v>332</v>
      </c>
      <c r="B60" s="8" t="s">
        <v>333</v>
      </c>
      <c r="C60" s="8" t="s">
        <v>201</v>
      </c>
      <c r="D60" s="41" t="n">
        <f aca="false">Base_PDF!$E$27</f>
        <v>0.05</v>
      </c>
      <c r="E60" s="8" t="s">
        <v>183</v>
      </c>
      <c r="F60" s="8" t="s">
        <v>327</v>
      </c>
      <c r="G60" s="8" t="s">
        <v>328</v>
      </c>
    </row>
    <row r="61" customFormat="false" ht="15" hidden="false" customHeight="false" outlineLevel="0" collapsed="false">
      <c r="A61" s="8" t="s">
        <v>334</v>
      </c>
      <c r="B61" s="8" t="s">
        <v>335</v>
      </c>
      <c r="C61" s="8" t="s">
        <v>201</v>
      </c>
      <c r="D61" s="41" t="n">
        <f aca="false">Base_PDF!$E$27</f>
        <v>0.05</v>
      </c>
      <c r="E61" s="8" t="s">
        <v>183</v>
      </c>
      <c r="F61" s="8" t="s">
        <v>327</v>
      </c>
      <c r="G61" s="8" t="s">
        <v>328</v>
      </c>
    </row>
    <row r="62" customFormat="false" ht="15" hidden="false" customHeight="false" outlineLevel="0" collapsed="false">
      <c r="A62" s="8" t="s">
        <v>336</v>
      </c>
      <c r="B62" s="8" t="s">
        <v>337</v>
      </c>
      <c r="C62" s="8" t="s">
        <v>338</v>
      </c>
      <c r="D62" s="32" t="n">
        <f aca="false">Base_PDF!$E$20</f>
        <v>0.4309</v>
      </c>
      <c r="E62" s="8" t="s">
        <v>183</v>
      </c>
      <c r="F62" s="8" t="s">
        <v>302</v>
      </c>
      <c r="G62" s="8" t="s">
        <v>339</v>
      </c>
      <c r="H62" s="8" t="s">
        <v>340</v>
      </c>
    </row>
    <row r="63" customFormat="false" ht="15" hidden="false" customHeight="false" outlineLevel="0" collapsed="false">
      <c r="A63" s="8" t="s">
        <v>341</v>
      </c>
      <c r="B63" s="8" t="s">
        <v>342</v>
      </c>
      <c r="C63" s="8" t="s">
        <v>343</v>
      </c>
      <c r="D63" s="28" t="n">
        <f aca="false">Base_PDF!$E$61</f>
        <v>576000</v>
      </c>
      <c r="E63" s="8" t="s">
        <v>183</v>
      </c>
      <c r="F63" s="8" t="s">
        <v>299</v>
      </c>
      <c r="G63" s="8" t="s">
        <v>164</v>
      </c>
    </row>
    <row r="64" customFormat="false" ht="15" hidden="false" customHeight="false" outlineLevel="0" collapsed="false">
      <c r="A64" s="8" t="s">
        <v>344</v>
      </c>
      <c r="B64" s="8" t="s">
        <v>345</v>
      </c>
      <c r="C64" s="8" t="s">
        <v>201</v>
      </c>
      <c r="D64" s="41" t="n">
        <f aca="false">Base_PDF!$E$204</f>
        <v>0.02</v>
      </c>
      <c r="E64" s="8" t="s">
        <v>298</v>
      </c>
      <c r="F64" s="8" t="s">
        <v>299</v>
      </c>
      <c r="G64" s="8" t="s">
        <v>164</v>
      </c>
    </row>
    <row r="65" customFormat="false" ht="15" hidden="false" customHeight="false" outlineLevel="0" collapsed="false">
      <c r="A65" s="8" t="s">
        <v>346</v>
      </c>
      <c r="B65" s="8" t="s">
        <v>347</v>
      </c>
      <c r="C65" s="8" t="s">
        <v>168</v>
      </c>
      <c r="D65" s="29" t="n">
        <v>4</v>
      </c>
      <c r="E65" s="8" t="s">
        <v>183</v>
      </c>
      <c r="F65" s="8" t="s">
        <v>348</v>
      </c>
      <c r="G65" s="8" t="s">
        <v>171</v>
      </c>
    </row>
    <row r="66" customFormat="false" ht="15" hidden="false" customHeight="false" outlineLevel="0" collapsed="false">
      <c r="A66" s="8" t="s">
        <v>349</v>
      </c>
      <c r="B66" s="8" t="s">
        <v>350</v>
      </c>
      <c r="C66" s="8" t="s">
        <v>351</v>
      </c>
      <c r="D66" s="29" t="n">
        <v>1</v>
      </c>
      <c r="E66" s="8" t="s">
        <v>183</v>
      </c>
      <c r="F66" s="8" t="s">
        <v>352</v>
      </c>
      <c r="G66" s="8" t="s">
        <v>171</v>
      </c>
      <c r="H66" s="8" t="s">
        <v>353</v>
      </c>
    </row>
    <row r="67" customFormat="false" ht="15" hidden="false" customHeight="false" outlineLevel="0" collapsed="false">
      <c r="A67" s="8" t="s">
        <v>354</v>
      </c>
      <c r="B67" s="8" t="s">
        <v>355</v>
      </c>
      <c r="C67" s="8" t="s">
        <v>195</v>
      </c>
      <c r="D67" s="43" t="n">
        <f aca="false">Base_PDF!$E$29</f>
        <v>3</v>
      </c>
      <c r="E67" s="8" t="s">
        <v>183</v>
      </c>
      <c r="F67" s="8" t="s">
        <v>356</v>
      </c>
      <c r="G67" s="8" t="s">
        <v>159</v>
      </c>
      <c r="H67" s="8" t="s">
        <v>357</v>
      </c>
    </row>
    <row r="68" customFormat="false" ht="15" hidden="false" customHeight="false" outlineLevel="0" collapsed="false">
      <c r="A68" s="8" t="s">
        <v>358</v>
      </c>
      <c r="B68" s="8" t="s">
        <v>359</v>
      </c>
      <c r="C68" s="8" t="s">
        <v>255</v>
      </c>
      <c r="D68" s="44" t="n">
        <v>0</v>
      </c>
      <c r="E68" s="8" t="s">
        <v>183</v>
      </c>
      <c r="F68" s="8" t="s">
        <v>176</v>
      </c>
      <c r="G68" s="8" t="s">
        <v>171</v>
      </c>
    </row>
    <row r="69" customFormat="false" ht="15" hidden="false" customHeight="false" outlineLevel="0" collapsed="false">
      <c r="A69" s="8" t="s">
        <v>360</v>
      </c>
      <c r="B69" s="8" t="s">
        <v>361</v>
      </c>
      <c r="C69" s="8" t="s">
        <v>201</v>
      </c>
      <c r="D69" s="37" t="n">
        <v>1</v>
      </c>
      <c r="E69" s="8" t="s">
        <v>362</v>
      </c>
      <c r="F69" s="8" t="s">
        <v>176</v>
      </c>
      <c r="G69" s="8" t="s">
        <v>363</v>
      </c>
      <c r="H69" s="8" t="s">
        <v>364</v>
      </c>
    </row>
    <row r="70" customFormat="false" ht="15" hidden="false" customHeight="false" outlineLevel="0" collapsed="false">
      <c r="A70" s="8" t="s">
        <v>365</v>
      </c>
      <c r="B70" s="8" t="s">
        <v>366</v>
      </c>
      <c r="C70" s="8" t="s">
        <v>201</v>
      </c>
      <c r="D70" s="37" t="n">
        <v>0.5</v>
      </c>
      <c r="E70" s="8" t="s">
        <v>362</v>
      </c>
      <c r="F70" s="8" t="s">
        <v>176</v>
      </c>
      <c r="G70" s="8" t="s">
        <v>363</v>
      </c>
    </row>
    <row r="71" customFormat="false" ht="15" hidden="false" customHeight="false" outlineLevel="0" collapsed="false">
      <c r="A71" s="8" t="s">
        <v>367</v>
      </c>
      <c r="B71" s="8" t="s">
        <v>368</v>
      </c>
      <c r="C71" s="8" t="s">
        <v>201</v>
      </c>
      <c r="D71" s="37" t="n">
        <v>0.25</v>
      </c>
      <c r="E71" s="8" t="s">
        <v>362</v>
      </c>
      <c r="F71" s="8" t="s">
        <v>176</v>
      </c>
      <c r="G71" s="8" t="s">
        <v>363</v>
      </c>
    </row>
    <row r="72" customFormat="false" ht="15" hidden="false" customHeight="false" outlineLevel="0" collapsed="false">
      <c r="A72" s="8" t="s">
        <v>369</v>
      </c>
      <c r="B72" s="8" t="s">
        <v>370</v>
      </c>
      <c r="C72" s="8" t="s">
        <v>201</v>
      </c>
      <c r="D72" s="37" t="n">
        <v>1</v>
      </c>
      <c r="E72" s="8" t="s">
        <v>362</v>
      </c>
      <c r="F72" s="8" t="s">
        <v>176</v>
      </c>
      <c r="G72" s="8" t="s">
        <v>363</v>
      </c>
    </row>
    <row r="73" customFormat="false" ht="15" hidden="false" customHeight="false" outlineLevel="0" collapsed="false">
      <c r="A73" s="8" t="s">
        <v>371</v>
      </c>
      <c r="B73" s="8" t="s">
        <v>372</v>
      </c>
      <c r="C73" s="8" t="s">
        <v>373</v>
      </c>
      <c r="D73" s="31" t="n">
        <f aca="false">p_MesCorte</f>
        <v>-1</v>
      </c>
      <c r="E73" s="8" t="s">
        <v>176</v>
      </c>
      <c r="F73" s="8" t="s">
        <v>374</v>
      </c>
      <c r="G73" s="8" t="s">
        <v>375</v>
      </c>
      <c r="H73" s="8" t="s">
        <v>376</v>
      </c>
    </row>
    <row r="74" customFormat="false" ht="15" hidden="false" customHeight="false" outlineLevel="0" collapsed="false">
      <c r="A74" s="8" t="s">
        <v>377</v>
      </c>
      <c r="B74" s="8" t="s">
        <v>378</v>
      </c>
      <c r="C74" s="8" t="s">
        <v>255</v>
      </c>
      <c r="D74" s="38"/>
      <c r="E74" s="8" t="s">
        <v>379</v>
      </c>
      <c r="F74" s="8" t="s">
        <v>176</v>
      </c>
      <c r="G74" s="7" t="s">
        <v>256</v>
      </c>
      <c r="H74" s="8" t="s">
        <v>380</v>
      </c>
    </row>
    <row r="75" customFormat="false" ht="15" hidden="false" customHeight="false" outlineLevel="0" collapsed="false">
      <c r="A75" s="8" t="s">
        <v>381</v>
      </c>
      <c r="B75" s="8" t="s">
        <v>382</v>
      </c>
      <c r="C75" s="8" t="s">
        <v>351</v>
      </c>
      <c r="D75" s="29" t="n">
        <v>0</v>
      </c>
      <c r="E75" s="8" t="s">
        <v>383</v>
      </c>
      <c r="F75" s="8" t="s">
        <v>384</v>
      </c>
      <c r="G75" s="8" t="s">
        <v>171</v>
      </c>
      <c r="H75" s="8" t="s">
        <v>385</v>
      </c>
    </row>
    <row r="77" customFormat="false" ht="15" hidden="false" customHeight="false" outlineLevel="0" collapsed="false">
      <c r="A77" s="3" t="s">
        <v>386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customFormat="false" ht="15" hidden="false" customHeight="false" outlineLevel="0" collapsed="false">
      <c r="A78" s="8" t="s">
        <v>387</v>
      </c>
      <c r="B78" s="8" t="s">
        <v>388</v>
      </c>
      <c r="C78" s="8" t="s">
        <v>255</v>
      </c>
      <c r="D78" s="28" t="n">
        <f aca="false">Base_PDF!$E$15</f>
        <v>2791587</v>
      </c>
      <c r="E78" s="8" t="s">
        <v>265</v>
      </c>
      <c r="F78" s="8" t="s">
        <v>207</v>
      </c>
      <c r="G78" s="8" t="s">
        <v>389</v>
      </c>
    </row>
    <row r="79" customFormat="false" ht="15" hidden="false" customHeight="false" outlineLevel="0" collapsed="false">
      <c r="A79" s="8" t="s">
        <v>390</v>
      </c>
      <c r="B79" s="8" t="s">
        <v>391</v>
      </c>
      <c r="C79" s="8" t="s">
        <v>373</v>
      </c>
      <c r="D79" s="29" t="n">
        <v>0</v>
      </c>
      <c r="E79" s="8" t="s">
        <v>265</v>
      </c>
      <c r="F79" s="8" t="s">
        <v>392</v>
      </c>
      <c r="G79" s="8" t="s">
        <v>171</v>
      </c>
    </row>
    <row r="80" customFormat="false" ht="15" hidden="false" customHeight="false" outlineLevel="0" collapsed="false">
      <c r="A80" s="8" t="s">
        <v>393</v>
      </c>
      <c r="B80" s="8" t="s">
        <v>394</v>
      </c>
      <c r="C80" s="8" t="s">
        <v>201</v>
      </c>
      <c r="D80" s="32" t="n">
        <f aca="false">Base_PDF!$E$12</f>
        <v>0.09</v>
      </c>
      <c r="E80" s="8" t="s">
        <v>265</v>
      </c>
      <c r="F80" s="8" t="s">
        <v>207</v>
      </c>
      <c r="G80" s="8" t="s">
        <v>159</v>
      </c>
      <c r="H80" s="8" t="s">
        <v>395</v>
      </c>
    </row>
    <row r="81" customFormat="false" ht="15" hidden="false" customHeight="false" outlineLevel="0" collapsed="false">
      <c r="A81" s="8" t="s">
        <v>396</v>
      </c>
      <c r="B81" s="8" t="s">
        <v>397</v>
      </c>
      <c r="C81" s="8" t="s">
        <v>168</v>
      </c>
      <c r="D81" s="43" t="n">
        <f aca="false">Base_PDF!$E$17</f>
        <v>6</v>
      </c>
      <c r="E81" s="8" t="s">
        <v>265</v>
      </c>
      <c r="F81" s="8" t="s">
        <v>207</v>
      </c>
      <c r="G81" s="8" t="s">
        <v>159</v>
      </c>
    </row>
    <row r="82" customFormat="false" ht="15" hidden="false" customHeight="false" outlineLevel="0" collapsed="false">
      <c r="A82" s="8" t="s">
        <v>398</v>
      </c>
      <c r="B82" s="8" t="s">
        <v>399</v>
      </c>
      <c r="C82" s="8" t="s">
        <v>168</v>
      </c>
      <c r="D82" s="43" t="n">
        <f aca="false">Base_PDF!$E$18</f>
        <v>54</v>
      </c>
      <c r="E82" s="8" t="s">
        <v>265</v>
      </c>
      <c r="F82" s="8" t="s">
        <v>207</v>
      </c>
      <c r="G82" s="8" t="s">
        <v>159</v>
      </c>
    </row>
    <row r="83" customFormat="false" ht="15" hidden="false" customHeight="false" outlineLevel="0" collapsed="false">
      <c r="A83" s="8" t="s">
        <v>400</v>
      </c>
      <c r="B83" s="8" t="s">
        <v>401</v>
      </c>
      <c r="C83" s="8" t="s">
        <v>201</v>
      </c>
      <c r="D83" s="42" t="n">
        <v>0</v>
      </c>
      <c r="E83" s="8" t="s">
        <v>265</v>
      </c>
      <c r="F83" s="8" t="s">
        <v>402</v>
      </c>
      <c r="G83" s="7" t="s">
        <v>178</v>
      </c>
    </row>
    <row r="85" customFormat="false" ht="15" hidden="false" customHeight="false" outlineLevel="0" collapsed="false">
      <c r="A85" s="3" t="s">
        <v>403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customFormat="false" ht="15" hidden="false" customHeight="false" outlineLevel="0" collapsed="false">
      <c r="A86" s="10" t="s">
        <v>147</v>
      </c>
      <c r="B86" s="10" t="s">
        <v>404</v>
      </c>
      <c r="C86" s="10" t="s">
        <v>150</v>
      </c>
      <c r="D86" s="10"/>
      <c r="E86" s="10" t="s">
        <v>405</v>
      </c>
      <c r="F86" s="10"/>
      <c r="G86" s="10" t="s">
        <v>406</v>
      </c>
      <c r="H86" s="10" t="s">
        <v>407</v>
      </c>
    </row>
    <row r="87" customFormat="false" ht="15" hidden="false" customHeight="false" outlineLevel="0" collapsed="false">
      <c r="A87" s="5" t="s">
        <v>408</v>
      </c>
      <c r="B87" s="8" t="s">
        <v>409</v>
      </c>
      <c r="C87" s="29" t="n">
        <v>1</v>
      </c>
      <c r="E87" s="8" t="s">
        <v>410</v>
      </c>
      <c r="G87" s="8" t="s">
        <v>411</v>
      </c>
    </row>
    <row r="88" customFormat="false" ht="15" hidden="false" customHeight="false" outlineLevel="0" collapsed="false">
      <c r="A88" s="5" t="s">
        <v>412</v>
      </c>
      <c r="B88" s="8" t="s">
        <v>413</v>
      </c>
      <c r="C88" s="29" t="n">
        <v>1</v>
      </c>
      <c r="E88" s="8" t="s">
        <v>414</v>
      </c>
      <c r="G88" s="8" t="s">
        <v>415</v>
      </c>
    </row>
    <row r="89" customFormat="false" ht="15" hidden="false" customHeight="false" outlineLevel="0" collapsed="false">
      <c r="A89" s="5" t="s">
        <v>416</v>
      </c>
      <c r="B89" s="8" t="s">
        <v>417</v>
      </c>
      <c r="C89" s="29" t="n">
        <v>1</v>
      </c>
      <c r="E89" s="8" t="s">
        <v>418</v>
      </c>
      <c r="G89" s="8" t="s">
        <v>419</v>
      </c>
    </row>
    <row r="90" customFormat="false" ht="15" hidden="false" customHeight="false" outlineLevel="0" collapsed="false">
      <c r="A90" s="5" t="s">
        <v>420</v>
      </c>
      <c r="B90" s="8" t="s">
        <v>421</v>
      </c>
      <c r="C90" s="29" t="n">
        <v>1</v>
      </c>
      <c r="E90" s="8" t="s">
        <v>422</v>
      </c>
      <c r="G90" s="8" t="s">
        <v>419</v>
      </c>
    </row>
    <row r="91" customFormat="false" ht="15" hidden="false" customHeight="false" outlineLevel="0" collapsed="false">
      <c r="A91" s="5" t="s">
        <v>423</v>
      </c>
      <c r="B91" s="8" t="s">
        <v>424</v>
      </c>
      <c r="C91" s="29" t="n">
        <v>1</v>
      </c>
      <c r="E91" s="8" t="s">
        <v>425</v>
      </c>
      <c r="G91" s="8" t="s">
        <v>426</v>
      </c>
    </row>
    <row r="92" customFormat="false" ht="15" hidden="false" customHeight="false" outlineLevel="0" collapsed="false">
      <c r="A92" s="5" t="s">
        <v>427</v>
      </c>
      <c r="B92" s="8" t="s">
        <v>428</v>
      </c>
      <c r="C92" s="29" t="n">
        <v>1</v>
      </c>
      <c r="E92" s="8" t="s">
        <v>429</v>
      </c>
      <c r="G92" s="8" t="s">
        <v>430</v>
      </c>
    </row>
    <row r="93" customFormat="false" ht="15" hidden="false" customHeight="false" outlineLevel="0" collapsed="false">
      <c r="B93" s="8" t="s">
        <v>431</v>
      </c>
      <c r="C93" s="31" t="n">
        <f aca="false">SUM(C87:C92)</f>
        <v>6</v>
      </c>
    </row>
    <row r="94" customFormat="false" ht="15" hidden="false" customHeight="false" outlineLevel="0" collapsed="false">
      <c r="B94" s="2" t="s">
        <v>432</v>
      </c>
    </row>
    <row r="96" customFormat="false" ht="15" hidden="false" customHeight="false" outlineLevel="0" collapsed="false">
      <c r="A96" s="3" t="s">
        <v>433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customFormat="false" ht="22.35" hidden="false" customHeight="false" outlineLevel="0" collapsed="false">
      <c r="A97" s="10" t="s">
        <v>147</v>
      </c>
      <c r="B97" s="10" t="s">
        <v>434</v>
      </c>
      <c r="C97" s="10" t="s">
        <v>435</v>
      </c>
      <c r="D97" s="10" t="s">
        <v>138</v>
      </c>
      <c r="E97" s="10" t="s">
        <v>436</v>
      </c>
      <c r="F97" s="10" t="s">
        <v>437</v>
      </c>
      <c r="G97" s="10" t="s">
        <v>438</v>
      </c>
      <c r="H97" s="10" t="s">
        <v>439</v>
      </c>
      <c r="I97" s="10" t="s">
        <v>440</v>
      </c>
      <c r="J97" s="10" t="s">
        <v>441</v>
      </c>
      <c r="K97" s="10" t="s">
        <v>151</v>
      </c>
      <c r="L97" s="10" t="s">
        <v>442</v>
      </c>
      <c r="M97" s="10" t="s">
        <v>93</v>
      </c>
    </row>
    <row r="98" customFormat="false" ht="48" hidden="false" customHeight="true" outlineLevel="0" collapsed="false">
      <c r="B98" s="5" t="s">
        <v>443</v>
      </c>
      <c r="D98" s="45" t="s">
        <v>444</v>
      </c>
      <c r="E98" s="45" t="str">
        <f aca="false">IF(p_MesCorte&lt;0,"PENDIENTE: sin datos reales cargados; hereda supuestos históricos. No presentar como actualizado.","Reales hasta mes "&amp;p_MesCorte&amp;"; forecast con supuestos heredados salvo los modificados. Verificar campos mínimos.")</f>
        <v>PENDIENTE: sin datos reales cargados; hereda supuestos históricos. No presentar como actualizado.</v>
      </c>
      <c r="F98" s="45" t="s">
        <v>445</v>
      </c>
      <c r="G98" s="45" t="s">
        <v>446</v>
      </c>
      <c r="H98" s="45" t="s">
        <v>447</v>
      </c>
    </row>
    <row r="99" customFormat="false" ht="15" hidden="false" customHeight="false" outlineLevel="0" collapsed="false">
      <c r="A99" s="8" t="s">
        <v>448</v>
      </c>
      <c r="B99" s="8" t="s">
        <v>449</v>
      </c>
      <c r="C99" s="8" t="s">
        <v>168</v>
      </c>
      <c r="D99" s="29" t="n">
        <v>0</v>
      </c>
      <c r="E99" s="46" t="n">
        <f aca="false">$D99</f>
        <v>0</v>
      </c>
      <c r="F99" s="29" t="n">
        <v>3</v>
      </c>
      <c r="G99" s="29" t="n">
        <v>6</v>
      </c>
      <c r="H99" s="46" t="n">
        <f aca="false">$D99</f>
        <v>0</v>
      </c>
      <c r="I99" s="31" t="n">
        <f aca="false">INDEX($D99:$H99,1,p_EscIdx)</f>
        <v>0</v>
      </c>
      <c r="J99" s="9" t="n">
        <f aca="false">$I99+s_Atraso</f>
        <v>0</v>
      </c>
      <c r="K99" s="8" t="s">
        <v>450</v>
      </c>
      <c r="L99" s="8" t="s">
        <v>451</v>
      </c>
      <c r="M99" s="8" t="s">
        <v>452</v>
      </c>
    </row>
    <row r="100" customFormat="false" ht="15" hidden="false" customHeight="false" outlineLevel="0" collapsed="false">
      <c r="A100" s="8" t="s">
        <v>453</v>
      </c>
      <c r="B100" s="8" t="s">
        <v>454</v>
      </c>
      <c r="C100" s="8" t="s">
        <v>168</v>
      </c>
      <c r="D100" s="29" t="n">
        <v>0</v>
      </c>
      <c r="E100" s="46" t="n">
        <f aca="false">$D100</f>
        <v>0</v>
      </c>
      <c r="F100" s="29" t="n">
        <v>3</v>
      </c>
      <c r="G100" s="29" t="n">
        <v>6</v>
      </c>
      <c r="H100" s="46" t="n">
        <f aca="false">$D100</f>
        <v>0</v>
      </c>
      <c r="I100" s="31" t="n">
        <f aca="false">INDEX($D100:$H100,1,p_EscIdx)</f>
        <v>0</v>
      </c>
      <c r="J100" s="9" t="n">
        <f aca="false">$I100</f>
        <v>0</v>
      </c>
      <c r="K100" s="8" t="s">
        <v>455</v>
      </c>
      <c r="L100" s="8" t="s">
        <v>456</v>
      </c>
    </row>
    <row r="101" customFormat="false" ht="15" hidden="false" customHeight="false" outlineLevel="0" collapsed="false">
      <c r="A101" s="8" t="s">
        <v>457</v>
      </c>
      <c r="B101" s="8" t="s">
        <v>458</v>
      </c>
      <c r="C101" s="8" t="s">
        <v>201</v>
      </c>
      <c r="D101" s="37" t="n">
        <v>1</v>
      </c>
      <c r="E101" s="47" t="n">
        <f aca="false">$D101</f>
        <v>1</v>
      </c>
      <c r="F101" s="37" t="n">
        <v>0.6</v>
      </c>
      <c r="G101" s="37" t="n">
        <v>0.5</v>
      </c>
      <c r="H101" s="47" t="n">
        <f aca="false">$D101</f>
        <v>1</v>
      </c>
      <c r="I101" s="48" t="n">
        <f aca="false">INDEX($D101:$H101,1,p_EscIdx)</f>
        <v>1</v>
      </c>
      <c r="J101" s="49" t="n">
        <f aca="false">$I101</f>
        <v>1</v>
      </c>
      <c r="K101" s="8" t="s">
        <v>459</v>
      </c>
      <c r="L101" s="8" t="s">
        <v>456</v>
      </c>
    </row>
    <row r="102" customFormat="false" ht="15" hidden="false" customHeight="false" outlineLevel="0" collapsed="false">
      <c r="A102" s="8" t="s">
        <v>460</v>
      </c>
      <c r="B102" s="8" t="s">
        <v>461</v>
      </c>
      <c r="C102" s="8" t="s">
        <v>201</v>
      </c>
      <c r="D102" s="37" t="n">
        <v>0</v>
      </c>
      <c r="E102" s="47" t="n">
        <f aca="false">$D102</f>
        <v>0</v>
      </c>
      <c r="F102" s="37" t="n">
        <v>0</v>
      </c>
      <c r="G102" s="37" t="n">
        <v>0.5</v>
      </c>
      <c r="H102" s="47" t="n">
        <f aca="false">$D102</f>
        <v>0</v>
      </c>
      <c r="I102" s="48" t="n">
        <f aca="false">INDEX($D102:$H102,1,p_EscIdx)</f>
        <v>0</v>
      </c>
      <c r="J102" s="49" t="n">
        <f aca="false">$I102</f>
        <v>0</v>
      </c>
      <c r="K102" s="8" t="s">
        <v>383</v>
      </c>
      <c r="L102" s="8" t="s">
        <v>456</v>
      </c>
      <c r="M102" s="8" t="s">
        <v>462</v>
      </c>
    </row>
    <row r="103" customFormat="false" ht="15" hidden="false" customHeight="false" outlineLevel="0" collapsed="false">
      <c r="A103" s="8" t="s">
        <v>463</v>
      </c>
      <c r="B103" s="8" t="s">
        <v>464</v>
      </c>
      <c r="C103" s="8" t="s">
        <v>201</v>
      </c>
      <c r="D103" s="37" t="n">
        <v>1</v>
      </c>
      <c r="E103" s="47" t="n">
        <f aca="false">$D103</f>
        <v>1</v>
      </c>
      <c r="F103" s="37" t="n">
        <v>0.9</v>
      </c>
      <c r="G103" s="37" t="n">
        <v>0.8</v>
      </c>
      <c r="H103" s="47" t="n">
        <f aca="false">$D103</f>
        <v>1</v>
      </c>
      <c r="I103" s="48" t="n">
        <f aca="false">INDEX($D103:$H103,1,p_EscIdx)</f>
        <v>1</v>
      </c>
      <c r="J103" s="49" t="n">
        <f aca="false">$I103*(1+s_Vol)</f>
        <v>1</v>
      </c>
      <c r="K103" s="8" t="s">
        <v>465</v>
      </c>
      <c r="L103" s="8" t="s">
        <v>466</v>
      </c>
    </row>
    <row r="104" customFormat="false" ht="15" hidden="false" customHeight="false" outlineLevel="0" collapsed="false">
      <c r="A104" s="8" t="s">
        <v>467</v>
      </c>
      <c r="B104" s="8" t="s">
        <v>468</v>
      </c>
      <c r="C104" s="8" t="s">
        <v>201</v>
      </c>
      <c r="D104" s="37" t="n">
        <v>1</v>
      </c>
      <c r="E104" s="47" t="n">
        <f aca="false">$D104</f>
        <v>1</v>
      </c>
      <c r="F104" s="37" t="n">
        <v>0.9</v>
      </c>
      <c r="G104" s="37" t="n">
        <v>0.9</v>
      </c>
      <c r="H104" s="47" t="n">
        <f aca="false">$D104</f>
        <v>1</v>
      </c>
      <c r="I104" s="48" t="n">
        <f aca="false">INDEX($D104:$H104,1,p_EscIdx)</f>
        <v>1</v>
      </c>
      <c r="J104" s="49" t="n">
        <f aca="false">$I104*(1+s_Vol)</f>
        <v>1</v>
      </c>
      <c r="K104" s="8" t="s">
        <v>469</v>
      </c>
      <c r="L104" s="8" t="s">
        <v>466</v>
      </c>
    </row>
    <row r="105" customFormat="false" ht="15" hidden="false" customHeight="false" outlineLevel="0" collapsed="false">
      <c r="A105" s="8" t="s">
        <v>470</v>
      </c>
      <c r="B105" s="8" t="s">
        <v>471</v>
      </c>
      <c r="C105" s="8" t="s">
        <v>201</v>
      </c>
      <c r="D105" s="37" t="n">
        <v>1</v>
      </c>
      <c r="E105" s="47" t="n">
        <f aca="false">$D105</f>
        <v>1</v>
      </c>
      <c r="F105" s="37" t="n">
        <v>0.9</v>
      </c>
      <c r="G105" s="37" t="n">
        <v>1</v>
      </c>
      <c r="H105" s="47" t="n">
        <f aca="false">$D105</f>
        <v>1</v>
      </c>
      <c r="I105" s="48" t="n">
        <f aca="false">INDEX($D105:$H105,1,p_EscIdx)</f>
        <v>1</v>
      </c>
      <c r="J105" s="49" t="n">
        <f aca="false">$I105*(1+s_Vol)</f>
        <v>1</v>
      </c>
      <c r="K105" s="8" t="s">
        <v>472</v>
      </c>
      <c r="L105" s="8" t="s">
        <v>466</v>
      </c>
    </row>
    <row r="106" customFormat="false" ht="15" hidden="false" customHeight="false" outlineLevel="0" collapsed="false">
      <c r="A106" s="8" t="s">
        <v>473</v>
      </c>
      <c r="B106" s="8" t="s">
        <v>474</v>
      </c>
      <c r="C106" s="8" t="s">
        <v>201</v>
      </c>
      <c r="D106" s="37" t="n">
        <v>1</v>
      </c>
      <c r="E106" s="47" t="n">
        <f aca="false">$D106</f>
        <v>1</v>
      </c>
      <c r="F106" s="37" t="n">
        <v>0.9</v>
      </c>
      <c r="G106" s="37" t="n">
        <v>1</v>
      </c>
      <c r="H106" s="47" t="n">
        <f aca="false">$D106</f>
        <v>1</v>
      </c>
      <c r="I106" s="48" t="n">
        <f aca="false">INDEX($D106:$H106,1,p_EscIdx)</f>
        <v>1</v>
      </c>
      <c r="J106" s="49" t="n">
        <f aca="false">$I106*(1+s_Vol)</f>
        <v>1</v>
      </c>
      <c r="K106" s="8" t="s">
        <v>475</v>
      </c>
      <c r="L106" s="8" t="s">
        <v>466</v>
      </c>
    </row>
    <row r="107" customFormat="false" ht="15" hidden="false" customHeight="false" outlineLevel="0" collapsed="false">
      <c r="A107" s="8" t="s">
        <v>476</v>
      </c>
      <c r="B107" s="8" t="s">
        <v>477</v>
      </c>
      <c r="C107" s="8" t="s">
        <v>201</v>
      </c>
      <c r="D107" s="37" t="n">
        <v>1</v>
      </c>
      <c r="E107" s="47" t="n">
        <f aca="false">$D107</f>
        <v>1</v>
      </c>
      <c r="F107" s="37" t="n">
        <v>0.9</v>
      </c>
      <c r="G107" s="37" t="n">
        <v>1</v>
      </c>
      <c r="H107" s="47" t="n">
        <f aca="false">$D107</f>
        <v>1</v>
      </c>
      <c r="I107" s="48" t="n">
        <f aca="false">INDEX($D107:$H107,1,p_EscIdx)</f>
        <v>1</v>
      </c>
      <c r="J107" s="49" t="n">
        <f aca="false">$I107*(1+s_Vol)</f>
        <v>1</v>
      </c>
      <c r="K107" s="8" t="s">
        <v>478</v>
      </c>
      <c r="L107" s="8" t="s">
        <v>466</v>
      </c>
    </row>
    <row r="108" customFormat="false" ht="15" hidden="false" customHeight="false" outlineLevel="0" collapsed="false">
      <c r="A108" s="8" t="s">
        <v>479</v>
      </c>
      <c r="B108" s="8" t="s">
        <v>480</v>
      </c>
      <c r="C108" s="8" t="s">
        <v>201</v>
      </c>
      <c r="D108" s="37" t="n">
        <v>1</v>
      </c>
      <c r="E108" s="47" t="n">
        <f aca="false">$D108</f>
        <v>1</v>
      </c>
      <c r="F108" s="37" t="n">
        <v>0.9</v>
      </c>
      <c r="G108" s="37" t="n">
        <v>1</v>
      </c>
      <c r="H108" s="47" t="n">
        <f aca="false">$D108</f>
        <v>1</v>
      </c>
      <c r="I108" s="48" t="n">
        <f aca="false">INDEX($D108:$H108,1,p_EscIdx)</f>
        <v>1</v>
      </c>
      <c r="J108" s="49" t="n">
        <f aca="false">$I108*(1+s_Vol)</f>
        <v>1</v>
      </c>
      <c r="K108" s="8" t="s">
        <v>481</v>
      </c>
      <c r="L108" s="8" t="s">
        <v>466</v>
      </c>
    </row>
    <row r="109" customFormat="false" ht="15" hidden="false" customHeight="false" outlineLevel="0" collapsed="false">
      <c r="A109" s="8" t="s">
        <v>482</v>
      </c>
      <c r="B109" s="8" t="s">
        <v>483</v>
      </c>
      <c r="C109" s="8" t="s">
        <v>201</v>
      </c>
      <c r="D109" s="37" t="n">
        <v>1</v>
      </c>
      <c r="E109" s="47" t="n">
        <f aca="false">$D109</f>
        <v>1</v>
      </c>
      <c r="F109" s="37" t="n">
        <v>0.9</v>
      </c>
      <c r="G109" s="37" t="n">
        <v>1</v>
      </c>
      <c r="H109" s="47" t="n">
        <f aca="false">$D109</f>
        <v>1</v>
      </c>
      <c r="I109" s="48" t="n">
        <f aca="false">INDEX($D109:$H109,1,p_EscIdx)</f>
        <v>1</v>
      </c>
      <c r="J109" s="49" t="n">
        <f aca="false">$I109*(1+s_Vol)</f>
        <v>1</v>
      </c>
      <c r="K109" s="8" t="s">
        <v>484</v>
      </c>
      <c r="L109" s="8" t="s">
        <v>466</v>
      </c>
    </row>
    <row r="110" customFormat="false" ht="15" hidden="false" customHeight="false" outlineLevel="0" collapsed="false">
      <c r="A110" s="8" t="s">
        <v>485</v>
      </c>
      <c r="B110" s="8" t="s">
        <v>486</v>
      </c>
      <c r="C110" s="8" t="s">
        <v>201</v>
      </c>
      <c r="D110" s="37" t="n">
        <v>1</v>
      </c>
      <c r="E110" s="47" t="n">
        <f aca="false">$D110</f>
        <v>1</v>
      </c>
      <c r="F110" s="37" t="n">
        <v>0.9</v>
      </c>
      <c r="G110" s="37" t="n">
        <v>1</v>
      </c>
      <c r="H110" s="47" t="n">
        <f aca="false">$D110</f>
        <v>1</v>
      </c>
      <c r="I110" s="48" t="n">
        <f aca="false">INDEX($D110:$H110,1,p_EscIdx)</f>
        <v>1</v>
      </c>
      <c r="J110" s="49" t="n">
        <f aca="false">$I110*(1+s_Vol)</f>
        <v>1</v>
      </c>
      <c r="K110" s="8" t="s">
        <v>487</v>
      </c>
      <c r="L110" s="8" t="s">
        <v>466</v>
      </c>
    </row>
    <row r="111" customFormat="false" ht="15" hidden="false" customHeight="false" outlineLevel="0" collapsed="false">
      <c r="A111" s="8" t="s">
        <v>488</v>
      </c>
      <c r="B111" s="8" t="s">
        <v>489</v>
      </c>
      <c r="C111" s="8" t="s">
        <v>201</v>
      </c>
      <c r="D111" s="37" t="n">
        <v>1</v>
      </c>
      <c r="E111" s="47" t="n">
        <f aca="false">$D111</f>
        <v>1</v>
      </c>
      <c r="F111" s="37" t="n">
        <v>0.9</v>
      </c>
      <c r="G111" s="37" t="n">
        <v>1</v>
      </c>
      <c r="H111" s="47" t="n">
        <f aca="false">$D111</f>
        <v>1</v>
      </c>
      <c r="I111" s="48" t="n">
        <f aca="false">INDEX($D111:$H111,1,p_EscIdx)</f>
        <v>1</v>
      </c>
      <c r="J111" s="49" t="n">
        <f aca="false">$I111*(1+s_Vol)</f>
        <v>1</v>
      </c>
      <c r="K111" s="8" t="s">
        <v>490</v>
      </c>
      <c r="L111" s="8" t="s">
        <v>466</v>
      </c>
    </row>
    <row r="112" customFormat="false" ht="15" hidden="false" customHeight="false" outlineLevel="0" collapsed="false">
      <c r="A112" s="8" t="s">
        <v>491</v>
      </c>
      <c r="B112" s="8" t="s">
        <v>492</v>
      </c>
      <c r="C112" s="8" t="s">
        <v>201</v>
      </c>
      <c r="D112" s="37" t="n">
        <v>1</v>
      </c>
      <c r="E112" s="47" t="n">
        <f aca="false">$D112</f>
        <v>1</v>
      </c>
      <c r="F112" s="37" t="n">
        <v>0.9</v>
      </c>
      <c r="G112" s="37" t="n">
        <v>1</v>
      </c>
      <c r="H112" s="47" t="n">
        <f aca="false">$D112</f>
        <v>1</v>
      </c>
      <c r="I112" s="48" t="n">
        <f aca="false">INDEX($D112:$H112,1,p_EscIdx)</f>
        <v>1</v>
      </c>
      <c r="J112" s="49" t="n">
        <f aca="false">$I112*(1+s_Vol)</f>
        <v>1</v>
      </c>
      <c r="K112" s="8" t="s">
        <v>493</v>
      </c>
      <c r="L112" s="8" t="s">
        <v>466</v>
      </c>
    </row>
    <row r="113" customFormat="false" ht="15" hidden="false" customHeight="false" outlineLevel="0" collapsed="false">
      <c r="A113" s="8" t="s">
        <v>494</v>
      </c>
      <c r="B113" s="8" t="s">
        <v>495</v>
      </c>
      <c r="C113" s="8" t="s">
        <v>201</v>
      </c>
      <c r="D113" s="37" t="n">
        <v>1</v>
      </c>
      <c r="E113" s="47" t="n">
        <f aca="false">$D113</f>
        <v>1</v>
      </c>
      <c r="F113" s="37" t="n">
        <v>0.9</v>
      </c>
      <c r="G113" s="37" t="n">
        <v>0.8</v>
      </c>
      <c r="H113" s="47" t="n">
        <f aca="false">$D113</f>
        <v>1</v>
      </c>
      <c r="I113" s="48" t="n">
        <f aca="false">INDEX($D113:$H113,1,p_EscIdx)</f>
        <v>1</v>
      </c>
      <c r="J113" s="49" t="n">
        <f aca="false">$I113*(1+s_Vol)</f>
        <v>1</v>
      </c>
      <c r="K113" s="8" t="s">
        <v>465</v>
      </c>
      <c r="L113" s="8" t="s">
        <v>466</v>
      </c>
    </row>
    <row r="114" customFormat="false" ht="15" hidden="false" customHeight="false" outlineLevel="0" collapsed="false">
      <c r="A114" s="8" t="s">
        <v>496</v>
      </c>
      <c r="B114" s="8" t="s">
        <v>497</v>
      </c>
      <c r="C114" s="8" t="s">
        <v>201</v>
      </c>
      <c r="D114" s="37" t="n">
        <v>1</v>
      </c>
      <c r="E114" s="47" t="n">
        <f aca="false">$D114</f>
        <v>1</v>
      </c>
      <c r="F114" s="37" t="n">
        <v>0.9</v>
      </c>
      <c r="G114" s="37" t="n">
        <v>0.9</v>
      </c>
      <c r="H114" s="47" t="n">
        <f aca="false">$D114</f>
        <v>1</v>
      </c>
      <c r="I114" s="48" t="n">
        <f aca="false">INDEX($D114:$H114,1,p_EscIdx)</f>
        <v>1</v>
      </c>
      <c r="J114" s="49" t="n">
        <f aca="false">$I114*(1+s_Vol)</f>
        <v>1</v>
      </c>
      <c r="K114" s="8" t="s">
        <v>469</v>
      </c>
      <c r="L114" s="8" t="s">
        <v>466</v>
      </c>
    </row>
    <row r="115" customFormat="false" ht="15" hidden="false" customHeight="false" outlineLevel="0" collapsed="false">
      <c r="A115" s="8" t="s">
        <v>498</v>
      </c>
      <c r="B115" s="8" t="s">
        <v>499</v>
      </c>
      <c r="C115" s="8" t="s">
        <v>201</v>
      </c>
      <c r="D115" s="37" t="n">
        <v>1</v>
      </c>
      <c r="E115" s="47" t="n">
        <f aca="false">$D115</f>
        <v>1</v>
      </c>
      <c r="F115" s="37" t="n">
        <v>0.9</v>
      </c>
      <c r="G115" s="37" t="n">
        <v>1</v>
      </c>
      <c r="H115" s="47" t="n">
        <f aca="false">$D115</f>
        <v>1</v>
      </c>
      <c r="I115" s="48" t="n">
        <f aca="false">INDEX($D115:$H115,1,p_EscIdx)</f>
        <v>1</v>
      </c>
      <c r="J115" s="49" t="n">
        <f aca="false">$I115*(1+s_Vol)</f>
        <v>1</v>
      </c>
      <c r="K115" s="8" t="s">
        <v>472</v>
      </c>
      <c r="L115" s="8" t="s">
        <v>466</v>
      </c>
    </row>
    <row r="116" customFormat="false" ht="15" hidden="false" customHeight="false" outlineLevel="0" collapsed="false">
      <c r="A116" s="8" t="s">
        <v>500</v>
      </c>
      <c r="B116" s="8" t="s">
        <v>501</v>
      </c>
      <c r="C116" s="8" t="s">
        <v>201</v>
      </c>
      <c r="D116" s="37" t="n">
        <v>1</v>
      </c>
      <c r="E116" s="47" t="n">
        <f aca="false">$D116</f>
        <v>1</v>
      </c>
      <c r="F116" s="37" t="n">
        <v>0.9</v>
      </c>
      <c r="G116" s="37" t="n">
        <v>1</v>
      </c>
      <c r="H116" s="47" t="n">
        <f aca="false">$D116</f>
        <v>1</v>
      </c>
      <c r="I116" s="48" t="n">
        <f aca="false">INDEX($D116:$H116,1,p_EscIdx)</f>
        <v>1</v>
      </c>
      <c r="J116" s="49" t="n">
        <f aca="false">$I116*(1+s_Vol)</f>
        <v>1</v>
      </c>
      <c r="K116" s="8" t="s">
        <v>475</v>
      </c>
      <c r="L116" s="8" t="s">
        <v>466</v>
      </c>
    </row>
    <row r="117" customFormat="false" ht="15" hidden="false" customHeight="false" outlineLevel="0" collapsed="false">
      <c r="A117" s="8" t="s">
        <v>502</v>
      </c>
      <c r="B117" s="8" t="s">
        <v>503</v>
      </c>
      <c r="C117" s="8" t="s">
        <v>201</v>
      </c>
      <c r="D117" s="37" t="n">
        <v>1</v>
      </c>
      <c r="E117" s="47" t="n">
        <f aca="false">$D117</f>
        <v>1</v>
      </c>
      <c r="F117" s="37" t="n">
        <v>0.9</v>
      </c>
      <c r="G117" s="37" t="n">
        <v>1</v>
      </c>
      <c r="H117" s="47" t="n">
        <f aca="false">$D117</f>
        <v>1</v>
      </c>
      <c r="I117" s="48" t="n">
        <f aca="false">INDEX($D117:$H117,1,p_EscIdx)</f>
        <v>1</v>
      </c>
      <c r="J117" s="49" t="n">
        <f aca="false">$I117*(1+s_Vol)</f>
        <v>1</v>
      </c>
      <c r="K117" s="8" t="s">
        <v>478</v>
      </c>
      <c r="L117" s="8" t="s">
        <v>466</v>
      </c>
    </row>
    <row r="118" customFormat="false" ht="15" hidden="false" customHeight="false" outlineLevel="0" collapsed="false">
      <c r="A118" s="8" t="s">
        <v>504</v>
      </c>
      <c r="B118" s="8" t="s">
        <v>505</v>
      </c>
      <c r="C118" s="8" t="s">
        <v>201</v>
      </c>
      <c r="D118" s="37" t="n">
        <v>1</v>
      </c>
      <c r="E118" s="47" t="n">
        <f aca="false">$D118</f>
        <v>1</v>
      </c>
      <c r="F118" s="37" t="n">
        <v>0.9</v>
      </c>
      <c r="G118" s="37" t="n">
        <v>1</v>
      </c>
      <c r="H118" s="47" t="n">
        <f aca="false">$D118</f>
        <v>1</v>
      </c>
      <c r="I118" s="48" t="n">
        <f aca="false">INDEX($D118:$H118,1,p_EscIdx)</f>
        <v>1</v>
      </c>
      <c r="J118" s="49" t="n">
        <f aca="false">$I118*(1+s_Vol)</f>
        <v>1</v>
      </c>
      <c r="K118" s="8" t="s">
        <v>481</v>
      </c>
      <c r="L118" s="8" t="s">
        <v>466</v>
      </c>
    </row>
    <row r="119" customFormat="false" ht="15" hidden="false" customHeight="false" outlineLevel="0" collapsed="false">
      <c r="A119" s="8" t="s">
        <v>506</v>
      </c>
      <c r="B119" s="8" t="s">
        <v>507</v>
      </c>
      <c r="C119" s="8" t="s">
        <v>201</v>
      </c>
      <c r="D119" s="37" t="n">
        <v>1</v>
      </c>
      <c r="E119" s="47" t="n">
        <f aca="false">$D119</f>
        <v>1</v>
      </c>
      <c r="F119" s="37" t="n">
        <v>0.9</v>
      </c>
      <c r="G119" s="37" t="n">
        <v>1</v>
      </c>
      <c r="H119" s="47" t="n">
        <f aca="false">$D119</f>
        <v>1</v>
      </c>
      <c r="I119" s="48" t="n">
        <f aca="false">INDEX($D119:$H119,1,p_EscIdx)</f>
        <v>1</v>
      </c>
      <c r="J119" s="49" t="n">
        <f aca="false">$I119*(1+s_Vol)</f>
        <v>1</v>
      </c>
      <c r="K119" s="8" t="s">
        <v>484</v>
      </c>
      <c r="L119" s="8" t="s">
        <v>466</v>
      </c>
    </row>
    <row r="120" customFormat="false" ht="15" hidden="false" customHeight="false" outlineLevel="0" collapsed="false">
      <c r="A120" s="8" t="s">
        <v>508</v>
      </c>
      <c r="B120" s="8" t="s">
        <v>509</v>
      </c>
      <c r="C120" s="8" t="s">
        <v>201</v>
      </c>
      <c r="D120" s="37" t="n">
        <v>1</v>
      </c>
      <c r="E120" s="47" t="n">
        <f aca="false">$D120</f>
        <v>1</v>
      </c>
      <c r="F120" s="37" t="n">
        <v>0.9</v>
      </c>
      <c r="G120" s="37" t="n">
        <v>1</v>
      </c>
      <c r="H120" s="47" t="n">
        <f aca="false">$D120</f>
        <v>1</v>
      </c>
      <c r="I120" s="48" t="n">
        <f aca="false">INDEX($D120:$H120,1,p_EscIdx)</f>
        <v>1</v>
      </c>
      <c r="J120" s="49" t="n">
        <f aca="false">$I120*(1+s_Vol)</f>
        <v>1</v>
      </c>
      <c r="K120" s="8" t="s">
        <v>487</v>
      </c>
      <c r="L120" s="8" t="s">
        <v>466</v>
      </c>
    </row>
    <row r="121" customFormat="false" ht="15" hidden="false" customHeight="false" outlineLevel="0" collapsed="false">
      <c r="A121" s="8" t="s">
        <v>510</v>
      </c>
      <c r="B121" s="8" t="s">
        <v>511</v>
      </c>
      <c r="C121" s="8" t="s">
        <v>201</v>
      </c>
      <c r="D121" s="37" t="n">
        <v>1</v>
      </c>
      <c r="E121" s="47" t="n">
        <f aca="false">$D121</f>
        <v>1</v>
      </c>
      <c r="F121" s="37" t="n">
        <v>0.9</v>
      </c>
      <c r="G121" s="37" t="n">
        <v>1</v>
      </c>
      <c r="H121" s="47" t="n">
        <f aca="false">$D121</f>
        <v>1</v>
      </c>
      <c r="I121" s="48" t="n">
        <f aca="false">INDEX($D121:$H121,1,p_EscIdx)</f>
        <v>1</v>
      </c>
      <c r="J121" s="49" t="n">
        <f aca="false">$I121*(1+s_Vol)</f>
        <v>1</v>
      </c>
      <c r="K121" s="8" t="s">
        <v>490</v>
      </c>
      <c r="L121" s="8" t="s">
        <v>466</v>
      </c>
    </row>
    <row r="122" customFormat="false" ht="15" hidden="false" customHeight="false" outlineLevel="0" collapsed="false">
      <c r="A122" s="8" t="s">
        <v>512</v>
      </c>
      <c r="B122" s="8" t="s">
        <v>513</v>
      </c>
      <c r="C122" s="8" t="s">
        <v>201</v>
      </c>
      <c r="D122" s="37" t="n">
        <v>1</v>
      </c>
      <c r="E122" s="47" t="n">
        <f aca="false">$D122</f>
        <v>1</v>
      </c>
      <c r="F122" s="37" t="n">
        <v>0.9</v>
      </c>
      <c r="G122" s="37" t="n">
        <v>1</v>
      </c>
      <c r="H122" s="47" t="n">
        <f aca="false">$D122</f>
        <v>1</v>
      </c>
      <c r="I122" s="48" t="n">
        <f aca="false">INDEX($D122:$H122,1,p_EscIdx)</f>
        <v>1</v>
      </c>
      <c r="J122" s="49" t="n">
        <f aca="false">$I122*(1+s_Vol)</f>
        <v>1</v>
      </c>
      <c r="K122" s="8" t="s">
        <v>493</v>
      </c>
      <c r="L122" s="8" t="s">
        <v>466</v>
      </c>
    </row>
    <row r="123" customFormat="false" ht="15" hidden="false" customHeight="false" outlineLevel="0" collapsed="false">
      <c r="A123" s="8" t="s">
        <v>514</v>
      </c>
      <c r="B123" s="8" t="s">
        <v>515</v>
      </c>
      <c r="C123" s="8" t="s">
        <v>201</v>
      </c>
      <c r="D123" s="37" t="n">
        <v>0</v>
      </c>
      <c r="E123" s="47" t="n">
        <f aca="false">$D123</f>
        <v>0</v>
      </c>
      <c r="F123" s="37" t="n">
        <v>0</v>
      </c>
      <c r="G123" s="37" t="n">
        <v>0</v>
      </c>
      <c r="H123" s="47" t="n">
        <f aca="false">$D123</f>
        <v>0</v>
      </c>
      <c r="I123" s="48" t="n">
        <f aca="false">INDEX($D123:$H123,1,p_EscIdx)</f>
        <v>0</v>
      </c>
      <c r="J123" s="49" t="n">
        <f aca="false">$I123</f>
        <v>0</v>
      </c>
      <c r="K123" s="8" t="s">
        <v>383</v>
      </c>
      <c r="L123" s="8" t="s">
        <v>176</v>
      </c>
      <c r="M123" s="8" t="s">
        <v>516</v>
      </c>
    </row>
    <row r="124" customFormat="false" ht="15" hidden="false" customHeight="false" outlineLevel="0" collapsed="false">
      <c r="A124" s="8" t="s">
        <v>517</v>
      </c>
      <c r="B124" s="8" t="s">
        <v>518</v>
      </c>
      <c r="C124" s="8" t="s">
        <v>263</v>
      </c>
      <c r="D124" s="40" t="n">
        <f aca="false">Base_PDF!$E$36</f>
        <v>270</v>
      </c>
      <c r="E124" s="50" t="n">
        <f aca="false">$D124</f>
        <v>270</v>
      </c>
      <c r="F124" s="50" t="n">
        <f aca="false">$D124</f>
        <v>270</v>
      </c>
      <c r="G124" s="50" t="n">
        <f aca="false">$D124</f>
        <v>270</v>
      </c>
      <c r="H124" s="50" t="n">
        <f aca="false">$D124</f>
        <v>270</v>
      </c>
      <c r="I124" s="19" t="n">
        <f aca="false">INDEX($D124:$H124,1,p_EscIdx)</f>
        <v>270</v>
      </c>
      <c r="J124" s="18" t="n">
        <f aca="false">$I124</f>
        <v>270</v>
      </c>
      <c r="K124" s="8" t="s">
        <v>264</v>
      </c>
      <c r="L124" s="8" t="s">
        <v>519</v>
      </c>
    </row>
    <row r="125" customFormat="false" ht="15" hidden="false" customHeight="false" outlineLevel="0" collapsed="false">
      <c r="A125" s="8" t="s">
        <v>520</v>
      </c>
      <c r="B125" s="8" t="s">
        <v>521</v>
      </c>
      <c r="C125" s="8" t="s">
        <v>263</v>
      </c>
      <c r="D125" s="40" t="n">
        <f aca="false">Base_PDF!$E$37</f>
        <v>23</v>
      </c>
      <c r="E125" s="50" t="n">
        <f aca="false">$D125</f>
        <v>23</v>
      </c>
      <c r="F125" s="50" t="n">
        <f aca="false">$D125</f>
        <v>23</v>
      </c>
      <c r="G125" s="50" t="n">
        <f aca="false">$D125</f>
        <v>23</v>
      </c>
      <c r="H125" s="50" t="n">
        <f aca="false">$D125</f>
        <v>23</v>
      </c>
      <c r="I125" s="19" t="n">
        <f aca="false">INDEX($D125:$H125,1,p_EscIdx)</f>
        <v>23</v>
      </c>
      <c r="J125" s="18" t="n">
        <f aca="false">$I125</f>
        <v>23</v>
      </c>
      <c r="K125" s="8" t="s">
        <v>264</v>
      </c>
      <c r="L125" s="8" t="s">
        <v>519</v>
      </c>
    </row>
    <row r="126" customFormat="false" ht="15" hidden="false" customHeight="false" outlineLevel="0" collapsed="false">
      <c r="A126" s="8" t="s">
        <v>522</v>
      </c>
      <c r="B126" s="8" t="s">
        <v>523</v>
      </c>
      <c r="C126" s="8" t="s">
        <v>201</v>
      </c>
      <c r="D126" s="37" t="n">
        <v>0</v>
      </c>
      <c r="E126" s="47" t="n">
        <f aca="false">$D126</f>
        <v>0</v>
      </c>
      <c r="F126" s="37" t="n">
        <v>-0.05</v>
      </c>
      <c r="G126" s="37" t="n">
        <v>0</v>
      </c>
      <c r="H126" s="47" t="n">
        <f aca="false">$D126</f>
        <v>0</v>
      </c>
      <c r="I126" s="48" t="n">
        <f aca="false">INDEX($D126:$H126,1,p_EscIdx)</f>
        <v>0</v>
      </c>
      <c r="J126" s="49" t="n">
        <f aca="false">(1+$I126)*(1+s_Precio)-1</f>
        <v>0</v>
      </c>
      <c r="K126" s="8" t="s">
        <v>383</v>
      </c>
      <c r="L126" s="8" t="s">
        <v>456</v>
      </c>
    </row>
    <row r="127" customFormat="false" ht="15" hidden="false" customHeight="false" outlineLevel="0" collapsed="false">
      <c r="A127" s="8" t="s">
        <v>524</v>
      </c>
      <c r="B127" s="8" t="s">
        <v>525</v>
      </c>
      <c r="C127" s="8" t="s">
        <v>201</v>
      </c>
      <c r="D127" s="41" t="n">
        <f aca="false">Base_PDF!$E$38</f>
        <v>0.01</v>
      </c>
      <c r="E127" s="47" t="n">
        <f aca="false">$D127</f>
        <v>0.01</v>
      </c>
      <c r="F127" s="47" t="n">
        <f aca="false">$D127</f>
        <v>0.01</v>
      </c>
      <c r="G127" s="47" t="n">
        <f aca="false">$D127</f>
        <v>0.01</v>
      </c>
      <c r="H127" s="47" t="n">
        <f aca="false">$D127</f>
        <v>0.01</v>
      </c>
      <c r="I127" s="48" t="n">
        <f aca="false">INDEX($D127:$H127,1,p_EscIdx)</f>
        <v>0.01</v>
      </c>
      <c r="J127" s="49" t="n">
        <f aca="false">$I127</f>
        <v>0.01</v>
      </c>
      <c r="K127" s="8" t="s">
        <v>298</v>
      </c>
      <c r="L127" s="8" t="s">
        <v>526</v>
      </c>
    </row>
    <row r="128" customFormat="false" ht="15" hidden="false" customHeight="false" outlineLevel="0" collapsed="false">
      <c r="A128" s="8" t="s">
        <v>527</v>
      </c>
      <c r="B128" s="8" t="s">
        <v>528</v>
      </c>
      <c r="C128" s="8" t="s">
        <v>263</v>
      </c>
      <c r="D128" s="40" t="n">
        <f aca="false">Base_PDF!$E$39</f>
        <v>82.65</v>
      </c>
      <c r="E128" s="50" t="n">
        <f aca="false">$D128</f>
        <v>82.65</v>
      </c>
      <c r="F128" s="50" t="n">
        <f aca="false">$D128</f>
        <v>82.65</v>
      </c>
      <c r="G128" s="50" t="n">
        <f aca="false">$D128</f>
        <v>82.65</v>
      </c>
      <c r="H128" s="50" t="n">
        <f aca="false">$D128</f>
        <v>82.65</v>
      </c>
      <c r="I128" s="19" t="n">
        <f aca="false">INDEX($D128:$H128,1,p_EscIdx)</f>
        <v>82.65</v>
      </c>
      <c r="J128" s="18" t="n">
        <f aca="false">$I128</f>
        <v>82.65</v>
      </c>
      <c r="K128" s="8" t="s">
        <v>264</v>
      </c>
      <c r="L128" s="8" t="s">
        <v>529</v>
      </c>
    </row>
    <row r="129" customFormat="false" ht="15" hidden="false" customHeight="false" outlineLevel="0" collapsed="false">
      <c r="A129" s="8" t="s">
        <v>530</v>
      </c>
      <c r="B129" s="8" t="s">
        <v>531</v>
      </c>
      <c r="C129" s="8" t="s">
        <v>263</v>
      </c>
      <c r="D129" s="40" t="n">
        <f aca="false">Base_PDF!$E$40</f>
        <v>7.41</v>
      </c>
      <c r="E129" s="50" t="n">
        <f aca="false">$D129</f>
        <v>7.41</v>
      </c>
      <c r="F129" s="50" t="n">
        <f aca="false">$D129</f>
        <v>7.41</v>
      </c>
      <c r="G129" s="50" t="n">
        <f aca="false">$D129</f>
        <v>7.41</v>
      </c>
      <c r="H129" s="50" t="n">
        <f aca="false">$D129</f>
        <v>7.41</v>
      </c>
      <c r="I129" s="19" t="n">
        <f aca="false">INDEX($D129:$H129,1,p_EscIdx)</f>
        <v>7.41</v>
      </c>
      <c r="J129" s="18" t="n">
        <f aca="false">$I129</f>
        <v>7.41</v>
      </c>
      <c r="K129" s="8" t="s">
        <v>264</v>
      </c>
      <c r="L129" s="8" t="s">
        <v>529</v>
      </c>
    </row>
    <row r="130" customFormat="false" ht="15" hidden="false" customHeight="false" outlineLevel="0" collapsed="false">
      <c r="A130" s="8" t="s">
        <v>532</v>
      </c>
      <c r="B130" s="8" t="s">
        <v>533</v>
      </c>
      <c r="C130" s="8" t="s">
        <v>201</v>
      </c>
      <c r="D130" s="41" t="n">
        <f aca="false">Base_PDF!$E$41</f>
        <v>0.01</v>
      </c>
      <c r="E130" s="47" t="n">
        <f aca="false">$D130</f>
        <v>0.01</v>
      </c>
      <c r="F130" s="47" t="n">
        <f aca="false">$D130</f>
        <v>0.01</v>
      </c>
      <c r="G130" s="47" t="n">
        <f aca="false">$D130</f>
        <v>0.01</v>
      </c>
      <c r="H130" s="47" t="n">
        <f aca="false">$D130</f>
        <v>0.01</v>
      </c>
      <c r="I130" s="48" t="n">
        <f aca="false">INDEX($D130:$H130,1,p_EscIdx)</f>
        <v>0.01</v>
      </c>
      <c r="J130" s="49" t="n">
        <f aca="false">$I130</f>
        <v>0.01</v>
      </c>
      <c r="K130" s="8" t="s">
        <v>298</v>
      </c>
      <c r="L130" s="8" t="s">
        <v>526</v>
      </c>
    </row>
    <row r="131" customFormat="false" ht="15" hidden="false" customHeight="false" outlineLevel="0" collapsed="false">
      <c r="A131" s="8" t="s">
        <v>534</v>
      </c>
      <c r="B131" s="8" t="s">
        <v>535</v>
      </c>
      <c r="C131" s="8" t="s">
        <v>201</v>
      </c>
      <c r="D131" s="37" t="n">
        <v>0</v>
      </c>
      <c r="E131" s="47" t="n">
        <f aca="false">$D131</f>
        <v>0</v>
      </c>
      <c r="F131" s="37" t="n">
        <v>0.1</v>
      </c>
      <c r="G131" s="37" t="n">
        <v>0</v>
      </c>
      <c r="H131" s="47" t="n">
        <f aca="false">$D131</f>
        <v>0</v>
      </c>
      <c r="I131" s="48" t="n">
        <f aca="false">INDEX($D131:$H131,1,p_EscIdx)</f>
        <v>0</v>
      </c>
      <c r="J131" s="49" t="n">
        <f aca="false">(1+$I131)*(1+s_Mat)-1</f>
        <v>0</v>
      </c>
      <c r="K131" s="8" t="s">
        <v>383</v>
      </c>
      <c r="L131" s="8" t="s">
        <v>456</v>
      </c>
    </row>
    <row r="132" customFormat="false" ht="15" hidden="false" customHeight="false" outlineLevel="0" collapsed="false">
      <c r="A132" s="8" t="s">
        <v>536</v>
      </c>
      <c r="B132" s="8" t="s">
        <v>537</v>
      </c>
      <c r="C132" s="8" t="s">
        <v>263</v>
      </c>
      <c r="D132" s="51" t="n">
        <f aca="false">Base_PDF!$E$42</f>
        <v>45</v>
      </c>
      <c r="E132" s="52" t="n">
        <f aca="false">$D132</f>
        <v>45</v>
      </c>
      <c r="F132" s="52" t="n">
        <f aca="false">$D132</f>
        <v>45</v>
      </c>
      <c r="G132" s="52" t="n">
        <f aca="false">$D132</f>
        <v>45</v>
      </c>
      <c r="H132" s="52" t="n">
        <f aca="false">$D132</f>
        <v>45</v>
      </c>
      <c r="I132" s="53" t="n">
        <f aca="false">INDEX($D132:$H132,1,p_EscIdx)</f>
        <v>45</v>
      </c>
      <c r="J132" s="54" t="n">
        <f aca="false">$I132</f>
        <v>45</v>
      </c>
      <c r="K132" s="8" t="s">
        <v>264</v>
      </c>
      <c r="L132" s="8" t="s">
        <v>538</v>
      </c>
    </row>
    <row r="133" customFormat="false" ht="15" hidden="false" customHeight="false" outlineLevel="0" collapsed="false">
      <c r="A133" s="8" t="s">
        <v>539</v>
      </c>
      <c r="B133" s="8" t="s">
        <v>540</v>
      </c>
      <c r="C133" s="8" t="s">
        <v>263</v>
      </c>
      <c r="D133" s="51" t="n">
        <f aca="false">Base_PDF!$E$44</f>
        <v>4.851</v>
      </c>
      <c r="E133" s="52" t="n">
        <f aca="false">$D133</f>
        <v>4.851</v>
      </c>
      <c r="F133" s="52" t="n">
        <f aca="false">$D133</f>
        <v>4.851</v>
      </c>
      <c r="G133" s="52" t="n">
        <f aca="false">$D133</f>
        <v>4.851</v>
      </c>
      <c r="H133" s="52" t="n">
        <f aca="false">$D133</f>
        <v>4.851</v>
      </c>
      <c r="I133" s="53" t="n">
        <f aca="false">INDEX($D133:$H133,1,p_EscIdx)</f>
        <v>4.851</v>
      </c>
      <c r="J133" s="54" t="n">
        <f aca="false">$I133</f>
        <v>4.851</v>
      </c>
      <c r="K133" s="8" t="s">
        <v>264</v>
      </c>
      <c r="L133" s="8" t="s">
        <v>541</v>
      </c>
    </row>
    <row r="134" customFormat="false" ht="15" hidden="false" customHeight="false" outlineLevel="0" collapsed="false">
      <c r="A134" s="8" t="s">
        <v>542</v>
      </c>
      <c r="B134" s="8" t="s">
        <v>543</v>
      </c>
      <c r="C134" s="8" t="s">
        <v>263</v>
      </c>
      <c r="D134" s="51" t="n">
        <f aca="false">Base_PDF!$E$46</f>
        <v>4.70933333333333</v>
      </c>
      <c r="E134" s="52" t="n">
        <f aca="false">$D134</f>
        <v>4.70933333333333</v>
      </c>
      <c r="F134" s="52" t="n">
        <f aca="false">$D134</f>
        <v>4.70933333333333</v>
      </c>
      <c r="G134" s="52" t="n">
        <f aca="false">$D134</f>
        <v>4.70933333333333</v>
      </c>
      <c r="H134" s="52" t="n">
        <f aca="false">$D134</f>
        <v>4.70933333333333</v>
      </c>
      <c r="I134" s="53" t="n">
        <f aca="false">INDEX($D134:$H134,1,p_EscIdx)</f>
        <v>4.70933333333333</v>
      </c>
      <c r="J134" s="54" t="n">
        <f aca="false">$I134</f>
        <v>4.70933333333333</v>
      </c>
      <c r="K134" s="8" t="s">
        <v>264</v>
      </c>
      <c r="L134" s="8" t="s">
        <v>544</v>
      </c>
    </row>
    <row r="135" customFormat="false" ht="15" hidden="false" customHeight="false" outlineLevel="0" collapsed="false">
      <c r="A135" s="8" t="s">
        <v>545</v>
      </c>
      <c r="B135" s="8" t="s">
        <v>546</v>
      </c>
      <c r="C135" s="8" t="s">
        <v>263</v>
      </c>
      <c r="D135" s="51" t="n">
        <f aca="false">Base_PDF!$E$47</f>
        <v>0.65</v>
      </c>
      <c r="E135" s="52" t="n">
        <f aca="false">$D135</f>
        <v>0.65</v>
      </c>
      <c r="F135" s="52" t="n">
        <f aca="false">$D135</f>
        <v>0.65</v>
      </c>
      <c r="G135" s="52" t="n">
        <f aca="false">$D135</f>
        <v>0.65</v>
      </c>
      <c r="H135" s="52" t="n">
        <f aca="false">$D135</f>
        <v>0.65</v>
      </c>
      <c r="I135" s="53" t="n">
        <f aca="false">INDEX($D135:$H135,1,p_EscIdx)</f>
        <v>0.65</v>
      </c>
      <c r="J135" s="54" t="n">
        <f aca="false">$I135</f>
        <v>0.65</v>
      </c>
      <c r="K135" s="8" t="s">
        <v>264</v>
      </c>
      <c r="L135" s="8" t="s">
        <v>538</v>
      </c>
    </row>
    <row r="136" customFormat="false" ht="15" hidden="false" customHeight="false" outlineLevel="0" collapsed="false">
      <c r="A136" s="8" t="s">
        <v>547</v>
      </c>
      <c r="B136" s="8" t="s">
        <v>548</v>
      </c>
      <c r="C136" s="8" t="s">
        <v>201</v>
      </c>
      <c r="D136" s="37" t="n">
        <v>0</v>
      </c>
      <c r="E136" s="47" t="n">
        <f aca="false">$D136</f>
        <v>0</v>
      </c>
      <c r="F136" s="47" t="n">
        <f aca="false">$D136</f>
        <v>0</v>
      </c>
      <c r="G136" s="47" t="n">
        <f aca="false">$D136</f>
        <v>0</v>
      </c>
      <c r="H136" s="47" t="n">
        <f aca="false">$D136</f>
        <v>0</v>
      </c>
      <c r="I136" s="48" t="n">
        <f aca="false">INDEX($D136:$H136,1,p_EscIdx)</f>
        <v>0</v>
      </c>
      <c r="J136" s="49" t="n">
        <f aca="false">$I136</f>
        <v>0</v>
      </c>
      <c r="K136" s="8" t="s">
        <v>298</v>
      </c>
      <c r="L136" s="8" t="s">
        <v>549</v>
      </c>
    </row>
    <row r="137" customFormat="false" ht="15" hidden="false" customHeight="false" outlineLevel="0" collapsed="false">
      <c r="A137" s="8" t="s">
        <v>550</v>
      </c>
      <c r="B137" s="8" t="s">
        <v>551</v>
      </c>
      <c r="C137" s="8" t="s">
        <v>201</v>
      </c>
      <c r="D137" s="37" t="n">
        <v>0</v>
      </c>
      <c r="E137" s="47" t="n">
        <f aca="false">$D137</f>
        <v>0</v>
      </c>
      <c r="F137" s="37" t="n">
        <v>0.1</v>
      </c>
      <c r="G137" s="37" t="n">
        <v>0</v>
      </c>
      <c r="H137" s="47" t="n">
        <f aca="false">$D137</f>
        <v>0</v>
      </c>
      <c r="I137" s="48" t="n">
        <f aca="false">INDEX($D137:$H137,1,p_EscIdx)</f>
        <v>0</v>
      </c>
      <c r="J137" s="49" t="n">
        <f aca="false">(1+$I137)*(1+s_Mat)-1</f>
        <v>0</v>
      </c>
      <c r="K137" s="8" t="s">
        <v>383</v>
      </c>
      <c r="L137" s="8" t="s">
        <v>456</v>
      </c>
    </row>
    <row r="138" customFormat="false" ht="15" hidden="false" customHeight="false" outlineLevel="0" collapsed="false">
      <c r="A138" s="8" t="s">
        <v>552</v>
      </c>
      <c r="B138" s="8" t="s">
        <v>553</v>
      </c>
      <c r="C138" s="8" t="s">
        <v>263</v>
      </c>
      <c r="D138" s="51" t="n">
        <f aca="false">Base_PDF!$E$198</f>
        <v>23.2</v>
      </c>
      <c r="E138" s="52" t="n">
        <f aca="false">$D138</f>
        <v>23.2</v>
      </c>
      <c r="F138" s="52" t="n">
        <f aca="false">$D138</f>
        <v>23.2</v>
      </c>
      <c r="G138" s="52" t="n">
        <f aca="false">$D138</f>
        <v>23.2</v>
      </c>
      <c r="H138" s="52" t="n">
        <f aca="false">$D138</f>
        <v>23.2</v>
      </c>
      <c r="I138" s="53" t="n">
        <f aca="false">INDEX($D138:$H138,1,p_EscIdx)</f>
        <v>23.2</v>
      </c>
      <c r="J138" s="54" t="n">
        <f aca="false">$I138</f>
        <v>23.2</v>
      </c>
      <c r="K138" s="8" t="s">
        <v>383</v>
      </c>
      <c r="L138" s="8" t="s">
        <v>324</v>
      </c>
    </row>
    <row r="139" customFormat="false" ht="15" hidden="false" customHeight="false" outlineLevel="0" collapsed="false">
      <c r="A139" s="8" t="s">
        <v>554</v>
      </c>
      <c r="B139" s="8" t="s">
        <v>555</v>
      </c>
      <c r="C139" s="8" t="s">
        <v>263</v>
      </c>
      <c r="D139" s="51" t="n">
        <f aca="false">Base_PDF!$E$197</f>
        <v>2.08</v>
      </c>
      <c r="E139" s="52" t="n">
        <f aca="false">$D139</f>
        <v>2.08</v>
      </c>
      <c r="F139" s="52" t="n">
        <f aca="false">$D139</f>
        <v>2.08</v>
      </c>
      <c r="G139" s="52" t="n">
        <f aca="false">$D139</f>
        <v>2.08</v>
      </c>
      <c r="H139" s="52" t="n">
        <f aca="false">$D139</f>
        <v>2.08</v>
      </c>
      <c r="I139" s="53" t="n">
        <f aca="false">INDEX($D139:$H139,1,p_EscIdx)</f>
        <v>2.08</v>
      </c>
      <c r="J139" s="54" t="n">
        <f aca="false">$I139</f>
        <v>2.08</v>
      </c>
      <c r="K139" s="8" t="s">
        <v>383</v>
      </c>
      <c r="L139" s="8" t="s">
        <v>324</v>
      </c>
    </row>
    <row r="140" customFormat="false" ht="15" hidden="false" customHeight="false" outlineLevel="0" collapsed="false">
      <c r="A140" s="8" t="s">
        <v>556</v>
      </c>
      <c r="B140" s="8" t="s">
        <v>557</v>
      </c>
      <c r="C140" s="8" t="s">
        <v>201</v>
      </c>
      <c r="D140" s="37" t="n">
        <v>0</v>
      </c>
      <c r="E140" s="47" t="n">
        <f aca="false">$D140</f>
        <v>0</v>
      </c>
      <c r="F140" s="37" t="n">
        <v>0.1</v>
      </c>
      <c r="G140" s="37" t="n">
        <v>0</v>
      </c>
      <c r="H140" s="47" t="n">
        <f aca="false">$D140</f>
        <v>0</v>
      </c>
      <c r="I140" s="48" t="n">
        <f aca="false">INDEX($D140:$H140,1,p_EscIdx)</f>
        <v>0</v>
      </c>
      <c r="J140" s="49" t="n">
        <f aca="false">$I140</f>
        <v>0</v>
      </c>
      <c r="K140" s="8" t="s">
        <v>383</v>
      </c>
      <c r="L140" s="8" t="s">
        <v>456</v>
      </c>
    </row>
    <row r="141" customFormat="false" ht="15" hidden="false" customHeight="false" outlineLevel="0" collapsed="false">
      <c r="A141" s="8" t="s">
        <v>558</v>
      </c>
      <c r="B141" s="8" t="s">
        <v>559</v>
      </c>
      <c r="C141" s="8" t="s">
        <v>201</v>
      </c>
      <c r="D141" s="37" t="n">
        <v>0</v>
      </c>
      <c r="E141" s="47" t="n">
        <f aca="false">$D141</f>
        <v>0</v>
      </c>
      <c r="F141" s="37" t="n">
        <v>0.02</v>
      </c>
      <c r="G141" s="37" t="n">
        <v>0.02</v>
      </c>
      <c r="H141" s="47" t="n">
        <f aca="false">$D141</f>
        <v>0</v>
      </c>
      <c r="I141" s="48" t="n">
        <f aca="false">INDEX($D141:$H141,1,p_EscIdx)</f>
        <v>0</v>
      </c>
      <c r="J141" s="49" t="n">
        <f aca="false">$I141</f>
        <v>0</v>
      </c>
      <c r="K141" s="8" t="s">
        <v>383</v>
      </c>
      <c r="L141" s="8" t="s">
        <v>560</v>
      </c>
      <c r="M141" s="8" t="s">
        <v>561</v>
      </c>
    </row>
    <row r="142" customFormat="false" ht="15" hidden="false" customHeight="false" outlineLevel="0" collapsed="false">
      <c r="A142" s="8" t="s">
        <v>562</v>
      </c>
      <c r="B142" s="8" t="s">
        <v>563</v>
      </c>
      <c r="C142" s="8" t="s">
        <v>263</v>
      </c>
      <c r="D142" s="55" t="n">
        <v>0</v>
      </c>
      <c r="E142" s="50" t="n">
        <f aca="false">$D142</f>
        <v>0</v>
      </c>
      <c r="F142" s="50" t="n">
        <f aca="false">$D142</f>
        <v>0</v>
      </c>
      <c r="G142" s="50" t="n">
        <f aca="false">$D142</f>
        <v>0</v>
      </c>
      <c r="H142" s="50" t="n">
        <f aca="false">$D142</f>
        <v>0</v>
      </c>
      <c r="I142" s="19" t="n">
        <f aca="false">INDEX($D142:$H142,1,p_EscIdx)</f>
        <v>0</v>
      </c>
      <c r="J142" s="18" t="n">
        <f aca="false">$I142</f>
        <v>0</v>
      </c>
      <c r="K142" s="8" t="s">
        <v>383</v>
      </c>
      <c r="L142" s="8" t="s">
        <v>564</v>
      </c>
    </row>
    <row r="143" customFormat="false" ht="15" hidden="false" customHeight="false" outlineLevel="0" collapsed="false">
      <c r="A143" s="8" t="s">
        <v>565</v>
      </c>
      <c r="B143" s="8" t="s">
        <v>566</v>
      </c>
      <c r="C143" s="8" t="s">
        <v>201</v>
      </c>
      <c r="D143" s="37" t="n">
        <v>1</v>
      </c>
      <c r="E143" s="47" t="n">
        <f aca="false">$D143</f>
        <v>1</v>
      </c>
      <c r="F143" s="37" t="n">
        <v>1.1</v>
      </c>
      <c r="G143" s="37" t="n">
        <v>1</v>
      </c>
      <c r="H143" s="47" t="n">
        <f aca="false">$D143</f>
        <v>1</v>
      </c>
      <c r="I143" s="48" t="n">
        <f aca="false">INDEX($D143:$H143,1,p_EscIdx)</f>
        <v>1</v>
      </c>
      <c r="J143" s="49" t="n">
        <f aca="false">$I143</f>
        <v>1</v>
      </c>
      <c r="K143" s="8" t="s">
        <v>383</v>
      </c>
      <c r="L143" s="8" t="s">
        <v>456</v>
      </c>
    </row>
    <row r="144" customFormat="false" ht="15" hidden="false" customHeight="false" outlineLevel="0" collapsed="false">
      <c r="A144" s="8" t="s">
        <v>567</v>
      </c>
      <c r="B144" s="8" t="s">
        <v>568</v>
      </c>
      <c r="C144" s="8" t="s">
        <v>201</v>
      </c>
      <c r="D144" s="37" t="n">
        <v>0</v>
      </c>
      <c r="E144" s="47" t="n">
        <f aca="false">$D144</f>
        <v>0</v>
      </c>
      <c r="F144" s="37" t="n">
        <v>0.03</v>
      </c>
      <c r="G144" s="37" t="n">
        <v>0</v>
      </c>
      <c r="H144" s="47" t="n">
        <f aca="false">$D144</f>
        <v>0</v>
      </c>
      <c r="I144" s="48" t="n">
        <f aca="false">INDEX($D144:$H144,1,p_EscIdx)</f>
        <v>0</v>
      </c>
      <c r="J144" s="49" t="n">
        <f aca="false">$I144</f>
        <v>0</v>
      </c>
      <c r="K144" s="8" t="s">
        <v>298</v>
      </c>
      <c r="L144" s="8" t="s">
        <v>569</v>
      </c>
    </row>
    <row r="145" customFormat="false" ht="15" hidden="false" customHeight="false" outlineLevel="0" collapsed="false">
      <c r="A145" s="8" t="s">
        <v>570</v>
      </c>
      <c r="B145" s="8" t="s">
        <v>571</v>
      </c>
      <c r="C145" s="8" t="s">
        <v>201</v>
      </c>
      <c r="D145" s="37" t="n">
        <v>0</v>
      </c>
      <c r="E145" s="47" t="n">
        <f aca="false">$D145</f>
        <v>0</v>
      </c>
      <c r="F145" s="37" t="n">
        <v>0.02</v>
      </c>
      <c r="G145" s="37" t="n">
        <v>0</v>
      </c>
      <c r="H145" s="47" t="n">
        <f aca="false">$D145</f>
        <v>0</v>
      </c>
      <c r="I145" s="48" t="n">
        <f aca="false">INDEX($D145:$H145,1,p_EscIdx)</f>
        <v>0</v>
      </c>
      <c r="J145" s="49" t="n">
        <f aca="false">$I145</f>
        <v>0</v>
      </c>
      <c r="K145" s="8" t="s">
        <v>298</v>
      </c>
      <c r="L145" s="8" t="s">
        <v>572</v>
      </c>
    </row>
    <row r="146" customFormat="false" ht="15" hidden="false" customHeight="false" outlineLevel="0" collapsed="false">
      <c r="A146" s="8" t="s">
        <v>573</v>
      </c>
      <c r="B146" s="8" t="s">
        <v>574</v>
      </c>
      <c r="C146" s="8" t="s">
        <v>156</v>
      </c>
      <c r="D146" s="13" t="n">
        <f aca="false">p_TC_Plan</f>
        <v>7300</v>
      </c>
      <c r="E146" s="56" t="n">
        <f aca="false">$D146</f>
        <v>7300</v>
      </c>
      <c r="F146" s="56" t="n">
        <f aca="false">$D146</f>
        <v>7300</v>
      </c>
      <c r="G146" s="56" t="n">
        <f aca="false">$D146</f>
        <v>7300</v>
      </c>
      <c r="H146" s="56" t="n">
        <f aca="false">$D146</f>
        <v>7300</v>
      </c>
      <c r="I146" s="13" t="n">
        <f aca="false">INDEX($D146:$H146,1,p_EscIdx)</f>
        <v>7300</v>
      </c>
      <c r="J146" s="12" t="n">
        <f aca="false">$I146*(1+s_TC)</f>
        <v>7300</v>
      </c>
      <c r="K146" s="8" t="s">
        <v>575</v>
      </c>
      <c r="L146" s="8" t="s">
        <v>576</v>
      </c>
    </row>
    <row r="147" customFormat="false" ht="15" hidden="false" customHeight="false" outlineLevel="0" collapsed="false">
      <c r="A147" s="8" t="s">
        <v>577</v>
      </c>
      <c r="B147" s="8" t="s">
        <v>578</v>
      </c>
      <c r="C147" s="8" t="s">
        <v>156</v>
      </c>
      <c r="D147" s="13" t="n">
        <f aca="false">p_TC_Plan</f>
        <v>7300</v>
      </c>
      <c r="E147" s="56" t="n">
        <f aca="false">$D147</f>
        <v>7300</v>
      </c>
      <c r="F147" s="56" t="n">
        <f aca="false">$D147</f>
        <v>7300</v>
      </c>
      <c r="G147" s="56" t="n">
        <f aca="false">$D147</f>
        <v>7300</v>
      </c>
      <c r="H147" s="56" t="n">
        <f aca="false">$D147</f>
        <v>7300</v>
      </c>
      <c r="I147" s="13" t="n">
        <f aca="false">INDEX($D147:$H147,1,p_EscIdx)</f>
        <v>7300</v>
      </c>
      <c r="J147" s="12" t="n">
        <f aca="false">$I147*(1+s_TC)</f>
        <v>7300</v>
      </c>
      <c r="K147" s="8" t="s">
        <v>264</v>
      </c>
      <c r="L147" s="8" t="s">
        <v>576</v>
      </c>
    </row>
    <row r="148" customFormat="false" ht="15" hidden="false" customHeight="false" outlineLevel="0" collapsed="false">
      <c r="A148" s="8" t="s">
        <v>579</v>
      </c>
      <c r="B148" s="8" t="s">
        <v>580</v>
      </c>
      <c r="C148" s="8" t="s">
        <v>156</v>
      </c>
      <c r="D148" s="13" t="n">
        <f aca="false">p_TC_Plan</f>
        <v>7300</v>
      </c>
      <c r="E148" s="56" t="n">
        <f aca="false">$D148</f>
        <v>7300</v>
      </c>
      <c r="F148" s="56" t="n">
        <f aca="false">$D148</f>
        <v>7300</v>
      </c>
      <c r="G148" s="56" t="n">
        <f aca="false">$D148</f>
        <v>7300</v>
      </c>
      <c r="H148" s="56" t="n">
        <f aca="false">$D148</f>
        <v>7300</v>
      </c>
      <c r="I148" s="13" t="n">
        <f aca="false">INDEX($D148:$H148,1,p_EscIdx)</f>
        <v>7300</v>
      </c>
      <c r="J148" s="12" t="n">
        <f aca="false">$I148*(1+s_TC)</f>
        <v>7300</v>
      </c>
      <c r="K148" s="8" t="s">
        <v>581</v>
      </c>
      <c r="L148" s="8" t="s">
        <v>576</v>
      </c>
    </row>
    <row r="149" customFormat="false" ht="15" hidden="false" customHeight="false" outlineLevel="0" collapsed="false">
      <c r="A149" s="8" t="s">
        <v>582</v>
      </c>
      <c r="B149" s="8" t="s">
        <v>583</v>
      </c>
      <c r="C149" s="8" t="s">
        <v>156</v>
      </c>
      <c r="D149" s="13" t="n">
        <f aca="false">p_TC_Plan</f>
        <v>7300</v>
      </c>
      <c r="E149" s="56" t="n">
        <f aca="false">$D149</f>
        <v>7300</v>
      </c>
      <c r="F149" s="56" t="n">
        <f aca="false">$D149</f>
        <v>7300</v>
      </c>
      <c r="G149" s="56" t="n">
        <f aca="false">$D149</f>
        <v>7300</v>
      </c>
      <c r="H149" s="56" t="n">
        <f aca="false">$D149</f>
        <v>7300</v>
      </c>
      <c r="I149" s="13" t="n">
        <f aca="false">INDEX($D149:$H149,1,p_EscIdx)</f>
        <v>7300</v>
      </c>
      <c r="J149" s="12" t="n">
        <f aca="false">$I149*(1+s_TC)</f>
        <v>7300</v>
      </c>
      <c r="K149" s="8" t="s">
        <v>584</v>
      </c>
      <c r="L149" s="8" t="s">
        <v>576</v>
      </c>
    </row>
    <row r="150" customFormat="false" ht="15" hidden="false" customHeight="false" outlineLevel="0" collapsed="false">
      <c r="A150" s="8" t="s">
        <v>585</v>
      </c>
      <c r="B150" s="8" t="s">
        <v>586</v>
      </c>
      <c r="C150" s="8" t="s">
        <v>156</v>
      </c>
      <c r="D150" s="13" t="n">
        <f aca="false">p_TC_Plan</f>
        <v>7300</v>
      </c>
      <c r="E150" s="56" t="n">
        <f aca="false">$D150</f>
        <v>7300</v>
      </c>
      <c r="F150" s="56" t="n">
        <f aca="false">$D150</f>
        <v>7300</v>
      </c>
      <c r="G150" s="56" t="n">
        <f aca="false">$D150</f>
        <v>7300</v>
      </c>
      <c r="H150" s="56" t="n">
        <f aca="false">$D150</f>
        <v>7300</v>
      </c>
      <c r="I150" s="13" t="n">
        <f aca="false">INDEX($D150:$H150,1,p_EscIdx)</f>
        <v>7300</v>
      </c>
      <c r="J150" s="12" t="n">
        <f aca="false">$I150*(1+s_TC)</f>
        <v>7300</v>
      </c>
      <c r="K150" s="8" t="s">
        <v>587</v>
      </c>
      <c r="L150" s="8" t="s">
        <v>576</v>
      </c>
    </row>
    <row r="151" customFormat="false" ht="15" hidden="false" customHeight="false" outlineLevel="0" collapsed="false">
      <c r="A151" s="8" t="s">
        <v>588</v>
      </c>
      <c r="B151" s="8" t="s">
        <v>589</v>
      </c>
      <c r="C151" s="8" t="s">
        <v>156</v>
      </c>
      <c r="D151" s="13" t="n">
        <f aca="false">p_TC_Plan</f>
        <v>7300</v>
      </c>
      <c r="E151" s="56" t="n">
        <f aca="false">$D151</f>
        <v>7300</v>
      </c>
      <c r="F151" s="56" t="n">
        <f aca="false">$D151</f>
        <v>7300</v>
      </c>
      <c r="G151" s="56" t="n">
        <f aca="false">$D151</f>
        <v>7300</v>
      </c>
      <c r="H151" s="56" t="n">
        <f aca="false">$D151</f>
        <v>7300</v>
      </c>
      <c r="I151" s="13" t="n">
        <f aca="false">INDEX($D151:$H151,1,p_EscIdx)</f>
        <v>7300</v>
      </c>
      <c r="J151" s="12" t="n">
        <f aca="false">$I151*(1+s_TC)</f>
        <v>7300</v>
      </c>
      <c r="K151" s="8" t="s">
        <v>590</v>
      </c>
      <c r="L151" s="8" t="s">
        <v>576</v>
      </c>
    </row>
    <row r="152" customFormat="false" ht="15" hidden="false" customHeight="false" outlineLevel="0" collapsed="false">
      <c r="A152" s="8" t="s">
        <v>591</v>
      </c>
      <c r="B152" s="8" t="s">
        <v>592</v>
      </c>
      <c r="C152" s="8" t="s">
        <v>156</v>
      </c>
      <c r="D152" s="13" t="n">
        <f aca="false">p_TC_Plan</f>
        <v>7300</v>
      </c>
      <c r="E152" s="56" t="n">
        <f aca="false">$D152</f>
        <v>7300</v>
      </c>
      <c r="F152" s="56" t="n">
        <f aca="false">$D152</f>
        <v>7300</v>
      </c>
      <c r="G152" s="56" t="n">
        <f aca="false">$D152</f>
        <v>7300</v>
      </c>
      <c r="H152" s="56" t="n">
        <f aca="false">$D152</f>
        <v>7300</v>
      </c>
      <c r="I152" s="13" t="n">
        <f aca="false">INDEX($D152:$H152,1,p_EscIdx)</f>
        <v>7300</v>
      </c>
      <c r="J152" s="12" t="n">
        <f aca="false">$I152*(1+s_TC)</f>
        <v>7300</v>
      </c>
      <c r="K152" s="8" t="s">
        <v>593</v>
      </c>
      <c r="L152" s="8" t="s">
        <v>576</v>
      </c>
    </row>
    <row r="153" customFormat="false" ht="15" hidden="false" customHeight="false" outlineLevel="0" collapsed="false">
      <c r="A153" s="8" t="s">
        <v>594</v>
      </c>
      <c r="B153" s="8" t="s">
        <v>595</v>
      </c>
      <c r="C153" s="8" t="s">
        <v>156</v>
      </c>
      <c r="D153" s="13" t="n">
        <f aca="false">p_TC_Plan</f>
        <v>7300</v>
      </c>
      <c r="E153" s="56" t="n">
        <f aca="false">$D153</f>
        <v>7300</v>
      </c>
      <c r="F153" s="56" t="n">
        <f aca="false">$D153</f>
        <v>7300</v>
      </c>
      <c r="G153" s="56" t="n">
        <f aca="false">$D153</f>
        <v>7300</v>
      </c>
      <c r="H153" s="56" t="n">
        <f aca="false">$D153</f>
        <v>7300</v>
      </c>
      <c r="I153" s="13" t="n">
        <f aca="false">INDEX($D153:$H153,1,p_EscIdx)</f>
        <v>7300</v>
      </c>
      <c r="J153" s="12" t="n">
        <f aca="false">$I153*(1+s_TC)</f>
        <v>7300</v>
      </c>
      <c r="K153" s="8" t="s">
        <v>596</v>
      </c>
      <c r="L153" s="8" t="s">
        <v>576</v>
      </c>
    </row>
    <row r="154" customFormat="false" ht="15" hidden="false" customHeight="false" outlineLevel="0" collapsed="false">
      <c r="A154" s="8" t="s">
        <v>597</v>
      </c>
      <c r="B154" s="8" t="s">
        <v>598</v>
      </c>
      <c r="C154" s="8" t="s">
        <v>156</v>
      </c>
      <c r="D154" s="13" t="n">
        <f aca="false">p_TC_Plan</f>
        <v>7300</v>
      </c>
      <c r="E154" s="56" t="n">
        <f aca="false">$D154</f>
        <v>7300</v>
      </c>
      <c r="F154" s="56" t="n">
        <f aca="false">$D154</f>
        <v>7300</v>
      </c>
      <c r="G154" s="56" t="n">
        <f aca="false">$D154</f>
        <v>7300</v>
      </c>
      <c r="H154" s="56" t="n">
        <f aca="false">$D154</f>
        <v>7300</v>
      </c>
      <c r="I154" s="13" t="n">
        <f aca="false">INDEX($D154:$H154,1,p_EscIdx)</f>
        <v>7300</v>
      </c>
      <c r="J154" s="12" t="n">
        <f aca="false">$I154*(1+s_TC)</f>
        <v>7300</v>
      </c>
      <c r="K154" s="8" t="s">
        <v>599</v>
      </c>
      <c r="L154" s="8" t="s">
        <v>576</v>
      </c>
    </row>
    <row r="155" customFormat="false" ht="15" hidden="false" customHeight="false" outlineLevel="0" collapsed="false">
      <c r="A155" s="8" t="s">
        <v>600</v>
      </c>
      <c r="B155" s="8" t="s">
        <v>601</v>
      </c>
      <c r="C155" s="8" t="s">
        <v>156</v>
      </c>
      <c r="D155" s="13" t="n">
        <f aca="false">p_TC_Plan</f>
        <v>7300</v>
      </c>
      <c r="E155" s="56" t="n">
        <f aca="false">$D155</f>
        <v>7300</v>
      </c>
      <c r="F155" s="56" t="n">
        <f aca="false">$D155</f>
        <v>7300</v>
      </c>
      <c r="G155" s="56" t="n">
        <f aca="false">$D155</f>
        <v>7300</v>
      </c>
      <c r="H155" s="56" t="n">
        <f aca="false">$D155</f>
        <v>7300</v>
      </c>
      <c r="I155" s="13" t="n">
        <f aca="false">INDEX($D155:$H155,1,p_EscIdx)</f>
        <v>7300</v>
      </c>
      <c r="J155" s="12" t="n">
        <f aca="false">$I155*(1+s_TC)</f>
        <v>7300</v>
      </c>
      <c r="K155" s="8" t="s">
        <v>602</v>
      </c>
      <c r="L155" s="8" t="s">
        <v>576</v>
      </c>
    </row>
    <row r="156" customFormat="false" ht="15" hidden="false" customHeight="false" outlineLevel="0" collapsed="false">
      <c r="A156" s="8" t="s">
        <v>603</v>
      </c>
      <c r="B156" s="8" t="s">
        <v>604</v>
      </c>
      <c r="C156" s="8" t="s">
        <v>156</v>
      </c>
      <c r="D156" s="13" t="n">
        <f aca="false">p_TC_Plan</f>
        <v>7300</v>
      </c>
      <c r="E156" s="56" t="n">
        <f aca="false">$D156</f>
        <v>7300</v>
      </c>
      <c r="F156" s="56" t="n">
        <f aca="false">$D156</f>
        <v>7300</v>
      </c>
      <c r="G156" s="56" t="n">
        <f aca="false">$D156</f>
        <v>7300</v>
      </c>
      <c r="H156" s="56" t="n">
        <f aca="false">$D156</f>
        <v>7300</v>
      </c>
      <c r="I156" s="13" t="n">
        <f aca="false">INDEX($D156:$H156,1,p_EscIdx)</f>
        <v>7300</v>
      </c>
      <c r="J156" s="12" t="n">
        <f aca="false">$I156*(1+s_TC)</f>
        <v>7300</v>
      </c>
      <c r="K156" s="8" t="s">
        <v>605</v>
      </c>
      <c r="L156" s="8" t="s">
        <v>576</v>
      </c>
    </row>
    <row r="157" customFormat="false" ht="15" hidden="false" customHeight="false" outlineLevel="0" collapsed="false">
      <c r="A157" s="8" t="s">
        <v>606</v>
      </c>
      <c r="B157" s="8" t="s">
        <v>607</v>
      </c>
      <c r="C157" s="8" t="s">
        <v>156</v>
      </c>
      <c r="D157" s="13" t="n">
        <f aca="false">p_TC_Plan</f>
        <v>7300</v>
      </c>
      <c r="E157" s="56" t="n">
        <f aca="false">$D157</f>
        <v>7300</v>
      </c>
      <c r="F157" s="56" t="n">
        <f aca="false">$D157</f>
        <v>7300</v>
      </c>
      <c r="G157" s="56" t="n">
        <f aca="false">$D157</f>
        <v>7300</v>
      </c>
      <c r="H157" s="56" t="n">
        <f aca="false">$D157</f>
        <v>7300</v>
      </c>
      <c r="I157" s="13" t="n">
        <f aca="false">INDEX($D157:$H157,1,p_EscIdx)</f>
        <v>7300</v>
      </c>
      <c r="J157" s="12" t="n">
        <f aca="false">$I157*(1+s_TC)</f>
        <v>7300</v>
      </c>
      <c r="K157" s="8" t="s">
        <v>608</v>
      </c>
      <c r="L157" s="8" t="s">
        <v>576</v>
      </c>
    </row>
    <row r="158" customFormat="false" ht="15" hidden="false" customHeight="false" outlineLevel="0" collapsed="false">
      <c r="A158" s="8" t="s">
        <v>609</v>
      </c>
      <c r="B158" s="8" t="s">
        <v>610</v>
      </c>
      <c r="C158" s="8" t="s">
        <v>156</v>
      </c>
      <c r="D158" s="13" t="n">
        <f aca="false">p_TC_Plan</f>
        <v>7300</v>
      </c>
      <c r="E158" s="56" t="n">
        <f aca="false">$D158</f>
        <v>7300</v>
      </c>
      <c r="F158" s="56" t="n">
        <f aca="false">$D158</f>
        <v>7300</v>
      </c>
      <c r="G158" s="56" t="n">
        <f aca="false">$D158</f>
        <v>7300</v>
      </c>
      <c r="H158" s="56" t="n">
        <f aca="false">$D158</f>
        <v>7300</v>
      </c>
      <c r="I158" s="13" t="n">
        <f aca="false">INDEX($D158:$H158,1,p_EscIdx)</f>
        <v>7300</v>
      </c>
      <c r="J158" s="12" t="n">
        <f aca="false">$I158*(1+s_TC)</f>
        <v>7300</v>
      </c>
      <c r="K158" s="8" t="s">
        <v>611</v>
      </c>
      <c r="L158" s="8" t="s">
        <v>576</v>
      </c>
    </row>
    <row r="159" customFormat="false" ht="15" hidden="false" customHeight="false" outlineLevel="0" collapsed="false">
      <c r="A159" s="8" t="s">
        <v>612</v>
      </c>
      <c r="B159" s="8" t="s">
        <v>613</v>
      </c>
      <c r="C159" s="8" t="s">
        <v>156</v>
      </c>
      <c r="D159" s="13" t="n">
        <f aca="false">p_TC_Plan</f>
        <v>7300</v>
      </c>
      <c r="E159" s="56" t="n">
        <f aca="false">$D159</f>
        <v>7300</v>
      </c>
      <c r="F159" s="56" t="n">
        <f aca="false">$D159</f>
        <v>7300</v>
      </c>
      <c r="G159" s="56" t="n">
        <f aca="false">$D159</f>
        <v>7300</v>
      </c>
      <c r="H159" s="56" t="n">
        <f aca="false">$D159</f>
        <v>7300</v>
      </c>
      <c r="I159" s="13" t="n">
        <f aca="false">INDEX($D159:$H159,1,p_EscIdx)</f>
        <v>7300</v>
      </c>
      <c r="J159" s="12" t="n">
        <f aca="false">$I159*(1+s_TC)</f>
        <v>7300</v>
      </c>
      <c r="K159" s="8" t="s">
        <v>614</v>
      </c>
      <c r="L159" s="8" t="s">
        <v>576</v>
      </c>
    </row>
    <row r="160" customFormat="false" ht="15" hidden="false" customHeight="false" outlineLevel="0" collapsed="false">
      <c r="A160" s="8" t="s">
        <v>615</v>
      </c>
      <c r="B160" s="8" t="s">
        <v>616</v>
      </c>
      <c r="C160" s="8" t="s">
        <v>617</v>
      </c>
      <c r="D160" s="37" t="n">
        <v>1</v>
      </c>
      <c r="E160" s="47" t="n">
        <f aca="false">$D160</f>
        <v>1</v>
      </c>
      <c r="F160" s="47" t="n">
        <f aca="false">$D160</f>
        <v>1</v>
      </c>
      <c r="G160" s="47" t="n">
        <f aca="false">$D160</f>
        <v>1</v>
      </c>
      <c r="H160" s="47" t="n">
        <f aca="false">$D160</f>
        <v>1</v>
      </c>
      <c r="I160" s="48" t="n">
        <f aca="false">INDEX($D160:$H160,1,p_EscIdx)</f>
        <v>1</v>
      </c>
      <c r="J160" s="49" t="n">
        <f aca="false">$I160</f>
        <v>1</v>
      </c>
      <c r="K160" s="8" t="s">
        <v>383</v>
      </c>
      <c r="L160" s="8" t="s">
        <v>618</v>
      </c>
    </row>
    <row r="161" customFormat="false" ht="15" hidden="false" customHeight="false" outlineLevel="0" collapsed="false">
      <c r="A161" s="8" t="s">
        <v>619</v>
      </c>
      <c r="B161" s="8" t="s">
        <v>620</v>
      </c>
      <c r="C161" s="8" t="s">
        <v>195</v>
      </c>
      <c r="D161" s="28" t="n">
        <f aca="false">Base_PDF!$E$32</f>
        <v>120</v>
      </c>
      <c r="E161" s="56" t="n">
        <f aca="false">$D161</f>
        <v>120</v>
      </c>
      <c r="F161" s="44" t="n">
        <v>150</v>
      </c>
      <c r="G161" s="44" t="n">
        <v>90</v>
      </c>
      <c r="H161" s="56" t="n">
        <f aca="false">$D161</f>
        <v>120</v>
      </c>
      <c r="I161" s="13" t="n">
        <f aca="false">INDEX($D161:$H161,1,p_EscIdx)</f>
        <v>120</v>
      </c>
      <c r="J161" s="12" t="n">
        <f aca="false">IF(s_DSO="",$I161,s_DSO)</f>
        <v>120</v>
      </c>
      <c r="K161" s="8" t="s">
        <v>383</v>
      </c>
      <c r="L161" s="8" t="s">
        <v>621</v>
      </c>
    </row>
    <row r="162" customFormat="false" ht="15" hidden="false" customHeight="false" outlineLevel="0" collapsed="false">
      <c r="A162" s="8" t="s">
        <v>622</v>
      </c>
      <c r="B162" s="8" t="s">
        <v>623</v>
      </c>
      <c r="C162" s="8" t="s">
        <v>617</v>
      </c>
      <c r="D162" s="37" t="n">
        <v>0</v>
      </c>
      <c r="E162" s="47" t="n">
        <f aca="false">$D162</f>
        <v>0</v>
      </c>
      <c r="F162" s="47" t="n">
        <f aca="false">$D162</f>
        <v>0</v>
      </c>
      <c r="G162" s="47" t="n">
        <f aca="false">$D162</f>
        <v>0</v>
      </c>
      <c r="H162" s="47" t="n">
        <f aca="false">$D162</f>
        <v>0</v>
      </c>
      <c r="I162" s="48" t="n">
        <f aca="false">INDEX($D162:$H162,1,p_EscIdx)</f>
        <v>0</v>
      </c>
      <c r="J162" s="49" t="n">
        <f aca="false">$I162</f>
        <v>0</v>
      </c>
      <c r="K162" s="8" t="s">
        <v>383</v>
      </c>
      <c r="L162" s="8" t="s">
        <v>176</v>
      </c>
    </row>
    <row r="163" customFormat="false" ht="15" hidden="false" customHeight="false" outlineLevel="0" collapsed="false">
      <c r="A163" s="8" t="s">
        <v>624</v>
      </c>
      <c r="B163" s="8" t="s">
        <v>625</v>
      </c>
      <c r="C163" s="8" t="s">
        <v>617</v>
      </c>
      <c r="D163" s="37" t="n">
        <v>0</v>
      </c>
      <c r="E163" s="47" t="n">
        <f aca="false">$D163</f>
        <v>0</v>
      </c>
      <c r="F163" s="47" t="n">
        <f aca="false">$D163</f>
        <v>0</v>
      </c>
      <c r="G163" s="47" t="n">
        <f aca="false">$D163</f>
        <v>0</v>
      </c>
      <c r="H163" s="47" t="n">
        <f aca="false">$D163</f>
        <v>0</v>
      </c>
      <c r="I163" s="48" t="n">
        <f aca="false">INDEX($D163:$H163,1,p_EscIdx)</f>
        <v>0</v>
      </c>
      <c r="J163" s="49" t="n">
        <f aca="false">$I163</f>
        <v>0</v>
      </c>
      <c r="K163" s="8" t="s">
        <v>383</v>
      </c>
      <c r="L163" s="8" t="s">
        <v>176</v>
      </c>
    </row>
    <row r="164" customFormat="false" ht="15" hidden="false" customHeight="false" outlineLevel="0" collapsed="false">
      <c r="A164" s="8" t="s">
        <v>626</v>
      </c>
      <c r="B164" s="8" t="s">
        <v>627</v>
      </c>
      <c r="C164" s="8" t="s">
        <v>168</v>
      </c>
      <c r="D164" s="29" t="n">
        <v>1</v>
      </c>
      <c r="E164" s="46" t="n">
        <f aca="false">$D164</f>
        <v>1</v>
      </c>
      <c r="F164" s="46" t="n">
        <f aca="false">$D164</f>
        <v>1</v>
      </c>
      <c r="G164" s="46" t="n">
        <f aca="false">$D164</f>
        <v>1</v>
      </c>
      <c r="H164" s="46" t="n">
        <f aca="false">$D164</f>
        <v>1</v>
      </c>
      <c r="I164" s="31" t="n">
        <f aca="false">INDEX($D164:$H164,1,p_EscIdx)</f>
        <v>1</v>
      </c>
      <c r="J164" s="9" t="n">
        <f aca="false">$I164</f>
        <v>1</v>
      </c>
      <c r="K164" s="8" t="s">
        <v>383</v>
      </c>
      <c r="L164" s="8" t="s">
        <v>176</v>
      </c>
    </row>
    <row r="165" customFormat="false" ht="15" hidden="false" customHeight="false" outlineLevel="0" collapsed="false">
      <c r="A165" s="8" t="s">
        <v>628</v>
      </c>
      <c r="B165" s="8" t="s">
        <v>629</v>
      </c>
      <c r="C165" s="8" t="s">
        <v>630</v>
      </c>
      <c r="D165" s="37" t="n">
        <v>0</v>
      </c>
      <c r="E165" s="47" t="n">
        <f aca="false">$D165</f>
        <v>0</v>
      </c>
      <c r="F165" s="47" t="n">
        <f aca="false">$D165</f>
        <v>0</v>
      </c>
      <c r="G165" s="47" t="n">
        <f aca="false">$D165</f>
        <v>0</v>
      </c>
      <c r="H165" s="47" t="n">
        <f aca="false">$D165</f>
        <v>0</v>
      </c>
      <c r="I165" s="48" t="n">
        <f aca="false">INDEX($D165:$H165,1,p_EscIdx)</f>
        <v>0</v>
      </c>
      <c r="J165" s="49" t="n">
        <f aca="false">$I165</f>
        <v>0</v>
      </c>
      <c r="K165" s="8" t="s">
        <v>383</v>
      </c>
      <c r="L165" s="8" t="s">
        <v>176</v>
      </c>
    </row>
    <row r="166" customFormat="false" ht="15" hidden="false" customHeight="false" outlineLevel="0" collapsed="false">
      <c r="A166" s="8" t="s">
        <v>631</v>
      </c>
      <c r="B166" s="8" t="s">
        <v>632</v>
      </c>
      <c r="C166" s="8" t="s">
        <v>195</v>
      </c>
      <c r="D166" s="28" t="n">
        <f aca="false">Base_PDF!$E$31</f>
        <v>120</v>
      </c>
      <c r="E166" s="56" t="n">
        <f aca="false">$D166</f>
        <v>120</v>
      </c>
      <c r="F166" s="56" t="n">
        <f aca="false">$D166</f>
        <v>120</v>
      </c>
      <c r="G166" s="44" t="n">
        <v>90</v>
      </c>
      <c r="H166" s="56" t="n">
        <f aca="false">$D166</f>
        <v>120</v>
      </c>
      <c r="I166" s="13" t="n">
        <f aca="false">INDEX($D166:$H166,1,p_EscIdx)</f>
        <v>120</v>
      </c>
      <c r="J166" s="12" t="n">
        <f aca="false">$I166</f>
        <v>120</v>
      </c>
      <c r="K166" s="8" t="s">
        <v>383</v>
      </c>
      <c r="L166" s="8" t="s">
        <v>633</v>
      </c>
    </row>
    <row r="167" customFormat="false" ht="15" hidden="false" customHeight="false" outlineLevel="0" collapsed="false">
      <c r="A167" s="8" t="s">
        <v>634</v>
      </c>
      <c r="B167" s="8" t="s">
        <v>635</v>
      </c>
      <c r="C167" s="8" t="s">
        <v>195</v>
      </c>
      <c r="D167" s="28" t="n">
        <f aca="false">Base_PDF!$E$33</f>
        <v>10</v>
      </c>
      <c r="E167" s="56" t="n">
        <f aca="false">$D167</f>
        <v>10</v>
      </c>
      <c r="F167" s="56" t="n">
        <f aca="false">$D167</f>
        <v>10</v>
      </c>
      <c r="G167" s="56" t="n">
        <f aca="false">$D167</f>
        <v>10</v>
      </c>
      <c r="H167" s="56" t="n">
        <f aca="false">$D167</f>
        <v>10</v>
      </c>
      <c r="I167" s="13" t="n">
        <f aca="false">INDEX($D167:$H167,1,p_EscIdx)</f>
        <v>10</v>
      </c>
      <c r="J167" s="12" t="n">
        <f aca="false">$I167</f>
        <v>10</v>
      </c>
      <c r="K167" s="8" t="s">
        <v>383</v>
      </c>
      <c r="L167" s="8" t="s">
        <v>633</v>
      </c>
    </row>
    <row r="168" customFormat="false" ht="15" hidden="false" customHeight="false" outlineLevel="0" collapsed="false">
      <c r="A168" s="8" t="s">
        <v>636</v>
      </c>
      <c r="B168" s="8" t="s">
        <v>637</v>
      </c>
      <c r="C168" s="8" t="s">
        <v>195</v>
      </c>
      <c r="D168" s="28" t="n">
        <f aca="false">Base_PDF!$E$34</f>
        <v>0</v>
      </c>
      <c r="E168" s="56" t="n">
        <f aca="false">$D168</f>
        <v>0</v>
      </c>
      <c r="F168" s="56" t="n">
        <f aca="false">$D168</f>
        <v>0</v>
      </c>
      <c r="G168" s="44" t="n">
        <v>30</v>
      </c>
      <c r="H168" s="56" t="n">
        <f aca="false">$D168</f>
        <v>0</v>
      </c>
      <c r="I168" s="13" t="n">
        <f aca="false">INDEX($D168:$H168,1,p_EscIdx)</f>
        <v>0</v>
      </c>
      <c r="J168" s="12" t="n">
        <f aca="false">$I168</f>
        <v>0</v>
      </c>
      <c r="K168" s="8" t="s">
        <v>383</v>
      </c>
      <c r="L168" s="8" t="s">
        <v>638</v>
      </c>
    </row>
    <row r="169" customFormat="false" ht="15" hidden="false" customHeight="false" outlineLevel="0" collapsed="false">
      <c r="A169" s="8" t="s">
        <v>639</v>
      </c>
      <c r="B169" s="8" t="s">
        <v>640</v>
      </c>
      <c r="C169" s="8" t="s">
        <v>641</v>
      </c>
      <c r="D169" s="37" t="n">
        <v>0</v>
      </c>
      <c r="E169" s="47" t="n">
        <f aca="false">$D169</f>
        <v>0</v>
      </c>
      <c r="F169" s="47" t="n">
        <f aca="false">$D169</f>
        <v>0</v>
      </c>
      <c r="G169" s="47" t="n">
        <f aca="false">$D169</f>
        <v>0</v>
      </c>
      <c r="H169" s="47" t="n">
        <f aca="false">$D169</f>
        <v>0</v>
      </c>
      <c r="I169" s="48" t="n">
        <f aca="false">INDEX($D169:$H169,1,p_EscIdx)</f>
        <v>0</v>
      </c>
      <c r="J169" s="49" t="n">
        <f aca="false">$I169</f>
        <v>0</v>
      </c>
      <c r="K169" s="8" t="s">
        <v>383</v>
      </c>
      <c r="L169" s="8" t="s">
        <v>176</v>
      </c>
    </row>
    <row r="170" customFormat="false" ht="15" hidden="false" customHeight="false" outlineLevel="0" collapsed="false">
      <c r="A170" s="8" t="s">
        <v>642</v>
      </c>
      <c r="B170" s="8" t="s">
        <v>643</v>
      </c>
      <c r="C170" s="8" t="s">
        <v>168</v>
      </c>
      <c r="D170" s="29" t="n">
        <v>2</v>
      </c>
      <c r="E170" s="46" t="n">
        <f aca="false">$D170</f>
        <v>2</v>
      </c>
      <c r="F170" s="46" t="n">
        <f aca="false">$D170</f>
        <v>2</v>
      </c>
      <c r="G170" s="46" t="n">
        <f aca="false">$D170</f>
        <v>2</v>
      </c>
      <c r="H170" s="46" t="n">
        <f aca="false">$D170</f>
        <v>2</v>
      </c>
      <c r="I170" s="31" t="n">
        <f aca="false">INDEX($D170:$H170,1,p_EscIdx)</f>
        <v>2</v>
      </c>
      <c r="J170" s="9" t="n">
        <f aca="false">$I170</f>
        <v>2</v>
      </c>
      <c r="K170" s="8" t="s">
        <v>383</v>
      </c>
      <c r="L170" s="8" t="s">
        <v>176</v>
      </c>
    </row>
    <row r="171" customFormat="false" ht="15" hidden="false" customHeight="false" outlineLevel="0" collapsed="false">
      <c r="A171" s="8" t="s">
        <v>644</v>
      </c>
      <c r="B171" s="8" t="s">
        <v>645</v>
      </c>
      <c r="C171" s="8" t="s">
        <v>195</v>
      </c>
      <c r="D171" s="28" t="n">
        <f aca="false">Base_PDF!$E$35</f>
        <v>30</v>
      </c>
      <c r="E171" s="56" t="n">
        <f aca="false">$D171</f>
        <v>30</v>
      </c>
      <c r="F171" s="56" t="n">
        <f aca="false">$D171</f>
        <v>30</v>
      </c>
      <c r="G171" s="56" t="n">
        <f aca="false">$D171</f>
        <v>30</v>
      </c>
      <c r="H171" s="56" t="n">
        <f aca="false">$D171</f>
        <v>30</v>
      </c>
      <c r="I171" s="13" t="n">
        <f aca="false">INDEX($D171:$H171,1,p_EscIdx)</f>
        <v>30</v>
      </c>
      <c r="J171" s="12" t="n">
        <f aca="false">$I171</f>
        <v>30</v>
      </c>
      <c r="K171" s="8" t="s">
        <v>383</v>
      </c>
      <c r="L171" s="8" t="s">
        <v>633</v>
      </c>
    </row>
    <row r="172" customFormat="false" ht="15" hidden="false" customHeight="false" outlineLevel="0" collapsed="false">
      <c r="A172" s="8" t="s">
        <v>646</v>
      </c>
      <c r="B172" s="8" t="s">
        <v>647</v>
      </c>
      <c r="C172" s="8" t="s">
        <v>195</v>
      </c>
      <c r="D172" s="28" t="n">
        <f aca="false">Base_PDF!$E$30</f>
        <v>15</v>
      </c>
      <c r="E172" s="56" t="n">
        <f aca="false">$D172</f>
        <v>15</v>
      </c>
      <c r="F172" s="56" t="n">
        <f aca="false">$D172</f>
        <v>15</v>
      </c>
      <c r="G172" s="56" t="n">
        <f aca="false">$D172</f>
        <v>15</v>
      </c>
      <c r="H172" s="56" t="n">
        <f aca="false">$D172</f>
        <v>15</v>
      </c>
      <c r="I172" s="13" t="n">
        <f aca="false">INDEX($D172:$H172,1,p_EscIdx)</f>
        <v>15</v>
      </c>
      <c r="J172" s="12" t="n">
        <f aca="false">$I172</f>
        <v>15</v>
      </c>
      <c r="K172" s="8" t="s">
        <v>383</v>
      </c>
      <c r="L172" s="8" t="s">
        <v>633</v>
      </c>
    </row>
    <row r="173" customFormat="false" ht="15" hidden="false" customHeight="false" outlineLevel="0" collapsed="false">
      <c r="A173" s="8" t="s">
        <v>648</v>
      </c>
      <c r="B173" s="8" t="s">
        <v>649</v>
      </c>
      <c r="C173" s="8" t="s">
        <v>201</v>
      </c>
      <c r="D173" s="37" t="n">
        <v>0</v>
      </c>
      <c r="E173" s="47" t="n">
        <f aca="false">$D173</f>
        <v>0</v>
      </c>
      <c r="F173" s="37" t="n">
        <v>0.1</v>
      </c>
      <c r="G173" s="37" t="n">
        <v>0.1</v>
      </c>
      <c r="H173" s="47" t="n">
        <f aca="false">$D173</f>
        <v>0</v>
      </c>
      <c r="I173" s="48" t="n">
        <f aca="false">INDEX($D173:$H173,1,p_EscIdx)</f>
        <v>0</v>
      </c>
      <c r="J173" s="49" t="n">
        <f aca="false">(1+$I173)*(1+s_Capex)-1</f>
        <v>0</v>
      </c>
      <c r="K173" s="8" t="s">
        <v>650</v>
      </c>
      <c r="L173" s="8" t="s">
        <v>456</v>
      </c>
    </row>
    <row r="174" customFormat="false" ht="15" hidden="false" customHeight="false" outlineLevel="0" collapsed="false">
      <c r="A174" s="8" t="s">
        <v>651</v>
      </c>
      <c r="B174" s="8" t="s">
        <v>652</v>
      </c>
      <c r="C174" s="8" t="s">
        <v>255</v>
      </c>
      <c r="D174" s="28" t="n">
        <f aca="false">Base_PDF!$E$53</f>
        <v>100000</v>
      </c>
      <c r="E174" s="56" t="n">
        <f aca="false">$D174</f>
        <v>100000</v>
      </c>
      <c r="F174" s="56" t="n">
        <f aca="false">$D174</f>
        <v>100000</v>
      </c>
      <c r="G174" s="56" t="n">
        <f aca="false">$D174</f>
        <v>100000</v>
      </c>
      <c r="H174" s="56" t="n">
        <f aca="false">$D174</f>
        <v>100000</v>
      </c>
      <c r="I174" s="13" t="n">
        <f aca="false">INDEX($D174:$H174,1,p_EscIdx)</f>
        <v>100000</v>
      </c>
      <c r="J174" s="12" t="n">
        <f aca="false">$I174</f>
        <v>100000</v>
      </c>
      <c r="K174" s="8" t="s">
        <v>581</v>
      </c>
      <c r="L174" s="8" t="s">
        <v>653</v>
      </c>
    </row>
    <row r="175" customFormat="false" ht="15" hidden="false" customHeight="false" outlineLevel="0" collapsed="false">
      <c r="A175" s="8" t="s">
        <v>654</v>
      </c>
      <c r="B175" s="8" t="s">
        <v>655</v>
      </c>
      <c r="C175" s="8" t="s">
        <v>373</v>
      </c>
      <c r="D175" s="31" t="n">
        <f aca="false">p_ImplMeses+13</f>
        <v>13</v>
      </c>
      <c r="E175" s="46" t="n">
        <f aca="false">$D175</f>
        <v>13</v>
      </c>
      <c r="F175" s="46" t="n">
        <f aca="false">$D175</f>
        <v>13</v>
      </c>
      <c r="G175" s="46" t="n">
        <f aca="false">$D175</f>
        <v>13</v>
      </c>
      <c r="H175" s="46" t="n">
        <f aca="false">$D175</f>
        <v>13</v>
      </c>
      <c r="I175" s="31" t="n">
        <f aca="false">INDEX($D175:$H175,1,p_EscIdx)</f>
        <v>13</v>
      </c>
      <c r="J175" s="9" t="n">
        <f aca="false">$I175</f>
        <v>13</v>
      </c>
      <c r="K175" s="8" t="s">
        <v>581</v>
      </c>
      <c r="L175" s="8" t="s">
        <v>656</v>
      </c>
    </row>
    <row r="176" customFormat="false" ht="15" hidden="false" customHeight="false" outlineLevel="0" collapsed="false">
      <c r="A176" s="8" t="s">
        <v>657</v>
      </c>
      <c r="B176" s="8" t="s">
        <v>658</v>
      </c>
      <c r="C176" s="8" t="s">
        <v>201</v>
      </c>
      <c r="D176" s="37" t="n">
        <v>0</v>
      </c>
      <c r="E176" s="47" t="n">
        <f aca="false">$D176</f>
        <v>0</v>
      </c>
      <c r="F176" s="47" t="n">
        <f aca="false">$D176</f>
        <v>0</v>
      </c>
      <c r="G176" s="47" t="n">
        <f aca="false">$D176</f>
        <v>0</v>
      </c>
      <c r="H176" s="47" t="n">
        <f aca="false">$D176</f>
        <v>0</v>
      </c>
      <c r="I176" s="48" t="n">
        <f aca="false">INDEX($D176:$H176,1,p_EscIdx)</f>
        <v>0</v>
      </c>
      <c r="J176" s="49" t="n">
        <f aca="false">$I176</f>
        <v>0</v>
      </c>
      <c r="K176" s="8" t="s">
        <v>383</v>
      </c>
      <c r="L176" s="8" t="s">
        <v>659</v>
      </c>
      <c r="M176" s="8" t="s">
        <v>660</v>
      </c>
    </row>
    <row r="177" customFormat="false" ht="15" hidden="false" customHeight="false" outlineLevel="0" collapsed="false">
      <c r="A177" s="8" t="s">
        <v>661</v>
      </c>
      <c r="B177" s="8" t="s">
        <v>662</v>
      </c>
      <c r="C177" s="8" t="s">
        <v>168</v>
      </c>
      <c r="D177" s="29" t="n">
        <v>6</v>
      </c>
      <c r="E177" s="46" t="n">
        <f aca="false">$D177</f>
        <v>6</v>
      </c>
      <c r="F177" s="46" t="n">
        <f aca="false">$D177</f>
        <v>6</v>
      </c>
      <c r="G177" s="46" t="n">
        <f aca="false">$D177</f>
        <v>6</v>
      </c>
      <c r="H177" s="46" t="n">
        <f aca="false">$D177</f>
        <v>6</v>
      </c>
      <c r="I177" s="31" t="n">
        <f aca="false">INDEX($D177:$H177,1,p_EscIdx)</f>
        <v>6</v>
      </c>
      <c r="J177" s="9" t="n">
        <f aca="false">$I177</f>
        <v>6</v>
      </c>
      <c r="K177" s="8" t="s">
        <v>383</v>
      </c>
      <c r="L177" s="8" t="s">
        <v>171</v>
      </c>
    </row>
    <row r="178" customFormat="false" ht="15" hidden="false" customHeight="false" outlineLevel="0" collapsed="false">
      <c r="A178" s="8" t="s">
        <v>663</v>
      </c>
      <c r="B178" s="8" t="s">
        <v>664</v>
      </c>
      <c r="C178" s="8" t="s">
        <v>351</v>
      </c>
      <c r="D178" s="29" t="n">
        <v>1</v>
      </c>
      <c r="E178" s="46" t="n">
        <f aca="false">$D178</f>
        <v>1</v>
      </c>
      <c r="F178" s="46" t="n">
        <f aca="false">$D178</f>
        <v>1</v>
      </c>
      <c r="G178" s="46" t="n">
        <f aca="false">$D178</f>
        <v>1</v>
      </c>
      <c r="H178" s="46" t="n">
        <f aca="false">$D178</f>
        <v>1</v>
      </c>
      <c r="I178" s="31" t="n">
        <f aca="false">INDEX($D178:$H178,1,p_EscIdx)</f>
        <v>1</v>
      </c>
      <c r="J178" s="9" t="n">
        <f aca="false">$I178</f>
        <v>1</v>
      </c>
      <c r="K178" s="8" t="s">
        <v>665</v>
      </c>
      <c r="L178" s="8" t="s">
        <v>666</v>
      </c>
    </row>
    <row r="179" customFormat="false" ht="15" hidden="false" customHeight="false" outlineLevel="0" collapsed="false">
      <c r="A179" s="8" t="s">
        <v>667</v>
      </c>
      <c r="B179" s="8" t="s">
        <v>668</v>
      </c>
      <c r="C179" s="8" t="s">
        <v>255</v>
      </c>
      <c r="D179" s="44" t="n">
        <v>0</v>
      </c>
      <c r="E179" s="56" t="n">
        <f aca="false">$D179</f>
        <v>0</v>
      </c>
      <c r="F179" s="56" t="n">
        <f aca="false">$D179</f>
        <v>0</v>
      </c>
      <c r="G179" s="56" t="n">
        <f aca="false">$D179</f>
        <v>0</v>
      </c>
      <c r="H179" s="56" t="n">
        <f aca="false">$D179</f>
        <v>0</v>
      </c>
      <c r="I179" s="13" t="n">
        <f aca="false">INDEX($D179:$H179,1,p_EscIdx)</f>
        <v>0</v>
      </c>
      <c r="J179" s="12" t="n">
        <f aca="false">$I179</f>
        <v>0</v>
      </c>
      <c r="K179" s="8" t="s">
        <v>176</v>
      </c>
      <c r="L179" s="8" t="s">
        <v>669</v>
      </c>
    </row>
    <row r="180" customFormat="false" ht="15" hidden="false" customHeight="false" outlineLevel="0" collapsed="false">
      <c r="A180" s="8" t="s">
        <v>670</v>
      </c>
      <c r="B180" s="8" t="s">
        <v>671</v>
      </c>
      <c r="C180" s="8" t="s">
        <v>373</v>
      </c>
      <c r="D180" s="29" t="n">
        <v>12</v>
      </c>
      <c r="E180" s="46" t="n">
        <f aca="false">$D180</f>
        <v>12</v>
      </c>
      <c r="F180" s="46" t="n">
        <f aca="false">$D180</f>
        <v>12</v>
      </c>
      <c r="G180" s="46" t="n">
        <f aca="false">$D180</f>
        <v>12</v>
      </c>
      <c r="H180" s="46" t="n">
        <f aca="false">$D180</f>
        <v>12</v>
      </c>
      <c r="I180" s="31" t="n">
        <f aca="false">INDEX($D180:$H180,1,p_EscIdx)</f>
        <v>12</v>
      </c>
      <c r="J180" s="9" t="n">
        <f aca="false">$I180</f>
        <v>12</v>
      </c>
      <c r="K180" s="8" t="s">
        <v>176</v>
      </c>
      <c r="L180" s="8" t="s">
        <v>176</v>
      </c>
    </row>
    <row r="181" customFormat="false" ht="15" hidden="false" customHeight="false" outlineLevel="0" collapsed="false">
      <c r="A181" s="8" t="s">
        <v>672</v>
      </c>
      <c r="B181" s="8" t="s">
        <v>673</v>
      </c>
      <c r="C181" s="8" t="s">
        <v>201</v>
      </c>
      <c r="D181" s="32" t="n">
        <f aca="false">Base_PDF!$E$12</f>
        <v>0.09</v>
      </c>
      <c r="E181" s="57" t="n">
        <f aca="false">$D181</f>
        <v>0.09</v>
      </c>
      <c r="F181" s="57" t="n">
        <f aca="false">$D181</f>
        <v>0.09</v>
      </c>
      <c r="G181" s="57" t="n">
        <f aca="false">$D181</f>
        <v>0.09</v>
      </c>
      <c r="H181" s="57" t="n">
        <f aca="false">$D181</f>
        <v>0.09</v>
      </c>
      <c r="I181" s="16" t="n">
        <f aca="false">INDEX($D181:$H181,1,p_EscIdx)</f>
        <v>0.09</v>
      </c>
      <c r="J181" s="15" t="n">
        <f aca="false">$I181</f>
        <v>0.09</v>
      </c>
      <c r="K181" s="8" t="s">
        <v>176</v>
      </c>
      <c r="L181" s="8" t="s">
        <v>674</v>
      </c>
    </row>
    <row r="182" customFormat="false" ht="15" hidden="false" customHeight="false" outlineLevel="0" collapsed="false">
      <c r="A182" s="8" t="s">
        <v>675</v>
      </c>
      <c r="B182" s="8" t="s">
        <v>676</v>
      </c>
      <c r="C182" s="8" t="s">
        <v>168</v>
      </c>
      <c r="D182" s="29" t="n">
        <v>0</v>
      </c>
      <c r="E182" s="46" t="n">
        <f aca="false">$D182</f>
        <v>0</v>
      </c>
      <c r="F182" s="46" t="n">
        <f aca="false">$D182</f>
        <v>0</v>
      </c>
      <c r="G182" s="46" t="n">
        <f aca="false">$D182</f>
        <v>0</v>
      </c>
      <c r="H182" s="46" t="n">
        <f aca="false">$D182</f>
        <v>0</v>
      </c>
      <c r="I182" s="31" t="n">
        <f aca="false">INDEX($D182:$H182,1,p_EscIdx)</f>
        <v>0</v>
      </c>
      <c r="J182" s="9" t="n">
        <f aca="false">$I182</f>
        <v>0</v>
      </c>
      <c r="K182" s="8" t="s">
        <v>176</v>
      </c>
      <c r="L182" s="8" t="s">
        <v>176</v>
      </c>
    </row>
    <row r="183" customFormat="false" ht="15" hidden="false" customHeight="false" outlineLevel="0" collapsed="false">
      <c r="A183" s="8" t="s">
        <v>677</v>
      </c>
      <c r="B183" s="8" t="s">
        <v>678</v>
      </c>
      <c r="C183" s="8" t="s">
        <v>168</v>
      </c>
      <c r="D183" s="29" t="n">
        <v>36</v>
      </c>
      <c r="E183" s="46" t="n">
        <f aca="false">$D183</f>
        <v>36</v>
      </c>
      <c r="F183" s="46" t="n">
        <f aca="false">$D183</f>
        <v>36</v>
      </c>
      <c r="G183" s="46" t="n">
        <f aca="false">$D183</f>
        <v>36</v>
      </c>
      <c r="H183" s="46" t="n">
        <f aca="false">$D183</f>
        <v>36</v>
      </c>
      <c r="I183" s="31" t="n">
        <f aca="false">INDEX($D183:$H183,1,p_EscIdx)</f>
        <v>36</v>
      </c>
      <c r="J183" s="9" t="n">
        <f aca="false">$I183</f>
        <v>36</v>
      </c>
      <c r="K183" s="8" t="s">
        <v>176</v>
      </c>
      <c r="L183" s="8" t="s">
        <v>176</v>
      </c>
    </row>
    <row r="184" customFormat="false" ht="15" hidden="false" customHeight="false" outlineLevel="0" collapsed="false">
      <c r="A184" s="8" t="s">
        <v>679</v>
      </c>
      <c r="B184" s="8" t="s">
        <v>680</v>
      </c>
      <c r="C184" s="8" t="s">
        <v>351</v>
      </c>
      <c r="D184" s="29" t="n">
        <v>0</v>
      </c>
      <c r="E184" s="46" t="n">
        <f aca="false">$D184</f>
        <v>0</v>
      </c>
      <c r="F184" s="46" t="n">
        <f aca="false">$D184</f>
        <v>0</v>
      </c>
      <c r="G184" s="46" t="n">
        <f aca="false">$D184</f>
        <v>0</v>
      </c>
      <c r="H184" s="46" t="n">
        <f aca="false">$D184</f>
        <v>0</v>
      </c>
      <c r="I184" s="31" t="n">
        <f aca="false">INDEX($D184:$H184,1,p_EscIdx)</f>
        <v>0</v>
      </c>
      <c r="J184" s="9" t="n">
        <f aca="false">$I184</f>
        <v>0</v>
      </c>
      <c r="K184" s="8" t="s">
        <v>176</v>
      </c>
      <c r="L184" s="8" t="s">
        <v>681</v>
      </c>
      <c r="M184" s="8" t="s">
        <v>682</v>
      </c>
    </row>
    <row r="185" customFormat="false" ht="15" hidden="false" customHeight="false" outlineLevel="0" collapsed="false">
      <c r="A185" s="8" t="s">
        <v>683</v>
      </c>
      <c r="B185" s="8" t="s">
        <v>684</v>
      </c>
      <c r="C185" s="8" t="s">
        <v>255</v>
      </c>
      <c r="D185" s="44" t="n">
        <v>0</v>
      </c>
      <c r="E185" s="56" t="n">
        <f aca="false">$D185</f>
        <v>0</v>
      </c>
      <c r="F185" s="56" t="n">
        <f aca="false">$D185</f>
        <v>0</v>
      </c>
      <c r="G185" s="56" t="n">
        <f aca="false">$D185</f>
        <v>0</v>
      </c>
      <c r="H185" s="56" t="n">
        <f aca="false">$D185</f>
        <v>0</v>
      </c>
      <c r="I185" s="13" t="n">
        <f aca="false">INDEX($D185:$H185,1,p_EscIdx)</f>
        <v>0</v>
      </c>
      <c r="J185" s="12" t="n">
        <f aca="false">$I185</f>
        <v>0</v>
      </c>
      <c r="K185" s="8" t="s">
        <v>176</v>
      </c>
      <c r="L185" s="8" t="s">
        <v>681</v>
      </c>
    </row>
    <row r="186" customFormat="false" ht="15" hidden="false" customHeight="false" outlineLevel="0" collapsed="false">
      <c r="A186" s="8" t="s">
        <v>685</v>
      </c>
      <c r="B186" s="8" t="s">
        <v>686</v>
      </c>
      <c r="C186" s="8" t="s">
        <v>201</v>
      </c>
      <c r="D186" s="32" t="n">
        <f aca="false">Base_PDF!$E$12</f>
        <v>0.09</v>
      </c>
      <c r="E186" s="57" t="n">
        <f aca="false">$D186</f>
        <v>0.09</v>
      </c>
      <c r="F186" s="57" t="n">
        <f aca="false">$D186</f>
        <v>0.09</v>
      </c>
      <c r="G186" s="57" t="n">
        <f aca="false">$D186</f>
        <v>0.09</v>
      </c>
      <c r="H186" s="57" t="n">
        <f aca="false">$D186</f>
        <v>0.09</v>
      </c>
      <c r="I186" s="16" t="n">
        <f aca="false">INDEX($D186:$H186,1,p_EscIdx)</f>
        <v>0.09</v>
      </c>
      <c r="J186" s="15" t="n">
        <f aca="false">$I186</f>
        <v>0.09</v>
      </c>
      <c r="K186" s="8" t="s">
        <v>176</v>
      </c>
      <c r="L186" s="8" t="s">
        <v>681</v>
      </c>
    </row>
    <row r="187" customFormat="false" ht="15" hidden="false" customHeight="false" outlineLevel="0" collapsed="false">
      <c r="A187" s="8" t="s">
        <v>687</v>
      </c>
      <c r="B187" s="8" t="s">
        <v>688</v>
      </c>
      <c r="C187" s="8" t="s">
        <v>617</v>
      </c>
      <c r="D187" s="37" t="n">
        <v>0</v>
      </c>
      <c r="E187" s="47" t="n">
        <f aca="false">$D187</f>
        <v>0</v>
      </c>
      <c r="F187" s="47" t="n">
        <f aca="false">$D187</f>
        <v>0</v>
      </c>
      <c r="G187" s="47" t="n">
        <f aca="false">$D187</f>
        <v>0</v>
      </c>
      <c r="H187" s="47" t="n">
        <f aca="false">$D187</f>
        <v>0</v>
      </c>
      <c r="I187" s="48" t="n">
        <f aca="false">INDEX($D187:$H187,1,p_EscIdx)</f>
        <v>0</v>
      </c>
      <c r="J187" s="49" t="n">
        <f aca="false">$I187</f>
        <v>0</v>
      </c>
      <c r="K187" s="8" t="s">
        <v>383</v>
      </c>
      <c r="L187" s="8" t="s">
        <v>689</v>
      </c>
    </row>
    <row r="188" customFormat="false" ht="15" hidden="false" customHeight="false" outlineLevel="0" collapsed="false">
      <c r="A188" s="8" t="s">
        <v>690</v>
      </c>
      <c r="B188" s="8" t="s">
        <v>691</v>
      </c>
      <c r="C188" s="8" t="s">
        <v>201</v>
      </c>
      <c r="D188" s="37" t="n">
        <v>0</v>
      </c>
      <c r="E188" s="47" t="n">
        <f aca="false">$D188</f>
        <v>0</v>
      </c>
      <c r="F188" s="47" t="n">
        <f aca="false">$D188</f>
        <v>0</v>
      </c>
      <c r="G188" s="47" t="n">
        <f aca="false">$D188</f>
        <v>0</v>
      </c>
      <c r="H188" s="47" t="n">
        <f aca="false">$D188</f>
        <v>0</v>
      </c>
      <c r="I188" s="48" t="n">
        <f aca="false">INDEX($D188:$H188,1,p_EscIdx)</f>
        <v>0</v>
      </c>
      <c r="J188" s="49" t="n">
        <f aca="false">$I188</f>
        <v>0</v>
      </c>
      <c r="K188" s="8" t="s">
        <v>383</v>
      </c>
      <c r="L188" s="8" t="s">
        <v>692</v>
      </c>
    </row>
    <row r="190" customFormat="false" ht="15" hidden="false" customHeight="false" outlineLevel="0" collapsed="false">
      <c r="A190" s="3" t="s">
        <v>693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customFormat="false" ht="15" hidden="false" customHeight="false" outlineLevel="0" collapsed="false">
      <c r="A191" s="10" t="s">
        <v>694</v>
      </c>
      <c r="B191" s="10" t="s">
        <v>695</v>
      </c>
      <c r="C191" s="10"/>
      <c r="D191" s="10" t="s">
        <v>696</v>
      </c>
      <c r="E191" s="10" t="s">
        <v>697</v>
      </c>
      <c r="F191" s="10" t="s">
        <v>698</v>
      </c>
      <c r="G191" s="10" t="s">
        <v>699</v>
      </c>
      <c r="H191" s="10" t="s">
        <v>700</v>
      </c>
      <c r="I191" s="10" t="s">
        <v>701</v>
      </c>
      <c r="J191" s="10" t="s">
        <v>702</v>
      </c>
    </row>
    <row r="192" customFormat="false" ht="15" hidden="false" customHeight="false" outlineLevel="0" collapsed="false">
      <c r="A192" s="31" t="n">
        <v>0</v>
      </c>
      <c r="B192" s="8" t="s">
        <v>143</v>
      </c>
      <c r="D192" s="37" t="n">
        <v>0</v>
      </c>
      <c r="E192" s="29" t="n">
        <v>0</v>
      </c>
      <c r="F192" s="37" t="n">
        <v>0</v>
      </c>
      <c r="G192" s="37" t="n">
        <v>0</v>
      </c>
      <c r="H192" s="37" t="n">
        <v>0</v>
      </c>
      <c r="I192" s="37" t="n">
        <v>0</v>
      </c>
      <c r="J192" s="29"/>
    </row>
    <row r="193" customFormat="false" ht="15" hidden="false" customHeight="false" outlineLevel="0" collapsed="false">
      <c r="A193" s="31" t="n">
        <v>1</v>
      </c>
      <c r="B193" s="8" t="s">
        <v>703</v>
      </c>
      <c r="D193" s="37" t="n">
        <v>0.1</v>
      </c>
      <c r="E193" s="29" t="n">
        <v>0</v>
      </c>
      <c r="F193" s="37" t="n">
        <v>0</v>
      </c>
      <c r="G193" s="37" t="n">
        <v>0</v>
      </c>
      <c r="H193" s="37" t="n">
        <v>0</v>
      </c>
      <c r="I193" s="37" t="n">
        <v>0</v>
      </c>
      <c r="J193" s="29"/>
    </row>
    <row r="194" customFormat="false" ht="15" hidden="false" customHeight="false" outlineLevel="0" collapsed="false">
      <c r="A194" s="31" t="n">
        <v>2</v>
      </c>
      <c r="B194" s="8" t="s">
        <v>704</v>
      </c>
      <c r="D194" s="37" t="n">
        <v>0.2</v>
      </c>
      <c r="E194" s="29" t="n">
        <v>0</v>
      </c>
      <c r="F194" s="37" t="n">
        <v>0</v>
      </c>
      <c r="G194" s="37" t="n">
        <v>0</v>
      </c>
      <c r="H194" s="37" t="n">
        <v>0</v>
      </c>
      <c r="I194" s="37" t="n">
        <v>0</v>
      </c>
      <c r="J194" s="29"/>
    </row>
    <row r="195" customFormat="false" ht="15" hidden="false" customHeight="false" outlineLevel="0" collapsed="false">
      <c r="A195" s="31" t="n">
        <v>3</v>
      </c>
      <c r="B195" s="8" t="s">
        <v>705</v>
      </c>
      <c r="D195" s="37" t="n">
        <v>0</v>
      </c>
      <c r="E195" s="29" t="n">
        <v>3</v>
      </c>
      <c r="F195" s="37" t="n">
        <v>0</v>
      </c>
      <c r="G195" s="37" t="n">
        <v>0</v>
      </c>
      <c r="H195" s="37" t="n">
        <v>0</v>
      </c>
      <c r="I195" s="37" t="n">
        <v>0</v>
      </c>
      <c r="J195" s="29"/>
    </row>
    <row r="196" customFormat="false" ht="15" hidden="false" customHeight="false" outlineLevel="0" collapsed="false">
      <c r="A196" s="31" t="n">
        <v>4</v>
      </c>
      <c r="B196" s="8" t="s">
        <v>706</v>
      </c>
      <c r="D196" s="37" t="n">
        <v>0</v>
      </c>
      <c r="E196" s="29" t="n">
        <v>6</v>
      </c>
      <c r="F196" s="37" t="n">
        <v>0</v>
      </c>
      <c r="G196" s="37" t="n">
        <v>0</v>
      </c>
      <c r="H196" s="37" t="n">
        <v>0</v>
      </c>
      <c r="I196" s="37" t="n">
        <v>0</v>
      </c>
      <c r="J196" s="29"/>
    </row>
    <row r="197" customFormat="false" ht="15" hidden="false" customHeight="false" outlineLevel="0" collapsed="false">
      <c r="A197" s="31" t="n">
        <v>5</v>
      </c>
      <c r="B197" s="8" t="s">
        <v>707</v>
      </c>
      <c r="D197" s="37" t="n">
        <v>0</v>
      </c>
      <c r="E197" s="29" t="n">
        <v>0</v>
      </c>
      <c r="F197" s="37" t="n">
        <v>-0.1</v>
      </c>
      <c r="G197" s="37" t="n">
        <v>0</v>
      </c>
      <c r="H197" s="37" t="n">
        <v>0</v>
      </c>
      <c r="I197" s="37" t="n">
        <v>0</v>
      </c>
      <c r="J197" s="29"/>
    </row>
    <row r="198" customFormat="false" ht="15" hidden="false" customHeight="false" outlineLevel="0" collapsed="false">
      <c r="A198" s="31" t="n">
        <v>6</v>
      </c>
      <c r="B198" s="8" t="s">
        <v>708</v>
      </c>
      <c r="D198" s="37" t="n">
        <v>0</v>
      </c>
      <c r="E198" s="29" t="n">
        <v>0</v>
      </c>
      <c r="F198" s="37" t="n">
        <v>-0.2</v>
      </c>
      <c r="G198" s="37" t="n">
        <v>0</v>
      </c>
      <c r="H198" s="37" t="n">
        <v>0</v>
      </c>
      <c r="I198" s="37" t="n">
        <v>0</v>
      </c>
      <c r="J198" s="29"/>
    </row>
    <row r="199" customFormat="false" ht="15" hidden="false" customHeight="false" outlineLevel="0" collapsed="false">
      <c r="A199" s="31" t="n">
        <v>7</v>
      </c>
      <c r="B199" s="8" t="s">
        <v>709</v>
      </c>
      <c r="D199" s="37" t="n">
        <v>0</v>
      </c>
      <c r="E199" s="29" t="n">
        <v>0</v>
      </c>
      <c r="F199" s="37" t="n">
        <v>0</v>
      </c>
      <c r="G199" s="37" t="n">
        <v>-0.05</v>
      </c>
      <c r="H199" s="37" t="n">
        <v>0</v>
      </c>
      <c r="I199" s="37" t="n">
        <v>0</v>
      </c>
      <c r="J199" s="29"/>
    </row>
    <row r="200" customFormat="false" ht="15" hidden="false" customHeight="false" outlineLevel="0" collapsed="false">
      <c r="A200" s="31" t="n">
        <v>8</v>
      </c>
      <c r="B200" s="8" t="s">
        <v>710</v>
      </c>
      <c r="D200" s="37" t="n">
        <v>0</v>
      </c>
      <c r="E200" s="29" t="n">
        <v>0</v>
      </c>
      <c r="F200" s="37" t="n">
        <v>0</v>
      </c>
      <c r="G200" s="37" t="n">
        <v>-0.1</v>
      </c>
      <c r="H200" s="37" t="n">
        <v>0</v>
      </c>
      <c r="I200" s="37" t="n">
        <v>0</v>
      </c>
      <c r="J200" s="29"/>
    </row>
    <row r="201" customFormat="false" ht="15" hidden="false" customHeight="false" outlineLevel="0" collapsed="false">
      <c r="A201" s="31" t="n">
        <v>9</v>
      </c>
      <c r="B201" s="8" t="s">
        <v>711</v>
      </c>
      <c r="D201" s="37" t="n">
        <v>0</v>
      </c>
      <c r="E201" s="29" t="n">
        <v>0</v>
      </c>
      <c r="F201" s="37" t="n">
        <v>0</v>
      </c>
      <c r="G201" s="37" t="n">
        <v>0</v>
      </c>
      <c r="H201" s="37" t="n">
        <v>0.1</v>
      </c>
      <c r="I201" s="37" t="n">
        <v>0</v>
      </c>
      <c r="J201" s="29"/>
    </row>
    <row r="202" customFormat="false" ht="15" hidden="false" customHeight="false" outlineLevel="0" collapsed="false">
      <c r="A202" s="31" t="n">
        <v>10</v>
      </c>
      <c r="B202" s="8" t="s">
        <v>712</v>
      </c>
      <c r="D202" s="37" t="n">
        <v>0</v>
      </c>
      <c r="E202" s="29" t="n">
        <v>0</v>
      </c>
      <c r="F202" s="37" t="n">
        <v>0</v>
      </c>
      <c r="G202" s="37" t="n">
        <v>0</v>
      </c>
      <c r="H202" s="37" t="n">
        <v>0.2</v>
      </c>
      <c r="I202" s="37" t="n">
        <v>0</v>
      </c>
      <c r="J202" s="29"/>
    </row>
    <row r="203" customFormat="false" ht="15" hidden="false" customHeight="false" outlineLevel="0" collapsed="false">
      <c r="A203" s="31" t="n">
        <v>11</v>
      </c>
      <c r="B203" s="8" t="s">
        <v>713</v>
      </c>
      <c r="D203" s="37" t="n">
        <v>0</v>
      </c>
      <c r="E203" s="29" t="n">
        <v>0</v>
      </c>
      <c r="F203" s="37" t="n">
        <v>0</v>
      </c>
      <c r="G203" s="37" t="n">
        <v>0</v>
      </c>
      <c r="H203" s="37" t="n">
        <v>0</v>
      </c>
      <c r="I203" s="37" t="n">
        <v>0.1</v>
      </c>
      <c r="J203" s="29"/>
    </row>
    <row r="204" customFormat="false" ht="15" hidden="false" customHeight="false" outlineLevel="0" collapsed="false">
      <c r="A204" s="31" t="n">
        <v>12</v>
      </c>
      <c r="B204" s="8" t="s">
        <v>714</v>
      </c>
      <c r="D204" s="37" t="n">
        <v>0</v>
      </c>
      <c r="E204" s="29" t="n">
        <v>0</v>
      </c>
      <c r="F204" s="37" t="n">
        <v>0</v>
      </c>
      <c r="G204" s="37" t="n">
        <v>0</v>
      </c>
      <c r="H204" s="37" t="n">
        <v>0</v>
      </c>
      <c r="I204" s="37" t="n">
        <v>-0.1</v>
      </c>
      <c r="J204" s="29"/>
    </row>
    <row r="205" customFormat="false" ht="15" hidden="false" customHeight="false" outlineLevel="0" collapsed="false">
      <c r="A205" s="31" t="n">
        <v>13</v>
      </c>
      <c r="B205" s="8" t="s">
        <v>715</v>
      </c>
      <c r="D205" s="37" t="n">
        <v>0</v>
      </c>
      <c r="E205" s="29" t="n">
        <v>0</v>
      </c>
      <c r="F205" s="37" t="n">
        <v>0</v>
      </c>
      <c r="G205" s="37" t="n">
        <v>0</v>
      </c>
      <c r="H205" s="37" t="n">
        <v>0</v>
      </c>
      <c r="I205" s="37" t="n">
        <v>0</v>
      </c>
      <c r="J205" s="29" t="n">
        <v>90</v>
      </c>
    </row>
    <row r="206" customFormat="false" ht="15" hidden="false" customHeight="false" outlineLevel="0" collapsed="false">
      <c r="A206" s="31" t="n">
        <v>14</v>
      </c>
      <c r="B206" s="8" t="s">
        <v>716</v>
      </c>
      <c r="D206" s="37" t="n">
        <v>0</v>
      </c>
      <c r="E206" s="29" t="n">
        <v>0</v>
      </c>
      <c r="F206" s="37" t="n">
        <v>0</v>
      </c>
      <c r="G206" s="37" t="n">
        <v>0</v>
      </c>
      <c r="H206" s="37" t="n">
        <v>0</v>
      </c>
      <c r="I206" s="37" t="n">
        <v>0</v>
      </c>
      <c r="J206" s="29" t="n">
        <v>120</v>
      </c>
    </row>
    <row r="207" customFormat="false" ht="15" hidden="false" customHeight="false" outlineLevel="0" collapsed="false">
      <c r="A207" s="31" t="n">
        <v>15</v>
      </c>
      <c r="B207" s="8" t="s">
        <v>717</v>
      </c>
      <c r="D207" s="37" t="n">
        <v>0</v>
      </c>
      <c r="E207" s="29" t="n">
        <v>0</v>
      </c>
      <c r="F207" s="37" t="n">
        <v>0</v>
      </c>
      <c r="G207" s="37" t="n">
        <v>0</v>
      </c>
      <c r="H207" s="37" t="n">
        <v>0</v>
      </c>
      <c r="I207" s="37" t="n">
        <v>0</v>
      </c>
      <c r="J207" s="29" t="n">
        <v>150</v>
      </c>
    </row>
    <row r="208" customFormat="false" ht="15" hidden="false" customHeight="false" outlineLevel="0" collapsed="false">
      <c r="B208" s="5" t="s">
        <v>718</v>
      </c>
      <c r="D208" s="49" t="n">
        <f aca="false">INDEX(D192:D207,p_ShockIdx)</f>
        <v>0</v>
      </c>
      <c r="E208" s="9" t="n">
        <f aca="false">INDEX(E192:E207,p_ShockIdx)</f>
        <v>0</v>
      </c>
      <c r="F208" s="49" t="n">
        <f aca="false">INDEX(F192:F207,p_ShockIdx)</f>
        <v>0</v>
      </c>
      <c r="G208" s="49" t="n">
        <f aca="false">INDEX(G192:G207,p_ShockIdx)</f>
        <v>0</v>
      </c>
      <c r="H208" s="49" t="n">
        <f aca="false">INDEX(H192:H207,p_ShockIdx)</f>
        <v>0</v>
      </c>
      <c r="I208" s="49" t="n">
        <f aca="false">INDEX(I192:I207,p_ShockIdx)</f>
        <v>0</v>
      </c>
      <c r="J208" s="9" t="str">
        <f aca="false">IF(INDEX(J192:J207,p_ShockIdx)="","",INDEX(J192:J207,p_ShockIdx))</f>
        <v/>
      </c>
    </row>
    <row r="210" customFormat="false" ht="15" hidden="false" customHeight="false" outlineLevel="0" collapsed="false">
      <c r="A210" s="3" t="s">
        <v>719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customFormat="false" ht="15" hidden="false" customHeight="false" outlineLevel="0" collapsed="false">
      <c r="A211" s="10" t="s">
        <v>720</v>
      </c>
      <c r="B211" s="10" t="s">
        <v>721</v>
      </c>
      <c r="C211" s="10"/>
      <c r="D211" s="10" t="s">
        <v>150</v>
      </c>
      <c r="E211" s="10" t="s">
        <v>406</v>
      </c>
    </row>
    <row r="212" customFormat="false" ht="15" hidden="false" customHeight="false" outlineLevel="0" collapsed="false">
      <c r="A212" s="31" t="n">
        <v>1</v>
      </c>
      <c r="B212" s="8" t="s">
        <v>722</v>
      </c>
      <c r="D212" s="41" t="n">
        <f aca="false">Base_PDF!F$360</f>
        <v>0</v>
      </c>
      <c r="E212" s="8" t="s">
        <v>723</v>
      </c>
    </row>
    <row r="213" customFormat="false" ht="15" hidden="false" customHeight="false" outlineLevel="0" collapsed="false">
      <c r="A213" s="31" t="n">
        <v>2</v>
      </c>
      <c r="B213" s="8" t="s">
        <v>724</v>
      </c>
      <c r="D213" s="41" t="n">
        <f aca="false">Base_PDF!G$360</f>
        <v>0</v>
      </c>
      <c r="E213" s="8" t="s">
        <v>723</v>
      </c>
    </row>
    <row r="214" customFormat="false" ht="15" hidden="false" customHeight="false" outlineLevel="0" collapsed="false">
      <c r="A214" s="31" t="n">
        <v>3</v>
      </c>
      <c r="B214" s="8" t="s">
        <v>725</v>
      </c>
      <c r="D214" s="41" t="n">
        <f aca="false">Base_PDF!H$360</f>
        <v>0.3</v>
      </c>
      <c r="E214" s="8" t="s">
        <v>723</v>
      </c>
    </row>
    <row r="215" customFormat="false" ht="15" hidden="false" customHeight="false" outlineLevel="0" collapsed="false">
      <c r="A215" s="31" t="n">
        <v>4</v>
      </c>
      <c r="B215" s="8" t="s">
        <v>726</v>
      </c>
      <c r="D215" s="41" t="n">
        <f aca="false">Base_PDF!I$360</f>
        <v>0.5</v>
      </c>
      <c r="E215" s="8" t="s">
        <v>723</v>
      </c>
    </row>
    <row r="216" customFormat="false" ht="15" hidden="false" customHeight="false" outlineLevel="0" collapsed="false">
      <c r="A216" s="31" t="n">
        <v>5</v>
      </c>
      <c r="B216" s="8" t="s">
        <v>727</v>
      </c>
      <c r="D216" s="41" t="n">
        <f aca="false">Base_PDF!J$360</f>
        <v>1</v>
      </c>
      <c r="E216" s="8" t="s">
        <v>723</v>
      </c>
    </row>
    <row r="217" customFormat="false" ht="15" hidden="false" customHeight="false" outlineLevel="0" collapsed="false">
      <c r="A217" s="31" t="n">
        <v>6</v>
      </c>
      <c r="B217" s="8" t="s">
        <v>728</v>
      </c>
      <c r="D217" s="41" t="n">
        <f aca="false">Base_PDF!K$360</f>
        <v>1</v>
      </c>
      <c r="E217" s="8" t="s">
        <v>723</v>
      </c>
    </row>
    <row r="218" customFormat="false" ht="15" hidden="false" customHeight="false" outlineLevel="0" collapsed="false">
      <c r="A218" s="31" t="n">
        <v>7</v>
      </c>
      <c r="B218" s="8" t="s">
        <v>729</v>
      </c>
      <c r="D218" s="41" t="n">
        <f aca="false">Base_PDF!L$360</f>
        <v>1</v>
      </c>
      <c r="E218" s="8" t="s">
        <v>723</v>
      </c>
    </row>
    <row r="219" customFormat="false" ht="15" hidden="false" customHeight="false" outlineLevel="0" collapsed="false">
      <c r="A219" s="31" t="n">
        <v>8</v>
      </c>
      <c r="B219" s="8" t="s">
        <v>730</v>
      </c>
      <c r="D219" s="41" t="n">
        <f aca="false">Base_PDF!M$360</f>
        <v>1</v>
      </c>
      <c r="E219" s="8" t="s">
        <v>723</v>
      </c>
    </row>
    <row r="220" customFormat="false" ht="15" hidden="false" customHeight="false" outlineLevel="0" collapsed="false">
      <c r="A220" s="31" t="n">
        <v>9</v>
      </c>
      <c r="B220" s="8" t="s">
        <v>731</v>
      </c>
      <c r="D220" s="41" t="n">
        <f aca="false">Base_PDF!N$360</f>
        <v>1</v>
      </c>
      <c r="E220" s="8" t="s">
        <v>723</v>
      </c>
    </row>
    <row r="221" customFormat="false" ht="15" hidden="false" customHeight="false" outlineLevel="0" collapsed="false">
      <c r="A221" s="31" t="n">
        <v>10</v>
      </c>
      <c r="B221" s="8" t="s">
        <v>732</v>
      </c>
      <c r="D221" s="41" t="n">
        <f aca="false">Base_PDF!O$360</f>
        <v>1</v>
      </c>
      <c r="E221" s="8" t="s">
        <v>723</v>
      </c>
    </row>
    <row r="222" customFormat="false" ht="15" hidden="false" customHeight="false" outlineLevel="0" collapsed="false">
      <c r="A222" s="31" t="n">
        <v>11</v>
      </c>
      <c r="B222" s="8" t="s">
        <v>733</v>
      </c>
      <c r="D222" s="37" t="n">
        <v>1</v>
      </c>
      <c r="E222" s="8" t="s">
        <v>734</v>
      </c>
    </row>
    <row r="223" customFormat="false" ht="15" hidden="false" customHeight="false" outlineLevel="0" collapsed="false">
      <c r="A223" s="31" t="n">
        <v>12</v>
      </c>
      <c r="B223" s="8" t="s">
        <v>735</v>
      </c>
      <c r="D223" s="37" t="n">
        <v>1</v>
      </c>
      <c r="E223" s="8" t="s">
        <v>734</v>
      </c>
    </row>
    <row r="224" customFormat="false" ht="15" hidden="false" customHeight="false" outlineLevel="0" collapsed="false">
      <c r="A224" s="31" t="n">
        <v>13</v>
      </c>
      <c r="B224" s="8" t="s">
        <v>736</v>
      </c>
      <c r="D224" s="37" t="n">
        <v>1</v>
      </c>
      <c r="E224" s="8" t="s">
        <v>734</v>
      </c>
    </row>
    <row r="226" customFormat="false" ht="15" hidden="false" customHeight="false" outlineLevel="0" collapsed="false">
      <c r="A226" s="10" t="s">
        <v>694</v>
      </c>
      <c r="B226" s="10" t="s">
        <v>737</v>
      </c>
      <c r="C226" s="10"/>
      <c r="D226" s="10" t="s">
        <v>738</v>
      </c>
      <c r="E226" s="10" t="s">
        <v>739</v>
      </c>
      <c r="F226" s="10" t="s">
        <v>153</v>
      </c>
    </row>
    <row r="227" customFormat="false" ht="15" hidden="false" customHeight="false" outlineLevel="0" collapsed="false">
      <c r="A227" s="31" t="n">
        <v>1</v>
      </c>
      <c r="B227" s="8" t="s">
        <v>740</v>
      </c>
      <c r="D227" s="29"/>
      <c r="E227" s="44"/>
      <c r="F227" s="8" t="s">
        <v>741</v>
      </c>
    </row>
    <row r="228" customFormat="false" ht="15" hidden="false" customHeight="false" outlineLevel="0" collapsed="false">
      <c r="A228" s="31" t="n">
        <v>2</v>
      </c>
      <c r="B228" s="8" t="s">
        <v>740</v>
      </c>
      <c r="D228" s="29"/>
      <c r="E228" s="44"/>
      <c r="F228" s="8" t="s">
        <v>741</v>
      </c>
    </row>
    <row r="229" customFormat="false" ht="15" hidden="false" customHeight="false" outlineLevel="0" collapsed="false">
      <c r="A229" s="31" t="n">
        <v>3</v>
      </c>
      <c r="B229" s="8" t="s">
        <v>740</v>
      </c>
      <c r="D229" s="29"/>
      <c r="E229" s="44"/>
      <c r="F229" s="8" t="s">
        <v>741</v>
      </c>
    </row>
    <row r="230" customFormat="false" ht="15" hidden="false" customHeight="false" outlineLevel="0" collapsed="false">
      <c r="A230" s="31" t="n">
        <v>4</v>
      </c>
      <c r="B230" s="8" t="s">
        <v>740</v>
      </c>
      <c r="D230" s="29"/>
      <c r="E230" s="44"/>
      <c r="F230" s="8" t="s">
        <v>741</v>
      </c>
    </row>
    <row r="231" customFormat="false" ht="15" hidden="false" customHeight="false" outlineLevel="0" collapsed="false">
      <c r="A231" s="31" t="n">
        <v>5</v>
      </c>
      <c r="B231" s="8" t="s">
        <v>740</v>
      </c>
      <c r="D231" s="29"/>
      <c r="E231" s="44"/>
      <c r="F231" s="8" t="s">
        <v>741</v>
      </c>
    </row>
    <row r="233" customFormat="false" ht="15" hidden="false" customHeight="false" outlineLevel="0" collapsed="false">
      <c r="A233" s="3" t="s">
        <v>742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customFormat="false" ht="15" hidden="false" customHeight="false" outlineLevel="0" collapsed="false">
      <c r="B234" s="8" t="s">
        <v>743</v>
      </c>
      <c r="D234" s="31" t="n">
        <f aca="false">IF(Datos_Reales!$D$8="",-1,Datos_Reales!$D$8)</f>
        <v>-1</v>
      </c>
    </row>
    <row r="235" customFormat="false" ht="15" hidden="false" customHeight="false" outlineLevel="0" collapsed="false">
      <c r="B235" s="8" t="s">
        <v>744</v>
      </c>
      <c r="D235" s="31" t="str">
        <f aca="false">IF(Datos_Reales!$D$7="","",Datos_Reales!$D$7)</f>
        <v/>
      </c>
    </row>
    <row r="236" customFormat="false" ht="15" hidden="false" customHeight="false" outlineLevel="0" collapsed="false">
      <c r="B236" s="8" t="s">
        <v>745</v>
      </c>
      <c r="D236" s="31" t="n">
        <f aca="false">IF(p_ArranqueReal&lt;&gt;"",p_ArranqueReal,p_ImplMeses+MAX(0,ROUND(e_Atraso,0))+1)</f>
        <v>1</v>
      </c>
    </row>
    <row r="237" customFormat="false" ht="15" hidden="false" customHeight="false" outlineLevel="0" collapsed="false">
      <c r="B237" s="8" t="s">
        <v>746</v>
      </c>
      <c r="D237" s="31" t="n">
        <f aca="false">MIN(156,IF(p_ModoHor=1,p_ImplMeses+p_MesesOp,p_MesArranque+p_MesesOp-1))</f>
        <v>120</v>
      </c>
      <c r="H237" s="8" t="s">
        <v>747</v>
      </c>
    </row>
    <row r="238" customFormat="false" ht="15" hidden="false" customHeight="false" outlineLevel="0" collapsed="false">
      <c r="B238" s="8" t="s">
        <v>748</v>
      </c>
      <c r="D238" s="31" t="n">
        <f aca="false">IF(p_ModoHor=1,p_ImplMeses+p_MesesOp,p_MesArranque+p_MesesOp-1)</f>
        <v>120</v>
      </c>
    </row>
    <row r="239" customFormat="false" ht="15" hidden="false" customHeight="false" outlineLevel="0" collapsed="false">
      <c r="B239" s="8" t="s">
        <v>749</v>
      </c>
      <c r="D239" s="53" t="n">
        <f aca="false">e_DSO/p_DiasMes</f>
        <v>3.94520547945205</v>
      </c>
    </row>
    <row r="240" customFormat="false" ht="15" hidden="false" customHeight="false" outlineLevel="0" collapsed="false">
      <c r="B240" s="8" t="s">
        <v>750</v>
      </c>
      <c r="D240" s="31" t="n">
        <f aca="false">INT(p_Lcob)</f>
        <v>3</v>
      </c>
    </row>
    <row r="241" customFormat="false" ht="15" hidden="false" customHeight="false" outlineLevel="0" collapsed="false">
      <c r="B241" s="8" t="s">
        <v>751</v>
      </c>
      <c r="D241" s="53" t="n">
        <f aca="false">p_Lcob-p_LcobI</f>
        <v>0.945205479452055</v>
      </c>
    </row>
    <row r="242" customFormat="false" ht="15" hidden="false" customHeight="false" outlineLevel="0" collapsed="false">
      <c r="B242" s="8" t="s">
        <v>752</v>
      </c>
      <c r="D242" s="53" t="n">
        <f aca="false">e_DPOmp/p_DiasMes</f>
        <v>0</v>
      </c>
    </row>
    <row r="243" customFormat="false" ht="15" hidden="false" customHeight="false" outlineLevel="0" collapsed="false">
      <c r="B243" s="8" t="s">
        <v>753</v>
      </c>
      <c r="D243" s="31" t="n">
        <f aca="false">INT(p_Lmp)</f>
        <v>0</v>
      </c>
    </row>
    <row r="244" customFormat="false" ht="15" hidden="false" customHeight="false" outlineLevel="0" collapsed="false">
      <c r="B244" s="8" t="s">
        <v>754</v>
      </c>
      <c r="D244" s="53" t="n">
        <f aca="false">p_Lmp-p_LmpI</f>
        <v>0</v>
      </c>
    </row>
    <row r="245" customFormat="false" ht="15" hidden="false" customHeight="false" outlineLevel="0" collapsed="false">
      <c r="B245" s="8" t="s">
        <v>755</v>
      </c>
      <c r="D245" s="53" t="n">
        <f aca="false">e_DPOmen/p_DiasMes</f>
        <v>0.986301369863014</v>
      </c>
    </row>
    <row r="246" customFormat="false" ht="15" hidden="false" customHeight="false" outlineLevel="0" collapsed="false">
      <c r="B246" s="8" t="s">
        <v>756</v>
      </c>
      <c r="D246" s="31" t="n">
        <f aca="false">INT(p_Lmen)</f>
        <v>0</v>
      </c>
    </row>
    <row r="247" customFormat="false" ht="15" hidden="false" customHeight="false" outlineLevel="0" collapsed="false">
      <c r="B247" s="8" t="s">
        <v>757</v>
      </c>
      <c r="D247" s="53" t="n">
        <f aca="false">p_Lmen-p_LmenI</f>
        <v>0.986301369863014</v>
      </c>
    </row>
    <row r="248" customFormat="false" ht="15" hidden="false" customHeight="false" outlineLevel="0" collapsed="false">
      <c r="B248" s="8" t="s">
        <v>758</v>
      </c>
      <c r="D248" s="31" t="n">
        <f aca="false">INT(e_DiasStock/p_DiasMes)</f>
        <v>3</v>
      </c>
    </row>
    <row r="249" customFormat="false" ht="15" hidden="false" customHeight="false" outlineLevel="0" collapsed="false">
      <c r="B249" s="8" t="s">
        <v>759</v>
      </c>
      <c r="D249" s="53" t="n">
        <f aca="false">e_DiasStock/p_DiasMes-p_Sk</f>
        <v>0.945205479452055</v>
      </c>
    </row>
    <row r="250" customFormat="false" ht="15" hidden="false" customHeight="false" outlineLevel="0" collapsed="false">
      <c r="B250" s="8" t="s">
        <v>760</v>
      </c>
      <c r="D250" s="53" t="n">
        <f aca="false">e_DiasPT/p_DiasMes</f>
        <v>0.328767123287671</v>
      </c>
    </row>
    <row r="251" customFormat="false" ht="15" hidden="false" customHeight="false" outlineLevel="0" collapsed="false">
      <c r="B251" s="8" t="s">
        <v>761</v>
      </c>
      <c r="D251" s="13" t="n">
        <f aca="false">(Base_PDF!$F$87*p_KgG+Base_PDF!$F$90*p_KgC)/12</f>
        <v>228833.333333333</v>
      </c>
    </row>
    <row r="252" customFormat="false" ht="15" hidden="false" customHeight="false" outlineLevel="0" collapsed="false">
      <c r="B252" s="8" t="s">
        <v>762</v>
      </c>
      <c r="D252" s="53" t="n">
        <f aca="false">IF(p_Driver=3,IF(p_HsG="",p_KgG,p_HsG),IF(p_Driver=2,e_MPg+e_INSg+e_CONg+e_FLEg,p_KgG))</f>
        <v>153</v>
      </c>
      <c r="H252" s="8" t="s">
        <v>763</v>
      </c>
    </row>
    <row r="253" customFormat="false" ht="15" hidden="false" customHeight="false" outlineLevel="0" collapsed="false">
      <c r="B253" s="8" t="s">
        <v>764</v>
      </c>
      <c r="D253" s="53" t="n">
        <f aca="false">IF(p_Driver=3,IF(p_HsC="",p_KgC,p_HsC),IF(p_Driver=2,e_MPc+e_INSc+e_CONc+e_FLEc,p_KgC))</f>
        <v>13</v>
      </c>
    </row>
    <row r="254" customFormat="false" ht="15" hidden="false" customHeight="false" outlineLevel="0" collapsed="false">
      <c r="B254" s="8" t="s">
        <v>765</v>
      </c>
      <c r="D254" s="48" t="n">
        <f aca="false">e_Cred+e_Cont+e_Ant</f>
        <v>1</v>
      </c>
    </row>
  </sheetData>
  <mergeCells count="3">
    <mergeCell ref="D5:F5"/>
    <mergeCell ref="D7:L7"/>
    <mergeCell ref="D8:F8"/>
  </mergeCells>
  <dataValidations count="3">
    <dataValidation allowBlank="true" errorStyle="stop" operator="between" showDropDown="false" showErrorMessage="false" showInputMessage="false" sqref="D5" type="list">
      <formula1>$D$97:$H$97</formula1>
      <formula2>0</formula2>
    </dataValidation>
    <dataValidation allowBlank="true" errorStyle="stop" operator="between" showDropDown="false" showErrorMessage="false" showInputMessage="false" sqref="D8" type="list">
      <formula1>$B$192:$B$207</formula1>
      <formula2>0</formula2>
    </dataValidation>
    <dataValidation allowBlank="true" errorStyle="stop" operator="between" showDropDown="false" showErrorMessage="false" showInputMessage="false" sqref="C87:C92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F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162" min="6" style="0" width="11.5"/>
  </cols>
  <sheetData>
    <row r="1" customFormat="false" ht="16.15" hidden="false" customHeight="false" outlineLevel="0" collapsed="false">
      <c r="A1" s="1" t="s">
        <v>766</v>
      </c>
    </row>
    <row r="2" customFormat="false" ht="15" hidden="false" customHeight="false" outlineLevel="0" collapsed="false">
      <c r="A2" s="2" t="s">
        <v>767</v>
      </c>
    </row>
    <row r="4" customFormat="false" ht="15" hidden="false" customHeight="false" outlineLevel="0" collapsed="false">
      <c r="A4" s="4"/>
      <c r="B4" s="3" t="s">
        <v>768</v>
      </c>
      <c r="C4" s="4"/>
      <c r="D4" s="4"/>
      <c r="E4" s="4"/>
    </row>
    <row r="5" customFormat="false" ht="15" hidden="false" customHeight="false" outlineLevel="0" collapsed="false">
      <c r="A5" s="58" t="s">
        <v>769</v>
      </c>
      <c r="B5" s="58" t="s">
        <v>770</v>
      </c>
      <c r="C5" s="58" t="s">
        <v>771</v>
      </c>
      <c r="D5" s="58"/>
      <c r="E5" s="58"/>
      <c r="F5" s="59" t="n">
        <v>0</v>
      </c>
      <c r="G5" s="59" t="n">
        <v>1</v>
      </c>
      <c r="H5" s="59" t="n">
        <v>2</v>
      </c>
      <c r="I5" s="59" t="n">
        <v>3</v>
      </c>
      <c r="J5" s="59" t="n">
        <v>4</v>
      </c>
      <c r="K5" s="59" t="n">
        <v>5</v>
      </c>
      <c r="L5" s="59" t="n">
        <v>6</v>
      </c>
      <c r="M5" s="59" t="n">
        <v>7</v>
      </c>
      <c r="N5" s="59" t="n">
        <v>8</v>
      </c>
      <c r="O5" s="59" t="n">
        <v>9</v>
      </c>
      <c r="P5" s="59" t="n">
        <v>10</v>
      </c>
      <c r="Q5" s="59" t="n">
        <v>11</v>
      </c>
      <c r="R5" s="59" t="n">
        <v>12</v>
      </c>
      <c r="S5" s="59" t="n">
        <v>13</v>
      </c>
      <c r="T5" s="59" t="n">
        <v>14</v>
      </c>
      <c r="U5" s="59" t="n">
        <v>15</v>
      </c>
      <c r="V5" s="59" t="n">
        <v>16</v>
      </c>
      <c r="W5" s="59" t="n">
        <v>17</v>
      </c>
      <c r="X5" s="59" t="n">
        <v>18</v>
      </c>
      <c r="Y5" s="59" t="n">
        <v>19</v>
      </c>
      <c r="Z5" s="59" t="n">
        <v>20</v>
      </c>
      <c r="AA5" s="59" t="n">
        <v>21</v>
      </c>
      <c r="AB5" s="59" t="n">
        <v>22</v>
      </c>
      <c r="AC5" s="59" t="n">
        <v>23</v>
      </c>
      <c r="AD5" s="59" t="n">
        <v>24</v>
      </c>
      <c r="AE5" s="59" t="n">
        <v>25</v>
      </c>
      <c r="AF5" s="59" t="n">
        <v>26</v>
      </c>
      <c r="AG5" s="59" t="n">
        <v>27</v>
      </c>
      <c r="AH5" s="59" t="n">
        <v>28</v>
      </c>
      <c r="AI5" s="59" t="n">
        <v>29</v>
      </c>
      <c r="AJ5" s="59" t="n">
        <v>30</v>
      </c>
      <c r="AK5" s="59" t="n">
        <v>31</v>
      </c>
      <c r="AL5" s="59" t="n">
        <v>32</v>
      </c>
      <c r="AM5" s="59" t="n">
        <v>33</v>
      </c>
      <c r="AN5" s="59" t="n">
        <v>34</v>
      </c>
      <c r="AO5" s="59" t="n">
        <v>35</v>
      </c>
      <c r="AP5" s="59" t="n">
        <v>36</v>
      </c>
      <c r="AQ5" s="59" t="n">
        <v>37</v>
      </c>
      <c r="AR5" s="59" t="n">
        <v>38</v>
      </c>
      <c r="AS5" s="59" t="n">
        <v>39</v>
      </c>
      <c r="AT5" s="59" t="n">
        <v>40</v>
      </c>
      <c r="AU5" s="59" t="n">
        <v>41</v>
      </c>
      <c r="AV5" s="59" t="n">
        <v>42</v>
      </c>
      <c r="AW5" s="59" t="n">
        <v>43</v>
      </c>
      <c r="AX5" s="59" t="n">
        <v>44</v>
      </c>
      <c r="AY5" s="59" t="n">
        <v>45</v>
      </c>
      <c r="AZ5" s="59" t="n">
        <v>46</v>
      </c>
      <c r="BA5" s="59" t="n">
        <v>47</v>
      </c>
      <c r="BB5" s="59" t="n">
        <v>48</v>
      </c>
      <c r="BC5" s="59" t="n">
        <v>49</v>
      </c>
      <c r="BD5" s="59" t="n">
        <v>50</v>
      </c>
      <c r="BE5" s="59" t="n">
        <v>51</v>
      </c>
      <c r="BF5" s="59" t="n">
        <v>52</v>
      </c>
      <c r="BG5" s="59" t="n">
        <v>53</v>
      </c>
      <c r="BH5" s="59" t="n">
        <v>54</v>
      </c>
      <c r="BI5" s="59" t="n">
        <v>55</v>
      </c>
      <c r="BJ5" s="59" t="n">
        <v>56</v>
      </c>
      <c r="BK5" s="59" t="n">
        <v>57</v>
      </c>
      <c r="BL5" s="59" t="n">
        <v>58</v>
      </c>
      <c r="BM5" s="59" t="n">
        <v>59</v>
      </c>
      <c r="BN5" s="59" t="n">
        <v>60</v>
      </c>
      <c r="BO5" s="59" t="n">
        <v>61</v>
      </c>
      <c r="BP5" s="59" t="n">
        <v>62</v>
      </c>
      <c r="BQ5" s="59" t="n">
        <v>63</v>
      </c>
      <c r="BR5" s="59" t="n">
        <v>64</v>
      </c>
      <c r="BS5" s="59" t="n">
        <v>65</v>
      </c>
      <c r="BT5" s="59" t="n">
        <v>66</v>
      </c>
      <c r="BU5" s="59" t="n">
        <v>67</v>
      </c>
      <c r="BV5" s="59" t="n">
        <v>68</v>
      </c>
      <c r="BW5" s="59" t="n">
        <v>69</v>
      </c>
      <c r="BX5" s="59" t="n">
        <v>70</v>
      </c>
      <c r="BY5" s="59" t="n">
        <v>71</v>
      </c>
      <c r="BZ5" s="59" t="n">
        <v>72</v>
      </c>
      <c r="CA5" s="59" t="n">
        <v>73</v>
      </c>
      <c r="CB5" s="59" t="n">
        <v>74</v>
      </c>
      <c r="CC5" s="59" t="n">
        <v>75</v>
      </c>
      <c r="CD5" s="59" t="n">
        <v>76</v>
      </c>
      <c r="CE5" s="59" t="n">
        <v>77</v>
      </c>
      <c r="CF5" s="59" t="n">
        <v>78</v>
      </c>
      <c r="CG5" s="59" t="n">
        <v>79</v>
      </c>
      <c r="CH5" s="59" t="n">
        <v>80</v>
      </c>
      <c r="CI5" s="59" t="n">
        <v>81</v>
      </c>
      <c r="CJ5" s="59" t="n">
        <v>82</v>
      </c>
      <c r="CK5" s="59" t="n">
        <v>83</v>
      </c>
      <c r="CL5" s="59" t="n">
        <v>84</v>
      </c>
      <c r="CM5" s="59" t="n">
        <v>85</v>
      </c>
      <c r="CN5" s="59" t="n">
        <v>86</v>
      </c>
      <c r="CO5" s="59" t="n">
        <v>87</v>
      </c>
      <c r="CP5" s="59" t="n">
        <v>88</v>
      </c>
      <c r="CQ5" s="59" t="n">
        <v>89</v>
      </c>
      <c r="CR5" s="59" t="n">
        <v>90</v>
      </c>
      <c r="CS5" s="59" t="n">
        <v>91</v>
      </c>
      <c r="CT5" s="59" t="n">
        <v>92</v>
      </c>
      <c r="CU5" s="59" t="n">
        <v>93</v>
      </c>
      <c r="CV5" s="59" t="n">
        <v>94</v>
      </c>
      <c r="CW5" s="59" t="n">
        <v>95</v>
      </c>
      <c r="CX5" s="59" t="n">
        <v>96</v>
      </c>
      <c r="CY5" s="59" t="n">
        <v>97</v>
      </c>
      <c r="CZ5" s="59" t="n">
        <v>98</v>
      </c>
      <c r="DA5" s="59" t="n">
        <v>99</v>
      </c>
      <c r="DB5" s="59" t="n">
        <v>100</v>
      </c>
      <c r="DC5" s="59" t="n">
        <v>101</v>
      </c>
      <c r="DD5" s="59" t="n">
        <v>102</v>
      </c>
      <c r="DE5" s="59" t="n">
        <v>103</v>
      </c>
      <c r="DF5" s="59" t="n">
        <v>104</v>
      </c>
      <c r="DG5" s="59" t="n">
        <v>105</v>
      </c>
      <c r="DH5" s="59" t="n">
        <v>106</v>
      </c>
      <c r="DI5" s="59" t="n">
        <v>107</v>
      </c>
      <c r="DJ5" s="59" t="n">
        <v>108</v>
      </c>
      <c r="DK5" s="59" t="n">
        <v>109</v>
      </c>
      <c r="DL5" s="59" t="n">
        <v>110</v>
      </c>
      <c r="DM5" s="59" t="n">
        <v>111</v>
      </c>
      <c r="DN5" s="59" t="n">
        <v>112</v>
      </c>
      <c r="DO5" s="59" t="n">
        <v>113</v>
      </c>
      <c r="DP5" s="59" t="n">
        <v>114</v>
      </c>
      <c r="DQ5" s="59" t="n">
        <v>115</v>
      </c>
      <c r="DR5" s="59" t="n">
        <v>116</v>
      </c>
      <c r="DS5" s="59" t="n">
        <v>117</v>
      </c>
      <c r="DT5" s="59" t="n">
        <v>118</v>
      </c>
      <c r="DU5" s="59" t="n">
        <v>119</v>
      </c>
      <c r="DV5" s="59" t="n">
        <v>120</v>
      </c>
      <c r="DW5" s="59" t="n">
        <v>121</v>
      </c>
      <c r="DX5" s="59" t="n">
        <v>122</v>
      </c>
      <c r="DY5" s="59" t="n">
        <v>123</v>
      </c>
      <c r="DZ5" s="59" t="n">
        <v>124</v>
      </c>
      <c r="EA5" s="59" t="n">
        <v>125</v>
      </c>
      <c r="EB5" s="59" t="n">
        <v>126</v>
      </c>
      <c r="EC5" s="59" t="n">
        <v>127</v>
      </c>
      <c r="ED5" s="59" t="n">
        <v>128</v>
      </c>
      <c r="EE5" s="59" t="n">
        <v>129</v>
      </c>
      <c r="EF5" s="59" t="n">
        <v>130</v>
      </c>
      <c r="EG5" s="59" t="n">
        <v>131</v>
      </c>
      <c r="EH5" s="59" t="n">
        <v>132</v>
      </c>
      <c r="EI5" s="59" t="n">
        <v>133</v>
      </c>
      <c r="EJ5" s="59" t="n">
        <v>134</v>
      </c>
      <c r="EK5" s="59" t="n">
        <v>135</v>
      </c>
      <c r="EL5" s="59" t="n">
        <v>136</v>
      </c>
      <c r="EM5" s="59" t="n">
        <v>137</v>
      </c>
      <c r="EN5" s="59" t="n">
        <v>138</v>
      </c>
      <c r="EO5" s="59" t="n">
        <v>139</v>
      </c>
      <c r="EP5" s="59" t="n">
        <v>140</v>
      </c>
      <c r="EQ5" s="59" t="n">
        <v>141</v>
      </c>
      <c r="ER5" s="59" t="n">
        <v>142</v>
      </c>
      <c r="ES5" s="59" t="n">
        <v>143</v>
      </c>
      <c r="ET5" s="59" t="n">
        <v>144</v>
      </c>
      <c r="EU5" s="59" t="n">
        <v>145</v>
      </c>
      <c r="EV5" s="59" t="n">
        <v>146</v>
      </c>
      <c r="EW5" s="59" t="n">
        <v>147</v>
      </c>
      <c r="EX5" s="59" t="n">
        <v>148</v>
      </c>
      <c r="EY5" s="59" t="n">
        <v>149</v>
      </c>
      <c r="EZ5" s="59" t="n">
        <v>150</v>
      </c>
      <c r="FA5" s="59" t="n">
        <v>151</v>
      </c>
      <c r="FB5" s="59" t="n">
        <v>152</v>
      </c>
      <c r="FC5" s="59" t="n">
        <v>153</v>
      </c>
      <c r="FD5" s="59" t="n">
        <v>154</v>
      </c>
      <c r="FE5" s="59" t="n">
        <v>155</v>
      </c>
      <c r="FF5" s="59" t="n">
        <v>156</v>
      </c>
    </row>
    <row r="6" customFormat="false" ht="15" hidden="false" customHeight="false" outlineLevel="0" collapsed="false">
      <c r="A6" s="2" t="s">
        <v>175</v>
      </c>
      <c r="B6" s="8" t="s">
        <v>772</v>
      </c>
      <c r="C6" s="8" t="s">
        <v>175</v>
      </c>
      <c r="F6" s="60" t="str">
        <f aca="false">IF(p_FechaInicio="","s/f",EOMONTH(p_FechaInicio,0))</f>
        <v>s/f</v>
      </c>
      <c r="G6" s="60" t="str">
        <f aca="false">IF(p_FechaInicio="","s/f",EOMONTH(p_FechaInicio,1))</f>
        <v>s/f</v>
      </c>
      <c r="H6" s="60" t="str">
        <f aca="false">IF(p_FechaInicio="","s/f",EOMONTH(p_FechaInicio,2))</f>
        <v>s/f</v>
      </c>
      <c r="I6" s="60" t="str">
        <f aca="false">IF(p_FechaInicio="","s/f",EOMONTH(p_FechaInicio,3))</f>
        <v>s/f</v>
      </c>
      <c r="J6" s="60" t="str">
        <f aca="false">IF(p_FechaInicio="","s/f",EOMONTH(p_FechaInicio,4))</f>
        <v>s/f</v>
      </c>
      <c r="K6" s="60" t="str">
        <f aca="false">IF(p_FechaInicio="","s/f",EOMONTH(p_FechaInicio,5))</f>
        <v>s/f</v>
      </c>
      <c r="L6" s="60" t="str">
        <f aca="false">IF(p_FechaInicio="","s/f",EOMONTH(p_FechaInicio,6))</f>
        <v>s/f</v>
      </c>
      <c r="M6" s="60" t="str">
        <f aca="false">IF(p_FechaInicio="","s/f",EOMONTH(p_FechaInicio,7))</f>
        <v>s/f</v>
      </c>
      <c r="N6" s="60" t="str">
        <f aca="false">IF(p_FechaInicio="","s/f",EOMONTH(p_FechaInicio,8))</f>
        <v>s/f</v>
      </c>
      <c r="O6" s="60" t="str">
        <f aca="false">IF(p_FechaInicio="","s/f",EOMONTH(p_FechaInicio,9))</f>
        <v>s/f</v>
      </c>
      <c r="P6" s="60" t="str">
        <f aca="false">IF(p_FechaInicio="","s/f",EOMONTH(p_FechaInicio,10))</f>
        <v>s/f</v>
      </c>
      <c r="Q6" s="60" t="str">
        <f aca="false">IF(p_FechaInicio="","s/f",EOMONTH(p_FechaInicio,11))</f>
        <v>s/f</v>
      </c>
      <c r="R6" s="60" t="str">
        <f aca="false">IF(p_FechaInicio="","s/f",EOMONTH(p_FechaInicio,12))</f>
        <v>s/f</v>
      </c>
      <c r="S6" s="60" t="str">
        <f aca="false">IF(p_FechaInicio="","s/f",EOMONTH(p_FechaInicio,13))</f>
        <v>s/f</v>
      </c>
      <c r="T6" s="60" t="str">
        <f aca="false">IF(p_FechaInicio="","s/f",EOMONTH(p_FechaInicio,14))</f>
        <v>s/f</v>
      </c>
      <c r="U6" s="60" t="str">
        <f aca="false">IF(p_FechaInicio="","s/f",EOMONTH(p_FechaInicio,15))</f>
        <v>s/f</v>
      </c>
      <c r="V6" s="60" t="str">
        <f aca="false">IF(p_FechaInicio="","s/f",EOMONTH(p_FechaInicio,16))</f>
        <v>s/f</v>
      </c>
      <c r="W6" s="60" t="str">
        <f aca="false">IF(p_FechaInicio="","s/f",EOMONTH(p_FechaInicio,17))</f>
        <v>s/f</v>
      </c>
      <c r="X6" s="60" t="str">
        <f aca="false">IF(p_FechaInicio="","s/f",EOMONTH(p_FechaInicio,18))</f>
        <v>s/f</v>
      </c>
      <c r="Y6" s="60" t="str">
        <f aca="false">IF(p_FechaInicio="","s/f",EOMONTH(p_FechaInicio,19))</f>
        <v>s/f</v>
      </c>
      <c r="Z6" s="60" t="str">
        <f aca="false">IF(p_FechaInicio="","s/f",EOMONTH(p_FechaInicio,20))</f>
        <v>s/f</v>
      </c>
      <c r="AA6" s="60" t="str">
        <f aca="false">IF(p_FechaInicio="","s/f",EOMONTH(p_FechaInicio,21))</f>
        <v>s/f</v>
      </c>
      <c r="AB6" s="60" t="str">
        <f aca="false">IF(p_FechaInicio="","s/f",EOMONTH(p_FechaInicio,22))</f>
        <v>s/f</v>
      </c>
      <c r="AC6" s="60" t="str">
        <f aca="false">IF(p_FechaInicio="","s/f",EOMONTH(p_FechaInicio,23))</f>
        <v>s/f</v>
      </c>
      <c r="AD6" s="60" t="str">
        <f aca="false">IF(p_FechaInicio="","s/f",EOMONTH(p_FechaInicio,24))</f>
        <v>s/f</v>
      </c>
      <c r="AE6" s="60" t="str">
        <f aca="false">IF(p_FechaInicio="","s/f",EOMONTH(p_FechaInicio,25))</f>
        <v>s/f</v>
      </c>
      <c r="AF6" s="60" t="str">
        <f aca="false">IF(p_FechaInicio="","s/f",EOMONTH(p_FechaInicio,26))</f>
        <v>s/f</v>
      </c>
      <c r="AG6" s="60" t="str">
        <f aca="false">IF(p_FechaInicio="","s/f",EOMONTH(p_FechaInicio,27))</f>
        <v>s/f</v>
      </c>
      <c r="AH6" s="60" t="str">
        <f aca="false">IF(p_FechaInicio="","s/f",EOMONTH(p_FechaInicio,28))</f>
        <v>s/f</v>
      </c>
      <c r="AI6" s="60" t="str">
        <f aca="false">IF(p_FechaInicio="","s/f",EOMONTH(p_FechaInicio,29))</f>
        <v>s/f</v>
      </c>
      <c r="AJ6" s="60" t="str">
        <f aca="false">IF(p_FechaInicio="","s/f",EOMONTH(p_FechaInicio,30))</f>
        <v>s/f</v>
      </c>
      <c r="AK6" s="60" t="str">
        <f aca="false">IF(p_FechaInicio="","s/f",EOMONTH(p_FechaInicio,31))</f>
        <v>s/f</v>
      </c>
      <c r="AL6" s="60" t="str">
        <f aca="false">IF(p_FechaInicio="","s/f",EOMONTH(p_FechaInicio,32))</f>
        <v>s/f</v>
      </c>
      <c r="AM6" s="60" t="str">
        <f aca="false">IF(p_FechaInicio="","s/f",EOMONTH(p_FechaInicio,33))</f>
        <v>s/f</v>
      </c>
      <c r="AN6" s="60" t="str">
        <f aca="false">IF(p_FechaInicio="","s/f",EOMONTH(p_FechaInicio,34))</f>
        <v>s/f</v>
      </c>
      <c r="AO6" s="60" t="str">
        <f aca="false">IF(p_FechaInicio="","s/f",EOMONTH(p_FechaInicio,35))</f>
        <v>s/f</v>
      </c>
      <c r="AP6" s="60" t="str">
        <f aca="false">IF(p_FechaInicio="","s/f",EOMONTH(p_FechaInicio,36))</f>
        <v>s/f</v>
      </c>
      <c r="AQ6" s="60" t="str">
        <f aca="false">IF(p_FechaInicio="","s/f",EOMONTH(p_FechaInicio,37))</f>
        <v>s/f</v>
      </c>
      <c r="AR6" s="60" t="str">
        <f aca="false">IF(p_FechaInicio="","s/f",EOMONTH(p_FechaInicio,38))</f>
        <v>s/f</v>
      </c>
      <c r="AS6" s="60" t="str">
        <f aca="false">IF(p_FechaInicio="","s/f",EOMONTH(p_FechaInicio,39))</f>
        <v>s/f</v>
      </c>
      <c r="AT6" s="60" t="str">
        <f aca="false">IF(p_FechaInicio="","s/f",EOMONTH(p_FechaInicio,40))</f>
        <v>s/f</v>
      </c>
      <c r="AU6" s="60" t="str">
        <f aca="false">IF(p_FechaInicio="","s/f",EOMONTH(p_FechaInicio,41))</f>
        <v>s/f</v>
      </c>
      <c r="AV6" s="60" t="str">
        <f aca="false">IF(p_FechaInicio="","s/f",EOMONTH(p_FechaInicio,42))</f>
        <v>s/f</v>
      </c>
      <c r="AW6" s="60" t="str">
        <f aca="false">IF(p_FechaInicio="","s/f",EOMONTH(p_FechaInicio,43))</f>
        <v>s/f</v>
      </c>
      <c r="AX6" s="60" t="str">
        <f aca="false">IF(p_FechaInicio="","s/f",EOMONTH(p_FechaInicio,44))</f>
        <v>s/f</v>
      </c>
      <c r="AY6" s="60" t="str">
        <f aca="false">IF(p_FechaInicio="","s/f",EOMONTH(p_FechaInicio,45))</f>
        <v>s/f</v>
      </c>
      <c r="AZ6" s="60" t="str">
        <f aca="false">IF(p_FechaInicio="","s/f",EOMONTH(p_FechaInicio,46))</f>
        <v>s/f</v>
      </c>
      <c r="BA6" s="60" t="str">
        <f aca="false">IF(p_FechaInicio="","s/f",EOMONTH(p_FechaInicio,47))</f>
        <v>s/f</v>
      </c>
      <c r="BB6" s="60" t="str">
        <f aca="false">IF(p_FechaInicio="","s/f",EOMONTH(p_FechaInicio,48))</f>
        <v>s/f</v>
      </c>
      <c r="BC6" s="60" t="str">
        <f aca="false">IF(p_FechaInicio="","s/f",EOMONTH(p_FechaInicio,49))</f>
        <v>s/f</v>
      </c>
      <c r="BD6" s="60" t="str">
        <f aca="false">IF(p_FechaInicio="","s/f",EOMONTH(p_FechaInicio,50))</f>
        <v>s/f</v>
      </c>
      <c r="BE6" s="60" t="str">
        <f aca="false">IF(p_FechaInicio="","s/f",EOMONTH(p_FechaInicio,51))</f>
        <v>s/f</v>
      </c>
      <c r="BF6" s="60" t="str">
        <f aca="false">IF(p_FechaInicio="","s/f",EOMONTH(p_FechaInicio,52))</f>
        <v>s/f</v>
      </c>
      <c r="BG6" s="60" t="str">
        <f aca="false">IF(p_FechaInicio="","s/f",EOMONTH(p_FechaInicio,53))</f>
        <v>s/f</v>
      </c>
      <c r="BH6" s="60" t="str">
        <f aca="false">IF(p_FechaInicio="","s/f",EOMONTH(p_FechaInicio,54))</f>
        <v>s/f</v>
      </c>
      <c r="BI6" s="60" t="str">
        <f aca="false">IF(p_FechaInicio="","s/f",EOMONTH(p_FechaInicio,55))</f>
        <v>s/f</v>
      </c>
      <c r="BJ6" s="60" t="str">
        <f aca="false">IF(p_FechaInicio="","s/f",EOMONTH(p_FechaInicio,56))</f>
        <v>s/f</v>
      </c>
      <c r="BK6" s="60" t="str">
        <f aca="false">IF(p_FechaInicio="","s/f",EOMONTH(p_FechaInicio,57))</f>
        <v>s/f</v>
      </c>
      <c r="BL6" s="60" t="str">
        <f aca="false">IF(p_FechaInicio="","s/f",EOMONTH(p_FechaInicio,58))</f>
        <v>s/f</v>
      </c>
      <c r="BM6" s="60" t="str">
        <f aca="false">IF(p_FechaInicio="","s/f",EOMONTH(p_FechaInicio,59))</f>
        <v>s/f</v>
      </c>
      <c r="BN6" s="60" t="str">
        <f aca="false">IF(p_FechaInicio="","s/f",EOMONTH(p_FechaInicio,60))</f>
        <v>s/f</v>
      </c>
      <c r="BO6" s="60" t="str">
        <f aca="false">IF(p_FechaInicio="","s/f",EOMONTH(p_FechaInicio,61))</f>
        <v>s/f</v>
      </c>
      <c r="BP6" s="60" t="str">
        <f aca="false">IF(p_FechaInicio="","s/f",EOMONTH(p_FechaInicio,62))</f>
        <v>s/f</v>
      </c>
      <c r="BQ6" s="60" t="str">
        <f aca="false">IF(p_FechaInicio="","s/f",EOMONTH(p_FechaInicio,63))</f>
        <v>s/f</v>
      </c>
      <c r="BR6" s="60" t="str">
        <f aca="false">IF(p_FechaInicio="","s/f",EOMONTH(p_FechaInicio,64))</f>
        <v>s/f</v>
      </c>
      <c r="BS6" s="60" t="str">
        <f aca="false">IF(p_FechaInicio="","s/f",EOMONTH(p_FechaInicio,65))</f>
        <v>s/f</v>
      </c>
      <c r="BT6" s="60" t="str">
        <f aca="false">IF(p_FechaInicio="","s/f",EOMONTH(p_FechaInicio,66))</f>
        <v>s/f</v>
      </c>
      <c r="BU6" s="60" t="str">
        <f aca="false">IF(p_FechaInicio="","s/f",EOMONTH(p_FechaInicio,67))</f>
        <v>s/f</v>
      </c>
      <c r="BV6" s="60" t="str">
        <f aca="false">IF(p_FechaInicio="","s/f",EOMONTH(p_FechaInicio,68))</f>
        <v>s/f</v>
      </c>
      <c r="BW6" s="60" t="str">
        <f aca="false">IF(p_FechaInicio="","s/f",EOMONTH(p_FechaInicio,69))</f>
        <v>s/f</v>
      </c>
      <c r="BX6" s="60" t="str">
        <f aca="false">IF(p_FechaInicio="","s/f",EOMONTH(p_FechaInicio,70))</f>
        <v>s/f</v>
      </c>
      <c r="BY6" s="60" t="str">
        <f aca="false">IF(p_FechaInicio="","s/f",EOMONTH(p_FechaInicio,71))</f>
        <v>s/f</v>
      </c>
      <c r="BZ6" s="60" t="str">
        <f aca="false">IF(p_FechaInicio="","s/f",EOMONTH(p_FechaInicio,72))</f>
        <v>s/f</v>
      </c>
      <c r="CA6" s="60" t="str">
        <f aca="false">IF(p_FechaInicio="","s/f",EOMONTH(p_FechaInicio,73))</f>
        <v>s/f</v>
      </c>
      <c r="CB6" s="60" t="str">
        <f aca="false">IF(p_FechaInicio="","s/f",EOMONTH(p_FechaInicio,74))</f>
        <v>s/f</v>
      </c>
      <c r="CC6" s="60" t="str">
        <f aca="false">IF(p_FechaInicio="","s/f",EOMONTH(p_FechaInicio,75))</f>
        <v>s/f</v>
      </c>
      <c r="CD6" s="60" t="str">
        <f aca="false">IF(p_FechaInicio="","s/f",EOMONTH(p_FechaInicio,76))</f>
        <v>s/f</v>
      </c>
      <c r="CE6" s="60" t="str">
        <f aca="false">IF(p_FechaInicio="","s/f",EOMONTH(p_FechaInicio,77))</f>
        <v>s/f</v>
      </c>
      <c r="CF6" s="60" t="str">
        <f aca="false">IF(p_FechaInicio="","s/f",EOMONTH(p_FechaInicio,78))</f>
        <v>s/f</v>
      </c>
      <c r="CG6" s="60" t="str">
        <f aca="false">IF(p_FechaInicio="","s/f",EOMONTH(p_FechaInicio,79))</f>
        <v>s/f</v>
      </c>
      <c r="CH6" s="60" t="str">
        <f aca="false">IF(p_FechaInicio="","s/f",EOMONTH(p_FechaInicio,80))</f>
        <v>s/f</v>
      </c>
      <c r="CI6" s="60" t="str">
        <f aca="false">IF(p_FechaInicio="","s/f",EOMONTH(p_FechaInicio,81))</f>
        <v>s/f</v>
      </c>
      <c r="CJ6" s="60" t="str">
        <f aca="false">IF(p_FechaInicio="","s/f",EOMONTH(p_FechaInicio,82))</f>
        <v>s/f</v>
      </c>
      <c r="CK6" s="60" t="str">
        <f aca="false">IF(p_FechaInicio="","s/f",EOMONTH(p_FechaInicio,83))</f>
        <v>s/f</v>
      </c>
      <c r="CL6" s="60" t="str">
        <f aca="false">IF(p_FechaInicio="","s/f",EOMONTH(p_FechaInicio,84))</f>
        <v>s/f</v>
      </c>
      <c r="CM6" s="60" t="str">
        <f aca="false">IF(p_FechaInicio="","s/f",EOMONTH(p_FechaInicio,85))</f>
        <v>s/f</v>
      </c>
      <c r="CN6" s="60" t="str">
        <f aca="false">IF(p_FechaInicio="","s/f",EOMONTH(p_FechaInicio,86))</f>
        <v>s/f</v>
      </c>
      <c r="CO6" s="60" t="str">
        <f aca="false">IF(p_FechaInicio="","s/f",EOMONTH(p_FechaInicio,87))</f>
        <v>s/f</v>
      </c>
      <c r="CP6" s="60" t="str">
        <f aca="false">IF(p_FechaInicio="","s/f",EOMONTH(p_FechaInicio,88))</f>
        <v>s/f</v>
      </c>
      <c r="CQ6" s="60" t="str">
        <f aca="false">IF(p_FechaInicio="","s/f",EOMONTH(p_FechaInicio,89))</f>
        <v>s/f</v>
      </c>
      <c r="CR6" s="60" t="str">
        <f aca="false">IF(p_FechaInicio="","s/f",EOMONTH(p_FechaInicio,90))</f>
        <v>s/f</v>
      </c>
      <c r="CS6" s="60" t="str">
        <f aca="false">IF(p_FechaInicio="","s/f",EOMONTH(p_FechaInicio,91))</f>
        <v>s/f</v>
      </c>
      <c r="CT6" s="60" t="str">
        <f aca="false">IF(p_FechaInicio="","s/f",EOMONTH(p_FechaInicio,92))</f>
        <v>s/f</v>
      </c>
      <c r="CU6" s="60" t="str">
        <f aca="false">IF(p_FechaInicio="","s/f",EOMONTH(p_FechaInicio,93))</f>
        <v>s/f</v>
      </c>
      <c r="CV6" s="60" t="str">
        <f aca="false">IF(p_FechaInicio="","s/f",EOMONTH(p_FechaInicio,94))</f>
        <v>s/f</v>
      </c>
      <c r="CW6" s="60" t="str">
        <f aca="false">IF(p_FechaInicio="","s/f",EOMONTH(p_FechaInicio,95))</f>
        <v>s/f</v>
      </c>
      <c r="CX6" s="60" t="str">
        <f aca="false">IF(p_FechaInicio="","s/f",EOMONTH(p_FechaInicio,96))</f>
        <v>s/f</v>
      </c>
      <c r="CY6" s="60" t="str">
        <f aca="false">IF(p_FechaInicio="","s/f",EOMONTH(p_FechaInicio,97))</f>
        <v>s/f</v>
      </c>
      <c r="CZ6" s="60" t="str">
        <f aca="false">IF(p_FechaInicio="","s/f",EOMONTH(p_FechaInicio,98))</f>
        <v>s/f</v>
      </c>
      <c r="DA6" s="60" t="str">
        <f aca="false">IF(p_FechaInicio="","s/f",EOMONTH(p_FechaInicio,99))</f>
        <v>s/f</v>
      </c>
      <c r="DB6" s="60" t="str">
        <f aca="false">IF(p_FechaInicio="","s/f",EOMONTH(p_FechaInicio,100))</f>
        <v>s/f</v>
      </c>
      <c r="DC6" s="60" t="str">
        <f aca="false">IF(p_FechaInicio="","s/f",EOMONTH(p_FechaInicio,101))</f>
        <v>s/f</v>
      </c>
      <c r="DD6" s="60" t="str">
        <f aca="false">IF(p_FechaInicio="","s/f",EOMONTH(p_FechaInicio,102))</f>
        <v>s/f</v>
      </c>
      <c r="DE6" s="60" t="str">
        <f aca="false">IF(p_FechaInicio="","s/f",EOMONTH(p_FechaInicio,103))</f>
        <v>s/f</v>
      </c>
      <c r="DF6" s="60" t="str">
        <f aca="false">IF(p_FechaInicio="","s/f",EOMONTH(p_FechaInicio,104))</f>
        <v>s/f</v>
      </c>
      <c r="DG6" s="60" t="str">
        <f aca="false">IF(p_FechaInicio="","s/f",EOMONTH(p_FechaInicio,105))</f>
        <v>s/f</v>
      </c>
      <c r="DH6" s="60" t="str">
        <f aca="false">IF(p_FechaInicio="","s/f",EOMONTH(p_FechaInicio,106))</f>
        <v>s/f</v>
      </c>
      <c r="DI6" s="60" t="str">
        <f aca="false">IF(p_FechaInicio="","s/f",EOMONTH(p_FechaInicio,107))</f>
        <v>s/f</v>
      </c>
      <c r="DJ6" s="60" t="str">
        <f aca="false">IF(p_FechaInicio="","s/f",EOMONTH(p_FechaInicio,108))</f>
        <v>s/f</v>
      </c>
      <c r="DK6" s="60" t="str">
        <f aca="false">IF(p_FechaInicio="","s/f",EOMONTH(p_FechaInicio,109))</f>
        <v>s/f</v>
      </c>
      <c r="DL6" s="60" t="str">
        <f aca="false">IF(p_FechaInicio="","s/f",EOMONTH(p_FechaInicio,110))</f>
        <v>s/f</v>
      </c>
      <c r="DM6" s="60" t="str">
        <f aca="false">IF(p_FechaInicio="","s/f",EOMONTH(p_FechaInicio,111))</f>
        <v>s/f</v>
      </c>
      <c r="DN6" s="60" t="str">
        <f aca="false">IF(p_FechaInicio="","s/f",EOMONTH(p_FechaInicio,112))</f>
        <v>s/f</v>
      </c>
      <c r="DO6" s="60" t="str">
        <f aca="false">IF(p_FechaInicio="","s/f",EOMONTH(p_FechaInicio,113))</f>
        <v>s/f</v>
      </c>
      <c r="DP6" s="60" t="str">
        <f aca="false">IF(p_FechaInicio="","s/f",EOMONTH(p_FechaInicio,114))</f>
        <v>s/f</v>
      </c>
      <c r="DQ6" s="60" t="str">
        <f aca="false">IF(p_FechaInicio="","s/f",EOMONTH(p_FechaInicio,115))</f>
        <v>s/f</v>
      </c>
      <c r="DR6" s="60" t="str">
        <f aca="false">IF(p_FechaInicio="","s/f",EOMONTH(p_FechaInicio,116))</f>
        <v>s/f</v>
      </c>
      <c r="DS6" s="60" t="str">
        <f aca="false">IF(p_FechaInicio="","s/f",EOMONTH(p_FechaInicio,117))</f>
        <v>s/f</v>
      </c>
      <c r="DT6" s="60" t="str">
        <f aca="false">IF(p_FechaInicio="","s/f",EOMONTH(p_FechaInicio,118))</f>
        <v>s/f</v>
      </c>
      <c r="DU6" s="60" t="str">
        <f aca="false">IF(p_FechaInicio="","s/f",EOMONTH(p_FechaInicio,119))</f>
        <v>s/f</v>
      </c>
      <c r="DV6" s="60" t="str">
        <f aca="false">IF(p_FechaInicio="","s/f",EOMONTH(p_FechaInicio,120))</f>
        <v>s/f</v>
      </c>
      <c r="DW6" s="60" t="str">
        <f aca="false">IF(p_FechaInicio="","s/f",EOMONTH(p_FechaInicio,121))</f>
        <v>s/f</v>
      </c>
      <c r="DX6" s="60" t="str">
        <f aca="false">IF(p_FechaInicio="","s/f",EOMONTH(p_FechaInicio,122))</f>
        <v>s/f</v>
      </c>
      <c r="DY6" s="60" t="str">
        <f aca="false">IF(p_FechaInicio="","s/f",EOMONTH(p_FechaInicio,123))</f>
        <v>s/f</v>
      </c>
      <c r="DZ6" s="60" t="str">
        <f aca="false">IF(p_FechaInicio="","s/f",EOMONTH(p_FechaInicio,124))</f>
        <v>s/f</v>
      </c>
      <c r="EA6" s="60" t="str">
        <f aca="false">IF(p_FechaInicio="","s/f",EOMONTH(p_FechaInicio,125))</f>
        <v>s/f</v>
      </c>
      <c r="EB6" s="60" t="str">
        <f aca="false">IF(p_FechaInicio="","s/f",EOMONTH(p_FechaInicio,126))</f>
        <v>s/f</v>
      </c>
      <c r="EC6" s="60" t="str">
        <f aca="false">IF(p_FechaInicio="","s/f",EOMONTH(p_FechaInicio,127))</f>
        <v>s/f</v>
      </c>
      <c r="ED6" s="60" t="str">
        <f aca="false">IF(p_FechaInicio="","s/f",EOMONTH(p_FechaInicio,128))</f>
        <v>s/f</v>
      </c>
      <c r="EE6" s="60" t="str">
        <f aca="false">IF(p_FechaInicio="","s/f",EOMONTH(p_FechaInicio,129))</f>
        <v>s/f</v>
      </c>
      <c r="EF6" s="60" t="str">
        <f aca="false">IF(p_FechaInicio="","s/f",EOMONTH(p_FechaInicio,130))</f>
        <v>s/f</v>
      </c>
      <c r="EG6" s="60" t="str">
        <f aca="false">IF(p_FechaInicio="","s/f",EOMONTH(p_FechaInicio,131))</f>
        <v>s/f</v>
      </c>
      <c r="EH6" s="60" t="str">
        <f aca="false">IF(p_FechaInicio="","s/f",EOMONTH(p_FechaInicio,132))</f>
        <v>s/f</v>
      </c>
      <c r="EI6" s="60" t="str">
        <f aca="false">IF(p_FechaInicio="","s/f",EOMONTH(p_FechaInicio,133))</f>
        <v>s/f</v>
      </c>
      <c r="EJ6" s="60" t="str">
        <f aca="false">IF(p_FechaInicio="","s/f",EOMONTH(p_FechaInicio,134))</f>
        <v>s/f</v>
      </c>
      <c r="EK6" s="60" t="str">
        <f aca="false">IF(p_FechaInicio="","s/f",EOMONTH(p_FechaInicio,135))</f>
        <v>s/f</v>
      </c>
      <c r="EL6" s="60" t="str">
        <f aca="false">IF(p_FechaInicio="","s/f",EOMONTH(p_FechaInicio,136))</f>
        <v>s/f</v>
      </c>
      <c r="EM6" s="60" t="str">
        <f aca="false">IF(p_FechaInicio="","s/f",EOMONTH(p_FechaInicio,137))</f>
        <v>s/f</v>
      </c>
      <c r="EN6" s="60" t="str">
        <f aca="false">IF(p_FechaInicio="","s/f",EOMONTH(p_FechaInicio,138))</f>
        <v>s/f</v>
      </c>
      <c r="EO6" s="60" t="str">
        <f aca="false">IF(p_FechaInicio="","s/f",EOMONTH(p_FechaInicio,139))</f>
        <v>s/f</v>
      </c>
      <c r="EP6" s="60" t="str">
        <f aca="false">IF(p_FechaInicio="","s/f",EOMONTH(p_FechaInicio,140))</f>
        <v>s/f</v>
      </c>
      <c r="EQ6" s="60" t="str">
        <f aca="false">IF(p_FechaInicio="","s/f",EOMONTH(p_FechaInicio,141))</f>
        <v>s/f</v>
      </c>
      <c r="ER6" s="60" t="str">
        <f aca="false">IF(p_FechaInicio="","s/f",EOMONTH(p_FechaInicio,142))</f>
        <v>s/f</v>
      </c>
      <c r="ES6" s="60" t="str">
        <f aca="false">IF(p_FechaInicio="","s/f",EOMONTH(p_FechaInicio,143))</f>
        <v>s/f</v>
      </c>
      <c r="ET6" s="60" t="str">
        <f aca="false">IF(p_FechaInicio="","s/f",EOMONTH(p_FechaInicio,144))</f>
        <v>s/f</v>
      </c>
      <c r="EU6" s="60" t="str">
        <f aca="false">IF(p_FechaInicio="","s/f",EOMONTH(p_FechaInicio,145))</f>
        <v>s/f</v>
      </c>
      <c r="EV6" s="60" t="str">
        <f aca="false">IF(p_FechaInicio="","s/f",EOMONTH(p_FechaInicio,146))</f>
        <v>s/f</v>
      </c>
      <c r="EW6" s="60" t="str">
        <f aca="false">IF(p_FechaInicio="","s/f",EOMONTH(p_FechaInicio,147))</f>
        <v>s/f</v>
      </c>
      <c r="EX6" s="60" t="str">
        <f aca="false">IF(p_FechaInicio="","s/f",EOMONTH(p_FechaInicio,148))</f>
        <v>s/f</v>
      </c>
      <c r="EY6" s="60" t="str">
        <f aca="false">IF(p_FechaInicio="","s/f",EOMONTH(p_FechaInicio,149))</f>
        <v>s/f</v>
      </c>
      <c r="EZ6" s="60" t="str">
        <f aca="false">IF(p_FechaInicio="","s/f",EOMONTH(p_FechaInicio,150))</f>
        <v>s/f</v>
      </c>
      <c r="FA6" s="60" t="str">
        <f aca="false">IF(p_FechaInicio="","s/f",EOMONTH(p_FechaInicio,151))</f>
        <v>s/f</v>
      </c>
      <c r="FB6" s="60" t="str">
        <f aca="false">IF(p_FechaInicio="","s/f",EOMONTH(p_FechaInicio,152))</f>
        <v>s/f</v>
      </c>
      <c r="FC6" s="60" t="str">
        <f aca="false">IF(p_FechaInicio="","s/f",EOMONTH(p_FechaInicio,153))</f>
        <v>s/f</v>
      </c>
      <c r="FD6" s="60" t="str">
        <f aca="false">IF(p_FechaInicio="","s/f",EOMONTH(p_FechaInicio,154))</f>
        <v>s/f</v>
      </c>
      <c r="FE6" s="60" t="str">
        <f aca="false">IF(p_FechaInicio="","s/f",EOMONTH(p_FechaInicio,155))</f>
        <v>s/f</v>
      </c>
      <c r="FF6" s="60" t="str">
        <f aca="false">IF(p_FechaInicio="","s/f",EOMONTH(p_FechaInicio,156))</f>
        <v>s/f</v>
      </c>
    </row>
    <row r="7" customFormat="false" ht="15" hidden="false" customHeight="false" outlineLevel="0" collapsed="false">
      <c r="A7" s="2" t="s">
        <v>773</v>
      </c>
      <c r="B7" s="8" t="s">
        <v>774</v>
      </c>
      <c r="C7" s="8" t="s">
        <v>771</v>
      </c>
      <c r="F7" s="31" t="n">
        <f aca="false">IF(0&lt;=p_ImplMeses,0,ROUNDUP((0-p_ImplMeses)/12,0))</f>
        <v>0</v>
      </c>
      <c r="G7" s="31" t="n">
        <f aca="false">IF(1&lt;=p_ImplMeses,0,ROUNDUP((1-p_ImplMeses)/12,0))</f>
        <v>1</v>
      </c>
      <c r="H7" s="31" t="n">
        <f aca="false">IF(2&lt;=p_ImplMeses,0,ROUNDUP((2-p_ImplMeses)/12,0))</f>
        <v>1</v>
      </c>
      <c r="I7" s="31" t="n">
        <f aca="false">IF(3&lt;=p_ImplMeses,0,ROUNDUP((3-p_ImplMeses)/12,0))</f>
        <v>1</v>
      </c>
      <c r="J7" s="31" t="n">
        <f aca="false">IF(4&lt;=p_ImplMeses,0,ROUNDUP((4-p_ImplMeses)/12,0))</f>
        <v>1</v>
      </c>
      <c r="K7" s="31" t="n">
        <f aca="false">IF(5&lt;=p_ImplMeses,0,ROUNDUP((5-p_ImplMeses)/12,0))</f>
        <v>1</v>
      </c>
      <c r="L7" s="31" t="n">
        <f aca="false">IF(6&lt;=p_ImplMeses,0,ROUNDUP((6-p_ImplMeses)/12,0))</f>
        <v>1</v>
      </c>
      <c r="M7" s="31" t="n">
        <f aca="false">IF(7&lt;=p_ImplMeses,0,ROUNDUP((7-p_ImplMeses)/12,0))</f>
        <v>1</v>
      </c>
      <c r="N7" s="31" t="n">
        <f aca="false">IF(8&lt;=p_ImplMeses,0,ROUNDUP((8-p_ImplMeses)/12,0))</f>
        <v>1</v>
      </c>
      <c r="O7" s="31" t="n">
        <f aca="false">IF(9&lt;=p_ImplMeses,0,ROUNDUP((9-p_ImplMeses)/12,0))</f>
        <v>1</v>
      </c>
      <c r="P7" s="31" t="n">
        <f aca="false">IF(10&lt;=p_ImplMeses,0,ROUNDUP((10-p_ImplMeses)/12,0))</f>
        <v>1</v>
      </c>
      <c r="Q7" s="31" t="n">
        <f aca="false">IF(11&lt;=p_ImplMeses,0,ROUNDUP((11-p_ImplMeses)/12,0))</f>
        <v>1</v>
      </c>
      <c r="R7" s="31" t="n">
        <f aca="false">IF(12&lt;=p_ImplMeses,0,ROUNDUP((12-p_ImplMeses)/12,0))</f>
        <v>1</v>
      </c>
      <c r="S7" s="31" t="n">
        <f aca="false">IF(13&lt;=p_ImplMeses,0,ROUNDUP((13-p_ImplMeses)/12,0))</f>
        <v>2</v>
      </c>
      <c r="T7" s="31" t="n">
        <f aca="false">IF(14&lt;=p_ImplMeses,0,ROUNDUP((14-p_ImplMeses)/12,0))</f>
        <v>2</v>
      </c>
      <c r="U7" s="31" t="n">
        <f aca="false">IF(15&lt;=p_ImplMeses,0,ROUNDUP((15-p_ImplMeses)/12,0))</f>
        <v>2</v>
      </c>
      <c r="V7" s="31" t="n">
        <f aca="false">IF(16&lt;=p_ImplMeses,0,ROUNDUP((16-p_ImplMeses)/12,0))</f>
        <v>2</v>
      </c>
      <c r="W7" s="31" t="n">
        <f aca="false">IF(17&lt;=p_ImplMeses,0,ROUNDUP((17-p_ImplMeses)/12,0))</f>
        <v>2</v>
      </c>
      <c r="X7" s="31" t="n">
        <f aca="false">IF(18&lt;=p_ImplMeses,0,ROUNDUP((18-p_ImplMeses)/12,0))</f>
        <v>2</v>
      </c>
      <c r="Y7" s="31" t="n">
        <f aca="false">IF(19&lt;=p_ImplMeses,0,ROUNDUP((19-p_ImplMeses)/12,0))</f>
        <v>2</v>
      </c>
      <c r="Z7" s="31" t="n">
        <f aca="false">IF(20&lt;=p_ImplMeses,0,ROUNDUP((20-p_ImplMeses)/12,0))</f>
        <v>2</v>
      </c>
      <c r="AA7" s="31" t="n">
        <f aca="false">IF(21&lt;=p_ImplMeses,0,ROUNDUP((21-p_ImplMeses)/12,0))</f>
        <v>2</v>
      </c>
      <c r="AB7" s="31" t="n">
        <f aca="false">IF(22&lt;=p_ImplMeses,0,ROUNDUP((22-p_ImplMeses)/12,0))</f>
        <v>2</v>
      </c>
      <c r="AC7" s="31" t="n">
        <f aca="false">IF(23&lt;=p_ImplMeses,0,ROUNDUP((23-p_ImplMeses)/12,0))</f>
        <v>2</v>
      </c>
      <c r="AD7" s="31" t="n">
        <f aca="false">IF(24&lt;=p_ImplMeses,0,ROUNDUP((24-p_ImplMeses)/12,0))</f>
        <v>2</v>
      </c>
      <c r="AE7" s="31" t="n">
        <f aca="false">IF(25&lt;=p_ImplMeses,0,ROUNDUP((25-p_ImplMeses)/12,0))</f>
        <v>3</v>
      </c>
      <c r="AF7" s="31" t="n">
        <f aca="false">IF(26&lt;=p_ImplMeses,0,ROUNDUP((26-p_ImplMeses)/12,0))</f>
        <v>3</v>
      </c>
      <c r="AG7" s="31" t="n">
        <f aca="false">IF(27&lt;=p_ImplMeses,0,ROUNDUP((27-p_ImplMeses)/12,0))</f>
        <v>3</v>
      </c>
      <c r="AH7" s="31" t="n">
        <f aca="false">IF(28&lt;=p_ImplMeses,0,ROUNDUP((28-p_ImplMeses)/12,0))</f>
        <v>3</v>
      </c>
      <c r="AI7" s="31" t="n">
        <f aca="false">IF(29&lt;=p_ImplMeses,0,ROUNDUP((29-p_ImplMeses)/12,0))</f>
        <v>3</v>
      </c>
      <c r="AJ7" s="31" t="n">
        <f aca="false">IF(30&lt;=p_ImplMeses,0,ROUNDUP((30-p_ImplMeses)/12,0))</f>
        <v>3</v>
      </c>
      <c r="AK7" s="31" t="n">
        <f aca="false">IF(31&lt;=p_ImplMeses,0,ROUNDUP((31-p_ImplMeses)/12,0))</f>
        <v>3</v>
      </c>
      <c r="AL7" s="31" t="n">
        <f aca="false">IF(32&lt;=p_ImplMeses,0,ROUNDUP((32-p_ImplMeses)/12,0))</f>
        <v>3</v>
      </c>
      <c r="AM7" s="31" t="n">
        <f aca="false">IF(33&lt;=p_ImplMeses,0,ROUNDUP((33-p_ImplMeses)/12,0))</f>
        <v>3</v>
      </c>
      <c r="AN7" s="31" t="n">
        <f aca="false">IF(34&lt;=p_ImplMeses,0,ROUNDUP((34-p_ImplMeses)/12,0))</f>
        <v>3</v>
      </c>
      <c r="AO7" s="31" t="n">
        <f aca="false">IF(35&lt;=p_ImplMeses,0,ROUNDUP((35-p_ImplMeses)/12,0))</f>
        <v>3</v>
      </c>
      <c r="AP7" s="31" t="n">
        <f aca="false">IF(36&lt;=p_ImplMeses,0,ROUNDUP((36-p_ImplMeses)/12,0))</f>
        <v>3</v>
      </c>
      <c r="AQ7" s="31" t="n">
        <f aca="false">IF(37&lt;=p_ImplMeses,0,ROUNDUP((37-p_ImplMeses)/12,0))</f>
        <v>4</v>
      </c>
      <c r="AR7" s="31" t="n">
        <f aca="false">IF(38&lt;=p_ImplMeses,0,ROUNDUP((38-p_ImplMeses)/12,0))</f>
        <v>4</v>
      </c>
      <c r="AS7" s="31" t="n">
        <f aca="false">IF(39&lt;=p_ImplMeses,0,ROUNDUP((39-p_ImplMeses)/12,0))</f>
        <v>4</v>
      </c>
      <c r="AT7" s="31" t="n">
        <f aca="false">IF(40&lt;=p_ImplMeses,0,ROUNDUP((40-p_ImplMeses)/12,0))</f>
        <v>4</v>
      </c>
      <c r="AU7" s="31" t="n">
        <f aca="false">IF(41&lt;=p_ImplMeses,0,ROUNDUP((41-p_ImplMeses)/12,0))</f>
        <v>4</v>
      </c>
      <c r="AV7" s="31" t="n">
        <f aca="false">IF(42&lt;=p_ImplMeses,0,ROUNDUP((42-p_ImplMeses)/12,0))</f>
        <v>4</v>
      </c>
      <c r="AW7" s="31" t="n">
        <f aca="false">IF(43&lt;=p_ImplMeses,0,ROUNDUP((43-p_ImplMeses)/12,0))</f>
        <v>4</v>
      </c>
      <c r="AX7" s="31" t="n">
        <f aca="false">IF(44&lt;=p_ImplMeses,0,ROUNDUP((44-p_ImplMeses)/12,0))</f>
        <v>4</v>
      </c>
      <c r="AY7" s="31" t="n">
        <f aca="false">IF(45&lt;=p_ImplMeses,0,ROUNDUP((45-p_ImplMeses)/12,0))</f>
        <v>4</v>
      </c>
      <c r="AZ7" s="31" t="n">
        <f aca="false">IF(46&lt;=p_ImplMeses,0,ROUNDUP((46-p_ImplMeses)/12,0))</f>
        <v>4</v>
      </c>
      <c r="BA7" s="31" t="n">
        <f aca="false">IF(47&lt;=p_ImplMeses,0,ROUNDUP((47-p_ImplMeses)/12,0))</f>
        <v>4</v>
      </c>
      <c r="BB7" s="31" t="n">
        <f aca="false">IF(48&lt;=p_ImplMeses,0,ROUNDUP((48-p_ImplMeses)/12,0))</f>
        <v>4</v>
      </c>
      <c r="BC7" s="31" t="n">
        <f aca="false">IF(49&lt;=p_ImplMeses,0,ROUNDUP((49-p_ImplMeses)/12,0))</f>
        <v>5</v>
      </c>
      <c r="BD7" s="31" t="n">
        <f aca="false">IF(50&lt;=p_ImplMeses,0,ROUNDUP((50-p_ImplMeses)/12,0))</f>
        <v>5</v>
      </c>
      <c r="BE7" s="31" t="n">
        <f aca="false">IF(51&lt;=p_ImplMeses,0,ROUNDUP((51-p_ImplMeses)/12,0))</f>
        <v>5</v>
      </c>
      <c r="BF7" s="31" t="n">
        <f aca="false">IF(52&lt;=p_ImplMeses,0,ROUNDUP((52-p_ImplMeses)/12,0))</f>
        <v>5</v>
      </c>
      <c r="BG7" s="31" t="n">
        <f aca="false">IF(53&lt;=p_ImplMeses,0,ROUNDUP((53-p_ImplMeses)/12,0))</f>
        <v>5</v>
      </c>
      <c r="BH7" s="31" t="n">
        <f aca="false">IF(54&lt;=p_ImplMeses,0,ROUNDUP((54-p_ImplMeses)/12,0))</f>
        <v>5</v>
      </c>
      <c r="BI7" s="31" t="n">
        <f aca="false">IF(55&lt;=p_ImplMeses,0,ROUNDUP((55-p_ImplMeses)/12,0))</f>
        <v>5</v>
      </c>
      <c r="BJ7" s="31" t="n">
        <f aca="false">IF(56&lt;=p_ImplMeses,0,ROUNDUP((56-p_ImplMeses)/12,0))</f>
        <v>5</v>
      </c>
      <c r="BK7" s="31" t="n">
        <f aca="false">IF(57&lt;=p_ImplMeses,0,ROUNDUP((57-p_ImplMeses)/12,0))</f>
        <v>5</v>
      </c>
      <c r="BL7" s="31" t="n">
        <f aca="false">IF(58&lt;=p_ImplMeses,0,ROUNDUP((58-p_ImplMeses)/12,0))</f>
        <v>5</v>
      </c>
      <c r="BM7" s="31" t="n">
        <f aca="false">IF(59&lt;=p_ImplMeses,0,ROUNDUP((59-p_ImplMeses)/12,0))</f>
        <v>5</v>
      </c>
      <c r="BN7" s="31" t="n">
        <f aca="false">IF(60&lt;=p_ImplMeses,0,ROUNDUP((60-p_ImplMeses)/12,0))</f>
        <v>5</v>
      </c>
      <c r="BO7" s="31" t="n">
        <f aca="false">IF(61&lt;=p_ImplMeses,0,ROUNDUP((61-p_ImplMeses)/12,0))</f>
        <v>6</v>
      </c>
      <c r="BP7" s="31" t="n">
        <f aca="false">IF(62&lt;=p_ImplMeses,0,ROUNDUP((62-p_ImplMeses)/12,0))</f>
        <v>6</v>
      </c>
      <c r="BQ7" s="31" t="n">
        <f aca="false">IF(63&lt;=p_ImplMeses,0,ROUNDUP((63-p_ImplMeses)/12,0))</f>
        <v>6</v>
      </c>
      <c r="BR7" s="31" t="n">
        <f aca="false">IF(64&lt;=p_ImplMeses,0,ROUNDUP((64-p_ImplMeses)/12,0))</f>
        <v>6</v>
      </c>
      <c r="BS7" s="31" t="n">
        <f aca="false">IF(65&lt;=p_ImplMeses,0,ROUNDUP((65-p_ImplMeses)/12,0))</f>
        <v>6</v>
      </c>
      <c r="BT7" s="31" t="n">
        <f aca="false">IF(66&lt;=p_ImplMeses,0,ROUNDUP((66-p_ImplMeses)/12,0))</f>
        <v>6</v>
      </c>
      <c r="BU7" s="31" t="n">
        <f aca="false">IF(67&lt;=p_ImplMeses,0,ROUNDUP((67-p_ImplMeses)/12,0))</f>
        <v>6</v>
      </c>
      <c r="BV7" s="31" t="n">
        <f aca="false">IF(68&lt;=p_ImplMeses,0,ROUNDUP((68-p_ImplMeses)/12,0))</f>
        <v>6</v>
      </c>
      <c r="BW7" s="31" t="n">
        <f aca="false">IF(69&lt;=p_ImplMeses,0,ROUNDUP((69-p_ImplMeses)/12,0))</f>
        <v>6</v>
      </c>
      <c r="BX7" s="31" t="n">
        <f aca="false">IF(70&lt;=p_ImplMeses,0,ROUNDUP((70-p_ImplMeses)/12,0))</f>
        <v>6</v>
      </c>
      <c r="BY7" s="31" t="n">
        <f aca="false">IF(71&lt;=p_ImplMeses,0,ROUNDUP((71-p_ImplMeses)/12,0))</f>
        <v>6</v>
      </c>
      <c r="BZ7" s="31" t="n">
        <f aca="false">IF(72&lt;=p_ImplMeses,0,ROUNDUP((72-p_ImplMeses)/12,0))</f>
        <v>6</v>
      </c>
      <c r="CA7" s="31" t="n">
        <f aca="false">IF(73&lt;=p_ImplMeses,0,ROUNDUP((73-p_ImplMeses)/12,0))</f>
        <v>7</v>
      </c>
      <c r="CB7" s="31" t="n">
        <f aca="false">IF(74&lt;=p_ImplMeses,0,ROUNDUP((74-p_ImplMeses)/12,0))</f>
        <v>7</v>
      </c>
      <c r="CC7" s="31" t="n">
        <f aca="false">IF(75&lt;=p_ImplMeses,0,ROUNDUP((75-p_ImplMeses)/12,0))</f>
        <v>7</v>
      </c>
      <c r="CD7" s="31" t="n">
        <f aca="false">IF(76&lt;=p_ImplMeses,0,ROUNDUP((76-p_ImplMeses)/12,0))</f>
        <v>7</v>
      </c>
      <c r="CE7" s="31" t="n">
        <f aca="false">IF(77&lt;=p_ImplMeses,0,ROUNDUP((77-p_ImplMeses)/12,0))</f>
        <v>7</v>
      </c>
      <c r="CF7" s="31" t="n">
        <f aca="false">IF(78&lt;=p_ImplMeses,0,ROUNDUP((78-p_ImplMeses)/12,0))</f>
        <v>7</v>
      </c>
      <c r="CG7" s="31" t="n">
        <f aca="false">IF(79&lt;=p_ImplMeses,0,ROUNDUP((79-p_ImplMeses)/12,0))</f>
        <v>7</v>
      </c>
      <c r="CH7" s="31" t="n">
        <f aca="false">IF(80&lt;=p_ImplMeses,0,ROUNDUP((80-p_ImplMeses)/12,0))</f>
        <v>7</v>
      </c>
      <c r="CI7" s="31" t="n">
        <f aca="false">IF(81&lt;=p_ImplMeses,0,ROUNDUP((81-p_ImplMeses)/12,0))</f>
        <v>7</v>
      </c>
      <c r="CJ7" s="31" t="n">
        <f aca="false">IF(82&lt;=p_ImplMeses,0,ROUNDUP((82-p_ImplMeses)/12,0))</f>
        <v>7</v>
      </c>
      <c r="CK7" s="31" t="n">
        <f aca="false">IF(83&lt;=p_ImplMeses,0,ROUNDUP((83-p_ImplMeses)/12,0))</f>
        <v>7</v>
      </c>
      <c r="CL7" s="31" t="n">
        <f aca="false">IF(84&lt;=p_ImplMeses,0,ROUNDUP((84-p_ImplMeses)/12,0))</f>
        <v>7</v>
      </c>
      <c r="CM7" s="31" t="n">
        <f aca="false">IF(85&lt;=p_ImplMeses,0,ROUNDUP((85-p_ImplMeses)/12,0))</f>
        <v>8</v>
      </c>
      <c r="CN7" s="31" t="n">
        <f aca="false">IF(86&lt;=p_ImplMeses,0,ROUNDUP((86-p_ImplMeses)/12,0))</f>
        <v>8</v>
      </c>
      <c r="CO7" s="31" t="n">
        <f aca="false">IF(87&lt;=p_ImplMeses,0,ROUNDUP((87-p_ImplMeses)/12,0))</f>
        <v>8</v>
      </c>
      <c r="CP7" s="31" t="n">
        <f aca="false">IF(88&lt;=p_ImplMeses,0,ROUNDUP((88-p_ImplMeses)/12,0))</f>
        <v>8</v>
      </c>
      <c r="CQ7" s="31" t="n">
        <f aca="false">IF(89&lt;=p_ImplMeses,0,ROUNDUP((89-p_ImplMeses)/12,0))</f>
        <v>8</v>
      </c>
      <c r="CR7" s="31" t="n">
        <f aca="false">IF(90&lt;=p_ImplMeses,0,ROUNDUP((90-p_ImplMeses)/12,0))</f>
        <v>8</v>
      </c>
      <c r="CS7" s="31" t="n">
        <f aca="false">IF(91&lt;=p_ImplMeses,0,ROUNDUP((91-p_ImplMeses)/12,0))</f>
        <v>8</v>
      </c>
      <c r="CT7" s="31" t="n">
        <f aca="false">IF(92&lt;=p_ImplMeses,0,ROUNDUP((92-p_ImplMeses)/12,0))</f>
        <v>8</v>
      </c>
      <c r="CU7" s="31" t="n">
        <f aca="false">IF(93&lt;=p_ImplMeses,0,ROUNDUP((93-p_ImplMeses)/12,0))</f>
        <v>8</v>
      </c>
      <c r="CV7" s="31" t="n">
        <f aca="false">IF(94&lt;=p_ImplMeses,0,ROUNDUP((94-p_ImplMeses)/12,0))</f>
        <v>8</v>
      </c>
      <c r="CW7" s="31" t="n">
        <f aca="false">IF(95&lt;=p_ImplMeses,0,ROUNDUP((95-p_ImplMeses)/12,0))</f>
        <v>8</v>
      </c>
      <c r="CX7" s="31" t="n">
        <f aca="false">IF(96&lt;=p_ImplMeses,0,ROUNDUP((96-p_ImplMeses)/12,0))</f>
        <v>8</v>
      </c>
      <c r="CY7" s="31" t="n">
        <f aca="false">IF(97&lt;=p_ImplMeses,0,ROUNDUP((97-p_ImplMeses)/12,0))</f>
        <v>9</v>
      </c>
      <c r="CZ7" s="31" t="n">
        <f aca="false">IF(98&lt;=p_ImplMeses,0,ROUNDUP((98-p_ImplMeses)/12,0))</f>
        <v>9</v>
      </c>
      <c r="DA7" s="31" t="n">
        <f aca="false">IF(99&lt;=p_ImplMeses,0,ROUNDUP((99-p_ImplMeses)/12,0))</f>
        <v>9</v>
      </c>
      <c r="DB7" s="31" t="n">
        <f aca="false">IF(100&lt;=p_ImplMeses,0,ROUNDUP((100-p_ImplMeses)/12,0))</f>
        <v>9</v>
      </c>
      <c r="DC7" s="31" t="n">
        <f aca="false">IF(101&lt;=p_ImplMeses,0,ROUNDUP((101-p_ImplMeses)/12,0))</f>
        <v>9</v>
      </c>
      <c r="DD7" s="31" t="n">
        <f aca="false">IF(102&lt;=p_ImplMeses,0,ROUNDUP((102-p_ImplMeses)/12,0))</f>
        <v>9</v>
      </c>
      <c r="DE7" s="31" t="n">
        <f aca="false">IF(103&lt;=p_ImplMeses,0,ROUNDUP((103-p_ImplMeses)/12,0))</f>
        <v>9</v>
      </c>
      <c r="DF7" s="31" t="n">
        <f aca="false">IF(104&lt;=p_ImplMeses,0,ROUNDUP((104-p_ImplMeses)/12,0))</f>
        <v>9</v>
      </c>
      <c r="DG7" s="31" t="n">
        <f aca="false">IF(105&lt;=p_ImplMeses,0,ROUNDUP((105-p_ImplMeses)/12,0))</f>
        <v>9</v>
      </c>
      <c r="DH7" s="31" t="n">
        <f aca="false">IF(106&lt;=p_ImplMeses,0,ROUNDUP((106-p_ImplMeses)/12,0))</f>
        <v>9</v>
      </c>
      <c r="DI7" s="31" t="n">
        <f aca="false">IF(107&lt;=p_ImplMeses,0,ROUNDUP((107-p_ImplMeses)/12,0))</f>
        <v>9</v>
      </c>
      <c r="DJ7" s="31" t="n">
        <f aca="false">IF(108&lt;=p_ImplMeses,0,ROUNDUP((108-p_ImplMeses)/12,0))</f>
        <v>9</v>
      </c>
      <c r="DK7" s="31" t="n">
        <f aca="false">IF(109&lt;=p_ImplMeses,0,ROUNDUP((109-p_ImplMeses)/12,0))</f>
        <v>10</v>
      </c>
      <c r="DL7" s="31" t="n">
        <f aca="false">IF(110&lt;=p_ImplMeses,0,ROUNDUP((110-p_ImplMeses)/12,0))</f>
        <v>10</v>
      </c>
      <c r="DM7" s="31" t="n">
        <f aca="false">IF(111&lt;=p_ImplMeses,0,ROUNDUP((111-p_ImplMeses)/12,0))</f>
        <v>10</v>
      </c>
      <c r="DN7" s="31" t="n">
        <f aca="false">IF(112&lt;=p_ImplMeses,0,ROUNDUP((112-p_ImplMeses)/12,0))</f>
        <v>10</v>
      </c>
      <c r="DO7" s="31" t="n">
        <f aca="false">IF(113&lt;=p_ImplMeses,0,ROUNDUP((113-p_ImplMeses)/12,0))</f>
        <v>10</v>
      </c>
      <c r="DP7" s="31" t="n">
        <f aca="false">IF(114&lt;=p_ImplMeses,0,ROUNDUP((114-p_ImplMeses)/12,0))</f>
        <v>10</v>
      </c>
      <c r="DQ7" s="31" t="n">
        <f aca="false">IF(115&lt;=p_ImplMeses,0,ROUNDUP((115-p_ImplMeses)/12,0))</f>
        <v>10</v>
      </c>
      <c r="DR7" s="31" t="n">
        <f aca="false">IF(116&lt;=p_ImplMeses,0,ROUNDUP((116-p_ImplMeses)/12,0))</f>
        <v>10</v>
      </c>
      <c r="DS7" s="31" t="n">
        <f aca="false">IF(117&lt;=p_ImplMeses,0,ROUNDUP((117-p_ImplMeses)/12,0))</f>
        <v>10</v>
      </c>
      <c r="DT7" s="31" t="n">
        <f aca="false">IF(118&lt;=p_ImplMeses,0,ROUNDUP((118-p_ImplMeses)/12,0))</f>
        <v>10</v>
      </c>
      <c r="DU7" s="31" t="n">
        <f aca="false">IF(119&lt;=p_ImplMeses,0,ROUNDUP((119-p_ImplMeses)/12,0))</f>
        <v>10</v>
      </c>
      <c r="DV7" s="31" t="n">
        <f aca="false">IF(120&lt;=p_ImplMeses,0,ROUNDUP((120-p_ImplMeses)/12,0))</f>
        <v>10</v>
      </c>
      <c r="DW7" s="31" t="n">
        <f aca="false">IF(121&lt;=p_ImplMeses,0,ROUNDUP((121-p_ImplMeses)/12,0))</f>
        <v>11</v>
      </c>
      <c r="DX7" s="31" t="n">
        <f aca="false">IF(122&lt;=p_ImplMeses,0,ROUNDUP((122-p_ImplMeses)/12,0))</f>
        <v>11</v>
      </c>
      <c r="DY7" s="31" t="n">
        <f aca="false">IF(123&lt;=p_ImplMeses,0,ROUNDUP((123-p_ImplMeses)/12,0))</f>
        <v>11</v>
      </c>
      <c r="DZ7" s="31" t="n">
        <f aca="false">IF(124&lt;=p_ImplMeses,0,ROUNDUP((124-p_ImplMeses)/12,0))</f>
        <v>11</v>
      </c>
      <c r="EA7" s="31" t="n">
        <f aca="false">IF(125&lt;=p_ImplMeses,0,ROUNDUP((125-p_ImplMeses)/12,0))</f>
        <v>11</v>
      </c>
      <c r="EB7" s="31" t="n">
        <f aca="false">IF(126&lt;=p_ImplMeses,0,ROUNDUP((126-p_ImplMeses)/12,0))</f>
        <v>11</v>
      </c>
      <c r="EC7" s="31" t="n">
        <f aca="false">IF(127&lt;=p_ImplMeses,0,ROUNDUP((127-p_ImplMeses)/12,0))</f>
        <v>11</v>
      </c>
      <c r="ED7" s="31" t="n">
        <f aca="false">IF(128&lt;=p_ImplMeses,0,ROUNDUP((128-p_ImplMeses)/12,0))</f>
        <v>11</v>
      </c>
      <c r="EE7" s="31" t="n">
        <f aca="false">IF(129&lt;=p_ImplMeses,0,ROUNDUP((129-p_ImplMeses)/12,0))</f>
        <v>11</v>
      </c>
      <c r="EF7" s="31" t="n">
        <f aca="false">IF(130&lt;=p_ImplMeses,0,ROUNDUP((130-p_ImplMeses)/12,0))</f>
        <v>11</v>
      </c>
      <c r="EG7" s="31" t="n">
        <f aca="false">IF(131&lt;=p_ImplMeses,0,ROUNDUP((131-p_ImplMeses)/12,0))</f>
        <v>11</v>
      </c>
      <c r="EH7" s="31" t="n">
        <f aca="false">IF(132&lt;=p_ImplMeses,0,ROUNDUP((132-p_ImplMeses)/12,0))</f>
        <v>11</v>
      </c>
      <c r="EI7" s="31" t="n">
        <f aca="false">IF(133&lt;=p_ImplMeses,0,ROUNDUP((133-p_ImplMeses)/12,0))</f>
        <v>12</v>
      </c>
      <c r="EJ7" s="31" t="n">
        <f aca="false">IF(134&lt;=p_ImplMeses,0,ROUNDUP((134-p_ImplMeses)/12,0))</f>
        <v>12</v>
      </c>
      <c r="EK7" s="31" t="n">
        <f aca="false">IF(135&lt;=p_ImplMeses,0,ROUNDUP((135-p_ImplMeses)/12,0))</f>
        <v>12</v>
      </c>
      <c r="EL7" s="31" t="n">
        <f aca="false">IF(136&lt;=p_ImplMeses,0,ROUNDUP((136-p_ImplMeses)/12,0))</f>
        <v>12</v>
      </c>
      <c r="EM7" s="31" t="n">
        <f aca="false">IF(137&lt;=p_ImplMeses,0,ROUNDUP((137-p_ImplMeses)/12,0))</f>
        <v>12</v>
      </c>
      <c r="EN7" s="31" t="n">
        <f aca="false">IF(138&lt;=p_ImplMeses,0,ROUNDUP((138-p_ImplMeses)/12,0))</f>
        <v>12</v>
      </c>
      <c r="EO7" s="31" t="n">
        <f aca="false">IF(139&lt;=p_ImplMeses,0,ROUNDUP((139-p_ImplMeses)/12,0))</f>
        <v>12</v>
      </c>
      <c r="EP7" s="31" t="n">
        <f aca="false">IF(140&lt;=p_ImplMeses,0,ROUNDUP((140-p_ImplMeses)/12,0))</f>
        <v>12</v>
      </c>
      <c r="EQ7" s="31" t="n">
        <f aca="false">IF(141&lt;=p_ImplMeses,0,ROUNDUP((141-p_ImplMeses)/12,0))</f>
        <v>12</v>
      </c>
      <c r="ER7" s="31" t="n">
        <f aca="false">IF(142&lt;=p_ImplMeses,0,ROUNDUP((142-p_ImplMeses)/12,0))</f>
        <v>12</v>
      </c>
      <c r="ES7" s="31" t="n">
        <f aca="false">IF(143&lt;=p_ImplMeses,0,ROUNDUP((143-p_ImplMeses)/12,0))</f>
        <v>12</v>
      </c>
      <c r="ET7" s="31" t="n">
        <f aca="false">IF(144&lt;=p_ImplMeses,0,ROUNDUP((144-p_ImplMeses)/12,0))</f>
        <v>12</v>
      </c>
      <c r="EU7" s="31" t="n">
        <f aca="false">IF(145&lt;=p_ImplMeses,0,ROUNDUP((145-p_ImplMeses)/12,0))</f>
        <v>13</v>
      </c>
      <c r="EV7" s="31" t="n">
        <f aca="false">IF(146&lt;=p_ImplMeses,0,ROUNDUP((146-p_ImplMeses)/12,0))</f>
        <v>13</v>
      </c>
      <c r="EW7" s="31" t="n">
        <f aca="false">IF(147&lt;=p_ImplMeses,0,ROUNDUP((147-p_ImplMeses)/12,0))</f>
        <v>13</v>
      </c>
      <c r="EX7" s="31" t="n">
        <f aca="false">IF(148&lt;=p_ImplMeses,0,ROUNDUP((148-p_ImplMeses)/12,0))</f>
        <v>13</v>
      </c>
      <c r="EY7" s="31" t="n">
        <f aca="false">IF(149&lt;=p_ImplMeses,0,ROUNDUP((149-p_ImplMeses)/12,0))</f>
        <v>13</v>
      </c>
      <c r="EZ7" s="31" t="n">
        <f aca="false">IF(150&lt;=p_ImplMeses,0,ROUNDUP((150-p_ImplMeses)/12,0))</f>
        <v>13</v>
      </c>
      <c r="FA7" s="31" t="n">
        <f aca="false">IF(151&lt;=p_ImplMeses,0,ROUNDUP((151-p_ImplMeses)/12,0))</f>
        <v>13</v>
      </c>
      <c r="FB7" s="31" t="n">
        <f aca="false">IF(152&lt;=p_ImplMeses,0,ROUNDUP((152-p_ImplMeses)/12,0))</f>
        <v>13</v>
      </c>
      <c r="FC7" s="31" t="n">
        <f aca="false">IF(153&lt;=p_ImplMeses,0,ROUNDUP((153-p_ImplMeses)/12,0))</f>
        <v>13</v>
      </c>
      <c r="FD7" s="31" t="n">
        <f aca="false">IF(154&lt;=p_ImplMeses,0,ROUNDUP((154-p_ImplMeses)/12,0))</f>
        <v>13</v>
      </c>
      <c r="FE7" s="31" t="n">
        <f aca="false">IF(155&lt;=p_ImplMeses,0,ROUNDUP((155-p_ImplMeses)/12,0))</f>
        <v>13</v>
      </c>
      <c r="FF7" s="31" t="n">
        <f aca="false">IF(156&lt;=p_ImplMeses,0,ROUNDUP((156-p_ImplMeses)/12,0))</f>
        <v>13</v>
      </c>
    </row>
    <row r="8" customFormat="false" ht="15" hidden="false" customHeight="false" outlineLevel="0" collapsed="false">
      <c r="A8" s="2" t="s">
        <v>775</v>
      </c>
      <c r="B8" s="8" t="s">
        <v>776</v>
      </c>
      <c r="C8" s="8" t="s">
        <v>351</v>
      </c>
      <c r="F8" s="31" t="n">
        <f aca="false">IF(AND(0&gt;p_ImplMeses,MOD(0-p_ImplMeses-1,12)=0),1,0)</f>
        <v>0</v>
      </c>
      <c r="G8" s="31" t="n">
        <f aca="false">IF(AND(1&gt;p_ImplMeses,MOD(1-p_ImplMeses-1,12)=0),1,0)</f>
        <v>1</v>
      </c>
      <c r="H8" s="31" t="n">
        <f aca="false">IF(AND(2&gt;p_ImplMeses,MOD(2-p_ImplMeses-1,12)=0),1,0)</f>
        <v>0</v>
      </c>
      <c r="I8" s="31" t="n">
        <f aca="false">IF(AND(3&gt;p_ImplMeses,MOD(3-p_ImplMeses-1,12)=0),1,0)</f>
        <v>0</v>
      </c>
      <c r="J8" s="31" t="n">
        <f aca="false">IF(AND(4&gt;p_ImplMeses,MOD(4-p_ImplMeses-1,12)=0),1,0)</f>
        <v>0</v>
      </c>
      <c r="K8" s="31" t="n">
        <f aca="false">IF(AND(5&gt;p_ImplMeses,MOD(5-p_ImplMeses-1,12)=0),1,0)</f>
        <v>0</v>
      </c>
      <c r="L8" s="31" t="n">
        <f aca="false">IF(AND(6&gt;p_ImplMeses,MOD(6-p_ImplMeses-1,12)=0),1,0)</f>
        <v>0</v>
      </c>
      <c r="M8" s="31" t="n">
        <f aca="false">IF(AND(7&gt;p_ImplMeses,MOD(7-p_ImplMeses-1,12)=0),1,0)</f>
        <v>0</v>
      </c>
      <c r="N8" s="31" t="n">
        <f aca="false">IF(AND(8&gt;p_ImplMeses,MOD(8-p_ImplMeses-1,12)=0),1,0)</f>
        <v>0</v>
      </c>
      <c r="O8" s="31" t="n">
        <f aca="false">IF(AND(9&gt;p_ImplMeses,MOD(9-p_ImplMeses-1,12)=0),1,0)</f>
        <v>0</v>
      </c>
      <c r="P8" s="31" t="n">
        <f aca="false">IF(AND(10&gt;p_ImplMeses,MOD(10-p_ImplMeses-1,12)=0),1,0)</f>
        <v>0</v>
      </c>
      <c r="Q8" s="31" t="n">
        <f aca="false">IF(AND(11&gt;p_ImplMeses,MOD(11-p_ImplMeses-1,12)=0),1,0)</f>
        <v>0</v>
      </c>
      <c r="R8" s="31" t="n">
        <f aca="false">IF(AND(12&gt;p_ImplMeses,MOD(12-p_ImplMeses-1,12)=0),1,0)</f>
        <v>0</v>
      </c>
      <c r="S8" s="31" t="n">
        <f aca="false">IF(AND(13&gt;p_ImplMeses,MOD(13-p_ImplMeses-1,12)=0),1,0)</f>
        <v>1</v>
      </c>
      <c r="T8" s="31" t="n">
        <f aca="false">IF(AND(14&gt;p_ImplMeses,MOD(14-p_ImplMeses-1,12)=0),1,0)</f>
        <v>0</v>
      </c>
      <c r="U8" s="31" t="n">
        <f aca="false">IF(AND(15&gt;p_ImplMeses,MOD(15-p_ImplMeses-1,12)=0),1,0)</f>
        <v>0</v>
      </c>
      <c r="V8" s="31" t="n">
        <f aca="false">IF(AND(16&gt;p_ImplMeses,MOD(16-p_ImplMeses-1,12)=0),1,0)</f>
        <v>0</v>
      </c>
      <c r="W8" s="31" t="n">
        <f aca="false">IF(AND(17&gt;p_ImplMeses,MOD(17-p_ImplMeses-1,12)=0),1,0)</f>
        <v>0</v>
      </c>
      <c r="X8" s="31" t="n">
        <f aca="false">IF(AND(18&gt;p_ImplMeses,MOD(18-p_ImplMeses-1,12)=0),1,0)</f>
        <v>0</v>
      </c>
      <c r="Y8" s="31" t="n">
        <f aca="false">IF(AND(19&gt;p_ImplMeses,MOD(19-p_ImplMeses-1,12)=0),1,0)</f>
        <v>0</v>
      </c>
      <c r="Z8" s="31" t="n">
        <f aca="false">IF(AND(20&gt;p_ImplMeses,MOD(20-p_ImplMeses-1,12)=0),1,0)</f>
        <v>0</v>
      </c>
      <c r="AA8" s="31" t="n">
        <f aca="false">IF(AND(21&gt;p_ImplMeses,MOD(21-p_ImplMeses-1,12)=0),1,0)</f>
        <v>0</v>
      </c>
      <c r="AB8" s="31" t="n">
        <f aca="false">IF(AND(22&gt;p_ImplMeses,MOD(22-p_ImplMeses-1,12)=0),1,0)</f>
        <v>0</v>
      </c>
      <c r="AC8" s="31" t="n">
        <f aca="false">IF(AND(23&gt;p_ImplMeses,MOD(23-p_ImplMeses-1,12)=0),1,0)</f>
        <v>0</v>
      </c>
      <c r="AD8" s="31" t="n">
        <f aca="false">IF(AND(24&gt;p_ImplMeses,MOD(24-p_ImplMeses-1,12)=0),1,0)</f>
        <v>0</v>
      </c>
      <c r="AE8" s="31" t="n">
        <f aca="false">IF(AND(25&gt;p_ImplMeses,MOD(25-p_ImplMeses-1,12)=0),1,0)</f>
        <v>1</v>
      </c>
      <c r="AF8" s="31" t="n">
        <f aca="false">IF(AND(26&gt;p_ImplMeses,MOD(26-p_ImplMeses-1,12)=0),1,0)</f>
        <v>0</v>
      </c>
      <c r="AG8" s="31" t="n">
        <f aca="false">IF(AND(27&gt;p_ImplMeses,MOD(27-p_ImplMeses-1,12)=0),1,0)</f>
        <v>0</v>
      </c>
      <c r="AH8" s="31" t="n">
        <f aca="false">IF(AND(28&gt;p_ImplMeses,MOD(28-p_ImplMeses-1,12)=0),1,0)</f>
        <v>0</v>
      </c>
      <c r="AI8" s="31" t="n">
        <f aca="false">IF(AND(29&gt;p_ImplMeses,MOD(29-p_ImplMeses-1,12)=0),1,0)</f>
        <v>0</v>
      </c>
      <c r="AJ8" s="31" t="n">
        <f aca="false">IF(AND(30&gt;p_ImplMeses,MOD(30-p_ImplMeses-1,12)=0),1,0)</f>
        <v>0</v>
      </c>
      <c r="AK8" s="31" t="n">
        <f aca="false">IF(AND(31&gt;p_ImplMeses,MOD(31-p_ImplMeses-1,12)=0),1,0)</f>
        <v>0</v>
      </c>
      <c r="AL8" s="31" t="n">
        <f aca="false">IF(AND(32&gt;p_ImplMeses,MOD(32-p_ImplMeses-1,12)=0),1,0)</f>
        <v>0</v>
      </c>
      <c r="AM8" s="31" t="n">
        <f aca="false">IF(AND(33&gt;p_ImplMeses,MOD(33-p_ImplMeses-1,12)=0),1,0)</f>
        <v>0</v>
      </c>
      <c r="AN8" s="31" t="n">
        <f aca="false">IF(AND(34&gt;p_ImplMeses,MOD(34-p_ImplMeses-1,12)=0),1,0)</f>
        <v>0</v>
      </c>
      <c r="AO8" s="31" t="n">
        <f aca="false">IF(AND(35&gt;p_ImplMeses,MOD(35-p_ImplMeses-1,12)=0),1,0)</f>
        <v>0</v>
      </c>
      <c r="AP8" s="31" t="n">
        <f aca="false">IF(AND(36&gt;p_ImplMeses,MOD(36-p_ImplMeses-1,12)=0),1,0)</f>
        <v>0</v>
      </c>
      <c r="AQ8" s="31" t="n">
        <f aca="false">IF(AND(37&gt;p_ImplMeses,MOD(37-p_ImplMeses-1,12)=0),1,0)</f>
        <v>1</v>
      </c>
      <c r="AR8" s="31" t="n">
        <f aca="false">IF(AND(38&gt;p_ImplMeses,MOD(38-p_ImplMeses-1,12)=0),1,0)</f>
        <v>0</v>
      </c>
      <c r="AS8" s="31" t="n">
        <f aca="false">IF(AND(39&gt;p_ImplMeses,MOD(39-p_ImplMeses-1,12)=0),1,0)</f>
        <v>0</v>
      </c>
      <c r="AT8" s="31" t="n">
        <f aca="false">IF(AND(40&gt;p_ImplMeses,MOD(40-p_ImplMeses-1,12)=0),1,0)</f>
        <v>0</v>
      </c>
      <c r="AU8" s="31" t="n">
        <f aca="false">IF(AND(41&gt;p_ImplMeses,MOD(41-p_ImplMeses-1,12)=0),1,0)</f>
        <v>0</v>
      </c>
      <c r="AV8" s="31" t="n">
        <f aca="false">IF(AND(42&gt;p_ImplMeses,MOD(42-p_ImplMeses-1,12)=0),1,0)</f>
        <v>0</v>
      </c>
      <c r="AW8" s="31" t="n">
        <f aca="false">IF(AND(43&gt;p_ImplMeses,MOD(43-p_ImplMeses-1,12)=0),1,0)</f>
        <v>0</v>
      </c>
      <c r="AX8" s="31" t="n">
        <f aca="false">IF(AND(44&gt;p_ImplMeses,MOD(44-p_ImplMeses-1,12)=0),1,0)</f>
        <v>0</v>
      </c>
      <c r="AY8" s="31" t="n">
        <f aca="false">IF(AND(45&gt;p_ImplMeses,MOD(45-p_ImplMeses-1,12)=0),1,0)</f>
        <v>0</v>
      </c>
      <c r="AZ8" s="31" t="n">
        <f aca="false">IF(AND(46&gt;p_ImplMeses,MOD(46-p_ImplMeses-1,12)=0),1,0)</f>
        <v>0</v>
      </c>
      <c r="BA8" s="31" t="n">
        <f aca="false">IF(AND(47&gt;p_ImplMeses,MOD(47-p_ImplMeses-1,12)=0),1,0)</f>
        <v>0</v>
      </c>
      <c r="BB8" s="31" t="n">
        <f aca="false">IF(AND(48&gt;p_ImplMeses,MOD(48-p_ImplMeses-1,12)=0),1,0)</f>
        <v>0</v>
      </c>
      <c r="BC8" s="31" t="n">
        <f aca="false">IF(AND(49&gt;p_ImplMeses,MOD(49-p_ImplMeses-1,12)=0),1,0)</f>
        <v>1</v>
      </c>
      <c r="BD8" s="31" t="n">
        <f aca="false">IF(AND(50&gt;p_ImplMeses,MOD(50-p_ImplMeses-1,12)=0),1,0)</f>
        <v>0</v>
      </c>
      <c r="BE8" s="31" t="n">
        <f aca="false">IF(AND(51&gt;p_ImplMeses,MOD(51-p_ImplMeses-1,12)=0),1,0)</f>
        <v>0</v>
      </c>
      <c r="BF8" s="31" t="n">
        <f aca="false">IF(AND(52&gt;p_ImplMeses,MOD(52-p_ImplMeses-1,12)=0),1,0)</f>
        <v>0</v>
      </c>
      <c r="BG8" s="31" t="n">
        <f aca="false">IF(AND(53&gt;p_ImplMeses,MOD(53-p_ImplMeses-1,12)=0),1,0)</f>
        <v>0</v>
      </c>
      <c r="BH8" s="31" t="n">
        <f aca="false">IF(AND(54&gt;p_ImplMeses,MOD(54-p_ImplMeses-1,12)=0),1,0)</f>
        <v>0</v>
      </c>
      <c r="BI8" s="31" t="n">
        <f aca="false">IF(AND(55&gt;p_ImplMeses,MOD(55-p_ImplMeses-1,12)=0),1,0)</f>
        <v>0</v>
      </c>
      <c r="BJ8" s="31" t="n">
        <f aca="false">IF(AND(56&gt;p_ImplMeses,MOD(56-p_ImplMeses-1,12)=0),1,0)</f>
        <v>0</v>
      </c>
      <c r="BK8" s="31" t="n">
        <f aca="false">IF(AND(57&gt;p_ImplMeses,MOD(57-p_ImplMeses-1,12)=0),1,0)</f>
        <v>0</v>
      </c>
      <c r="BL8" s="31" t="n">
        <f aca="false">IF(AND(58&gt;p_ImplMeses,MOD(58-p_ImplMeses-1,12)=0),1,0)</f>
        <v>0</v>
      </c>
      <c r="BM8" s="31" t="n">
        <f aca="false">IF(AND(59&gt;p_ImplMeses,MOD(59-p_ImplMeses-1,12)=0),1,0)</f>
        <v>0</v>
      </c>
      <c r="BN8" s="31" t="n">
        <f aca="false">IF(AND(60&gt;p_ImplMeses,MOD(60-p_ImplMeses-1,12)=0),1,0)</f>
        <v>0</v>
      </c>
      <c r="BO8" s="31" t="n">
        <f aca="false">IF(AND(61&gt;p_ImplMeses,MOD(61-p_ImplMeses-1,12)=0),1,0)</f>
        <v>1</v>
      </c>
      <c r="BP8" s="31" t="n">
        <f aca="false">IF(AND(62&gt;p_ImplMeses,MOD(62-p_ImplMeses-1,12)=0),1,0)</f>
        <v>0</v>
      </c>
      <c r="BQ8" s="31" t="n">
        <f aca="false">IF(AND(63&gt;p_ImplMeses,MOD(63-p_ImplMeses-1,12)=0),1,0)</f>
        <v>0</v>
      </c>
      <c r="BR8" s="31" t="n">
        <f aca="false">IF(AND(64&gt;p_ImplMeses,MOD(64-p_ImplMeses-1,12)=0),1,0)</f>
        <v>0</v>
      </c>
      <c r="BS8" s="31" t="n">
        <f aca="false">IF(AND(65&gt;p_ImplMeses,MOD(65-p_ImplMeses-1,12)=0),1,0)</f>
        <v>0</v>
      </c>
      <c r="BT8" s="31" t="n">
        <f aca="false">IF(AND(66&gt;p_ImplMeses,MOD(66-p_ImplMeses-1,12)=0),1,0)</f>
        <v>0</v>
      </c>
      <c r="BU8" s="31" t="n">
        <f aca="false">IF(AND(67&gt;p_ImplMeses,MOD(67-p_ImplMeses-1,12)=0),1,0)</f>
        <v>0</v>
      </c>
      <c r="BV8" s="31" t="n">
        <f aca="false">IF(AND(68&gt;p_ImplMeses,MOD(68-p_ImplMeses-1,12)=0),1,0)</f>
        <v>0</v>
      </c>
      <c r="BW8" s="31" t="n">
        <f aca="false">IF(AND(69&gt;p_ImplMeses,MOD(69-p_ImplMeses-1,12)=0),1,0)</f>
        <v>0</v>
      </c>
      <c r="BX8" s="31" t="n">
        <f aca="false">IF(AND(70&gt;p_ImplMeses,MOD(70-p_ImplMeses-1,12)=0),1,0)</f>
        <v>0</v>
      </c>
      <c r="BY8" s="31" t="n">
        <f aca="false">IF(AND(71&gt;p_ImplMeses,MOD(71-p_ImplMeses-1,12)=0),1,0)</f>
        <v>0</v>
      </c>
      <c r="BZ8" s="31" t="n">
        <f aca="false">IF(AND(72&gt;p_ImplMeses,MOD(72-p_ImplMeses-1,12)=0),1,0)</f>
        <v>0</v>
      </c>
      <c r="CA8" s="31" t="n">
        <f aca="false">IF(AND(73&gt;p_ImplMeses,MOD(73-p_ImplMeses-1,12)=0),1,0)</f>
        <v>1</v>
      </c>
      <c r="CB8" s="31" t="n">
        <f aca="false">IF(AND(74&gt;p_ImplMeses,MOD(74-p_ImplMeses-1,12)=0),1,0)</f>
        <v>0</v>
      </c>
      <c r="CC8" s="31" t="n">
        <f aca="false">IF(AND(75&gt;p_ImplMeses,MOD(75-p_ImplMeses-1,12)=0),1,0)</f>
        <v>0</v>
      </c>
      <c r="CD8" s="31" t="n">
        <f aca="false">IF(AND(76&gt;p_ImplMeses,MOD(76-p_ImplMeses-1,12)=0),1,0)</f>
        <v>0</v>
      </c>
      <c r="CE8" s="31" t="n">
        <f aca="false">IF(AND(77&gt;p_ImplMeses,MOD(77-p_ImplMeses-1,12)=0),1,0)</f>
        <v>0</v>
      </c>
      <c r="CF8" s="31" t="n">
        <f aca="false">IF(AND(78&gt;p_ImplMeses,MOD(78-p_ImplMeses-1,12)=0),1,0)</f>
        <v>0</v>
      </c>
      <c r="CG8" s="31" t="n">
        <f aca="false">IF(AND(79&gt;p_ImplMeses,MOD(79-p_ImplMeses-1,12)=0),1,0)</f>
        <v>0</v>
      </c>
      <c r="CH8" s="31" t="n">
        <f aca="false">IF(AND(80&gt;p_ImplMeses,MOD(80-p_ImplMeses-1,12)=0),1,0)</f>
        <v>0</v>
      </c>
      <c r="CI8" s="31" t="n">
        <f aca="false">IF(AND(81&gt;p_ImplMeses,MOD(81-p_ImplMeses-1,12)=0),1,0)</f>
        <v>0</v>
      </c>
      <c r="CJ8" s="31" t="n">
        <f aca="false">IF(AND(82&gt;p_ImplMeses,MOD(82-p_ImplMeses-1,12)=0),1,0)</f>
        <v>0</v>
      </c>
      <c r="CK8" s="31" t="n">
        <f aca="false">IF(AND(83&gt;p_ImplMeses,MOD(83-p_ImplMeses-1,12)=0),1,0)</f>
        <v>0</v>
      </c>
      <c r="CL8" s="31" t="n">
        <f aca="false">IF(AND(84&gt;p_ImplMeses,MOD(84-p_ImplMeses-1,12)=0),1,0)</f>
        <v>0</v>
      </c>
      <c r="CM8" s="31" t="n">
        <f aca="false">IF(AND(85&gt;p_ImplMeses,MOD(85-p_ImplMeses-1,12)=0),1,0)</f>
        <v>1</v>
      </c>
      <c r="CN8" s="31" t="n">
        <f aca="false">IF(AND(86&gt;p_ImplMeses,MOD(86-p_ImplMeses-1,12)=0),1,0)</f>
        <v>0</v>
      </c>
      <c r="CO8" s="31" t="n">
        <f aca="false">IF(AND(87&gt;p_ImplMeses,MOD(87-p_ImplMeses-1,12)=0),1,0)</f>
        <v>0</v>
      </c>
      <c r="CP8" s="31" t="n">
        <f aca="false">IF(AND(88&gt;p_ImplMeses,MOD(88-p_ImplMeses-1,12)=0),1,0)</f>
        <v>0</v>
      </c>
      <c r="CQ8" s="31" t="n">
        <f aca="false">IF(AND(89&gt;p_ImplMeses,MOD(89-p_ImplMeses-1,12)=0),1,0)</f>
        <v>0</v>
      </c>
      <c r="CR8" s="31" t="n">
        <f aca="false">IF(AND(90&gt;p_ImplMeses,MOD(90-p_ImplMeses-1,12)=0),1,0)</f>
        <v>0</v>
      </c>
      <c r="CS8" s="31" t="n">
        <f aca="false">IF(AND(91&gt;p_ImplMeses,MOD(91-p_ImplMeses-1,12)=0),1,0)</f>
        <v>0</v>
      </c>
      <c r="CT8" s="31" t="n">
        <f aca="false">IF(AND(92&gt;p_ImplMeses,MOD(92-p_ImplMeses-1,12)=0),1,0)</f>
        <v>0</v>
      </c>
      <c r="CU8" s="31" t="n">
        <f aca="false">IF(AND(93&gt;p_ImplMeses,MOD(93-p_ImplMeses-1,12)=0),1,0)</f>
        <v>0</v>
      </c>
      <c r="CV8" s="31" t="n">
        <f aca="false">IF(AND(94&gt;p_ImplMeses,MOD(94-p_ImplMeses-1,12)=0),1,0)</f>
        <v>0</v>
      </c>
      <c r="CW8" s="31" t="n">
        <f aca="false">IF(AND(95&gt;p_ImplMeses,MOD(95-p_ImplMeses-1,12)=0),1,0)</f>
        <v>0</v>
      </c>
      <c r="CX8" s="31" t="n">
        <f aca="false">IF(AND(96&gt;p_ImplMeses,MOD(96-p_ImplMeses-1,12)=0),1,0)</f>
        <v>0</v>
      </c>
      <c r="CY8" s="31" t="n">
        <f aca="false">IF(AND(97&gt;p_ImplMeses,MOD(97-p_ImplMeses-1,12)=0),1,0)</f>
        <v>1</v>
      </c>
      <c r="CZ8" s="31" t="n">
        <f aca="false">IF(AND(98&gt;p_ImplMeses,MOD(98-p_ImplMeses-1,12)=0),1,0)</f>
        <v>0</v>
      </c>
      <c r="DA8" s="31" t="n">
        <f aca="false">IF(AND(99&gt;p_ImplMeses,MOD(99-p_ImplMeses-1,12)=0),1,0)</f>
        <v>0</v>
      </c>
      <c r="DB8" s="31" t="n">
        <f aca="false">IF(AND(100&gt;p_ImplMeses,MOD(100-p_ImplMeses-1,12)=0),1,0)</f>
        <v>0</v>
      </c>
      <c r="DC8" s="31" t="n">
        <f aca="false">IF(AND(101&gt;p_ImplMeses,MOD(101-p_ImplMeses-1,12)=0),1,0)</f>
        <v>0</v>
      </c>
      <c r="DD8" s="31" t="n">
        <f aca="false">IF(AND(102&gt;p_ImplMeses,MOD(102-p_ImplMeses-1,12)=0),1,0)</f>
        <v>0</v>
      </c>
      <c r="DE8" s="31" t="n">
        <f aca="false">IF(AND(103&gt;p_ImplMeses,MOD(103-p_ImplMeses-1,12)=0),1,0)</f>
        <v>0</v>
      </c>
      <c r="DF8" s="31" t="n">
        <f aca="false">IF(AND(104&gt;p_ImplMeses,MOD(104-p_ImplMeses-1,12)=0),1,0)</f>
        <v>0</v>
      </c>
      <c r="DG8" s="31" t="n">
        <f aca="false">IF(AND(105&gt;p_ImplMeses,MOD(105-p_ImplMeses-1,12)=0),1,0)</f>
        <v>0</v>
      </c>
      <c r="DH8" s="31" t="n">
        <f aca="false">IF(AND(106&gt;p_ImplMeses,MOD(106-p_ImplMeses-1,12)=0),1,0)</f>
        <v>0</v>
      </c>
      <c r="DI8" s="31" t="n">
        <f aca="false">IF(AND(107&gt;p_ImplMeses,MOD(107-p_ImplMeses-1,12)=0),1,0)</f>
        <v>0</v>
      </c>
      <c r="DJ8" s="31" t="n">
        <f aca="false">IF(AND(108&gt;p_ImplMeses,MOD(108-p_ImplMeses-1,12)=0),1,0)</f>
        <v>0</v>
      </c>
      <c r="DK8" s="31" t="n">
        <f aca="false">IF(AND(109&gt;p_ImplMeses,MOD(109-p_ImplMeses-1,12)=0),1,0)</f>
        <v>1</v>
      </c>
      <c r="DL8" s="31" t="n">
        <f aca="false">IF(AND(110&gt;p_ImplMeses,MOD(110-p_ImplMeses-1,12)=0),1,0)</f>
        <v>0</v>
      </c>
      <c r="DM8" s="31" t="n">
        <f aca="false">IF(AND(111&gt;p_ImplMeses,MOD(111-p_ImplMeses-1,12)=0),1,0)</f>
        <v>0</v>
      </c>
      <c r="DN8" s="31" t="n">
        <f aca="false">IF(AND(112&gt;p_ImplMeses,MOD(112-p_ImplMeses-1,12)=0),1,0)</f>
        <v>0</v>
      </c>
      <c r="DO8" s="31" t="n">
        <f aca="false">IF(AND(113&gt;p_ImplMeses,MOD(113-p_ImplMeses-1,12)=0),1,0)</f>
        <v>0</v>
      </c>
      <c r="DP8" s="31" t="n">
        <f aca="false">IF(AND(114&gt;p_ImplMeses,MOD(114-p_ImplMeses-1,12)=0),1,0)</f>
        <v>0</v>
      </c>
      <c r="DQ8" s="31" t="n">
        <f aca="false">IF(AND(115&gt;p_ImplMeses,MOD(115-p_ImplMeses-1,12)=0),1,0)</f>
        <v>0</v>
      </c>
      <c r="DR8" s="31" t="n">
        <f aca="false">IF(AND(116&gt;p_ImplMeses,MOD(116-p_ImplMeses-1,12)=0),1,0)</f>
        <v>0</v>
      </c>
      <c r="DS8" s="31" t="n">
        <f aca="false">IF(AND(117&gt;p_ImplMeses,MOD(117-p_ImplMeses-1,12)=0),1,0)</f>
        <v>0</v>
      </c>
      <c r="DT8" s="31" t="n">
        <f aca="false">IF(AND(118&gt;p_ImplMeses,MOD(118-p_ImplMeses-1,12)=0),1,0)</f>
        <v>0</v>
      </c>
      <c r="DU8" s="31" t="n">
        <f aca="false">IF(AND(119&gt;p_ImplMeses,MOD(119-p_ImplMeses-1,12)=0),1,0)</f>
        <v>0</v>
      </c>
      <c r="DV8" s="31" t="n">
        <f aca="false">IF(AND(120&gt;p_ImplMeses,MOD(120-p_ImplMeses-1,12)=0),1,0)</f>
        <v>0</v>
      </c>
      <c r="DW8" s="31" t="n">
        <f aca="false">IF(AND(121&gt;p_ImplMeses,MOD(121-p_ImplMeses-1,12)=0),1,0)</f>
        <v>1</v>
      </c>
      <c r="DX8" s="31" t="n">
        <f aca="false">IF(AND(122&gt;p_ImplMeses,MOD(122-p_ImplMeses-1,12)=0),1,0)</f>
        <v>0</v>
      </c>
      <c r="DY8" s="31" t="n">
        <f aca="false">IF(AND(123&gt;p_ImplMeses,MOD(123-p_ImplMeses-1,12)=0),1,0)</f>
        <v>0</v>
      </c>
      <c r="DZ8" s="31" t="n">
        <f aca="false">IF(AND(124&gt;p_ImplMeses,MOD(124-p_ImplMeses-1,12)=0),1,0)</f>
        <v>0</v>
      </c>
      <c r="EA8" s="31" t="n">
        <f aca="false">IF(AND(125&gt;p_ImplMeses,MOD(125-p_ImplMeses-1,12)=0),1,0)</f>
        <v>0</v>
      </c>
      <c r="EB8" s="31" t="n">
        <f aca="false">IF(AND(126&gt;p_ImplMeses,MOD(126-p_ImplMeses-1,12)=0),1,0)</f>
        <v>0</v>
      </c>
      <c r="EC8" s="31" t="n">
        <f aca="false">IF(AND(127&gt;p_ImplMeses,MOD(127-p_ImplMeses-1,12)=0),1,0)</f>
        <v>0</v>
      </c>
      <c r="ED8" s="31" t="n">
        <f aca="false">IF(AND(128&gt;p_ImplMeses,MOD(128-p_ImplMeses-1,12)=0),1,0)</f>
        <v>0</v>
      </c>
      <c r="EE8" s="31" t="n">
        <f aca="false">IF(AND(129&gt;p_ImplMeses,MOD(129-p_ImplMeses-1,12)=0),1,0)</f>
        <v>0</v>
      </c>
      <c r="EF8" s="31" t="n">
        <f aca="false">IF(AND(130&gt;p_ImplMeses,MOD(130-p_ImplMeses-1,12)=0),1,0)</f>
        <v>0</v>
      </c>
      <c r="EG8" s="31" t="n">
        <f aca="false">IF(AND(131&gt;p_ImplMeses,MOD(131-p_ImplMeses-1,12)=0),1,0)</f>
        <v>0</v>
      </c>
      <c r="EH8" s="31" t="n">
        <f aca="false">IF(AND(132&gt;p_ImplMeses,MOD(132-p_ImplMeses-1,12)=0),1,0)</f>
        <v>0</v>
      </c>
      <c r="EI8" s="31" t="n">
        <f aca="false">IF(AND(133&gt;p_ImplMeses,MOD(133-p_ImplMeses-1,12)=0),1,0)</f>
        <v>1</v>
      </c>
      <c r="EJ8" s="31" t="n">
        <f aca="false">IF(AND(134&gt;p_ImplMeses,MOD(134-p_ImplMeses-1,12)=0),1,0)</f>
        <v>0</v>
      </c>
      <c r="EK8" s="31" t="n">
        <f aca="false">IF(AND(135&gt;p_ImplMeses,MOD(135-p_ImplMeses-1,12)=0),1,0)</f>
        <v>0</v>
      </c>
      <c r="EL8" s="31" t="n">
        <f aca="false">IF(AND(136&gt;p_ImplMeses,MOD(136-p_ImplMeses-1,12)=0),1,0)</f>
        <v>0</v>
      </c>
      <c r="EM8" s="31" t="n">
        <f aca="false">IF(AND(137&gt;p_ImplMeses,MOD(137-p_ImplMeses-1,12)=0),1,0)</f>
        <v>0</v>
      </c>
      <c r="EN8" s="31" t="n">
        <f aca="false">IF(AND(138&gt;p_ImplMeses,MOD(138-p_ImplMeses-1,12)=0),1,0)</f>
        <v>0</v>
      </c>
      <c r="EO8" s="31" t="n">
        <f aca="false">IF(AND(139&gt;p_ImplMeses,MOD(139-p_ImplMeses-1,12)=0),1,0)</f>
        <v>0</v>
      </c>
      <c r="EP8" s="31" t="n">
        <f aca="false">IF(AND(140&gt;p_ImplMeses,MOD(140-p_ImplMeses-1,12)=0),1,0)</f>
        <v>0</v>
      </c>
      <c r="EQ8" s="31" t="n">
        <f aca="false">IF(AND(141&gt;p_ImplMeses,MOD(141-p_ImplMeses-1,12)=0),1,0)</f>
        <v>0</v>
      </c>
      <c r="ER8" s="31" t="n">
        <f aca="false">IF(AND(142&gt;p_ImplMeses,MOD(142-p_ImplMeses-1,12)=0),1,0)</f>
        <v>0</v>
      </c>
      <c r="ES8" s="31" t="n">
        <f aca="false">IF(AND(143&gt;p_ImplMeses,MOD(143-p_ImplMeses-1,12)=0),1,0)</f>
        <v>0</v>
      </c>
      <c r="ET8" s="31" t="n">
        <f aca="false">IF(AND(144&gt;p_ImplMeses,MOD(144-p_ImplMeses-1,12)=0),1,0)</f>
        <v>0</v>
      </c>
      <c r="EU8" s="31" t="n">
        <f aca="false">IF(AND(145&gt;p_ImplMeses,MOD(145-p_ImplMeses-1,12)=0),1,0)</f>
        <v>1</v>
      </c>
      <c r="EV8" s="31" t="n">
        <f aca="false">IF(AND(146&gt;p_ImplMeses,MOD(146-p_ImplMeses-1,12)=0),1,0)</f>
        <v>0</v>
      </c>
      <c r="EW8" s="31" t="n">
        <f aca="false">IF(AND(147&gt;p_ImplMeses,MOD(147-p_ImplMeses-1,12)=0),1,0)</f>
        <v>0</v>
      </c>
      <c r="EX8" s="31" t="n">
        <f aca="false">IF(AND(148&gt;p_ImplMeses,MOD(148-p_ImplMeses-1,12)=0),1,0)</f>
        <v>0</v>
      </c>
      <c r="EY8" s="31" t="n">
        <f aca="false">IF(AND(149&gt;p_ImplMeses,MOD(149-p_ImplMeses-1,12)=0),1,0)</f>
        <v>0</v>
      </c>
      <c r="EZ8" s="31" t="n">
        <f aca="false">IF(AND(150&gt;p_ImplMeses,MOD(150-p_ImplMeses-1,12)=0),1,0)</f>
        <v>0</v>
      </c>
      <c r="FA8" s="31" t="n">
        <f aca="false">IF(AND(151&gt;p_ImplMeses,MOD(151-p_ImplMeses-1,12)=0),1,0)</f>
        <v>0</v>
      </c>
      <c r="FB8" s="31" t="n">
        <f aca="false">IF(AND(152&gt;p_ImplMeses,MOD(152-p_ImplMeses-1,12)=0),1,0)</f>
        <v>0</v>
      </c>
      <c r="FC8" s="31" t="n">
        <f aca="false">IF(AND(153&gt;p_ImplMeses,MOD(153-p_ImplMeses-1,12)=0),1,0)</f>
        <v>0</v>
      </c>
      <c r="FD8" s="31" t="n">
        <f aca="false">IF(AND(154&gt;p_ImplMeses,MOD(154-p_ImplMeses-1,12)=0),1,0)</f>
        <v>0</v>
      </c>
      <c r="FE8" s="31" t="n">
        <f aca="false">IF(AND(155&gt;p_ImplMeses,MOD(155-p_ImplMeses-1,12)=0),1,0)</f>
        <v>0</v>
      </c>
      <c r="FF8" s="31" t="n">
        <f aca="false">IF(AND(156&gt;p_ImplMeses,MOD(156-p_ImplMeses-1,12)=0),1,0)</f>
        <v>0</v>
      </c>
    </row>
    <row r="9" customFormat="false" ht="15" hidden="false" customHeight="false" outlineLevel="0" collapsed="false">
      <c r="A9" s="2" t="s">
        <v>777</v>
      </c>
      <c r="B9" s="8" t="s">
        <v>778</v>
      </c>
      <c r="C9" s="8" t="s">
        <v>351</v>
      </c>
      <c r="F9" s="31" t="n">
        <f aca="false">IF(AND(0&gt;p_ImplMeses,MOD(0-p_ImplMeses,12)=0),1,0)</f>
        <v>0</v>
      </c>
      <c r="G9" s="31" t="n">
        <f aca="false">IF(AND(1&gt;p_ImplMeses,MOD(1-p_ImplMeses,12)=0),1,0)</f>
        <v>0</v>
      </c>
      <c r="H9" s="31" t="n">
        <f aca="false">IF(AND(2&gt;p_ImplMeses,MOD(2-p_ImplMeses,12)=0),1,0)</f>
        <v>0</v>
      </c>
      <c r="I9" s="31" t="n">
        <f aca="false">IF(AND(3&gt;p_ImplMeses,MOD(3-p_ImplMeses,12)=0),1,0)</f>
        <v>0</v>
      </c>
      <c r="J9" s="31" t="n">
        <f aca="false">IF(AND(4&gt;p_ImplMeses,MOD(4-p_ImplMeses,12)=0),1,0)</f>
        <v>0</v>
      </c>
      <c r="K9" s="31" t="n">
        <f aca="false">IF(AND(5&gt;p_ImplMeses,MOD(5-p_ImplMeses,12)=0),1,0)</f>
        <v>0</v>
      </c>
      <c r="L9" s="31" t="n">
        <f aca="false">IF(AND(6&gt;p_ImplMeses,MOD(6-p_ImplMeses,12)=0),1,0)</f>
        <v>0</v>
      </c>
      <c r="M9" s="31" t="n">
        <f aca="false">IF(AND(7&gt;p_ImplMeses,MOD(7-p_ImplMeses,12)=0),1,0)</f>
        <v>0</v>
      </c>
      <c r="N9" s="31" t="n">
        <f aca="false">IF(AND(8&gt;p_ImplMeses,MOD(8-p_ImplMeses,12)=0),1,0)</f>
        <v>0</v>
      </c>
      <c r="O9" s="31" t="n">
        <f aca="false">IF(AND(9&gt;p_ImplMeses,MOD(9-p_ImplMeses,12)=0),1,0)</f>
        <v>0</v>
      </c>
      <c r="P9" s="31" t="n">
        <f aca="false">IF(AND(10&gt;p_ImplMeses,MOD(10-p_ImplMeses,12)=0),1,0)</f>
        <v>0</v>
      </c>
      <c r="Q9" s="31" t="n">
        <f aca="false">IF(AND(11&gt;p_ImplMeses,MOD(11-p_ImplMeses,12)=0),1,0)</f>
        <v>0</v>
      </c>
      <c r="R9" s="31" t="n">
        <f aca="false">IF(AND(12&gt;p_ImplMeses,MOD(12-p_ImplMeses,12)=0),1,0)</f>
        <v>1</v>
      </c>
      <c r="S9" s="31" t="n">
        <f aca="false">IF(AND(13&gt;p_ImplMeses,MOD(13-p_ImplMeses,12)=0),1,0)</f>
        <v>0</v>
      </c>
      <c r="T9" s="31" t="n">
        <f aca="false">IF(AND(14&gt;p_ImplMeses,MOD(14-p_ImplMeses,12)=0),1,0)</f>
        <v>0</v>
      </c>
      <c r="U9" s="31" t="n">
        <f aca="false">IF(AND(15&gt;p_ImplMeses,MOD(15-p_ImplMeses,12)=0),1,0)</f>
        <v>0</v>
      </c>
      <c r="V9" s="31" t="n">
        <f aca="false">IF(AND(16&gt;p_ImplMeses,MOD(16-p_ImplMeses,12)=0),1,0)</f>
        <v>0</v>
      </c>
      <c r="W9" s="31" t="n">
        <f aca="false">IF(AND(17&gt;p_ImplMeses,MOD(17-p_ImplMeses,12)=0),1,0)</f>
        <v>0</v>
      </c>
      <c r="X9" s="31" t="n">
        <f aca="false">IF(AND(18&gt;p_ImplMeses,MOD(18-p_ImplMeses,12)=0),1,0)</f>
        <v>0</v>
      </c>
      <c r="Y9" s="31" t="n">
        <f aca="false">IF(AND(19&gt;p_ImplMeses,MOD(19-p_ImplMeses,12)=0),1,0)</f>
        <v>0</v>
      </c>
      <c r="Z9" s="31" t="n">
        <f aca="false">IF(AND(20&gt;p_ImplMeses,MOD(20-p_ImplMeses,12)=0),1,0)</f>
        <v>0</v>
      </c>
      <c r="AA9" s="31" t="n">
        <f aca="false">IF(AND(21&gt;p_ImplMeses,MOD(21-p_ImplMeses,12)=0),1,0)</f>
        <v>0</v>
      </c>
      <c r="AB9" s="31" t="n">
        <f aca="false">IF(AND(22&gt;p_ImplMeses,MOD(22-p_ImplMeses,12)=0),1,0)</f>
        <v>0</v>
      </c>
      <c r="AC9" s="31" t="n">
        <f aca="false">IF(AND(23&gt;p_ImplMeses,MOD(23-p_ImplMeses,12)=0),1,0)</f>
        <v>0</v>
      </c>
      <c r="AD9" s="31" t="n">
        <f aca="false">IF(AND(24&gt;p_ImplMeses,MOD(24-p_ImplMeses,12)=0),1,0)</f>
        <v>1</v>
      </c>
      <c r="AE9" s="31" t="n">
        <f aca="false">IF(AND(25&gt;p_ImplMeses,MOD(25-p_ImplMeses,12)=0),1,0)</f>
        <v>0</v>
      </c>
      <c r="AF9" s="31" t="n">
        <f aca="false">IF(AND(26&gt;p_ImplMeses,MOD(26-p_ImplMeses,12)=0),1,0)</f>
        <v>0</v>
      </c>
      <c r="AG9" s="31" t="n">
        <f aca="false">IF(AND(27&gt;p_ImplMeses,MOD(27-p_ImplMeses,12)=0),1,0)</f>
        <v>0</v>
      </c>
      <c r="AH9" s="31" t="n">
        <f aca="false">IF(AND(28&gt;p_ImplMeses,MOD(28-p_ImplMeses,12)=0),1,0)</f>
        <v>0</v>
      </c>
      <c r="AI9" s="31" t="n">
        <f aca="false">IF(AND(29&gt;p_ImplMeses,MOD(29-p_ImplMeses,12)=0),1,0)</f>
        <v>0</v>
      </c>
      <c r="AJ9" s="31" t="n">
        <f aca="false">IF(AND(30&gt;p_ImplMeses,MOD(30-p_ImplMeses,12)=0),1,0)</f>
        <v>0</v>
      </c>
      <c r="AK9" s="31" t="n">
        <f aca="false">IF(AND(31&gt;p_ImplMeses,MOD(31-p_ImplMeses,12)=0),1,0)</f>
        <v>0</v>
      </c>
      <c r="AL9" s="31" t="n">
        <f aca="false">IF(AND(32&gt;p_ImplMeses,MOD(32-p_ImplMeses,12)=0),1,0)</f>
        <v>0</v>
      </c>
      <c r="AM9" s="31" t="n">
        <f aca="false">IF(AND(33&gt;p_ImplMeses,MOD(33-p_ImplMeses,12)=0),1,0)</f>
        <v>0</v>
      </c>
      <c r="AN9" s="31" t="n">
        <f aca="false">IF(AND(34&gt;p_ImplMeses,MOD(34-p_ImplMeses,12)=0),1,0)</f>
        <v>0</v>
      </c>
      <c r="AO9" s="31" t="n">
        <f aca="false">IF(AND(35&gt;p_ImplMeses,MOD(35-p_ImplMeses,12)=0),1,0)</f>
        <v>0</v>
      </c>
      <c r="AP9" s="31" t="n">
        <f aca="false">IF(AND(36&gt;p_ImplMeses,MOD(36-p_ImplMeses,12)=0),1,0)</f>
        <v>1</v>
      </c>
      <c r="AQ9" s="31" t="n">
        <f aca="false">IF(AND(37&gt;p_ImplMeses,MOD(37-p_ImplMeses,12)=0),1,0)</f>
        <v>0</v>
      </c>
      <c r="AR9" s="31" t="n">
        <f aca="false">IF(AND(38&gt;p_ImplMeses,MOD(38-p_ImplMeses,12)=0),1,0)</f>
        <v>0</v>
      </c>
      <c r="AS9" s="31" t="n">
        <f aca="false">IF(AND(39&gt;p_ImplMeses,MOD(39-p_ImplMeses,12)=0),1,0)</f>
        <v>0</v>
      </c>
      <c r="AT9" s="31" t="n">
        <f aca="false">IF(AND(40&gt;p_ImplMeses,MOD(40-p_ImplMeses,12)=0),1,0)</f>
        <v>0</v>
      </c>
      <c r="AU9" s="31" t="n">
        <f aca="false">IF(AND(41&gt;p_ImplMeses,MOD(41-p_ImplMeses,12)=0),1,0)</f>
        <v>0</v>
      </c>
      <c r="AV9" s="31" t="n">
        <f aca="false">IF(AND(42&gt;p_ImplMeses,MOD(42-p_ImplMeses,12)=0),1,0)</f>
        <v>0</v>
      </c>
      <c r="AW9" s="31" t="n">
        <f aca="false">IF(AND(43&gt;p_ImplMeses,MOD(43-p_ImplMeses,12)=0),1,0)</f>
        <v>0</v>
      </c>
      <c r="AX9" s="31" t="n">
        <f aca="false">IF(AND(44&gt;p_ImplMeses,MOD(44-p_ImplMeses,12)=0),1,0)</f>
        <v>0</v>
      </c>
      <c r="AY9" s="31" t="n">
        <f aca="false">IF(AND(45&gt;p_ImplMeses,MOD(45-p_ImplMeses,12)=0),1,0)</f>
        <v>0</v>
      </c>
      <c r="AZ9" s="31" t="n">
        <f aca="false">IF(AND(46&gt;p_ImplMeses,MOD(46-p_ImplMeses,12)=0),1,0)</f>
        <v>0</v>
      </c>
      <c r="BA9" s="31" t="n">
        <f aca="false">IF(AND(47&gt;p_ImplMeses,MOD(47-p_ImplMeses,12)=0),1,0)</f>
        <v>0</v>
      </c>
      <c r="BB9" s="31" t="n">
        <f aca="false">IF(AND(48&gt;p_ImplMeses,MOD(48-p_ImplMeses,12)=0),1,0)</f>
        <v>1</v>
      </c>
      <c r="BC9" s="31" t="n">
        <f aca="false">IF(AND(49&gt;p_ImplMeses,MOD(49-p_ImplMeses,12)=0),1,0)</f>
        <v>0</v>
      </c>
      <c r="BD9" s="31" t="n">
        <f aca="false">IF(AND(50&gt;p_ImplMeses,MOD(50-p_ImplMeses,12)=0),1,0)</f>
        <v>0</v>
      </c>
      <c r="BE9" s="31" t="n">
        <f aca="false">IF(AND(51&gt;p_ImplMeses,MOD(51-p_ImplMeses,12)=0),1,0)</f>
        <v>0</v>
      </c>
      <c r="BF9" s="31" t="n">
        <f aca="false">IF(AND(52&gt;p_ImplMeses,MOD(52-p_ImplMeses,12)=0),1,0)</f>
        <v>0</v>
      </c>
      <c r="BG9" s="31" t="n">
        <f aca="false">IF(AND(53&gt;p_ImplMeses,MOD(53-p_ImplMeses,12)=0),1,0)</f>
        <v>0</v>
      </c>
      <c r="BH9" s="31" t="n">
        <f aca="false">IF(AND(54&gt;p_ImplMeses,MOD(54-p_ImplMeses,12)=0),1,0)</f>
        <v>0</v>
      </c>
      <c r="BI9" s="31" t="n">
        <f aca="false">IF(AND(55&gt;p_ImplMeses,MOD(55-p_ImplMeses,12)=0),1,0)</f>
        <v>0</v>
      </c>
      <c r="BJ9" s="31" t="n">
        <f aca="false">IF(AND(56&gt;p_ImplMeses,MOD(56-p_ImplMeses,12)=0),1,0)</f>
        <v>0</v>
      </c>
      <c r="BK9" s="31" t="n">
        <f aca="false">IF(AND(57&gt;p_ImplMeses,MOD(57-p_ImplMeses,12)=0),1,0)</f>
        <v>0</v>
      </c>
      <c r="BL9" s="31" t="n">
        <f aca="false">IF(AND(58&gt;p_ImplMeses,MOD(58-p_ImplMeses,12)=0),1,0)</f>
        <v>0</v>
      </c>
      <c r="BM9" s="31" t="n">
        <f aca="false">IF(AND(59&gt;p_ImplMeses,MOD(59-p_ImplMeses,12)=0),1,0)</f>
        <v>0</v>
      </c>
      <c r="BN9" s="31" t="n">
        <f aca="false">IF(AND(60&gt;p_ImplMeses,MOD(60-p_ImplMeses,12)=0),1,0)</f>
        <v>1</v>
      </c>
      <c r="BO9" s="31" t="n">
        <f aca="false">IF(AND(61&gt;p_ImplMeses,MOD(61-p_ImplMeses,12)=0),1,0)</f>
        <v>0</v>
      </c>
      <c r="BP9" s="31" t="n">
        <f aca="false">IF(AND(62&gt;p_ImplMeses,MOD(62-p_ImplMeses,12)=0),1,0)</f>
        <v>0</v>
      </c>
      <c r="BQ9" s="31" t="n">
        <f aca="false">IF(AND(63&gt;p_ImplMeses,MOD(63-p_ImplMeses,12)=0),1,0)</f>
        <v>0</v>
      </c>
      <c r="BR9" s="31" t="n">
        <f aca="false">IF(AND(64&gt;p_ImplMeses,MOD(64-p_ImplMeses,12)=0),1,0)</f>
        <v>0</v>
      </c>
      <c r="BS9" s="31" t="n">
        <f aca="false">IF(AND(65&gt;p_ImplMeses,MOD(65-p_ImplMeses,12)=0),1,0)</f>
        <v>0</v>
      </c>
      <c r="BT9" s="31" t="n">
        <f aca="false">IF(AND(66&gt;p_ImplMeses,MOD(66-p_ImplMeses,12)=0),1,0)</f>
        <v>0</v>
      </c>
      <c r="BU9" s="31" t="n">
        <f aca="false">IF(AND(67&gt;p_ImplMeses,MOD(67-p_ImplMeses,12)=0),1,0)</f>
        <v>0</v>
      </c>
      <c r="BV9" s="31" t="n">
        <f aca="false">IF(AND(68&gt;p_ImplMeses,MOD(68-p_ImplMeses,12)=0),1,0)</f>
        <v>0</v>
      </c>
      <c r="BW9" s="31" t="n">
        <f aca="false">IF(AND(69&gt;p_ImplMeses,MOD(69-p_ImplMeses,12)=0),1,0)</f>
        <v>0</v>
      </c>
      <c r="BX9" s="31" t="n">
        <f aca="false">IF(AND(70&gt;p_ImplMeses,MOD(70-p_ImplMeses,12)=0),1,0)</f>
        <v>0</v>
      </c>
      <c r="BY9" s="31" t="n">
        <f aca="false">IF(AND(71&gt;p_ImplMeses,MOD(71-p_ImplMeses,12)=0),1,0)</f>
        <v>0</v>
      </c>
      <c r="BZ9" s="31" t="n">
        <f aca="false">IF(AND(72&gt;p_ImplMeses,MOD(72-p_ImplMeses,12)=0),1,0)</f>
        <v>1</v>
      </c>
      <c r="CA9" s="31" t="n">
        <f aca="false">IF(AND(73&gt;p_ImplMeses,MOD(73-p_ImplMeses,12)=0),1,0)</f>
        <v>0</v>
      </c>
      <c r="CB9" s="31" t="n">
        <f aca="false">IF(AND(74&gt;p_ImplMeses,MOD(74-p_ImplMeses,12)=0),1,0)</f>
        <v>0</v>
      </c>
      <c r="CC9" s="31" t="n">
        <f aca="false">IF(AND(75&gt;p_ImplMeses,MOD(75-p_ImplMeses,12)=0),1,0)</f>
        <v>0</v>
      </c>
      <c r="CD9" s="31" t="n">
        <f aca="false">IF(AND(76&gt;p_ImplMeses,MOD(76-p_ImplMeses,12)=0),1,0)</f>
        <v>0</v>
      </c>
      <c r="CE9" s="31" t="n">
        <f aca="false">IF(AND(77&gt;p_ImplMeses,MOD(77-p_ImplMeses,12)=0),1,0)</f>
        <v>0</v>
      </c>
      <c r="CF9" s="31" t="n">
        <f aca="false">IF(AND(78&gt;p_ImplMeses,MOD(78-p_ImplMeses,12)=0),1,0)</f>
        <v>0</v>
      </c>
      <c r="CG9" s="31" t="n">
        <f aca="false">IF(AND(79&gt;p_ImplMeses,MOD(79-p_ImplMeses,12)=0),1,0)</f>
        <v>0</v>
      </c>
      <c r="CH9" s="31" t="n">
        <f aca="false">IF(AND(80&gt;p_ImplMeses,MOD(80-p_ImplMeses,12)=0),1,0)</f>
        <v>0</v>
      </c>
      <c r="CI9" s="31" t="n">
        <f aca="false">IF(AND(81&gt;p_ImplMeses,MOD(81-p_ImplMeses,12)=0),1,0)</f>
        <v>0</v>
      </c>
      <c r="CJ9" s="31" t="n">
        <f aca="false">IF(AND(82&gt;p_ImplMeses,MOD(82-p_ImplMeses,12)=0),1,0)</f>
        <v>0</v>
      </c>
      <c r="CK9" s="31" t="n">
        <f aca="false">IF(AND(83&gt;p_ImplMeses,MOD(83-p_ImplMeses,12)=0),1,0)</f>
        <v>0</v>
      </c>
      <c r="CL9" s="31" t="n">
        <f aca="false">IF(AND(84&gt;p_ImplMeses,MOD(84-p_ImplMeses,12)=0),1,0)</f>
        <v>1</v>
      </c>
      <c r="CM9" s="31" t="n">
        <f aca="false">IF(AND(85&gt;p_ImplMeses,MOD(85-p_ImplMeses,12)=0),1,0)</f>
        <v>0</v>
      </c>
      <c r="CN9" s="31" t="n">
        <f aca="false">IF(AND(86&gt;p_ImplMeses,MOD(86-p_ImplMeses,12)=0),1,0)</f>
        <v>0</v>
      </c>
      <c r="CO9" s="31" t="n">
        <f aca="false">IF(AND(87&gt;p_ImplMeses,MOD(87-p_ImplMeses,12)=0),1,0)</f>
        <v>0</v>
      </c>
      <c r="CP9" s="31" t="n">
        <f aca="false">IF(AND(88&gt;p_ImplMeses,MOD(88-p_ImplMeses,12)=0),1,0)</f>
        <v>0</v>
      </c>
      <c r="CQ9" s="31" t="n">
        <f aca="false">IF(AND(89&gt;p_ImplMeses,MOD(89-p_ImplMeses,12)=0),1,0)</f>
        <v>0</v>
      </c>
      <c r="CR9" s="31" t="n">
        <f aca="false">IF(AND(90&gt;p_ImplMeses,MOD(90-p_ImplMeses,12)=0),1,0)</f>
        <v>0</v>
      </c>
      <c r="CS9" s="31" t="n">
        <f aca="false">IF(AND(91&gt;p_ImplMeses,MOD(91-p_ImplMeses,12)=0),1,0)</f>
        <v>0</v>
      </c>
      <c r="CT9" s="31" t="n">
        <f aca="false">IF(AND(92&gt;p_ImplMeses,MOD(92-p_ImplMeses,12)=0),1,0)</f>
        <v>0</v>
      </c>
      <c r="CU9" s="31" t="n">
        <f aca="false">IF(AND(93&gt;p_ImplMeses,MOD(93-p_ImplMeses,12)=0),1,0)</f>
        <v>0</v>
      </c>
      <c r="CV9" s="31" t="n">
        <f aca="false">IF(AND(94&gt;p_ImplMeses,MOD(94-p_ImplMeses,12)=0),1,0)</f>
        <v>0</v>
      </c>
      <c r="CW9" s="31" t="n">
        <f aca="false">IF(AND(95&gt;p_ImplMeses,MOD(95-p_ImplMeses,12)=0),1,0)</f>
        <v>0</v>
      </c>
      <c r="CX9" s="31" t="n">
        <f aca="false">IF(AND(96&gt;p_ImplMeses,MOD(96-p_ImplMeses,12)=0),1,0)</f>
        <v>1</v>
      </c>
      <c r="CY9" s="31" t="n">
        <f aca="false">IF(AND(97&gt;p_ImplMeses,MOD(97-p_ImplMeses,12)=0),1,0)</f>
        <v>0</v>
      </c>
      <c r="CZ9" s="31" t="n">
        <f aca="false">IF(AND(98&gt;p_ImplMeses,MOD(98-p_ImplMeses,12)=0),1,0)</f>
        <v>0</v>
      </c>
      <c r="DA9" s="31" t="n">
        <f aca="false">IF(AND(99&gt;p_ImplMeses,MOD(99-p_ImplMeses,12)=0),1,0)</f>
        <v>0</v>
      </c>
      <c r="DB9" s="31" t="n">
        <f aca="false">IF(AND(100&gt;p_ImplMeses,MOD(100-p_ImplMeses,12)=0),1,0)</f>
        <v>0</v>
      </c>
      <c r="DC9" s="31" t="n">
        <f aca="false">IF(AND(101&gt;p_ImplMeses,MOD(101-p_ImplMeses,12)=0),1,0)</f>
        <v>0</v>
      </c>
      <c r="DD9" s="31" t="n">
        <f aca="false">IF(AND(102&gt;p_ImplMeses,MOD(102-p_ImplMeses,12)=0),1,0)</f>
        <v>0</v>
      </c>
      <c r="DE9" s="31" t="n">
        <f aca="false">IF(AND(103&gt;p_ImplMeses,MOD(103-p_ImplMeses,12)=0),1,0)</f>
        <v>0</v>
      </c>
      <c r="DF9" s="31" t="n">
        <f aca="false">IF(AND(104&gt;p_ImplMeses,MOD(104-p_ImplMeses,12)=0),1,0)</f>
        <v>0</v>
      </c>
      <c r="DG9" s="31" t="n">
        <f aca="false">IF(AND(105&gt;p_ImplMeses,MOD(105-p_ImplMeses,12)=0),1,0)</f>
        <v>0</v>
      </c>
      <c r="DH9" s="31" t="n">
        <f aca="false">IF(AND(106&gt;p_ImplMeses,MOD(106-p_ImplMeses,12)=0),1,0)</f>
        <v>0</v>
      </c>
      <c r="DI9" s="31" t="n">
        <f aca="false">IF(AND(107&gt;p_ImplMeses,MOD(107-p_ImplMeses,12)=0),1,0)</f>
        <v>0</v>
      </c>
      <c r="DJ9" s="31" t="n">
        <f aca="false">IF(AND(108&gt;p_ImplMeses,MOD(108-p_ImplMeses,12)=0),1,0)</f>
        <v>1</v>
      </c>
      <c r="DK9" s="31" t="n">
        <f aca="false">IF(AND(109&gt;p_ImplMeses,MOD(109-p_ImplMeses,12)=0),1,0)</f>
        <v>0</v>
      </c>
      <c r="DL9" s="31" t="n">
        <f aca="false">IF(AND(110&gt;p_ImplMeses,MOD(110-p_ImplMeses,12)=0),1,0)</f>
        <v>0</v>
      </c>
      <c r="DM9" s="31" t="n">
        <f aca="false">IF(AND(111&gt;p_ImplMeses,MOD(111-p_ImplMeses,12)=0),1,0)</f>
        <v>0</v>
      </c>
      <c r="DN9" s="31" t="n">
        <f aca="false">IF(AND(112&gt;p_ImplMeses,MOD(112-p_ImplMeses,12)=0),1,0)</f>
        <v>0</v>
      </c>
      <c r="DO9" s="31" t="n">
        <f aca="false">IF(AND(113&gt;p_ImplMeses,MOD(113-p_ImplMeses,12)=0),1,0)</f>
        <v>0</v>
      </c>
      <c r="DP9" s="31" t="n">
        <f aca="false">IF(AND(114&gt;p_ImplMeses,MOD(114-p_ImplMeses,12)=0),1,0)</f>
        <v>0</v>
      </c>
      <c r="DQ9" s="31" t="n">
        <f aca="false">IF(AND(115&gt;p_ImplMeses,MOD(115-p_ImplMeses,12)=0),1,0)</f>
        <v>0</v>
      </c>
      <c r="DR9" s="31" t="n">
        <f aca="false">IF(AND(116&gt;p_ImplMeses,MOD(116-p_ImplMeses,12)=0),1,0)</f>
        <v>0</v>
      </c>
      <c r="DS9" s="31" t="n">
        <f aca="false">IF(AND(117&gt;p_ImplMeses,MOD(117-p_ImplMeses,12)=0),1,0)</f>
        <v>0</v>
      </c>
      <c r="DT9" s="31" t="n">
        <f aca="false">IF(AND(118&gt;p_ImplMeses,MOD(118-p_ImplMeses,12)=0),1,0)</f>
        <v>0</v>
      </c>
      <c r="DU9" s="31" t="n">
        <f aca="false">IF(AND(119&gt;p_ImplMeses,MOD(119-p_ImplMeses,12)=0),1,0)</f>
        <v>0</v>
      </c>
      <c r="DV9" s="31" t="n">
        <f aca="false">IF(AND(120&gt;p_ImplMeses,MOD(120-p_ImplMeses,12)=0),1,0)</f>
        <v>1</v>
      </c>
      <c r="DW9" s="31" t="n">
        <f aca="false">IF(AND(121&gt;p_ImplMeses,MOD(121-p_ImplMeses,12)=0),1,0)</f>
        <v>0</v>
      </c>
      <c r="DX9" s="31" t="n">
        <f aca="false">IF(AND(122&gt;p_ImplMeses,MOD(122-p_ImplMeses,12)=0),1,0)</f>
        <v>0</v>
      </c>
      <c r="DY9" s="31" t="n">
        <f aca="false">IF(AND(123&gt;p_ImplMeses,MOD(123-p_ImplMeses,12)=0),1,0)</f>
        <v>0</v>
      </c>
      <c r="DZ9" s="31" t="n">
        <f aca="false">IF(AND(124&gt;p_ImplMeses,MOD(124-p_ImplMeses,12)=0),1,0)</f>
        <v>0</v>
      </c>
      <c r="EA9" s="31" t="n">
        <f aca="false">IF(AND(125&gt;p_ImplMeses,MOD(125-p_ImplMeses,12)=0),1,0)</f>
        <v>0</v>
      </c>
      <c r="EB9" s="31" t="n">
        <f aca="false">IF(AND(126&gt;p_ImplMeses,MOD(126-p_ImplMeses,12)=0),1,0)</f>
        <v>0</v>
      </c>
      <c r="EC9" s="31" t="n">
        <f aca="false">IF(AND(127&gt;p_ImplMeses,MOD(127-p_ImplMeses,12)=0),1,0)</f>
        <v>0</v>
      </c>
      <c r="ED9" s="31" t="n">
        <f aca="false">IF(AND(128&gt;p_ImplMeses,MOD(128-p_ImplMeses,12)=0),1,0)</f>
        <v>0</v>
      </c>
      <c r="EE9" s="31" t="n">
        <f aca="false">IF(AND(129&gt;p_ImplMeses,MOD(129-p_ImplMeses,12)=0),1,0)</f>
        <v>0</v>
      </c>
      <c r="EF9" s="31" t="n">
        <f aca="false">IF(AND(130&gt;p_ImplMeses,MOD(130-p_ImplMeses,12)=0),1,0)</f>
        <v>0</v>
      </c>
      <c r="EG9" s="31" t="n">
        <f aca="false">IF(AND(131&gt;p_ImplMeses,MOD(131-p_ImplMeses,12)=0),1,0)</f>
        <v>0</v>
      </c>
      <c r="EH9" s="31" t="n">
        <f aca="false">IF(AND(132&gt;p_ImplMeses,MOD(132-p_ImplMeses,12)=0),1,0)</f>
        <v>1</v>
      </c>
      <c r="EI9" s="31" t="n">
        <f aca="false">IF(AND(133&gt;p_ImplMeses,MOD(133-p_ImplMeses,12)=0),1,0)</f>
        <v>0</v>
      </c>
      <c r="EJ9" s="31" t="n">
        <f aca="false">IF(AND(134&gt;p_ImplMeses,MOD(134-p_ImplMeses,12)=0),1,0)</f>
        <v>0</v>
      </c>
      <c r="EK9" s="31" t="n">
        <f aca="false">IF(AND(135&gt;p_ImplMeses,MOD(135-p_ImplMeses,12)=0),1,0)</f>
        <v>0</v>
      </c>
      <c r="EL9" s="31" t="n">
        <f aca="false">IF(AND(136&gt;p_ImplMeses,MOD(136-p_ImplMeses,12)=0),1,0)</f>
        <v>0</v>
      </c>
      <c r="EM9" s="31" t="n">
        <f aca="false">IF(AND(137&gt;p_ImplMeses,MOD(137-p_ImplMeses,12)=0),1,0)</f>
        <v>0</v>
      </c>
      <c r="EN9" s="31" t="n">
        <f aca="false">IF(AND(138&gt;p_ImplMeses,MOD(138-p_ImplMeses,12)=0),1,0)</f>
        <v>0</v>
      </c>
      <c r="EO9" s="31" t="n">
        <f aca="false">IF(AND(139&gt;p_ImplMeses,MOD(139-p_ImplMeses,12)=0),1,0)</f>
        <v>0</v>
      </c>
      <c r="EP9" s="31" t="n">
        <f aca="false">IF(AND(140&gt;p_ImplMeses,MOD(140-p_ImplMeses,12)=0),1,0)</f>
        <v>0</v>
      </c>
      <c r="EQ9" s="31" t="n">
        <f aca="false">IF(AND(141&gt;p_ImplMeses,MOD(141-p_ImplMeses,12)=0),1,0)</f>
        <v>0</v>
      </c>
      <c r="ER9" s="31" t="n">
        <f aca="false">IF(AND(142&gt;p_ImplMeses,MOD(142-p_ImplMeses,12)=0),1,0)</f>
        <v>0</v>
      </c>
      <c r="ES9" s="31" t="n">
        <f aca="false">IF(AND(143&gt;p_ImplMeses,MOD(143-p_ImplMeses,12)=0),1,0)</f>
        <v>0</v>
      </c>
      <c r="ET9" s="31" t="n">
        <f aca="false">IF(AND(144&gt;p_ImplMeses,MOD(144-p_ImplMeses,12)=0),1,0)</f>
        <v>1</v>
      </c>
      <c r="EU9" s="31" t="n">
        <f aca="false">IF(AND(145&gt;p_ImplMeses,MOD(145-p_ImplMeses,12)=0),1,0)</f>
        <v>0</v>
      </c>
      <c r="EV9" s="31" t="n">
        <f aca="false">IF(AND(146&gt;p_ImplMeses,MOD(146-p_ImplMeses,12)=0),1,0)</f>
        <v>0</v>
      </c>
      <c r="EW9" s="31" t="n">
        <f aca="false">IF(AND(147&gt;p_ImplMeses,MOD(147-p_ImplMeses,12)=0),1,0)</f>
        <v>0</v>
      </c>
      <c r="EX9" s="31" t="n">
        <f aca="false">IF(AND(148&gt;p_ImplMeses,MOD(148-p_ImplMeses,12)=0),1,0)</f>
        <v>0</v>
      </c>
      <c r="EY9" s="31" t="n">
        <f aca="false">IF(AND(149&gt;p_ImplMeses,MOD(149-p_ImplMeses,12)=0),1,0)</f>
        <v>0</v>
      </c>
      <c r="EZ9" s="31" t="n">
        <f aca="false">IF(AND(150&gt;p_ImplMeses,MOD(150-p_ImplMeses,12)=0),1,0)</f>
        <v>0</v>
      </c>
      <c r="FA9" s="31" t="n">
        <f aca="false">IF(AND(151&gt;p_ImplMeses,MOD(151-p_ImplMeses,12)=0),1,0)</f>
        <v>0</v>
      </c>
      <c r="FB9" s="31" t="n">
        <f aca="false">IF(AND(152&gt;p_ImplMeses,MOD(152-p_ImplMeses,12)=0),1,0)</f>
        <v>0</v>
      </c>
      <c r="FC9" s="31" t="n">
        <f aca="false">IF(AND(153&gt;p_ImplMeses,MOD(153-p_ImplMeses,12)=0),1,0)</f>
        <v>0</v>
      </c>
      <c r="FD9" s="31" t="n">
        <f aca="false">IF(AND(154&gt;p_ImplMeses,MOD(154-p_ImplMeses,12)=0),1,0)</f>
        <v>0</v>
      </c>
      <c r="FE9" s="31" t="n">
        <f aca="false">IF(AND(155&gt;p_ImplMeses,MOD(155-p_ImplMeses,12)=0),1,0)</f>
        <v>0</v>
      </c>
      <c r="FF9" s="31" t="n">
        <f aca="false">IF(AND(156&gt;p_ImplMeses,MOD(156-p_ImplMeses,12)=0),1,0)</f>
        <v>1</v>
      </c>
    </row>
    <row r="10" customFormat="false" ht="15" hidden="false" customHeight="false" outlineLevel="0" collapsed="false">
      <c r="A10" s="2" t="s">
        <v>779</v>
      </c>
      <c r="B10" s="8" t="s">
        <v>780</v>
      </c>
      <c r="C10" s="8" t="s">
        <v>771</v>
      </c>
      <c r="F10" s="31" t="n">
        <f aca="false">IF(AND(0&gt;=p_MesArranque,0&lt;=p_MesFin),0-p_MesArranque+1,0)</f>
        <v>0</v>
      </c>
      <c r="G10" s="31" t="n">
        <f aca="false">IF(AND(1&gt;=p_MesArranque,1&lt;=p_MesFin),1-p_MesArranque+1,0)</f>
        <v>1</v>
      </c>
      <c r="H10" s="31" t="n">
        <f aca="false">IF(AND(2&gt;=p_MesArranque,2&lt;=p_MesFin),2-p_MesArranque+1,0)</f>
        <v>2</v>
      </c>
      <c r="I10" s="31" t="n">
        <f aca="false">IF(AND(3&gt;=p_MesArranque,3&lt;=p_MesFin),3-p_MesArranque+1,0)</f>
        <v>3</v>
      </c>
      <c r="J10" s="31" t="n">
        <f aca="false">IF(AND(4&gt;=p_MesArranque,4&lt;=p_MesFin),4-p_MesArranque+1,0)</f>
        <v>4</v>
      </c>
      <c r="K10" s="31" t="n">
        <f aca="false">IF(AND(5&gt;=p_MesArranque,5&lt;=p_MesFin),5-p_MesArranque+1,0)</f>
        <v>5</v>
      </c>
      <c r="L10" s="31" t="n">
        <f aca="false">IF(AND(6&gt;=p_MesArranque,6&lt;=p_MesFin),6-p_MesArranque+1,0)</f>
        <v>6</v>
      </c>
      <c r="M10" s="31" t="n">
        <f aca="false">IF(AND(7&gt;=p_MesArranque,7&lt;=p_MesFin),7-p_MesArranque+1,0)</f>
        <v>7</v>
      </c>
      <c r="N10" s="31" t="n">
        <f aca="false">IF(AND(8&gt;=p_MesArranque,8&lt;=p_MesFin),8-p_MesArranque+1,0)</f>
        <v>8</v>
      </c>
      <c r="O10" s="31" t="n">
        <f aca="false">IF(AND(9&gt;=p_MesArranque,9&lt;=p_MesFin),9-p_MesArranque+1,0)</f>
        <v>9</v>
      </c>
      <c r="P10" s="31" t="n">
        <f aca="false">IF(AND(10&gt;=p_MesArranque,10&lt;=p_MesFin),10-p_MesArranque+1,0)</f>
        <v>10</v>
      </c>
      <c r="Q10" s="31" t="n">
        <f aca="false">IF(AND(11&gt;=p_MesArranque,11&lt;=p_MesFin),11-p_MesArranque+1,0)</f>
        <v>11</v>
      </c>
      <c r="R10" s="31" t="n">
        <f aca="false">IF(AND(12&gt;=p_MesArranque,12&lt;=p_MesFin),12-p_MesArranque+1,0)</f>
        <v>12</v>
      </c>
      <c r="S10" s="31" t="n">
        <f aca="false">IF(AND(13&gt;=p_MesArranque,13&lt;=p_MesFin),13-p_MesArranque+1,0)</f>
        <v>13</v>
      </c>
      <c r="T10" s="31" t="n">
        <f aca="false">IF(AND(14&gt;=p_MesArranque,14&lt;=p_MesFin),14-p_MesArranque+1,0)</f>
        <v>14</v>
      </c>
      <c r="U10" s="31" t="n">
        <f aca="false">IF(AND(15&gt;=p_MesArranque,15&lt;=p_MesFin),15-p_MesArranque+1,0)</f>
        <v>15</v>
      </c>
      <c r="V10" s="31" t="n">
        <f aca="false">IF(AND(16&gt;=p_MesArranque,16&lt;=p_MesFin),16-p_MesArranque+1,0)</f>
        <v>16</v>
      </c>
      <c r="W10" s="31" t="n">
        <f aca="false">IF(AND(17&gt;=p_MesArranque,17&lt;=p_MesFin),17-p_MesArranque+1,0)</f>
        <v>17</v>
      </c>
      <c r="X10" s="31" t="n">
        <f aca="false">IF(AND(18&gt;=p_MesArranque,18&lt;=p_MesFin),18-p_MesArranque+1,0)</f>
        <v>18</v>
      </c>
      <c r="Y10" s="31" t="n">
        <f aca="false">IF(AND(19&gt;=p_MesArranque,19&lt;=p_MesFin),19-p_MesArranque+1,0)</f>
        <v>19</v>
      </c>
      <c r="Z10" s="31" t="n">
        <f aca="false">IF(AND(20&gt;=p_MesArranque,20&lt;=p_MesFin),20-p_MesArranque+1,0)</f>
        <v>20</v>
      </c>
      <c r="AA10" s="31" t="n">
        <f aca="false">IF(AND(21&gt;=p_MesArranque,21&lt;=p_MesFin),21-p_MesArranque+1,0)</f>
        <v>21</v>
      </c>
      <c r="AB10" s="31" t="n">
        <f aca="false">IF(AND(22&gt;=p_MesArranque,22&lt;=p_MesFin),22-p_MesArranque+1,0)</f>
        <v>22</v>
      </c>
      <c r="AC10" s="31" t="n">
        <f aca="false">IF(AND(23&gt;=p_MesArranque,23&lt;=p_MesFin),23-p_MesArranque+1,0)</f>
        <v>23</v>
      </c>
      <c r="AD10" s="31" t="n">
        <f aca="false">IF(AND(24&gt;=p_MesArranque,24&lt;=p_MesFin),24-p_MesArranque+1,0)</f>
        <v>24</v>
      </c>
      <c r="AE10" s="31" t="n">
        <f aca="false">IF(AND(25&gt;=p_MesArranque,25&lt;=p_MesFin),25-p_MesArranque+1,0)</f>
        <v>25</v>
      </c>
      <c r="AF10" s="31" t="n">
        <f aca="false">IF(AND(26&gt;=p_MesArranque,26&lt;=p_MesFin),26-p_MesArranque+1,0)</f>
        <v>26</v>
      </c>
      <c r="AG10" s="31" t="n">
        <f aca="false">IF(AND(27&gt;=p_MesArranque,27&lt;=p_MesFin),27-p_MesArranque+1,0)</f>
        <v>27</v>
      </c>
      <c r="AH10" s="31" t="n">
        <f aca="false">IF(AND(28&gt;=p_MesArranque,28&lt;=p_MesFin),28-p_MesArranque+1,0)</f>
        <v>28</v>
      </c>
      <c r="AI10" s="31" t="n">
        <f aca="false">IF(AND(29&gt;=p_MesArranque,29&lt;=p_MesFin),29-p_MesArranque+1,0)</f>
        <v>29</v>
      </c>
      <c r="AJ10" s="31" t="n">
        <f aca="false">IF(AND(30&gt;=p_MesArranque,30&lt;=p_MesFin),30-p_MesArranque+1,0)</f>
        <v>30</v>
      </c>
      <c r="AK10" s="31" t="n">
        <f aca="false">IF(AND(31&gt;=p_MesArranque,31&lt;=p_MesFin),31-p_MesArranque+1,0)</f>
        <v>31</v>
      </c>
      <c r="AL10" s="31" t="n">
        <f aca="false">IF(AND(32&gt;=p_MesArranque,32&lt;=p_MesFin),32-p_MesArranque+1,0)</f>
        <v>32</v>
      </c>
      <c r="AM10" s="31" t="n">
        <f aca="false">IF(AND(33&gt;=p_MesArranque,33&lt;=p_MesFin),33-p_MesArranque+1,0)</f>
        <v>33</v>
      </c>
      <c r="AN10" s="31" t="n">
        <f aca="false">IF(AND(34&gt;=p_MesArranque,34&lt;=p_MesFin),34-p_MesArranque+1,0)</f>
        <v>34</v>
      </c>
      <c r="AO10" s="31" t="n">
        <f aca="false">IF(AND(35&gt;=p_MesArranque,35&lt;=p_MesFin),35-p_MesArranque+1,0)</f>
        <v>35</v>
      </c>
      <c r="AP10" s="31" t="n">
        <f aca="false">IF(AND(36&gt;=p_MesArranque,36&lt;=p_MesFin),36-p_MesArranque+1,0)</f>
        <v>36</v>
      </c>
      <c r="AQ10" s="31" t="n">
        <f aca="false">IF(AND(37&gt;=p_MesArranque,37&lt;=p_MesFin),37-p_MesArranque+1,0)</f>
        <v>37</v>
      </c>
      <c r="AR10" s="31" t="n">
        <f aca="false">IF(AND(38&gt;=p_MesArranque,38&lt;=p_MesFin),38-p_MesArranque+1,0)</f>
        <v>38</v>
      </c>
      <c r="AS10" s="31" t="n">
        <f aca="false">IF(AND(39&gt;=p_MesArranque,39&lt;=p_MesFin),39-p_MesArranque+1,0)</f>
        <v>39</v>
      </c>
      <c r="AT10" s="31" t="n">
        <f aca="false">IF(AND(40&gt;=p_MesArranque,40&lt;=p_MesFin),40-p_MesArranque+1,0)</f>
        <v>40</v>
      </c>
      <c r="AU10" s="31" t="n">
        <f aca="false">IF(AND(41&gt;=p_MesArranque,41&lt;=p_MesFin),41-p_MesArranque+1,0)</f>
        <v>41</v>
      </c>
      <c r="AV10" s="31" t="n">
        <f aca="false">IF(AND(42&gt;=p_MesArranque,42&lt;=p_MesFin),42-p_MesArranque+1,0)</f>
        <v>42</v>
      </c>
      <c r="AW10" s="31" t="n">
        <f aca="false">IF(AND(43&gt;=p_MesArranque,43&lt;=p_MesFin),43-p_MesArranque+1,0)</f>
        <v>43</v>
      </c>
      <c r="AX10" s="31" t="n">
        <f aca="false">IF(AND(44&gt;=p_MesArranque,44&lt;=p_MesFin),44-p_MesArranque+1,0)</f>
        <v>44</v>
      </c>
      <c r="AY10" s="31" t="n">
        <f aca="false">IF(AND(45&gt;=p_MesArranque,45&lt;=p_MesFin),45-p_MesArranque+1,0)</f>
        <v>45</v>
      </c>
      <c r="AZ10" s="31" t="n">
        <f aca="false">IF(AND(46&gt;=p_MesArranque,46&lt;=p_MesFin),46-p_MesArranque+1,0)</f>
        <v>46</v>
      </c>
      <c r="BA10" s="31" t="n">
        <f aca="false">IF(AND(47&gt;=p_MesArranque,47&lt;=p_MesFin),47-p_MesArranque+1,0)</f>
        <v>47</v>
      </c>
      <c r="BB10" s="31" t="n">
        <f aca="false">IF(AND(48&gt;=p_MesArranque,48&lt;=p_MesFin),48-p_MesArranque+1,0)</f>
        <v>48</v>
      </c>
      <c r="BC10" s="31" t="n">
        <f aca="false">IF(AND(49&gt;=p_MesArranque,49&lt;=p_MesFin),49-p_MesArranque+1,0)</f>
        <v>49</v>
      </c>
      <c r="BD10" s="31" t="n">
        <f aca="false">IF(AND(50&gt;=p_MesArranque,50&lt;=p_MesFin),50-p_MesArranque+1,0)</f>
        <v>50</v>
      </c>
      <c r="BE10" s="31" t="n">
        <f aca="false">IF(AND(51&gt;=p_MesArranque,51&lt;=p_MesFin),51-p_MesArranque+1,0)</f>
        <v>51</v>
      </c>
      <c r="BF10" s="31" t="n">
        <f aca="false">IF(AND(52&gt;=p_MesArranque,52&lt;=p_MesFin),52-p_MesArranque+1,0)</f>
        <v>52</v>
      </c>
      <c r="BG10" s="31" t="n">
        <f aca="false">IF(AND(53&gt;=p_MesArranque,53&lt;=p_MesFin),53-p_MesArranque+1,0)</f>
        <v>53</v>
      </c>
      <c r="BH10" s="31" t="n">
        <f aca="false">IF(AND(54&gt;=p_MesArranque,54&lt;=p_MesFin),54-p_MesArranque+1,0)</f>
        <v>54</v>
      </c>
      <c r="BI10" s="31" t="n">
        <f aca="false">IF(AND(55&gt;=p_MesArranque,55&lt;=p_MesFin),55-p_MesArranque+1,0)</f>
        <v>55</v>
      </c>
      <c r="BJ10" s="31" t="n">
        <f aca="false">IF(AND(56&gt;=p_MesArranque,56&lt;=p_MesFin),56-p_MesArranque+1,0)</f>
        <v>56</v>
      </c>
      <c r="BK10" s="31" t="n">
        <f aca="false">IF(AND(57&gt;=p_MesArranque,57&lt;=p_MesFin),57-p_MesArranque+1,0)</f>
        <v>57</v>
      </c>
      <c r="BL10" s="31" t="n">
        <f aca="false">IF(AND(58&gt;=p_MesArranque,58&lt;=p_MesFin),58-p_MesArranque+1,0)</f>
        <v>58</v>
      </c>
      <c r="BM10" s="31" t="n">
        <f aca="false">IF(AND(59&gt;=p_MesArranque,59&lt;=p_MesFin),59-p_MesArranque+1,0)</f>
        <v>59</v>
      </c>
      <c r="BN10" s="31" t="n">
        <f aca="false">IF(AND(60&gt;=p_MesArranque,60&lt;=p_MesFin),60-p_MesArranque+1,0)</f>
        <v>60</v>
      </c>
      <c r="BO10" s="31" t="n">
        <f aca="false">IF(AND(61&gt;=p_MesArranque,61&lt;=p_MesFin),61-p_MesArranque+1,0)</f>
        <v>61</v>
      </c>
      <c r="BP10" s="31" t="n">
        <f aca="false">IF(AND(62&gt;=p_MesArranque,62&lt;=p_MesFin),62-p_MesArranque+1,0)</f>
        <v>62</v>
      </c>
      <c r="BQ10" s="31" t="n">
        <f aca="false">IF(AND(63&gt;=p_MesArranque,63&lt;=p_MesFin),63-p_MesArranque+1,0)</f>
        <v>63</v>
      </c>
      <c r="BR10" s="31" t="n">
        <f aca="false">IF(AND(64&gt;=p_MesArranque,64&lt;=p_MesFin),64-p_MesArranque+1,0)</f>
        <v>64</v>
      </c>
      <c r="BS10" s="31" t="n">
        <f aca="false">IF(AND(65&gt;=p_MesArranque,65&lt;=p_MesFin),65-p_MesArranque+1,0)</f>
        <v>65</v>
      </c>
      <c r="BT10" s="31" t="n">
        <f aca="false">IF(AND(66&gt;=p_MesArranque,66&lt;=p_MesFin),66-p_MesArranque+1,0)</f>
        <v>66</v>
      </c>
      <c r="BU10" s="31" t="n">
        <f aca="false">IF(AND(67&gt;=p_MesArranque,67&lt;=p_MesFin),67-p_MesArranque+1,0)</f>
        <v>67</v>
      </c>
      <c r="BV10" s="31" t="n">
        <f aca="false">IF(AND(68&gt;=p_MesArranque,68&lt;=p_MesFin),68-p_MesArranque+1,0)</f>
        <v>68</v>
      </c>
      <c r="BW10" s="31" t="n">
        <f aca="false">IF(AND(69&gt;=p_MesArranque,69&lt;=p_MesFin),69-p_MesArranque+1,0)</f>
        <v>69</v>
      </c>
      <c r="BX10" s="31" t="n">
        <f aca="false">IF(AND(70&gt;=p_MesArranque,70&lt;=p_MesFin),70-p_MesArranque+1,0)</f>
        <v>70</v>
      </c>
      <c r="BY10" s="31" t="n">
        <f aca="false">IF(AND(71&gt;=p_MesArranque,71&lt;=p_MesFin),71-p_MesArranque+1,0)</f>
        <v>71</v>
      </c>
      <c r="BZ10" s="31" t="n">
        <f aca="false">IF(AND(72&gt;=p_MesArranque,72&lt;=p_MesFin),72-p_MesArranque+1,0)</f>
        <v>72</v>
      </c>
      <c r="CA10" s="31" t="n">
        <f aca="false">IF(AND(73&gt;=p_MesArranque,73&lt;=p_MesFin),73-p_MesArranque+1,0)</f>
        <v>73</v>
      </c>
      <c r="CB10" s="31" t="n">
        <f aca="false">IF(AND(74&gt;=p_MesArranque,74&lt;=p_MesFin),74-p_MesArranque+1,0)</f>
        <v>74</v>
      </c>
      <c r="CC10" s="31" t="n">
        <f aca="false">IF(AND(75&gt;=p_MesArranque,75&lt;=p_MesFin),75-p_MesArranque+1,0)</f>
        <v>75</v>
      </c>
      <c r="CD10" s="31" t="n">
        <f aca="false">IF(AND(76&gt;=p_MesArranque,76&lt;=p_MesFin),76-p_MesArranque+1,0)</f>
        <v>76</v>
      </c>
      <c r="CE10" s="31" t="n">
        <f aca="false">IF(AND(77&gt;=p_MesArranque,77&lt;=p_MesFin),77-p_MesArranque+1,0)</f>
        <v>77</v>
      </c>
      <c r="CF10" s="31" t="n">
        <f aca="false">IF(AND(78&gt;=p_MesArranque,78&lt;=p_MesFin),78-p_MesArranque+1,0)</f>
        <v>78</v>
      </c>
      <c r="CG10" s="31" t="n">
        <f aca="false">IF(AND(79&gt;=p_MesArranque,79&lt;=p_MesFin),79-p_MesArranque+1,0)</f>
        <v>79</v>
      </c>
      <c r="CH10" s="31" t="n">
        <f aca="false">IF(AND(80&gt;=p_MesArranque,80&lt;=p_MesFin),80-p_MesArranque+1,0)</f>
        <v>80</v>
      </c>
      <c r="CI10" s="31" t="n">
        <f aca="false">IF(AND(81&gt;=p_MesArranque,81&lt;=p_MesFin),81-p_MesArranque+1,0)</f>
        <v>81</v>
      </c>
      <c r="CJ10" s="31" t="n">
        <f aca="false">IF(AND(82&gt;=p_MesArranque,82&lt;=p_MesFin),82-p_MesArranque+1,0)</f>
        <v>82</v>
      </c>
      <c r="CK10" s="31" t="n">
        <f aca="false">IF(AND(83&gt;=p_MesArranque,83&lt;=p_MesFin),83-p_MesArranque+1,0)</f>
        <v>83</v>
      </c>
      <c r="CL10" s="31" t="n">
        <f aca="false">IF(AND(84&gt;=p_MesArranque,84&lt;=p_MesFin),84-p_MesArranque+1,0)</f>
        <v>84</v>
      </c>
      <c r="CM10" s="31" t="n">
        <f aca="false">IF(AND(85&gt;=p_MesArranque,85&lt;=p_MesFin),85-p_MesArranque+1,0)</f>
        <v>85</v>
      </c>
      <c r="CN10" s="31" t="n">
        <f aca="false">IF(AND(86&gt;=p_MesArranque,86&lt;=p_MesFin),86-p_MesArranque+1,0)</f>
        <v>86</v>
      </c>
      <c r="CO10" s="31" t="n">
        <f aca="false">IF(AND(87&gt;=p_MesArranque,87&lt;=p_MesFin),87-p_MesArranque+1,0)</f>
        <v>87</v>
      </c>
      <c r="CP10" s="31" t="n">
        <f aca="false">IF(AND(88&gt;=p_MesArranque,88&lt;=p_MesFin),88-p_MesArranque+1,0)</f>
        <v>88</v>
      </c>
      <c r="CQ10" s="31" t="n">
        <f aca="false">IF(AND(89&gt;=p_MesArranque,89&lt;=p_MesFin),89-p_MesArranque+1,0)</f>
        <v>89</v>
      </c>
      <c r="CR10" s="31" t="n">
        <f aca="false">IF(AND(90&gt;=p_MesArranque,90&lt;=p_MesFin),90-p_MesArranque+1,0)</f>
        <v>90</v>
      </c>
      <c r="CS10" s="31" t="n">
        <f aca="false">IF(AND(91&gt;=p_MesArranque,91&lt;=p_MesFin),91-p_MesArranque+1,0)</f>
        <v>91</v>
      </c>
      <c r="CT10" s="31" t="n">
        <f aca="false">IF(AND(92&gt;=p_MesArranque,92&lt;=p_MesFin),92-p_MesArranque+1,0)</f>
        <v>92</v>
      </c>
      <c r="CU10" s="31" t="n">
        <f aca="false">IF(AND(93&gt;=p_MesArranque,93&lt;=p_MesFin),93-p_MesArranque+1,0)</f>
        <v>93</v>
      </c>
      <c r="CV10" s="31" t="n">
        <f aca="false">IF(AND(94&gt;=p_MesArranque,94&lt;=p_MesFin),94-p_MesArranque+1,0)</f>
        <v>94</v>
      </c>
      <c r="CW10" s="31" t="n">
        <f aca="false">IF(AND(95&gt;=p_MesArranque,95&lt;=p_MesFin),95-p_MesArranque+1,0)</f>
        <v>95</v>
      </c>
      <c r="CX10" s="31" t="n">
        <f aca="false">IF(AND(96&gt;=p_MesArranque,96&lt;=p_MesFin),96-p_MesArranque+1,0)</f>
        <v>96</v>
      </c>
      <c r="CY10" s="31" t="n">
        <f aca="false">IF(AND(97&gt;=p_MesArranque,97&lt;=p_MesFin),97-p_MesArranque+1,0)</f>
        <v>97</v>
      </c>
      <c r="CZ10" s="31" t="n">
        <f aca="false">IF(AND(98&gt;=p_MesArranque,98&lt;=p_MesFin),98-p_MesArranque+1,0)</f>
        <v>98</v>
      </c>
      <c r="DA10" s="31" t="n">
        <f aca="false">IF(AND(99&gt;=p_MesArranque,99&lt;=p_MesFin),99-p_MesArranque+1,0)</f>
        <v>99</v>
      </c>
      <c r="DB10" s="31" t="n">
        <f aca="false">IF(AND(100&gt;=p_MesArranque,100&lt;=p_MesFin),100-p_MesArranque+1,0)</f>
        <v>100</v>
      </c>
      <c r="DC10" s="31" t="n">
        <f aca="false">IF(AND(101&gt;=p_MesArranque,101&lt;=p_MesFin),101-p_MesArranque+1,0)</f>
        <v>101</v>
      </c>
      <c r="DD10" s="31" t="n">
        <f aca="false">IF(AND(102&gt;=p_MesArranque,102&lt;=p_MesFin),102-p_MesArranque+1,0)</f>
        <v>102</v>
      </c>
      <c r="DE10" s="31" t="n">
        <f aca="false">IF(AND(103&gt;=p_MesArranque,103&lt;=p_MesFin),103-p_MesArranque+1,0)</f>
        <v>103</v>
      </c>
      <c r="DF10" s="31" t="n">
        <f aca="false">IF(AND(104&gt;=p_MesArranque,104&lt;=p_MesFin),104-p_MesArranque+1,0)</f>
        <v>104</v>
      </c>
      <c r="DG10" s="31" t="n">
        <f aca="false">IF(AND(105&gt;=p_MesArranque,105&lt;=p_MesFin),105-p_MesArranque+1,0)</f>
        <v>105</v>
      </c>
      <c r="DH10" s="31" t="n">
        <f aca="false">IF(AND(106&gt;=p_MesArranque,106&lt;=p_MesFin),106-p_MesArranque+1,0)</f>
        <v>106</v>
      </c>
      <c r="DI10" s="31" t="n">
        <f aca="false">IF(AND(107&gt;=p_MesArranque,107&lt;=p_MesFin),107-p_MesArranque+1,0)</f>
        <v>107</v>
      </c>
      <c r="DJ10" s="31" t="n">
        <f aca="false">IF(AND(108&gt;=p_MesArranque,108&lt;=p_MesFin),108-p_MesArranque+1,0)</f>
        <v>108</v>
      </c>
      <c r="DK10" s="31" t="n">
        <f aca="false">IF(AND(109&gt;=p_MesArranque,109&lt;=p_MesFin),109-p_MesArranque+1,0)</f>
        <v>109</v>
      </c>
      <c r="DL10" s="31" t="n">
        <f aca="false">IF(AND(110&gt;=p_MesArranque,110&lt;=p_MesFin),110-p_MesArranque+1,0)</f>
        <v>110</v>
      </c>
      <c r="DM10" s="31" t="n">
        <f aca="false">IF(AND(111&gt;=p_MesArranque,111&lt;=p_MesFin),111-p_MesArranque+1,0)</f>
        <v>111</v>
      </c>
      <c r="DN10" s="31" t="n">
        <f aca="false">IF(AND(112&gt;=p_MesArranque,112&lt;=p_MesFin),112-p_MesArranque+1,0)</f>
        <v>112</v>
      </c>
      <c r="DO10" s="31" t="n">
        <f aca="false">IF(AND(113&gt;=p_MesArranque,113&lt;=p_MesFin),113-p_MesArranque+1,0)</f>
        <v>113</v>
      </c>
      <c r="DP10" s="31" t="n">
        <f aca="false">IF(AND(114&gt;=p_MesArranque,114&lt;=p_MesFin),114-p_MesArranque+1,0)</f>
        <v>114</v>
      </c>
      <c r="DQ10" s="31" t="n">
        <f aca="false">IF(AND(115&gt;=p_MesArranque,115&lt;=p_MesFin),115-p_MesArranque+1,0)</f>
        <v>115</v>
      </c>
      <c r="DR10" s="31" t="n">
        <f aca="false">IF(AND(116&gt;=p_MesArranque,116&lt;=p_MesFin),116-p_MesArranque+1,0)</f>
        <v>116</v>
      </c>
      <c r="DS10" s="31" t="n">
        <f aca="false">IF(AND(117&gt;=p_MesArranque,117&lt;=p_MesFin),117-p_MesArranque+1,0)</f>
        <v>117</v>
      </c>
      <c r="DT10" s="31" t="n">
        <f aca="false">IF(AND(118&gt;=p_MesArranque,118&lt;=p_MesFin),118-p_MesArranque+1,0)</f>
        <v>118</v>
      </c>
      <c r="DU10" s="31" t="n">
        <f aca="false">IF(AND(119&gt;=p_MesArranque,119&lt;=p_MesFin),119-p_MesArranque+1,0)</f>
        <v>119</v>
      </c>
      <c r="DV10" s="31" t="n">
        <f aca="false">IF(AND(120&gt;=p_MesArranque,120&lt;=p_MesFin),120-p_MesArranque+1,0)</f>
        <v>120</v>
      </c>
      <c r="DW10" s="31" t="n">
        <f aca="false">IF(AND(121&gt;=p_MesArranque,121&lt;=p_MesFin),121-p_MesArranque+1,0)</f>
        <v>0</v>
      </c>
      <c r="DX10" s="31" t="n">
        <f aca="false">IF(AND(122&gt;=p_MesArranque,122&lt;=p_MesFin),122-p_MesArranque+1,0)</f>
        <v>0</v>
      </c>
      <c r="DY10" s="31" t="n">
        <f aca="false">IF(AND(123&gt;=p_MesArranque,123&lt;=p_MesFin),123-p_MesArranque+1,0)</f>
        <v>0</v>
      </c>
      <c r="DZ10" s="31" t="n">
        <f aca="false">IF(AND(124&gt;=p_MesArranque,124&lt;=p_MesFin),124-p_MesArranque+1,0)</f>
        <v>0</v>
      </c>
      <c r="EA10" s="31" t="n">
        <f aca="false">IF(AND(125&gt;=p_MesArranque,125&lt;=p_MesFin),125-p_MesArranque+1,0)</f>
        <v>0</v>
      </c>
      <c r="EB10" s="31" t="n">
        <f aca="false">IF(AND(126&gt;=p_MesArranque,126&lt;=p_MesFin),126-p_MesArranque+1,0)</f>
        <v>0</v>
      </c>
      <c r="EC10" s="31" t="n">
        <f aca="false">IF(AND(127&gt;=p_MesArranque,127&lt;=p_MesFin),127-p_MesArranque+1,0)</f>
        <v>0</v>
      </c>
      <c r="ED10" s="31" t="n">
        <f aca="false">IF(AND(128&gt;=p_MesArranque,128&lt;=p_MesFin),128-p_MesArranque+1,0)</f>
        <v>0</v>
      </c>
      <c r="EE10" s="31" t="n">
        <f aca="false">IF(AND(129&gt;=p_MesArranque,129&lt;=p_MesFin),129-p_MesArranque+1,0)</f>
        <v>0</v>
      </c>
      <c r="EF10" s="31" t="n">
        <f aca="false">IF(AND(130&gt;=p_MesArranque,130&lt;=p_MesFin),130-p_MesArranque+1,0)</f>
        <v>0</v>
      </c>
      <c r="EG10" s="31" t="n">
        <f aca="false">IF(AND(131&gt;=p_MesArranque,131&lt;=p_MesFin),131-p_MesArranque+1,0)</f>
        <v>0</v>
      </c>
      <c r="EH10" s="31" t="n">
        <f aca="false">IF(AND(132&gt;=p_MesArranque,132&lt;=p_MesFin),132-p_MesArranque+1,0)</f>
        <v>0</v>
      </c>
      <c r="EI10" s="31" t="n">
        <f aca="false">IF(AND(133&gt;=p_MesArranque,133&lt;=p_MesFin),133-p_MesArranque+1,0)</f>
        <v>0</v>
      </c>
      <c r="EJ10" s="31" t="n">
        <f aca="false">IF(AND(134&gt;=p_MesArranque,134&lt;=p_MesFin),134-p_MesArranque+1,0)</f>
        <v>0</v>
      </c>
      <c r="EK10" s="31" t="n">
        <f aca="false">IF(AND(135&gt;=p_MesArranque,135&lt;=p_MesFin),135-p_MesArranque+1,0)</f>
        <v>0</v>
      </c>
      <c r="EL10" s="31" t="n">
        <f aca="false">IF(AND(136&gt;=p_MesArranque,136&lt;=p_MesFin),136-p_MesArranque+1,0)</f>
        <v>0</v>
      </c>
      <c r="EM10" s="31" t="n">
        <f aca="false">IF(AND(137&gt;=p_MesArranque,137&lt;=p_MesFin),137-p_MesArranque+1,0)</f>
        <v>0</v>
      </c>
      <c r="EN10" s="31" t="n">
        <f aca="false">IF(AND(138&gt;=p_MesArranque,138&lt;=p_MesFin),138-p_MesArranque+1,0)</f>
        <v>0</v>
      </c>
      <c r="EO10" s="31" t="n">
        <f aca="false">IF(AND(139&gt;=p_MesArranque,139&lt;=p_MesFin),139-p_MesArranque+1,0)</f>
        <v>0</v>
      </c>
      <c r="EP10" s="31" t="n">
        <f aca="false">IF(AND(140&gt;=p_MesArranque,140&lt;=p_MesFin),140-p_MesArranque+1,0)</f>
        <v>0</v>
      </c>
      <c r="EQ10" s="31" t="n">
        <f aca="false">IF(AND(141&gt;=p_MesArranque,141&lt;=p_MesFin),141-p_MesArranque+1,0)</f>
        <v>0</v>
      </c>
      <c r="ER10" s="31" t="n">
        <f aca="false">IF(AND(142&gt;=p_MesArranque,142&lt;=p_MesFin),142-p_MesArranque+1,0)</f>
        <v>0</v>
      </c>
      <c r="ES10" s="31" t="n">
        <f aca="false">IF(AND(143&gt;=p_MesArranque,143&lt;=p_MesFin),143-p_MesArranque+1,0)</f>
        <v>0</v>
      </c>
      <c r="ET10" s="31" t="n">
        <f aca="false">IF(AND(144&gt;=p_MesArranque,144&lt;=p_MesFin),144-p_MesArranque+1,0)</f>
        <v>0</v>
      </c>
      <c r="EU10" s="31" t="n">
        <f aca="false">IF(AND(145&gt;=p_MesArranque,145&lt;=p_MesFin),145-p_MesArranque+1,0)</f>
        <v>0</v>
      </c>
      <c r="EV10" s="31" t="n">
        <f aca="false">IF(AND(146&gt;=p_MesArranque,146&lt;=p_MesFin),146-p_MesArranque+1,0)</f>
        <v>0</v>
      </c>
      <c r="EW10" s="31" t="n">
        <f aca="false">IF(AND(147&gt;=p_MesArranque,147&lt;=p_MesFin),147-p_MesArranque+1,0)</f>
        <v>0</v>
      </c>
      <c r="EX10" s="31" t="n">
        <f aca="false">IF(AND(148&gt;=p_MesArranque,148&lt;=p_MesFin),148-p_MesArranque+1,0)</f>
        <v>0</v>
      </c>
      <c r="EY10" s="31" t="n">
        <f aca="false">IF(AND(149&gt;=p_MesArranque,149&lt;=p_MesFin),149-p_MesArranque+1,0)</f>
        <v>0</v>
      </c>
      <c r="EZ10" s="31" t="n">
        <f aca="false">IF(AND(150&gt;=p_MesArranque,150&lt;=p_MesFin),150-p_MesArranque+1,0)</f>
        <v>0</v>
      </c>
      <c r="FA10" s="31" t="n">
        <f aca="false">IF(AND(151&gt;=p_MesArranque,151&lt;=p_MesFin),151-p_MesArranque+1,0)</f>
        <v>0</v>
      </c>
      <c r="FB10" s="31" t="n">
        <f aca="false">IF(AND(152&gt;=p_MesArranque,152&lt;=p_MesFin),152-p_MesArranque+1,0)</f>
        <v>0</v>
      </c>
      <c r="FC10" s="31" t="n">
        <f aca="false">IF(AND(153&gt;=p_MesArranque,153&lt;=p_MesFin),153-p_MesArranque+1,0)</f>
        <v>0</v>
      </c>
      <c r="FD10" s="31" t="n">
        <f aca="false">IF(AND(154&gt;=p_MesArranque,154&lt;=p_MesFin),154-p_MesArranque+1,0)</f>
        <v>0</v>
      </c>
      <c r="FE10" s="31" t="n">
        <f aca="false">IF(AND(155&gt;=p_MesArranque,155&lt;=p_MesFin),155-p_MesArranque+1,0)</f>
        <v>0</v>
      </c>
      <c r="FF10" s="31" t="n">
        <f aca="false">IF(AND(156&gt;=p_MesArranque,156&lt;=p_MesFin),156-p_MesArranque+1,0)</f>
        <v>0</v>
      </c>
    </row>
    <row r="11" customFormat="false" ht="15" hidden="false" customHeight="false" outlineLevel="0" collapsed="false">
      <c r="A11" s="2" t="s">
        <v>781</v>
      </c>
      <c r="B11" s="8" t="s">
        <v>782</v>
      </c>
      <c r="C11" s="8" t="s">
        <v>771</v>
      </c>
      <c r="F11" s="31" t="n">
        <f aca="false">IF(F$10&gt;0,MIN(p_AniosOp,ROUNDUP(F$10/12,0)),0)</f>
        <v>0</v>
      </c>
      <c r="G11" s="31" t="n">
        <f aca="false">IF(G$10&gt;0,MIN(p_AniosOp,ROUNDUP(G$10/12,0)),0)</f>
        <v>1</v>
      </c>
      <c r="H11" s="31" t="n">
        <f aca="false">IF(H$10&gt;0,MIN(p_AniosOp,ROUNDUP(H$10/12,0)),0)</f>
        <v>1</v>
      </c>
      <c r="I11" s="31" t="n">
        <f aca="false">IF(I$10&gt;0,MIN(p_AniosOp,ROUNDUP(I$10/12,0)),0)</f>
        <v>1</v>
      </c>
      <c r="J11" s="31" t="n">
        <f aca="false">IF(J$10&gt;0,MIN(p_AniosOp,ROUNDUP(J$10/12,0)),0)</f>
        <v>1</v>
      </c>
      <c r="K11" s="31" t="n">
        <f aca="false">IF(K$10&gt;0,MIN(p_AniosOp,ROUNDUP(K$10/12,0)),0)</f>
        <v>1</v>
      </c>
      <c r="L11" s="31" t="n">
        <f aca="false">IF(L$10&gt;0,MIN(p_AniosOp,ROUNDUP(L$10/12,0)),0)</f>
        <v>1</v>
      </c>
      <c r="M11" s="31" t="n">
        <f aca="false">IF(M$10&gt;0,MIN(p_AniosOp,ROUNDUP(M$10/12,0)),0)</f>
        <v>1</v>
      </c>
      <c r="N11" s="31" t="n">
        <f aca="false">IF(N$10&gt;0,MIN(p_AniosOp,ROUNDUP(N$10/12,0)),0)</f>
        <v>1</v>
      </c>
      <c r="O11" s="31" t="n">
        <f aca="false">IF(O$10&gt;0,MIN(p_AniosOp,ROUNDUP(O$10/12,0)),0)</f>
        <v>1</v>
      </c>
      <c r="P11" s="31" t="n">
        <f aca="false">IF(P$10&gt;0,MIN(p_AniosOp,ROUNDUP(P$10/12,0)),0)</f>
        <v>1</v>
      </c>
      <c r="Q11" s="31" t="n">
        <f aca="false">IF(Q$10&gt;0,MIN(p_AniosOp,ROUNDUP(Q$10/12,0)),0)</f>
        <v>1</v>
      </c>
      <c r="R11" s="31" t="n">
        <f aca="false">IF(R$10&gt;0,MIN(p_AniosOp,ROUNDUP(R$10/12,0)),0)</f>
        <v>1</v>
      </c>
      <c r="S11" s="31" t="n">
        <f aca="false">IF(S$10&gt;0,MIN(p_AniosOp,ROUNDUP(S$10/12,0)),0)</f>
        <v>2</v>
      </c>
      <c r="T11" s="31" t="n">
        <f aca="false">IF(T$10&gt;0,MIN(p_AniosOp,ROUNDUP(T$10/12,0)),0)</f>
        <v>2</v>
      </c>
      <c r="U11" s="31" t="n">
        <f aca="false">IF(U$10&gt;0,MIN(p_AniosOp,ROUNDUP(U$10/12,0)),0)</f>
        <v>2</v>
      </c>
      <c r="V11" s="31" t="n">
        <f aca="false">IF(V$10&gt;0,MIN(p_AniosOp,ROUNDUP(V$10/12,0)),0)</f>
        <v>2</v>
      </c>
      <c r="W11" s="31" t="n">
        <f aca="false">IF(W$10&gt;0,MIN(p_AniosOp,ROUNDUP(W$10/12,0)),0)</f>
        <v>2</v>
      </c>
      <c r="X11" s="31" t="n">
        <f aca="false">IF(X$10&gt;0,MIN(p_AniosOp,ROUNDUP(X$10/12,0)),0)</f>
        <v>2</v>
      </c>
      <c r="Y11" s="31" t="n">
        <f aca="false">IF(Y$10&gt;0,MIN(p_AniosOp,ROUNDUP(Y$10/12,0)),0)</f>
        <v>2</v>
      </c>
      <c r="Z11" s="31" t="n">
        <f aca="false">IF(Z$10&gt;0,MIN(p_AniosOp,ROUNDUP(Z$10/12,0)),0)</f>
        <v>2</v>
      </c>
      <c r="AA11" s="31" t="n">
        <f aca="false">IF(AA$10&gt;0,MIN(p_AniosOp,ROUNDUP(AA$10/12,0)),0)</f>
        <v>2</v>
      </c>
      <c r="AB11" s="31" t="n">
        <f aca="false">IF(AB$10&gt;0,MIN(p_AniosOp,ROUNDUP(AB$10/12,0)),0)</f>
        <v>2</v>
      </c>
      <c r="AC11" s="31" t="n">
        <f aca="false">IF(AC$10&gt;0,MIN(p_AniosOp,ROUNDUP(AC$10/12,0)),0)</f>
        <v>2</v>
      </c>
      <c r="AD11" s="31" t="n">
        <f aca="false">IF(AD$10&gt;0,MIN(p_AniosOp,ROUNDUP(AD$10/12,0)),0)</f>
        <v>2</v>
      </c>
      <c r="AE11" s="31" t="n">
        <f aca="false">IF(AE$10&gt;0,MIN(p_AniosOp,ROUNDUP(AE$10/12,0)),0)</f>
        <v>3</v>
      </c>
      <c r="AF11" s="31" t="n">
        <f aca="false">IF(AF$10&gt;0,MIN(p_AniosOp,ROUNDUP(AF$10/12,0)),0)</f>
        <v>3</v>
      </c>
      <c r="AG11" s="31" t="n">
        <f aca="false">IF(AG$10&gt;0,MIN(p_AniosOp,ROUNDUP(AG$10/12,0)),0)</f>
        <v>3</v>
      </c>
      <c r="AH11" s="31" t="n">
        <f aca="false">IF(AH$10&gt;0,MIN(p_AniosOp,ROUNDUP(AH$10/12,0)),0)</f>
        <v>3</v>
      </c>
      <c r="AI11" s="31" t="n">
        <f aca="false">IF(AI$10&gt;0,MIN(p_AniosOp,ROUNDUP(AI$10/12,0)),0)</f>
        <v>3</v>
      </c>
      <c r="AJ11" s="31" t="n">
        <f aca="false">IF(AJ$10&gt;0,MIN(p_AniosOp,ROUNDUP(AJ$10/12,0)),0)</f>
        <v>3</v>
      </c>
      <c r="AK11" s="31" t="n">
        <f aca="false">IF(AK$10&gt;0,MIN(p_AniosOp,ROUNDUP(AK$10/12,0)),0)</f>
        <v>3</v>
      </c>
      <c r="AL11" s="31" t="n">
        <f aca="false">IF(AL$10&gt;0,MIN(p_AniosOp,ROUNDUP(AL$10/12,0)),0)</f>
        <v>3</v>
      </c>
      <c r="AM11" s="31" t="n">
        <f aca="false">IF(AM$10&gt;0,MIN(p_AniosOp,ROUNDUP(AM$10/12,0)),0)</f>
        <v>3</v>
      </c>
      <c r="AN11" s="31" t="n">
        <f aca="false">IF(AN$10&gt;0,MIN(p_AniosOp,ROUNDUP(AN$10/12,0)),0)</f>
        <v>3</v>
      </c>
      <c r="AO11" s="31" t="n">
        <f aca="false">IF(AO$10&gt;0,MIN(p_AniosOp,ROUNDUP(AO$10/12,0)),0)</f>
        <v>3</v>
      </c>
      <c r="AP11" s="31" t="n">
        <f aca="false">IF(AP$10&gt;0,MIN(p_AniosOp,ROUNDUP(AP$10/12,0)),0)</f>
        <v>3</v>
      </c>
      <c r="AQ11" s="31" t="n">
        <f aca="false">IF(AQ$10&gt;0,MIN(p_AniosOp,ROUNDUP(AQ$10/12,0)),0)</f>
        <v>4</v>
      </c>
      <c r="AR11" s="31" t="n">
        <f aca="false">IF(AR$10&gt;0,MIN(p_AniosOp,ROUNDUP(AR$10/12,0)),0)</f>
        <v>4</v>
      </c>
      <c r="AS11" s="31" t="n">
        <f aca="false">IF(AS$10&gt;0,MIN(p_AniosOp,ROUNDUP(AS$10/12,0)),0)</f>
        <v>4</v>
      </c>
      <c r="AT11" s="31" t="n">
        <f aca="false">IF(AT$10&gt;0,MIN(p_AniosOp,ROUNDUP(AT$10/12,0)),0)</f>
        <v>4</v>
      </c>
      <c r="AU11" s="31" t="n">
        <f aca="false">IF(AU$10&gt;0,MIN(p_AniosOp,ROUNDUP(AU$10/12,0)),0)</f>
        <v>4</v>
      </c>
      <c r="AV11" s="31" t="n">
        <f aca="false">IF(AV$10&gt;0,MIN(p_AniosOp,ROUNDUP(AV$10/12,0)),0)</f>
        <v>4</v>
      </c>
      <c r="AW11" s="31" t="n">
        <f aca="false">IF(AW$10&gt;0,MIN(p_AniosOp,ROUNDUP(AW$10/12,0)),0)</f>
        <v>4</v>
      </c>
      <c r="AX11" s="31" t="n">
        <f aca="false">IF(AX$10&gt;0,MIN(p_AniosOp,ROUNDUP(AX$10/12,0)),0)</f>
        <v>4</v>
      </c>
      <c r="AY11" s="31" t="n">
        <f aca="false">IF(AY$10&gt;0,MIN(p_AniosOp,ROUNDUP(AY$10/12,0)),0)</f>
        <v>4</v>
      </c>
      <c r="AZ11" s="31" t="n">
        <f aca="false">IF(AZ$10&gt;0,MIN(p_AniosOp,ROUNDUP(AZ$10/12,0)),0)</f>
        <v>4</v>
      </c>
      <c r="BA11" s="31" t="n">
        <f aca="false">IF(BA$10&gt;0,MIN(p_AniosOp,ROUNDUP(BA$10/12,0)),0)</f>
        <v>4</v>
      </c>
      <c r="BB11" s="31" t="n">
        <f aca="false">IF(BB$10&gt;0,MIN(p_AniosOp,ROUNDUP(BB$10/12,0)),0)</f>
        <v>4</v>
      </c>
      <c r="BC11" s="31" t="n">
        <f aca="false">IF(BC$10&gt;0,MIN(p_AniosOp,ROUNDUP(BC$10/12,0)),0)</f>
        <v>5</v>
      </c>
      <c r="BD11" s="31" t="n">
        <f aca="false">IF(BD$10&gt;0,MIN(p_AniosOp,ROUNDUP(BD$10/12,0)),0)</f>
        <v>5</v>
      </c>
      <c r="BE11" s="31" t="n">
        <f aca="false">IF(BE$10&gt;0,MIN(p_AniosOp,ROUNDUP(BE$10/12,0)),0)</f>
        <v>5</v>
      </c>
      <c r="BF11" s="31" t="n">
        <f aca="false">IF(BF$10&gt;0,MIN(p_AniosOp,ROUNDUP(BF$10/12,0)),0)</f>
        <v>5</v>
      </c>
      <c r="BG11" s="31" t="n">
        <f aca="false">IF(BG$10&gt;0,MIN(p_AniosOp,ROUNDUP(BG$10/12,0)),0)</f>
        <v>5</v>
      </c>
      <c r="BH11" s="31" t="n">
        <f aca="false">IF(BH$10&gt;0,MIN(p_AniosOp,ROUNDUP(BH$10/12,0)),0)</f>
        <v>5</v>
      </c>
      <c r="BI11" s="31" t="n">
        <f aca="false">IF(BI$10&gt;0,MIN(p_AniosOp,ROUNDUP(BI$10/12,0)),0)</f>
        <v>5</v>
      </c>
      <c r="BJ11" s="31" t="n">
        <f aca="false">IF(BJ$10&gt;0,MIN(p_AniosOp,ROUNDUP(BJ$10/12,0)),0)</f>
        <v>5</v>
      </c>
      <c r="BK11" s="31" t="n">
        <f aca="false">IF(BK$10&gt;0,MIN(p_AniosOp,ROUNDUP(BK$10/12,0)),0)</f>
        <v>5</v>
      </c>
      <c r="BL11" s="31" t="n">
        <f aca="false">IF(BL$10&gt;0,MIN(p_AniosOp,ROUNDUP(BL$10/12,0)),0)</f>
        <v>5</v>
      </c>
      <c r="BM11" s="31" t="n">
        <f aca="false">IF(BM$10&gt;0,MIN(p_AniosOp,ROUNDUP(BM$10/12,0)),0)</f>
        <v>5</v>
      </c>
      <c r="BN11" s="31" t="n">
        <f aca="false">IF(BN$10&gt;0,MIN(p_AniosOp,ROUNDUP(BN$10/12,0)),0)</f>
        <v>5</v>
      </c>
      <c r="BO11" s="31" t="n">
        <f aca="false">IF(BO$10&gt;0,MIN(p_AniosOp,ROUNDUP(BO$10/12,0)),0)</f>
        <v>6</v>
      </c>
      <c r="BP11" s="31" t="n">
        <f aca="false">IF(BP$10&gt;0,MIN(p_AniosOp,ROUNDUP(BP$10/12,0)),0)</f>
        <v>6</v>
      </c>
      <c r="BQ11" s="31" t="n">
        <f aca="false">IF(BQ$10&gt;0,MIN(p_AniosOp,ROUNDUP(BQ$10/12,0)),0)</f>
        <v>6</v>
      </c>
      <c r="BR11" s="31" t="n">
        <f aca="false">IF(BR$10&gt;0,MIN(p_AniosOp,ROUNDUP(BR$10/12,0)),0)</f>
        <v>6</v>
      </c>
      <c r="BS11" s="31" t="n">
        <f aca="false">IF(BS$10&gt;0,MIN(p_AniosOp,ROUNDUP(BS$10/12,0)),0)</f>
        <v>6</v>
      </c>
      <c r="BT11" s="31" t="n">
        <f aca="false">IF(BT$10&gt;0,MIN(p_AniosOp,ROUNDUP(BT$10/12,0)),0)</f>
        <v>6</v>
      </c>
      <c r="BU11" s="31" t="n">
        <f aca="false">IF(BU$10&gt;0,MIN(p_AniosOp,ROUNDUP(BU$10/12,0)),0)</f>
        <v>6</v>
      </c>
      <c r="BV11" s="31" t="n">
        <f aca="false">IF(BV$10&gt;0,MIN(p_AniosOp,ROUNDUP(BV$10/12,0)),0)</f>
        <v>6</v>
      </c>
      <c r="BW11" s="31" t="n">
        <f aca="false">IF(BW$10&gt;0,MIN(p_AniosOp,ROUNDUP(BW$10/12,0)),0)</f>
        <v>6</v>
      </c>
      <c r="BX11" s="31" t="n">
        <f aca="false">IF(BX$10&gt;0,MIN(p_AniosOp,ROUNDUP(BX$10/12,0)),0)</f>
        <v>6</v>
      </c>
      <c r="BY11" s="31" t="n">
        <f aca="false">IF(BY$10&gt;0,MIN(p_AniosOp,ROUNDUP(BY$10/12,0)),0)</f>
        <v>6</v>
      </c>
      <c r="BZ11" s="31" t="n">
        <f aca="false">IF(BZ$10&gt;0,MIN(p_AniosOp,ROUNDUP(BZ$10/12,0)),0)</f>
        <v>6</v>
      </c>
      <c r="CA11" s="31" t="n">
        <f aca="false">IF(CA$10&gt;0,MIN(p_AniosOp,ROUNDUP(CA$10/12,0)),0)</f>
        <v>7</v>
      </c>
      <c r="CB11" s="31" t="n">
        <f aca="false">IF(CB$10&gt;0,MIN(p_AniosOp,ROUNDUP(CB$10/12,0)),0)</f>
        <v>7</v>
      </c>
      <c r="CC11" s="31" t="n">
        <f aca="false">IF(CC$10&gt;0,MIN(p_AniosOp,ROUNDUP(CC$10/12,0)),0)</f>
        <v>7</v>
      </c>
      <c r="CD11" s="31" t="n">
        <f aca="false">IF(CD$10&gt;0,MIN(p_AniosOp,ROUNDUP(CD$10/12,0)),0)</f>
        <v>7</v>
      </c>
      <c r="CE11" s="31" t="n">
        <f aca="false">IF(CE$10&gt;0,MIN(p_AniosOp,ROUNDUP(CE$10/12,0)),0)</f>
        <v>7</v>
      </c>
      <c r="CF11" s="31" t="n">
        <f aca="false">IF(CF$10&gt;0,MIN(p_AniosOp,ROUNDUP(CF$10/12,0)),0)</f>
        <v>7</v>
      </c>
      <c r="CG11" s="31" t="n">
        <f aca="false">IF(CG$10&gt;0,MIN(p_AniosOp,ROUNDUP(CG$10/12,0)),0)</f>
        <v>7</v>
      </c>
      <c r="CH11" s="31" t="n">
        <f aca="false">IF(CH$10&gt;0,MIN(p_AniosOp,ROUNDUP(CH$10/12,0)),0)</f>
        <v>7</v>
      </c>
      <c r="CI11" s="31" t="n">
        <f aca="false">IF(CI$10&gt;0,MIN(p_AniosOp,ROUNDUP(CI$10/12,0)),0)</f>
        <v>7</v>
      </c>
      <c r="CJ11" s="31" t="n">
        <f aca="false">IF(CJ$10&gt;0,MIN(p_AniosOp,ROUNDUP(CJ$10/12,0)),0)</f>
        <v>7</v>
      </c>
      <c r="CK11" s="31" t="n">
        <f aca="false">IF(CK$10&gt;0,MIN(p_AniosOp,ROUNDUP(CK$10/12,0)),0)</f>
        <v>7</v>
      </c>
      <c r="CL11" s="31" t="n">
        <f aca="false">IF(CL$10&gt;0,MIN(p_AniosOp,ROUNDUP(CL$10/12,0)),0)</f>
        <v>7</v>
      </c>
      <c r="CM11" s="31" t="n">
        <f aca="false">IF(CM$10&gt;0,MIN(p_AniosOp,ROUNDUP(CM$10/12,0)),0)</f>
        <v>8</v>
      </c>
      <c r="CN11" s="31" t="n">
        <f aca="false">IF(CN$10&gt;0,MIN(p_AniosOp,ROUNDUP(CN$10/12,0)),0)</f>
        <v>8</v>
      </c>
      <c r="CO11" s="31" t="n">
        <f aca="false">IF(CO$10&gt;0,MIN(p_AniosOp,ROUNDUP(CO$10/12,0)),0)</f>
        <v>8</v>
      </c>
      <c r="CP11" s="31" t="n">
        <f aca="false">IF(CP$10&gt;0,MIN(p_AniosOp,ROUNDUP(CP$10/12,0)),0)</f>
        <v>8</v>
      </c>
      <c r="CQ11" s="31" t="n">
        <f aca="false">IF(CQ$10&gt;0,MIN(p_AniosOp,ROUNDUP(CQ$10/12,0)),0)</f>
        <v>8</v>
      </c>
      <c r="CR11" s="31" t="n">
        <f aca="false">IF(CR$10&gt;0,MIN(p_AniosOp,ROUNDUP(CR$10/12,0)),0)</f>
        <v>8</v>
      </c>
      <c r="CS11" s="31" t="n">
        <f aca="false">IF(CS$10&gt;0,MIN(p_AniosOp,ROUNDUP(CS$10/12,0)),0)</f>
        <v>8</v>
      </c>
      <c r="CT11" s="31" t="n">
        <f aca="false">IF(CT$10&gt;0,MIN(p_AniosOp,ROUNDUP(CT$10/12,0)),0)</f>
        <v>8</v>
      </c>
      <c r="CU11" s="31" t="n">
        <f aca="false">IF(CU$10&gt;0,MIN(p_AniosOp,ROUNDUP(CU$10/12,0)),0)</f>
        <v>8</v>
      </c>
      <c r="CV11" s="31" t="n">
        <f aca="false">IF(CV$10&gt;0,MIN(p_AniosOp,ROUNDUP(CV$10/12,0)),0)</f>
        <v>8</v>
      </c>
      <c r="CW11" s="31" t="n">
        <f aca="false">IF(CW$10&gt;0,MIN(p_AniosOp,ROUNDUP(CW$10/12,0)),0)</f>
        <v>8</v>
      </c>
      <c r="CX11" s="31" t="n">
        <f aca="false">IF(CX$10&gt;0,MIN(p_AniosOp,ROUNDUP(CX$10/12,0)),0)</f>
        <v>8</v>
      </c>
      <c r="CY11" s="31" t="n">
        <f aca="false">IF(CY$10&gt;0,MIN(p_AniosOp,ROUNDUP(CY$10/12,0)),0)</f>
        <v>9</v>
      </c>
      <c r="CZ11" s="31" t="n">
        <f aca="false">IF(CZ$10&gt;0,MIN(p_AniosOp,ROUNDUP(CZ$10/12,0)),0)</f>
        <v>9</v>
      </c>
      <c r="DA11" s="31" t="n">
        <f aca="false">IF(DA$10&gt;0,MIN(p_AniosOp,ROUNDUP(DA$10/12,0)),0)</f>
        <v>9</v>
      </c>
      <c r="DB11" s="31" t="n">
        <f aca="false">IF(DB$10&gt;0,MIN(p_AniosOp,ROUNDUP(DB$10/12,0)),0)</f>
        <v>9</v>
      </c>
      <c r="DC11" s="31" t="n">
        <f aca="false">IF(DC$10&gt;0,MIN(p_AniosOp,ROUNDUP(DC$10/12,0)),0)</f>
        <v>9</v>
      </c>
      <c r="DD11" s="31" t="n">
        <f aca="false">IF(DD$10&gt;0,MIN(p_AniosOp,ROUNDUP(DD$10/12,0)),0)</f>
        <v>9</v>
      </c>
      <c r="DE11" s="31" t="n">
        <f aca="false">IF(DE$10&gt;0,MIN(p_AniosOp,ROUNDUP(DE$10/12,0)),0)</f>
        <v>9</v>
      </c>
      <c r="DF11" s="31" t="n">
        <f aca="false">IF(DF$10&gt;0,MIN(p_AniosOp,ROUNDUP(DF$10/12,0)),0)</f>
        <v>9</v>
      </c>
      <c r="DG11" s="31" t="n">
        <f aca="false">IF(DG$10&gt;0,MIN(p_AniosOp,ROUNDUP(DG$10/12,0)),0)</f>
        <v>9</v>
      </c>
      <c r="DH11" s="31" t="n">
        <f aca="false">IF(DH$10&gt;0,MIN(p_AniosOp,ROUNDUP(DH$10/12,0)),0)</f>
        <v>9</v>
      </c>
      <c r="DI11" s="31" t="n">
        <f aca="false">IF(DI$10&gt;0,MIN(p_AniosOp,ROUNDUP(DI$10/12,0)),0)</f>
        <v>9</v>
      </c>
      <c r="DJ11" s="31" t="n">
        <f aca="false">IF(DJ$10&gt;0,MIN(p_AniosOp,ROUNDUP(DJ$10/12,0)),0)</f>
        <v>9</v>
      </c>
      <c r="DK11" s="31" t="n">
        <f aca="false">IF(DK$10&gt;0,MIN(p_AniosOp,ROUNDUP(DK$10/12,0)),0)</f>
        <v>10</v>
      </c>
      <c r="DL11" s="31" t="n">
        <f aca="false">IF(DL$10&gt;0,MIN(p_AniosOp,ROUNDUP(DL$10/12,0)),0)</f>
        <v>10</v>
      </c>
      <c r="DM11" s="31" t="n">
        <f aca="false">IF(DM$10&gt;0,MIN(p_AniosOp,ROUNDUP(DM$10/12,0)),0)</f>
        <v>10</v>
      </c>
      <c r="DN11" s="31" t="n">
        <f aca="false">IF(DN$10&gt;0,MIN(p_AniosOp,ROUNDUP(DN$10/12,0)),0)</f>
        <v>10</v>
      </c>
      <c r="DO11" s="31" t="n">
        <f aca="false">IF(DO$10&gt;0,MIN(p_AniosOp,ROUNDUP(DO$10/12,0)),0)</f>
        <v>10</v>
      </c>
      <c r="DP11" s="31" t="n">
        <f aca="false">IF(DP$10&gt;0,MIN(p_AniosOp,ROUNDUP(DP$10/12,0)),0)</f>
        <v>10</v>
      </c>
      <c r="DQ11" s="31" t="n">
        <f aca="false">IF(DQ$10&gt;0,MIN(p_AniosOp,ROUNDUP(DQ$10/12,0)),0)</f>
        <v>10</v>
      </c>
      <c r="DR11" s="31" t="n">
        <f aca="false">IF(DR$10&gt;0,MIN(p_AniosOp,ROUNDUP(DR$10/12,0)),0)</f>
        <v>10</v>
      </c>
      <c r="DS11" s="31" t="n">
        <f aca="false">IF(DS$10&gt;0,MIN(p_AniosOp,ROUNDUP(DS$10/12,0)),0)</f>
        <v>10</v>
      </c>
      <c r="DT11" s="31" t="n">
        <f aca="false">IF(DT$10&gt;0,MIN(p_AniosOp,ROUNDUP(DT$10/12,0)),0)</f>
        <v>10</v>
      </c>
      <c r="DU11" s="31" t="n">
        <f aca="false">IF(DU$10&gt;0,MIN(p_AniosOp,ROUNDUP(DU$10/12,0)),0)</f>
        <v>10</v>
      </c>
      <c r="DV11" s="31" t="n">
        <f aca="false">IF(DV$10&gt;0,MIN(p_AniosOp,ROUNDUP(DV$10/12,0)),0)</f>
        <v>10</v>
      </c>
      <c r="DW11" s="31" t="n">
        <f aca="false">IF(DW$10&gt;0,MIN(p_AniosOp,ROUNDUP(DW$10/12,0)),0)</f>
        <v>0</v>
      </c>
      <c r="DX11" s="31" t="n">
        <f aca="false">IF(DX$10&gt;0,MIN(p_AniosOp,ROUNDUP(DX$10/12,0)),0)</f>
        <v>0</v>
      </c>
      <c r="DY11" s="31" t="n">
        <f aca="false">IF(DY$10&gt;0,MIN(p_AniosOp,ROUNDUP(DY$10/12,0)),0)</f>
        <v>0</v>
      </c>
      <c r="DZ11" s="31" t="n">
        <f aca="false">IF(DZ$10&gt;0,MIN(p_AniosOp,ROUNDUP(DZ$10/12,0)),0)</f>
        <v>0</v>
      </c>
      <c r="EA11" s="31" t="n">
        <f aca="false">IF(EA$10&gt;0,MIN(p_AniosOp,ROUNDUP(EA$10/12,0)),0)</f>
        <v>0</v>
      </c>
      <c r="EB11" s="31" t="n">
        <f aca="false">IF(EB$10&gt;0,MIN(p_AniosOp,ROUNDUP(EB$10/12,0)),0)</f>
        <v>0</v>
      </c>
      <c r="EC11" s="31" t="n">
        <f aca="false">IF(EC$10&gt;0,MIN(p_AniosOp,ROUNDUP(EC$10/12,0)),0)</f>
        <v>0</v>
      </c>
      <c r="ED11" s="31" t="n">
        <f aca="false">IF(ED$10&gt;0,MIN(p_AniosOp,ROUNDUP(ED$10/12,0)),0)</f>
        <v>0</v>
      </c>
      <c r="EE11" s="31" t="n">
        <f aca="false">IF(EE$10&gt;0,MIN(p_AniosOp,ROUNDUP(EE$10/12,0)),0)</f>
        <v>0</v>
      </c>
      <c r="EF11" s="31" t="n">
        <f aca="false">IF(EF$10&gt;0,MIN(p_AniosOp,ROUNDUP(EF$10/12,0)),0)</f>
        <v>0</v>
      </c>
      <c r="EG11" s="31" t="n">
        <f aca="false">IF(EG$10&gt;0,MIN(p_AniosOp,ROUNDUP(EG$10/12,0)),0)</f>
        <v>0</v>
      </c>
      <c r="EH11" s="31" t="n">
        <f aca="false">IF(EH$10&gt;0,MIN(p_AniosOp,ROUNDUP(EH$10/12,0)),0)</f>
        <v>0</v>
      </c>
      <c r="EI11" s="31" t="n">
        <f aca="false">IF(EI$10&gt;0,MIN(p_AniosOp,ROUNDUP(EI$10/12,0)),0)</f>
        <v>0</v>
      </c>
      <c r="EJ11" s="31" t="n">
        <f aca="false">IF(EJ$10&gt;0,MIN(p_AniosOp,ROUNDUP(EJ$10/12,0)),0)</f>
        <v>0</v>
      </c>
      <c r="EK11" s="31" t="n">
        <f aca="false">IF(EK$10&gt;0,MIN(p_AniosOp,ROUNDUP(EK$10/12,0)),0)</f>
        <v>0</v>
      </c>
      <c r="EL11" s="31" t="n">
        <f aca="false">IF(EL$10&gt;0,MIN(p_AniosOp,ROUNDUP(EL$10/12,0)),0)</f>
        <v>0</v>
      </c>
      <c r="EM11" s="31" t="n">
        <f aca="false">IF(EM$10&gt;0,MIN(p_AniosOp,ROUNDUP(EM$10/12,0)),0)</f>
        <v>0</v>
      </c>
      <c r="EN11" s="31" t="n">
        <f aca="false">IF(EN$10&gt;0,MIN(p_AniosOp,ROUNDUP(EN$10/12,0)),0)</f>
        <v>0</v>
      </c>
      <c r="EO11" s="31" t="n">
        <f aca="false">IF(EO$10&gt;0,MIN(p_AniosOp,ROUNDUP(EO$10/12,0)),0)</f>
        <v>0</v>
      </c>
      <c r="EP11" s="31" t="n">
        <f aca="false">IF(EP$10&gt;0,MIN(p_AniosOp,ROUNDUP(EP$10/12,0)),0)</f>
        <v>0</v>
      </c>
      <c r="EQ11" s="31" t="n">
        <f aca="false">IF(EQ$10&gt;0,MIN(p_AniosOp,ROUNDUP(EQ$10/12,0)),0)</f>
        <v>0</v>
      </c>
      <c r="ER11" s="31" t="n">
        <f aca="false">IF(ER$10&gt;0,MIN(p_AniosOp,ROUNDUP(ER$10/12,0)),0)</f>
        <v>0</v>
      </c>
      <c r="ES11" s="31" t="n">
        <f aca="false">IF(ES$10&gt;0,MIN(p_AniosOp,ROUNDUP(ES$10/12,0)),0)</f>
        <v>0</v>
      </c>
      <c r="ET11" s="31" t="n">
        <f aca="false">IF(ET$10&gt;0,MIN(p_AniosOp,ROUNDUP(ET$10/12,0)),0)</f>
        <v>0</v>
      </c>
      <c r="EU11" s="31" t="n">
        <f aca="false">IF(EU$10&gt;0,MIN(p_AniosOp,ROUNDUP(EU$10/12,0)),0)</f>
        <v>0</v>
      </c>
      <c r="EV11" s="31" t="n">
        <f aca="false">IF(EV$10&gt;0,MIN(p_AniosOp,ROUNDUP(EV$10/12,0)),0)</f>
        <v>0</v>
      </c>
      <c r="EW11" s="31" t="n">
        <f aca="false">IF(EW$10&gt;0,MIN(p_AniosOp,ROUNDUP(EW$10/12,0)),0)</f>
        <v>0</v>
      </c>
      <c r="EX11" s="31" t="n">
        <f aca="false">IF(EX$10&gt;0,MIN(p_AniosOp,ROUNDUP(EX$10/12,0)),0)</f>
        <v>0</v>
      </c>
      <c r="EY11" s="31" t="n">
        <f aca="false">IF(EY$10&gt;0,MIN(p_AniosOp,ROUNDUP(EY$10/12,0)),0)</f>
        <v>0</v>
      </c>
      <c r="EZ11" s="31" t="n">
        <f aca="false">IF(EZ$10&gt;0,MIN(p_AniosOp,ROUNDUP(EZ$10/12,0)),0)</f>
        <v>0</v>
      </c>
      <c r="FA11" s="31" t="n">
        <f aca="false">IF(FA$10&gt;0,MIN(p_AniosOp,ROUNDUP(FA$10/12,0)),0)</f>
        <v>0</v>
      </c>
      <c r="FB11" s="31" t="n">
        <f aca="false">IF(FB$10&gt;0,MIN(p_AniosOp,ROUNDUP(FB$10/12,0)),0)</f>
        <v>0</v>
      </c>
      <c r="FC11" s="31" t="n">
        <f aca="false">IF(FC$10&gt;0,MIN(p_AniosOp,ROUNDUP(FC$10/12,0)),0)</f>
        <v>0</v>
      </c>
      <c r="FD11" s="31" t="n">
        <f aca="false">IF(FD$10&gt;0,MIN(p_AniosOp,ROUNDUP(FD$10/12,0)),0)</f>
        <v>0</v>
      </c>
      <c r="FE11" s="31" t="n">
        <f aca="false">IF(FE$10&gt;0,MIN(p_AniosOp,ROUNDUP(FE$10/12,0)),0)</f>
        <v>0</v>
      </c>
      <c r="FF11" s="31" t="n">
        <f aca="false">IF(FF$10&gt;0,MIN(p_AniosOp,ROUNDUP(FF$10/12,0)),0)</f>
        <v>0</v>
      </c>
    </row>
    <row r="12" customFormat="false" ht="15" hidden="false" customHeight="false" outlineLevel="0" collapsed="false">
      <c r="A12" s="2" t="s">
        <v>783</v>
      </c>
      <c r="B12" s="8" t="s">
        <v>784</v>
      </c>
      <c r="C12" s="8" t="s">
        <v>351</v>
      </c>
      <c r="E12" s="61" t="n">
        <f aca="false">SUM($F12:$FF12)</f>
        <v>120</v>
      </c>
      <c r="F12" s="31" t="n">
        <f aca="false">IF(F$10&gt;0,1,0)</f>
        <v>0</v>
      </c>
      <c r="G12" s="31" t="n">
        <f aca="false">IF(G$10&gt;0,1,0)</f>
        <v>1</v>
      </c>
      <c r="H12" s="31" t="n">
        <f aca="false">IF(H$10&gt;0,1,0)</f>
        <v>1</v>
      </c>
      <c r="I12" s="31" t="n">
        <f aca="false">IF(I$10&gt;0,1,0)</f>
        <v>1</v>
      </c>
      <c r="J12" s="31" t="n">
        <f aca="false">IF(J$10&gt;0,1,0)</f>
        <v>1</v>
      </c>
      <c r="K12" s="31" t="n">
        <f aca="false">IF(K$10&gt;0,1,0)</f>
        <v>1</v>
      </c>
      <c r="L12" s="31" t="n">
        <f aca="false">IF(L$10&gt;0,1,0)</f>
        <v>1</v>
      </c>
      <c r="M12" s="31" t="n">
        <f aca="false">IF(M$10&gt;0,1,0)</f>
        <v>1</v>
      </c>
      <c r="N12" s="31" t="n">
        <f aca="false">IF(N$10&gt;0,1,0)</f>
        <v>1</v>
      </c>
      <c r="O12" s="31" t="n">
        <f aca="false">IF(O$10&gt;0,1,0)</f>
        <v>1</v>
      </c>
      <c r="P12" s="31" t="n">
        <f aca="false">IF(P$10&gt;0,1,0)</f>
        <v>1</v>
      </c>
      <c r="Q12" s="31" t="n">
        <f aca="false">IF(Q$10&gt;0,1,0)</f>
        <v>1</v>
      </c>
      <c r="R12" s="31" t="n">
        <f aca="false">IF(R$10&gt;0,1,0)</f>
        <v>1</v>
      </c>
      <c r="S12" s="31" t="n">
        <f aca="false">IF(S$10&gt;0,1,0)</f>
        <v>1</v>
      </c>
      <c r="T12" s="31" t="n">
        <f aca="false">IF(T$10&gt;0,1,0)</f>
        <v>1</v>
      </c>
      <c r="U12" s="31" t="n">
        <f aca="false">IF(U$10&gt;0,1,0)</f>
        <v>1</v>
      </c>
      <c r="V12" s="31" t="n">
        <f aca="false">IF(V$10&gt;0,1,0)</f>
        <v>1</v>
      </c>
      <c r="W12" s="31" t="n">
        <f aca="false">IF(W$10&gt;0,1,0)</f>
        <v>1</v>
      </c>
      <c r="X12" s="31" t="n">
        <f aca="false">IF(X$10&gt;0,1,0)</f>
        <v>1</v>
      </c>
      <c r="Y12" s="31" t="n">
        <f aca="false">IF(Y$10&gt;0,1,0)</f>
        <v>1</v>
      </c>
      <c r="Z12" s="31" t="n">
        <f aca="false">IF(Z$10&gt;0,1,0)</f>
        <v>1</v>
      </c>
      <c r="AA12" s="31" t="n">
        <f aca="false">IF(AA$10&gt;0,1,0)</f>
        <v>1</v>
      </c>
      <c r="AB12" s="31" t="n">
        <f aca="false">IF(AB$10&gt;0,1,0)</f>
        <v>1</v>
      </c>
      <c r="AC12" s="31" t="n">
        <f aca="false">IF(AC$10&gt;0,1,0)</f>
        <v>1</v>
      </c>
      <c r="AD12" s="31" t="n">
        <f aca="false">IF(AD$10&gt;0,1,0)</f>
        <v>1</v>
      </c>
      <c r="AE12" s="31" t="n">
        <f aca="false">IF(AE$10&gt;0,1,0)</f>
        <v>1</v>
      </c>
      <c r="AF12" s="31" t="n">
        <f aca="false">IF(AF$10&gt;0,1,0)</f>
        <v>1</v>
      </c>
      <c r="AG12" s="31" t="n">
        <f aca="false">IF(AG$10&gt;0,1,0)</f>
        <v>1</v>
      </c>
      <c r="AH12" s="31" t="n">
        <f aca="false">IF(AH$10&gt;0,1,0)</f>
        <v>1</v>
      </c>
      <c r="AI12" s="31" t="n">
        <f aca="false">IF(AI$10&gt;0,1,0)</f>
        <v>1</v>
      </c>
      <c r="AJ12" s="31" t="n">
        <f aca="false">IF(AJ$10&gt;0,1,0)</f>
        <v>1</v>
      </c>
      <c r="AK12" s="31" t="n">
        <f aca="false">IF(AK$10&gt;0,1,0)</f>
        <v>1</v>
      </c>
      <c r="AL12" s="31" t="n">
        <f aca="false">IF(AL$10&gt;0,1,0)</f>
        <v>1</v>
      </c>
      <c r="AM12" s="31" t="n">
        <f aca="false">IF(AM$10&gt;0,1,0)</f>
        <v>1</v>
      </c>
      <c r="AN12" s="31" t="n">
        <f aca="false">IF(AN$10&gt;0,1,0)</f>
        <v>1</v>
      </c>
      <c r="AO12" s="31" t="n">
        <f aca="false">IF(AO$10&gt;0,1,0)</f>
        <v>1</v>
      </c>
      <c r="AP12" s="31" t="n">
        <f aca="false">IF(AP$10&gt;0,1,0)</f>
        <v>1</v>
      </c>
      <c r="AQ12" s="31" t="n">
        <f aca="false">IF(AQ$10&gt;0,1,0)</f>
        <v>1</v>
      </c>
      <c r="AR12" s="31" t="n">
        <f aca="false">IF(AR$10&gt;0,1,0)</f>
        <v>1</v>
      </c>
      <c r="AS12" s="31" t="n">
        <f aca="false">IF(AS$10&gt;0,1,0)</f>
        <v>1</v>
      </c>
      <c r="AT12" s="31" t="n">
        <f aca="false">IF(AT$10&gt;0,1,0)</f>
        <v>1</v>
      </c>
      <c r="AU12" s="31" t="n">
        <f aca="false">IF(AU$10&gt;0,1,0)</f>
        <v>1</v>
      </c>
      <c r="AV12" s="31" t="n">
        <f aca="false">IF(AV$10&gt;0,1,0)</f>
        <v>1</v>
      </c>
      <c r="AW12" s="31" t="n">
        <f aca="false">IF(AW$10&gt;0,1,0)</f>
        <v>1</v>
      </c>
      <c r="AX12" s="31" t="n">
        <f aca="false">IF(AX$10&gt;0,1,0)</f>
        <v>1</v>
      </c>
      <c r="AY12" s="31" t="n">
        <f aca="false">IF(AY$10&gt;0,1,0)</f>
        <v>1</v>
      </c>
      <c r="AZ12" s="31" t="n">
        <f aca="false">IF(AZ$10&gt;0,1,0)</f>
        <v>1</v>
      </c>
      <c r="BA12" s="31" t="n">
        <f aca="false">IF(BA$10&gt;0,1,0)</f>
        <v>1</v>
      </c>
      <c r="BB12" s="31" t="n">
        <f aca="false">IF(BB$10&gt;0,1,0)</f>
        <v>1</v>
      </c>
      <c r="BC12" s="31" t="n">
        <f aca="false">IF(BC$10&gt;0,1,0)</f>
        <v>1</v>
      </c>
      <c r="BD12" s="31" t="n">
        <f aca="false">IF(BD$10&gt;0,1,0)</f>
        <v>1</v>
      </c>
      <c r="BE12" s="31" t="n">
        <f aca="false">IF(BE$10&gt;0,1,0)</f>
        <v>1</v>
      </c>
      <c r="BF12" s="31" t="n">
        <f aca="false">IF(BF$10&gt;0,1,0)</f>
        <v>1</v>
      </c>
      <c r="BG12" s="31" t="n">
        <f aca="false">IF(BG$10&gt;0,1,0)</f>
        <v>1</v>
      </c>
      <c r="BH12" s="31" t="n">
        <f aca="false">IF(BH$10&gt;0,1,0)</f>
        <v>1</v>
      </c>
      <c r="BI12" s="31" t="n">
        <f aca="false">IF(BI$10&gt;0,1,0)</f>
        <v>1</v>
      </c>
      <c r="BJ12" s="31" t="n">
        <f aca="false">IF(BJ$10&gt;0,1,0)</f>
        <v>1</v>
      </c>
      <c r="BK12" s="31" t="n">
        <f aca="false">IF(BK$10&gt;0,1,0)</f>
        <v>1</v>
      </c>
      <c r="BL12" s="31" t="n">
        <f aca="false">IF(BL$10&gt;0,1,0)</f>
        <v>1</v>
      </c>
      <c r="BM12" s="31" t="n">
        <f aca="false">IF(BM$10&gt;0,1,0)</f>
        <v>1</v>
      </c>
      <c r="BN12" s="31" t="n">
        <f aca="false">IF(BN$10&gt;0,1,0)</f>
        <v>1</v>
      </c>
      <c r="BO12" s="31" t="n">
        <f aca="false">IF(BO$10&gt;0,1,0)</f>
        <v>1</v>
      </c>
      <c r="BP12" s="31" t="n">
        <f aca="false">IF(BP$10&gt;0,1,0)</f>
        <v>1</v>
      </c>
      <c r="BQ12" s="31" t="n">
        <f aca="false">IF(BQ$10&gt;0,1,0)</f>
        <v>1</v>
      </c>
      <c r="BR12" s="31" t="n">
        <f aca="false">IF(BR$10&gt;0,1,0)</f>
        <v>1</v>
      </c>
      <c r="BS12" s="31" t="n">
        <f aca="false">IF(BS$10&gt;0,1,0)</f>
        <v>1</v>
      </c>
      <c r="BT12" s="31" t="n">
        <f aca="false">IF(BT$10&gt;0,1,0)</f>
        <v>1</v>
      </c>
      <c r="BU12" s="31" t="n">
        <f aca="false">IF(BU$10&gt;0,1,0)</f>
        <v>1</v>
      </c>
      <c r="BV12" s="31" t="n">
        <f aca="false">IF(BV$10&gt;0,1,0)</f>
        <v>1</v>
      </c>
      <c r="BW12" s="31" t="n">
        <f aca="false">IF(BW$10&gt;0,1,0)</f>
        <v>1</v>
      </c>
      <c r="BX12" s="31" t="n">
        <f aca="false">IF(BX$10&gt;0,1,0)</f>
        <v>1</v>
      </c>
      <c r="BY12" s="31" t="n">
        <f aca="false">IF(BY$10&gt;0,1,0)</f>
        <v>1</v>
      </c>
      <c r="BZ12" s="31" t="n">
        <f aca="false">IF(BZ$10&gt;0,1,0)</f>
        <v>1</v>
      </c>
      <c r="CA12" s="31" t="n">
        <f aca="false">IF(CA$10&gt;0,1,0)</f>
        <v>1</v>
      </c>
      <c r="CB12" s="31" t="n">
        <f aca="false">IF(CB$10&gt;0,1,0)</f>
        <v>1</v>
      </c>
      <c r="CC12" s="31" t="n">
        <f aca="false">IF(CC$10&gt;0,1,0)</f>
        <v>1</v>
      </c>
      <c r="CD12" s="31" t="n">
        <f aca="false">IF(CD$10&gt;0,1,0)</f>
        <v>1</v>
      </c>
      <c r="CE12" s="31" t="n">
        <f aca="false">IF(CE$10&gt;0,1,0)</f>
        <v>1</v>
      </c>
      <c r="CF12" s="31" t="n">
        <f aca="false">IF(CF$10&gt;0,1,0)</f>
        <v>1</v>
      </c>
      <c r="CG12" s="31" t="n">
        <f aca="false">IF(CG$10&gt;0,1,0)</f>
        <v>1</v>
      </c>
      <c r="CH12" s="31" t="n">
        <f aca="false">IF(CH$10&gt;0,1,0)</f>
        <v>1</v>
      </c>
      <c r="CI12" s="31" t="n">
        <f aca="false">IF(CI$10&gt;0,1,0)</f>
        <v>1</v>
      </c>
      <c r="CJ12" s="31" t="n">
        <f aca="false">IF(CJ$10&gt;0,1,0)</f>
        <v>1</v>
      </c>
      <c r="CK12" s="31" t="n">
        <f aca="false">IF(CK$10&gt;0,1,0)</f>
        <v>1</v>
      </c>
      <c r="CL12" s="31" t="n">
        <f aca="false">IF(CL$10&gt;0,1,0)</f>
        <v>1</v>
      </c>
      <c r="CM12" s="31" t="n">
        <f aca="false">IF(CM$10&gt;0,1,0)</f>
        <v>1</v>
      </c>
      <c r="CN12" s="31" t="n">
        <f aca="false">IF(CN$10&gt;0,1,0)</f>
        <v>1</v>
      </c>
      <c r="CO12" s="31" t="n">
        <f aca="false">IF(CO$10&gt;0,1,0)</f>
        <v>1</v>
      </c>
      <c r="CP12" s="31" t="n">
        <f aca="false">IF(CP$10&gt;0,1,0)</f>
        <v>1</v>
      </c>
      <c r="CQ12" s="31" t="n">
        <f aca="false">IF(CQ$10&gt;0,1,0)</f>
        <v>1</v>
      </c>
      <c r="CR12" s="31" t="n">
        <f aca="false">IF(CR$10&gt;0,1,0)</f>
        <v>1</v>
      </c>
      <c r="CS12" s="31" t="n">
        <f aca="false">IF(CS$10&gt;0,1,0)</f>
        <v>1</v>
      </c>
      <c r="CT12" s="31" t="n">
        <f aca="false">IF(CT$10&gt;0,1,0)</f>
        <v>1</v>
      </c>
      <c r="CU12" s="31" t="n">
        <f aca="false">IF(CU$10&gt;0,1,0)</f>
        <v>1</v>
      </c>
      <c r="CV12" s="31" t="n">
        <f aca="false">IF(CV$10&gt;0,1,0)</f>
        <v>1</v>
      </c>
      <c r="CW12" s="31" t="n">
        <f aca="false">IF(CW$10&gt;0,1,0)</f>
        <v>1</v>
      </c>
      <c r="CX12" s="31" t="n">
        <f aca="false">IF(CX$10&gt;0,1,0)</f>
        <v>1</v>
      </c>
      <c r="CY12" s="31" t="n">
        <f aca="false">IF(CY$10&gt;0,1,0)</f>
        <v>1</v>
      </c>
      <c r="CZ12" s="31" t="n">
        <f aca="false">IF(CZ$10&gt;0,1,0)</f>
        <v>1</v>
      </c>
      <c r="DA12" s="31" t="n">
        <f aca="false">IF(DA$10&gt;0,1,0)</f>
        <v>1</v>
      </c>
      <c r="DB12" s="31" t="n">
        <f aca="false">IF(DB$10&gt;0,1,0)</f>
        <v>1</v>
      </c>
      <c r="DC12" s="31" t="n">
        <f aca="false">IF(DC$10&gt;0,1,0)</f>
        <v>1</v>
      </c>
      <c r="DD12" s="31" t="n">
        <f aca="false">IF(DD$10&gt;0,1,0)</f>
        <v>1</v>
      </c>
      <c r="DE12" s="31" t="n">
        <f aca="false">IF(DE$10&gt;0,1,0)</f>
        <v>1</v>
      </c>
      <c r="DF12" s="31" t="n">
        <f aca="false">IF(DF$10&gt;0,1,0)</f>
        <v>1</v>
      </c>
      <c r="DG12" s="31" t="n">
        <f aca="false">IF(DG$10&gt;0,1,0)</f>
        <v>1</v>
      </c>
      <c r="DH12" s="31" t="n">
        <f aca="false">IF(DH$10&gt;0,1,0)</f>
        <v>1</v>
      </c>
      <c r="DI12" s="31" t="n">
        <f aca="false">IF(DI$10&gt;0,1,0)</f>
        <v>1</v>
      </c>
      <c r="DJ12" s="31" t="n">
        <f aca="false">IF(DJ$10&gt;0,1,0)</f>
        <v>1</v>
      </c>
      <c r="DK12" s="31" t="n">
        <f aca="false">IF(DK$10&gt;0,1,0)</f>
        <v>1</v>
      </c>
      <c r="DL12" s="31" t="n">
        <f aca="false">IF(DL$10&gt;0,1,0)</f>
        <v>1</v>
      </c>
      <c r="DM12" s="31" t="n">
        <f aca="false">IF(DM$10&gt;0,1,0)</f>
        <v>1</v>
      </c>
      <c r="DN12" s="31" t="n">
        <f aca="false">IF(DN$10&gt;0,1,0)</f>
        <v>1</v>
      </c>
      <c r="DO12" s="31" t="n">
        <f aca="false">IF(DO$10&gt;0,1,0)</f>
        <v>1</v>
      </c>
      <c r="DP12" s="31" t="n">
        <f aca="false">IF(DP$10&gt;0,1,0)</f>
        <v>1</v>
      </c>
      <c r="DQ12" s="31" t="n">
        <f aca="false">IF(DQ$10&gt;0,1,0)</f>
        <v>1</v>
      </c>
      <c r="DR12" s="31" t="n">
        <f aca="false">IF(DR$10&gt;0,1,0)</f>
        <v>1</v>
      </c>
      <c r="DS12" s="31" t="n">
        <f aca="false">IF(DS$10&gt;0,1,0)</f>
        <v>1</v>
      </c>
      <c r="DT12" s="31" t="n">
        <f aca="false">IF(DT$10&gt;0,1,0)</f>
        <v>1</v>
      </c>
      <c r="DU12" s="31" t="n">
        <f aca="false">IF(DU$10&gt;0,1,0)</f>
        <v>1</v>
      </c>
      <c r="DV12" s="31" t="n">
        <f aca="false">IF(DV$10&gt;0,1,0)</f>
        <v>1</v>
      </c>
      <c r="DW12" s="31" t="n">
        <f aca="false">IF(DW$10&gt;0,1,0)</f>
        <v>0</v>
      </c>
      <c r="DX12" s="31" t="n">
        <f aca="false">IF(DX$10&gt;0,1,0)</f>
        <v>0</v>
      </c>
      <c r="DY12" s="31" t="n">
        <f aca="false">IF(DY$10&gt;0,1,0)</f>
        <v>0</v>
      </c>
      <c r="DZ12" s="31" t="n">
        <f aca="false">IF(DZ$10&gt;0,1,0)</f>
        <v>0</v>
      </c>
      <c r="EA12" s="31" t="n">
        <f aca="false">IF(EA$10&gt;0,1,0)</f>
        <v>0</v>
      </c>
      <c r="EB12" s="31" t="n">
        <f aca="false">IF(EB$10&gt;0,1,0)</f>
        <v>0</v>
      </c>
      <c r="EC12" s="31" t="n">
        <f aca="false">IF(EC$10&gt;0,1,0)</f>
        <v>0</v>
      </c>
      <c r="ED12" s="31" t="n">
        <f aca="false">IF(ED$10&gt;0,1,0)</f>
        <v>0</v>
      </c>
      <c r="EE12" s="31" t="n">
        <f aca="false">IF(EE$10&gt;0,1,0)</f>
        <v>0</v>
      </c>
      <c r="EF12" s="31" t="n">
        <f aca="false">IF(EF$10&gt;0,1,0)</f>
        <v>0</v>
      </c>
      <c r="EG12" s="31" t="n">
        <f aca="false">IF(EG$10&gt;0,1,0)</f>
        <v>0</v>
      </c>
      <c r="EH12" s="31" t="n">
        <f aca="false">IF(EH$10&gt;0,1,0)</f>
        <v>0</v>
      </c>
      <c r="EI12" s="31" t="n">
        <f aca="false">IF(EI$10&gt;0,1,0)</f>
        <v>0</v>
      </c>
      <c r="EJ12" s="31" t="n">
        <f aca="false">IF(EJ$10&gt;0,1,0)</f>
        <v>0</v>
      </c>
      <c r="EK12" s="31" t="n">
        <f aca="false">IF(EK$10&gt;0,1,0)</f>
        <v>0</v>
      </c>
      <c r="EL12" s="31" t="n">
        <f aca="false">IF(EL$10&gt;0,1,0)</f>
        <v>0</v>
      </c>
      <c r="EM12" s="31" t="n">
        <f aca="false">IF(EM$10&gt;0,1,0)</f>
        <v>0</v>
      </c>
      <c r="EN12" s="31" t="n">
        <f aca="false">IF(EN$10&gt;0,1,0)</f>
        <v>0</v>
      </c>
      <c r="EO12" s="31" t="n">
        <f aca="false">IF(EO$10&gt;0,1,0)</f>
        <v>0</v>
      </c>
      <c r="EP12" s="31" t="n">
        <f aca="false">IF(EP$10&gt;0,1,0)</f>
        <v>0</v>
      </c>
      <c r="EQ12" s="31" t="n">
        <f aca="false">IF(EQ$10&gt;0,1,0)</f>
        <v>0</v>
      </c>
      <c r="ER12" s="31" t="n">
        <f aca="false">IF(ER$10&gt;0,1,0)</f>
        <v>0</v>
      </c>
      <c r="ES12" s="31" t="n">
        <f aca="false">IF(ES$10&gt;0,1,0)</f>
        <v>0</v>
      </c>
      <c r="ET12" s="31" t="n">
        <f aca="false">IF(ET$10&gt;0,1,0)</f>
        <v>0</v>
      </c>
      <c r="EU12" s="31" t="n">
        <f aca="false">IF(EU$10&gt;0,1,0)</f>
        <v>0</v>
      </c>
      <c r="EV12" s="31" t="n">
        <f aca="false">IF(EV$10&gt;0,1,0)</f>
        <v>0</v>
      </c>
      <c r="EW12" s="31" t="n">
        <f aca="false">IF(EW$10&gt;0,1,0)</f>
        <v>0</v>
      </c>
      <c r="EX12" s="31" t="n">
        <f aca="false">IF(EX$10&gt;0,1,0)</f>
        <v>0</v>
      </c>
      <c r="EY12" s="31" t="n">
        <f aca="false">IF(EY$10&gt;0,1,0)</f>
        <v>0</v>
      </c>
      <c r="EZ12" s="31" t="n">
        <f aca="false">IF(EZ$10&gt;0,1,0)</f>
        <v>0</v>
      </c>
      <c r="FA12" s="31" t="n">
        <f aca="false">IF(FA$10&gt;0,1,0)</f>
        <v>0</v>
      </c>
      <c r="FB12" s="31" t="n">
        <f aca="false">IF(FB$10&gt;0,1,0)</f>
        <v>0</v>
      </c>
      <c r="FC12" s="31" t="n">
        <f aca="false">IF(FC$10&gt;0,1,0)</f>
        <v>0</v>
      </c>
      <c r="FD12" s="31" t="n">
        <f aca="false">IF(FD$10&gt;0,1,0)</f>
        <v>0</v>
      </c>
      <c r="FE12" s="31" t="n">
        <f aca="false">IF(FE$10&gt;0,1,0)</f>
        <v>0</v>
      </c>
      <c r="FF12" s="31" t="n">
        <f aca="false">IF(FF$10&gt;0,1,0)</f>
        <v>0</v>
      </c>
    </row>
    <row r="13" customFormat="false" ht="15" hidden="false" customHeight="false" outlineLevel="0" collapsed="false">
      <c r="A13" s="2" t="s">
        <v>785</v>
      </c>
      <c r="B13" s="8" t="s">
        <v>786</v>
      </c>
      <c r="C13" s="8" t="s">
        <v>351</v>
      </c>
      <c r="E13" s="61" t="n">
        <f aca="false">SUM($F13:$FF13)</f>
        <v>121</v>
      </c>
      <c r="F13" s="31" t="n">
        <f aca="false">IF(0&lt;=p_MesFin,1,0)</f>
        <v>1</v>
      </c>
      <c r="G13" s="31" t="n">
        <f aca="false">IF(1&lt;=p_MesFin,1,0)</f>
        <v>1</v>
      </c>
      <c r="H13" s="31" t="n">
        <f aca="false">IF(2&lt;=p_MesFin,1,0)</f>
        <v>1</v>
      </c>
      <c r="I13" s="31" t="n">
        <f aca="false">IF(3&lt;=p_MesFin,1,0)</f>
        <v>1</v>
      </c>
      <c r="J13" s="31" t="n">
        <f aca="false">IF(4&lt;=p_MesFin,1,0)</f>
        <v>1</v>
      </c>
      <c r="K13" s="31" t="n">
        <f aca="false">IF(5&lt;=p_MesFin,1,0)</f>
        <v>1</v>
      </c>
      <c r="L13" s="31" t="n">
        <f aca="false">IF(6&lt;=p_MesFin,1,0)</f>
        <v>1</v>
      </c>
      <c r="M13" s="31" t="n">
        <f aca="false">IF(7&lt;=p_MesFin,1,0)</f>
        <v>1</v>
      </c>
      <c r="N13" s="31" t="n">
        <f aca="false">IF(8&lt;=p_MesFin,1,0)</f>
        <v>1</v>
      </c>
      <c r="O13" s="31" t="n">
        <f aca="false">IF(9&lt;=p_MesFin,1,0)</f>
        <v>1</v>
      </c>
      <c r="P13" s="31" t="n">
        <f aca="false">IF(10&lt;=p_MesFin,1,0)</f>
        <v>1</v>
      </c>
      <c r="Q13" s="31" t="n">
        <f aca="false">IF(11&lt;=p_MesFin,1,0)</f>
        <v>1</v>
      </c>
      <c r="R13" s="31" t="n">
        <f aca="false">IF(12&lt;=p_MesFin,1,0)</f>
        <v>1</v>
      </c>
      <c r="S13" s="31" t="n">
        <f aca="false">IF(13&lt;=p_MesFin,1,0)</f>
        <v>1</v>
      </c>
      <c r="T13" s="31" t="n">
        <f aca="false">IF(14&lt;=p_MesFin,1,0)</f>
        <v>1</v>
      </c>
      <c r="U13" s="31" t="n">
        <f aca="false">IF(15&lt;=p_MesFin,1,0)</f>
        <v>1</v>
      </c>
      <c r="V13" s="31" t="n">
        <f aca="false">IF(16&lt;=p_MesFin,1,0)</f>
        <v>1</v>
      </c>
      <c r="W13" s="31" t="n">
        <f aca="false">IF(17&lt;=p_MesFin,1,0)</f>
        <v>1</v>
      </c>
      <c r="X13" s="31" t="n">
        <f aca="false">IF(18&lt;=p_MesFin,1,0)</f>
        <v>1</v>
      </c>
      <c r="Y13" s="31" t="n">
        <f aca="false">IF(19&lt;=p_MesFin,1,0)</f>
        <v>1</v>
      </c>
      <c r="Z13" s="31" t="n">
        <f aca="false">IF(20&lt;=p_MesFin,1,0)</f>
        <v>1</v>
      </c>
      <c r="AA13" s="31" t="n">
        <f aca="false">IF(21&lt;=p_MesFin,1,0)</f>
        <v>1</v>
      </c>
      <c r="AB13" s="31" t="n">
        <f aca="false">IF(22&lt;=p_MesFin,1,0)</f>
        <v>1</v>
      </c>
      <c r="AC13" s="31" t="n">
        <f aca="false">IF(23&lt;=p_MesFin,1,0)</f>
        <v>1</v>
      </c>
      <c r="AD13" s="31" t="n">
        <f aca="false">IF(24&lt;=p_MesFin,1,0)</f>
        <v>1</v>
      </c>
      <c r="AE13" s="31" t="n">
        <f aca="false">IF(25&lt;=p_MesFin,1,0)</f>
        <v>1</v>
      </c>
      <c r="AF13" s="31" t="n">
        <f aca="false">IF(26&lt;=p_MesFin,1,0)</f>
        <v>1</v>
      </c>
      <c r="AG13" s="31" t="n">
        <f aca="false">IF(27&lt;=p_MesFin,1,0)</f>
        <v>1</v>
      </c>
      <c r="AH13" s="31" t="n">
        <f aca="false">IF(28&lt;=p_MesFin,1,0)</f>
        <v>1</v>
      </c>
      <c r="AI13" s="31" t="n">
        <f aca="false">IF(29&lt;=p_MesFin,1,0)</f>
        <v>1</v>
      </c>
      <c r="AJ13" s="31" t="n">
        <f aca="false">IF(30&lt;=p_MesFin,1,0)</f>
        <v>1</v>
      </c>
      <c r="AK13" s="31" t="n">
        <f aca="false">IF(31&lt;=p_MesFin,1,0)</f>
        <v>1</v>
      </c>
      <c r="AL13" s="31" t="n">
        <f aca="false">IF(32&lt;=p_MesFin,1,0)</f>
        <v>1</v>
      </c>
      <c r="AM13" s="31" t="n">
        <f aca="false">IF(33&lt;=p_MesFin,1,0)</f>
        <v>1</v>
      </c>
      <c r="AN13" s="31" t="n">
        <f aca="false">IF(34&lt;=p_MesFin,1,0)</f>
        <v>1</v>
      </c>
      <c r="AO13" s="31" t="n">
        <f aca="false">IF(35&lt;=p_MesFin,1,0)</f>
        <v>1</v>
      </c>
      <c r="AP13" s="31" t="n">
        <f aca="false">IF(36&lt;=p_MesFin,1,0)</f>
        <v>1</v>
      </c>
      <c r="AQ13" s="31" t="n">
        <f aca="false">IF(37&lt;=p_MesFin,1,0)</f>
        <v>1</v>
      </c>
      <c r="AR13" s="31" t="n">
        <f aca="false">IF(38&lt;=p_MesFin,1,0)</f>
        <v>1</v>
      </c>
      <c r="AS13" s="31" t="n">
        <f aca="false">IF(39&lt;=p_MesFin,1,0)</f>
        <v>1</v>
      </c>
      <c r="AT13" s="31" t="n">
        <f aca="false">IF(40&lt;=p_MesFin,1,0)</f>
        <v>1</v>
      </c>
      <c r="AU13" s="31" t="n">
        <f aca="false">IF(41&lt;=p_MesFin,1,0)</f>
        <v>1</v>
      </c>
      <c r="AV13" s="31" t="n">
        <f aca="false">IF(42&lt;=p_MesFin,1,0)</f>
        <v>1</v>
      </c>
      <c r="AW13" s="31" t="n">
        <f aca="false">IF(43&lt;=p_MesFin,1,0)</f>
        <v>1</v>
      </c>
      <c r="AX13" s="31" t="n">
        <f aca="false">IF(44&lt;=p_MesFin,1,0)</f>
        <v>1</v>
      </c>
      <c r="AY13" s="31" t="n">
        <f aca="false">IF(45&lt;=p_MesFin,1,0)</f>
        <v>1</v>
      </c>
      <c r="AZ13" s="31" t="n">
        <f aca="false">IF(46&lt;=p_MesFin,1,0)</f>
        <v>1</v>
      </c>
      <c r="BA13" s="31" t="n">
        <f aca="false">IF(47&lt;=p_MesFin,1,0)</f>
        <v>1</v>
      </c>
      <c r="BB13" s="31" t="n">
        <f aca="false">IF(48&lt;=p_MesFin,1,0)</f>
        <v>1</v>
      </c>
      <c r="BC13" s="31" t="n">
        <f aca="false">IF(49&lt;=p_MesFin,1,0)</f>
        <v>1</v>
      </c>
      <c r="BD13" s="31" t="n">
        <f aca="false">IF(50&lt;=p_MesFin,1,0)</f>
        <v>1</v>
      </c>
      <c r="BE13" s="31" t="n">
        <f aca="false">IF(51&lt;=p_MesFin,1,0)</f>
        <v>1</v>
      </c>
      <c r="BF13" s="31" t="n">
        <f aca="false">IF(52&lt;=p_MesFin,1,0)</f>
        <v>1</v>
      </c>
      <c r="BG13" s="31" t="n">
        <f aca="false">IF(53&lt;=p_MesFin,1,0)</f>
        <v>1</v>
      </c>
      <c r="BH13" s="31" t="n">
        <f aca="false">IF(54&lt;=p_MesFin,1,0)</f>
        <v>1</v>
      </c>
      <c r="BI13" s="31" t="n">
        <f aca="false">IF(55&lt;=p_MesFin,1,0)</f>
        <v>1</v>
      </c>
      <c r="BJ13" s="31" t="n">
        <f aca="false">IF(56&lt;=p_MesFin,1,0)</f>
        <v>1</v>
      </c>
      <c r="BK13" s="31" t="n">
        <f aca="false">IF(57&lt;=p_MesFin,1,0)</f>
        <v>1</v>
      </c>
      <c r="BL13" s="31" t="n">
        <f aca="false">IF(58&lt;=p_MesFin,1,0)</f>
        <v>1</v>
      </c>
      <c r="BM13" s="31" t="n">
        <f aca="false">IF(59&lt;=p_MesFin,1,0)</f>
        <v>1</v>
      </c>
      <c r="BN13" s="31" t="n">
        <f aca="false">IF(60&lt;=p_MesFin,1,0)</f>
        <v>1</v>
      </c>
      <c r="BO13" s="31" t="n">
        <f aca="false">IF(61&lt;=p_MesFin,1,0)</f>
        <v>1</v>
      </c>
      <c r="BP13" s="31" t="n">
        <f aca="false">IF(62&lt;=p_MesFin,1,0)</f>
        <v>1</v>
      </c>
      <c r="BQ13" s="31" t="n">
        <f aca="false">IF(63&lt;=p_MesFin,1,0)</f>
        <v>1</v>
      </c>
      <c r="BR13" s="31" t="n">
        <f aca="false">IF(64&lt;=p_MesFin,1,0)</f>
        <v>1</v>
      </c>
      <c r="BS13" s="31" t="n">
        <f aca="false">IF(65&lt;=p_MesFin,1,0)</f>
        <v>1</v>
      </c>
      <c r="BT13" s="31" t="n">
        <f aca="false">IF(66&lt;=p_MesFin,1,0)</f>
        <v>1</v>
      </c>
      <c r="BU13" s="31" t="n">
        <f aca="false">IF(67&lt;=p_MesFin,1,0)</f>
        <v>1</v>
      </c>
      <c r="BV13" s="31" t="n">
        <f aca="false">IF(68&lt;=p_MesFin,1,0)</f>
        <v>1</v>
      </c>
      <c r="BW13" s="31" t="n">
        <f aca="false">IF(69&lt;=p_MesFin,1,0)</f>
        <v>1</v>
      </c>
      <c r="BX13" s="31" t="n">
        <f aca="false">IF(70&lt;=p_MesFin,1,0)</f>
        <v>1</v>
      </c>
      <c r="BY13" s="31" t="n">
        <f aca="false">IF(71&lt;=p_MesFin,1,0)</f>
        <v>1</v>
      </c>
      <c r="BZ13" s="31" t="n">
        <f aca="false">IF(72&lt;=p_MesFin,1,0)</f>
        <v>1</v>
      </c>
      <c r="CA13" s="31" t="n">
        <f aca="false">IF(73&lt;=p_MesFin,1,0)</f>
        <v>1</v>
      </c>
      <c r="CB13" s="31" t="n">
        <f aca="false">IF(74&lt;=p_MesFin,1,0)</f>
        <v>1</v>
      </c>
      <c r="CC13" s="31" t="n">
        <f aca="false">IF(75&lt;=p_MesFin,1,0)</f>
        <v>1</v>
      </c>
      <c r="CD13" s="31" t="n">
        <f aca="false">IF(76&lt;=p_MesFin,1,0)</f>
        <v>1</v>
      </c>
      <c r="CE13" s="31" t="n">
        <f aca="false">IF(77&lt;=p_MesFin,1,0)</f>
        <v>1</v>
      </c>
      <c r="CF13" s="31" t="n">
        <f aca="false">IF(78&lt;=p_MesFin,1,0)</f>
        <v>1</v>
      </c>
      <c r="CG13" s="31" t="n">
        <f aca="false">IF(79&lt;=p_MesFin,1,0)</f>
        <v>1</v>
      </c>
      <c r="CH13" s="31" t="n">
        <f aca="false">IF(80&lt;=p_MesFin,1,0)</f>
        <v>1</v>
      </c>
      <c r="CI13" s="31" t="n">
        <f aca="false">IF(81&lt;=p_MesFin,1,0)</f>
        <v>1</v>
      </c>
      <c r="CJ13" s="31" t="n">
        <f aca="false">IF(82&lt;=p_MesFin,1,0)</f>
        <v>1</v>
      </c>
      <c r="CK13" s="31" t="n">
        <f aca="false">IF(83&lt;=p_MesFin,1,0)</f>
        <v>1</v>
      </c>
      <c r="CL13" s="31" t="n">
        <f aca="false">IF(84&lt;=p_MesFin,1,0)</f>
        <v>1</v>
      </c>
      <c r="CM13" s="31" t="n">
        <f aca="false">IF(85&lt;=p_MesFin,1,0)</f>
        <v>1</v>
      </c>
      <c r="CN13" s="31" t="n">
        <f aca="false">IF(86&lt;=p_MesFin,1,0)</f>
        <v>1</v>
      </c>
      <c r="CO13" s="31" t="n">
        <f aca="false">IF(87&lt;=p_MesFin,1,0)</f>
        <v>1</v>
      </c>
      <c r="CP13" s="31" t="n">
        <f aca="false">IF(88&lt;=p_MesFin,1,0)</f>
        <v>1</v>
      </c>
      <c r="CQ13" s="31" t="n">
        <f aca="false">IF(89&lt;=p_MesFin,1,0)</f>
        <v>1</v>
      </c>
      <c r="CR13" s="31" t="n">
        <f aca="false">IF(90&lt;=p_MesFin,1,0)</f>
        <v>1</v>
      </c>
      <c r="CS13" s="31" t="n">
        <f aca="false">IF(91&lt;=p_MesFin,1,0)</f>
        <v>1</v>
      </c>
      <c r="CT13" s="31" t="n">
        <f aca="false">IF(92&lt;=p_MesFin,1,0)</f>
        <v>1</v>
      </c>
      <c r="CU13" s="31" t="n">
        <f aca="false">IF(93&lt;=p_MesFin,1,0)</f>
        <v>1</v>
      </c>
      <c r="CV13" s="31" t="n">
        <f aca="false">IF(94&lt;=p_MesFin,1,0)</f>
        <v>1</v>
      </c>
      <c r="CW13" s="31" t="n">
        <f aca="false">IF(95&lt;=p_MesFin,1,0)</f>
        <v>1</v>
      </c>
      <c r="CX13" s="31" t="n">
        <f aca="false">IF(96&lt;=p_MesFin,1,0)</f>
        <v>1</v>
      </c>
      <c r="CY13" s="31" t="n">
        <f aca="false">IF(97&lt;=p_MesFin,1,0)</f>
        <v>1</v>
      </c>
      <c r="CZ13" s="31" t="n">
        <f aca="false">IF(98&lt;=p_MesFin,1,0)</f>
        <v>1</v>
      </c>
      <c r="DA13" s="31" t="n">
        <f aca="false">IF(99&lt;=p_MesFin,1,0)</f>
        <v>1</v>
      </c>
      <c r="DB13" s="31" t="n">
        <f aca="false">IF(100&lt;=p_MesFin,1,0)</f>
        <v>1</v>
      </c>
      <c r="DC13" s="31" t="n">
        <f aca="false">IF(101&lt;=p_MesFin,1,0)</f>
        <v>1</v>
      </c>
      <c r="DD13" s="31" t="n">
        <f aca="false">IF(102&lt;=p_MesFin,1,0)</f>
        <v>1</v>
      </c>
      <c r="DE13" s="31" t="n">
        <f aca="false">IF(103&lt;=p_MesFin,1,0)</f>
        <v>1</v>
      </c>
      <c r="DF13" s="31" t="n">
        <f aca="false">IF(104&lt;=p_MesFin,1,0)</f>
        <v>1</v>
      </c>
      <c r="DG13" s="31" t="n">
        <f aca="false">IF(105&lt;=p_MesFin,1,0)</f>
        <v>1</v>
      </c>
      <c r="DH13" s="31" t="n">
        <f aca="false">IF(106&lt;=p_MesFin,1,0)</f>
        <v>1</v>
      </c>
      <c r="DI13" s="31" t="n">
        <f aca="false">IF(107&lt;=p_MesFin,1,0)</f>
        <v>1</v>
      </c>
      <c r="DJ13" s="31" t="n">
        <f aca="false">IF(108&lt;=p_MesFin,1,0)</f>
        <v>1</v>
      </c>
      <c r="DK13" s="31" t="n">
        <f aca="false">IF(109&lt;=p_MesFin,1,0)</f>
        <v>1</v>
      </c>
      <c r="DL13" s="31" t="n">
        <f aca="false">IF(110&lt;=p_MesFin,1,0)</f>
        <v>1</v>
      </c>
      <c r="DM13" s="31" t="n">
        <f aca="false">IF(111&lt;=p_MesFin,1,0)</f>
        <v>1</v>
      </c>
      <c r="DN13" s="31" t="n">
        <f aca="false">IF(112&lt;=p_MesFin,1,0)</f>
        <v>1</v>
      </c>
      <c r="DO13" s="31" t="n">
        <f aca="false">IF(113&lt;=p_MesFin,1,0)</f>
        <v>1</v>
      </c>
      <c r="DP13" s="31" t="n">
        <f aca="false">IF(114&lt;=p_MesFin,1,0)</f>
        <v>1</v>
      </c>
      <c r="DQ13" s="31" t="n">
        <f aca="false">IF(115&lt;=p_MesFin,1,0)</f>
        <v>1</v>
      </c>
      <c r="DR13" s="31" t="n">
        <f aca="false">IF(116&lt;=p_MesFin,1,0)</f>
        <v>1</v>
      </c>
      <c r="DS13" s="31" t="n">
        <f aca="false">IF(117&lt;=p_MesFin,1,0)</f>
        <v>1</v>
      </c>
      <c r="DT13" s="31" t="n">
        <f aca="false">IF(118&lt;=p_MesFin,1,0)</f>
        <v>1</v>
      </c>
      <c r="DU13" s="31" t="n">
        <f aca="false">IF(119&lt;=p_MesFin,1,0)</f>
        <v>1</v>
      </c>
      <c r="DV13" s="31" t="n">
        <f aca="false">IF(120&lt;=p_MesFin,1,0)</f>
        <v>1</v>
      </c>
      <c r="DW13" s="31" t="n">
        <f aca="false">IF(121&lt;=p_MesFin,1,0)</f>
        <v>0</v>
      </c>
      <c r="DX13" s="31" t="n">
        <f aca="false">IF(122&lt;=p_MesFin,1,0)</f>
        <v>0</v>
      </c>
      <c r="DY13" s="31" t="n">
        <f aca="false">IF(123&lt;=p_MesFin,1,0)</f>
        <v>0</v>
      </c>
      <c r="DZ13" s="31" t="n">
        <f aca="false">IF(124&lt;=p_MesFin,1,0)</f>
        <v>0</v>
      </c>
      <c r="EA13" s="31" t="n">
        <f aca="false">IF(125&lt;=p_MesFin,1,0)</f>
        <v>0</v>
      </c>
      <c r="EB13" s="31" t="n">
        <f aca="false">IF(126&lt;=p_MesFin,1,0)</f>
        <v>0</v>
      </c>
      <c r="EC13" s="31" t="n">
        <f aca="false">IF(127&lt;=p_MesFin,1,0)</f>
        <v>0</v>
      </c>
      <c r="ED13" s="31" t="n">
        <f aca="false">IF(128&lt;=p_MesFin,1,0)</f>
        <v>0</v>
      </c>
      <c r="EE13" s="31" t="n">
        <f aca="false">IF(129&lt;=p_MesFin,1,0)</f>
        <v>0</v>
      </c>
      <c r="EF13" s="31" t="n">
        <f aca="false">IF(130&lt;=p_MesFin,1,0)</f>
        <v>0</v>
      </c>
      <c r="EG13" s="31" t="n">
        <f aca="false">IF(131&lt;=p_MesFin,1,0)</f>
        <v>0</v>
      </c>
      <c r="EH13" s="31" t="n">
        <f aca="false">IF(132&lt;=p_MesFin,1,0)</f>
        <v>0</v>
      </c>
      <c r="EI13" s="31" t="n">
        <f aca="false">IF(133&lt;=p_MesFin,1,0)</f>
        <v>0</v>
      </c>
      <c r="EJ13" s="31" t="n">
        <f aca="false">IF(134&lt;=p_MesFin,1,0)</f>
        <v>0</v>
      </c>
      <c r="EK13" s="31" t="n">
        <f aca="false">IF(135&lt;=p_MesFin,1,0)</f>
        <v>0</v>
      </c>
      <c r="EL13" s="31" t="n">
        <f aca="false">IF(136&lt;=p_MesFin,1,0)</f>
        <v>0</v>
      </c>
      <c r="EM13" s="31" t="n">
        <f aca="false">IF(137&lt;=p_MesFin,1,0)</f>
        <v>0</v>
      </c>
      <c r="EN13" s="31" t="n">
        <f aca="false">IF(138&lt;=p_MesFin,1,0)</f>
        <v>0</v>
      </c>
      <c r="EO13" s="31" t="n">
        <f aca="false">IF(139&lt;=p_MesFin,1,0)</f>
        <v>0</v>
      </c>
      <c r="EP13" s="31" t="n">
        <f aca="false">IF(140&lt;=p_MesFin,1,0)</f>
        <v>0</v>
      </c>
      <c r="EQ13" s="31" t="n">
        <f aca="false">IF(141&lt;=p_MesFin,1,0)</f>
        <v>0</v>
      </c>
      <c r="ER13" s="31" t="n">
        <f aca="false">IF(142&lt;=p_MesFin,1,0)</f>
        <v>0</v>
      </c>
      <c r="ES13" s="31" t="n">
        <f aca="false">IF(143&lt;=p_MesFin,1,0)</f>
        <v>0</v>
      </c>
      <c r="ET13" s="31" t="n">
        <f aca="false">IF(144&lt;=p_MesFin,1,0)</f>
        <v>0</v>
      </c>
      <c r="EU13" s="31" t="n">
        <f aca="false">IF(145&lt;=p_MesFin,1,0)</f>
        <v>0</v>
      </c>
      <c r="EV13" s="31" t="n">
        <f aca="false">IF(146&lt;=p_MesFin,1,0)</f>
        <v>0</v>
      </c>
      <c r="EW13" s="31" t="n">
        <f aca="false">IF(147&lt;=p_MesFin,1,0)</f>
        <v>0</v>
      </c>
      <c r="EX13" s="31" t="n">
        <f aca="false">IF(148&lt;=p_MesFin,1,0)</f>
        <v>0</v>
      </c>
      <c r="EY13" s="31" t="n">
        <f aca="false">IF(149&lt;=p_MesFin,1,0)</f>
        <v>0</v>
      </c>
      <c r="EZ13" s="31" t="n">
        <f aca="false">IF(150&lt;=p_MesFin,1,0)</f>
        <v>0</v>
      </c>
      <c r="FA13" s="31" t="n">
        <f aca="false">IF(151&lt;=p_MesFin,1,0)</f>
        <v>0</v>
      </c>
      <c r="FB13" s="31" t="n">
        <f aca="false">IF(152&lt;=p_MesFin,1,0)</f>
        <v>0</v>
      </c>
      <c r="FC13" s="31" t="n">
        <f aca="false">IF(153&lt;=p_MesFin,1,0)</f>
        <v>0</v>
      </c>
      <c r="FD13" s="31" t="n">
        <f aca="false">IF(154&lt;=p_MesFin,1,0)</f>
        <v>0</v>
      </c>
      <c r="FE13" s="31" t="n">
        <f aca="false">IF(155&lt;=p_MesFin,1,0)</f>
        <v>0</v>
      </c>
      <c r="FF13" s="31" t="n">
        <f aca="false">IF(156&lt;=p_MesFin,1,0)</f>
        <v>0</v>
      </c>
    </row>
    <row r="14" customFormat="false" ht="15" hidden="false" customHeight="false" outlineLevel="0" collapsed="false">
      <c r="A14" s="2" t="s">
        <v>787</v>
      </c>
      <c r="B14" s="8" t="s">
        <v>788</v>
      </c>
      <c r="C14" s="8" t="s">
        <v>351</v>
      </c>
      <c r="E14" s="61" t="n">
        <f aca="false">SUM($F14:$FF14)</f>
        <v>0</v>
      </c>
      <c r="F14" s="31" t="n">
        <f aca="false">IF(AND(0&gt;=1,0&lt;p_MesArranque,0&lt;=p_MesFin),1,0)</f>
        <v>0</v>
      </c>
      <c r="G14" s="31" t="n">
        <f aca="false">IF(AND(1&gt;=1,1&lt;p_MesArranque,1&lt;=p_MesFin),1,0)</f>
        <v>0</v>
      </c>
      <c r="H14" s="31" t="n">
        <f aca="false">IF(AND(2&gt;=1,2&lt;p_MesArranque,2&lt;=p_MesFin),1,0)</f>
        <v>0</v>
      </c>
      <c r="I14" s="31" t="n">
        <f aca="false">IF(AND(3&gt;=1,3&lt;p_MesArranque,3&lt;=p_MesFin),1,0)</f>
        <v>0</v>
      </c>
      <c r="J14" s="31" t="n">
        <f aca="false">IF(AND(4&gt;=1,4&lt;p_MesArranque,4&lt;=p_MesFin),1,0)</f>
        <v>0</v>
      </c>
      <c r="K14" s="31" t="n">
        <f aca="false">IF(AND(5&gt;=1,5&lt;p_MesArranque,5&lt;=p_MesFin),1,0)</f>
        <v>0</v>
      </c>
      <c r="L14" s="31" t="n">
        <f aca="false">IF(AND(6&gt;=1,6&lt;p_MesArranque,6&lt;=p_MesFin),1,0)</f>
        <v>0</v>
      </c>
      <c r="M14" s="31" t="n">
        <f aca="false">IF(AND(7&gt;=1,7&lt;p_MesArranque,7&lt;=p_MesFin),1,0)</f>
        <v>0</v>
      </c>
      <c r="N14" s="31" t="n">
        <f aca="false">IF(AND(8&gt;=1,8&lt;p_MesArranque,8&lt;=p_MesFin),1,0)</f>
        <v>0</v>
      </c>
      <c r="O14" s="31" t="n">
        <f aca="false">IF(AND(9&gt;=1,9&lt;p_MesArranque,9&lt;=p_MesFin),1,0)</f>
        <v>0</v>
      </c>
      <c r="P14" s="31" t="n">
        <f aca="false">IF(AND(10&gt;=1,10&lt;p_MesArranque,10&lt;=p_MesFin),1,0)</f>
        <v>0</v>
      </c>
      <c r="Q14" s="31" t="n">
        <f aca="false">IF(AND(11&gt;=1,11&lt;p_MesArranque,11&lt;=p_MesFin),1,0)</f>
        <v>0</v>
      </c>
      <c r="R14" s="31" t="n">
        <f aca="false">IF(AND(12&gt;=1,12&lt;p_MesArranque,12&lt;=p_MesFin),1,0)</f>
        <v>0</v>
      </c>
      <c r="S14" s="31" t="n">
        <f aca="false">IF(AND(13&gt;=1,13&lt;p_MesArranque,13&lt;=p_MesFin),1,0)</f>
        <v>0</v>
      </c>
      <c r="T14" s="31" t="n">
        <f aca="false">IF(AND(14&gt;=1,14&lt;p_MesArranque,14&lt;=p_MesFin),1,0)</f>
        <v>0</v>
      </c>
      <c r="U14" s="31" t="n">
        <f aca="false">IF(AND(15&gt;=1,15&lt;p_MesArranque,15&lt;=p_MesFin),1,0)</f>
        <v>0</v>
      </c>
      <c r="V14" s="31" t="n">
        <f aca="false">IF(AND(16&gt;=1,16&lt;p_MesArranque,16&lt;=p_MesFin),1,0)</f>
        <v>0</v>
      </c>
      <c r="W14" s="31" t="n">
        <f aca="false">IF(AND(17&gt;=1,17&lt;p_MesArranque,17&lt;=p_MesFin),1,0)</f>
        <v>0</v>
      </c>
      <c r="X14" s="31" t="n">
        <f aca="false">IF(AND(18&gt;=1,18&lt;p_MesArranque,18&lt;=p_MesFin),1,0)</f>
        <v>0</v>
      </c>
      <c r="Y14" s="31" t="n">
        <f aca="false">IF(AND(19&gt;=1,19&lt;p_MesArranque,19&lt;=p_MesFin),1,0)</f>
        <v>0</v>
      </c>
      <c r="Z14" s="31" t="n">
        <f aca="false">IF(AND(20&gt;=1,20&lt;p_MesArranque,20&lt;=p_MesFin),1,0)</f>
        <v>0</v>
      </c>
      <c r="AA14" s="31" t="n">
        <f aca="false">IF(AND(21&gt;=1,21&lt;p_MesArranque,21&lt;=p_MesFin),1,0)</f>
        <v>0</v>
      </c>
      <c r="AB14" s="31" t="n">
        <f aca="false">IF(AND(22&gt;=1,22&lt;p_MesArranque,22&lt;=p_MesFin),1,0)</f>
        <v>0</v>
      </c>
      <c r="AC14" s="31" t="n">
        <f aca="false">IF(AND(23&gt;=1,23&lt;p_MesArranque,23&lt;=p_MesFin),1,0)</f>
        <v>0</v>
      </c>
      <c r="AD14" s="31" t="n">
        <f aca="false">IF(AND(24&gt;=1,24&lt;p_MesArranque,24&lt;=p_MesFin),1,0)</f>
        <v>0</v>
      </c>
      <c r="AE14" s="31" t="n">
        <f aca="false">IF(AND(25&gt;=1,25&lt;p_MesArranque,25&lt;=p_MesFin),1,0)</f>
        <v>0</v>
      </c>
      <c r="AF14" s="31" t="n">
        <f aca="false">IF(AND(26&gt;=1,26&lt;p_MesArranque,26&lt;=p_MesFin),1,0)</f>
        <v>0</v>
      </c>
      <c r="AG14" s="31" t="n">
        <f aca="false">IF(AND(27&gt;=1,27&lt;p_MesArranque,27&lt;=p_MesFin),1,0)</f>
        <v>0</v>
      </c>
      <c r="AH14" s="31" t="n">
        <f aca="false">IF(AND(28&gt;=1,28&lt;p_MesArranque,28&lt;=p_MesFin),1,0)</f>
        <v>0</v>
      </c>
      <c r="AI14" s="31" t="n">
        <f aca="false">IF(AND(29&gt;=1,29&lt;p_MesArranque,29&lt;=p_MesFin),1,0)</f>
        <v>0</v>
      </c>
      <c r="AJ14" s="31" t="n">
        <f aca="false">IF(AND(30&gt;=1,30&lt;p_MesArranque,30&lt;=p_MesFin),1,0)</f>
        <v>0</v>
      </c>
      <c r="AK14" s="31" t="n">
        <f aca="false">IF(AND(31&gt;=1,31&lt;p_MesArranque,31&lt;=p_MesFin),1,0)</f>
        <v>0</v>
      </c>
      <c r="AL14" s="31" t="n">
        <f aca="false">IF(AND(32&gt;=1,32&lt;p_MesArranque,32&lt;=p_MesFin),1,0)</f>
        <v>0</v>
      </c>
      <c r="AM14" s="31" t="n">
        <f aca="false">IF(AND(33&gt;=1,33&lt;p_MesArranque,33&lt;=p_MesFin),1,0)</f>
        <v>0</v>
      </c>
      <c r="AN14" s="31" t="n">
        <f aca="false">IF(AND(34&gt;=1,34&lt;p_MesArranque,34&lt;=p_MesFin),1,0)</f>
        <v>0</v>
      </c>
      <c r="AO14" s="31" t="n">
        <f aca="false">IF(AND(35&gt;=1,35&lt;p_MesArranque,35&lt;=p_MesFin),1,0)</f>
        <v>0</v>
      </c>
      <c r="AP14" s="31" t="n">
        <f aca="false">IF(AND(36&gt;=1,36&lt;p_MesArranque,36&lt;=p_MesFin),1,0)</f>
        <v>0</v>
      </c>
      <c r="AQ14" s="31" t="n">
        <f aca="false">IF(AND(37&gt;=1,37&lt;p_MesArranque,37&lt;=p_MesFin),1,0)</f>
        <v>0</v>
      </c>
      <c r="AR14" s="31" t="n">
        <f aca="false">IF(AND(38&gt;=1,38&lt;p_MesArranque,38&lt;=p_MesFin),1,0)</f>
        <v>0</v>
      </c>
      <c r="AS14" s="31" t="n">
        <f aca="false">IF(AND(39&gt;=1,39&lt;p_MesArranque,39&lt;=p_MesFin),1,0)</f>
        <v>0</v>
      </c>
      <c r="AT14" s="31" t="n">
        <f aca="false">IF(AND(40&gt;=1,40&lt;p_MesArranque,40&lt;=p_MesFin),1,0)</f>
        <v>0</v>
      </c>
      <c r="AU14" s="31" t="n">
        <f aca="false">IF(AND(41&gt;=1,41&lt;p_MesArranque,41&lt;=p_MesFin),1,0)</f>
        <v>0</v>
      </c>
      <c r="AV14" s="31" t="n">
        <f aca="false">IF(AND(42&gt;=1,42&lt;p_MesArranque,42&lt;=p_MesFin),1,0)</f>
        <v>0</v>
      </c>
      <c r="AW14" s="31" t="n">
        <f aca="false">IF(AND(43&gt;=1,43&lt;p_MesArranque,43&lt;=p_MesFin),1,0)</f>
        <v>0</v>
      </c>
      <c r="AX14" s="31" t="n">
        <f aca="false">IF(AND(44&gt;=1,44&lt;p_MesArranque,44&lt;=p_MesFin),1,0)</f>
        <v>0</v>
      </c>
      <c r="AY14" s="31" t="n">
        <f aca="false">IF(AND(45&gt;=1,45&lt;p_MesArranque,45&lt;=p_MesFin),1,0)</f>
        <v>0</v>
      </c>
      <c r="AZ14" s="31" t="n">
        <f aca="false">IF(AND(46&gt;=1,46&lt;p_MesArranque,46&lt;=p_MesFin),1,0)</f>
        <v>0</v>
      </c>
      <c r="BA14" s="31" t="n">
        <f aca="false">IF(AND(47&gt;=1,47&lt;p_MesArranque,47&lt;=p_MesFin),1,0)</f>
        <v>0</v>
      </c>
      <c r="BB14" s="31" t="n">
        <f aca="false">IF(AND(48&gt;=1,48&lt;p_MesArranque,48&lt;=p_MesFin),1,0)</f>
        <v>0</v>
      </c>
      <c r="BC14" s="31" t="n">
        <f aca="false">IF(AND(49&gt;=1,49&lt;p_MesArranque,49&lt;=p_MesFin),1,0)</f>
        <v>0</v>
      </c>
      <c r="BD14" s="31" t="n">
        <f aca="false">IF(AND(50&gt;=1,50&lt;p_MesArranque,50&lt;=p_MesFin),1,0)</f>
        <v>0</v>
      </c>
      <c r="BE14" s="31" t="n">
        <f aca="false">IF(AND(51&gt;=1,51&lt;p_MesArranque,51&lt;=p_MesFin),1,0)</f>
        <v>0</v>
      </c>
      <c r="BF14" s="31" t="n">
        <f aca="false">IF(AND(52&gt;=1,52&lt;p_MesArranque,52&lt;=p_MesFin),1,0)</f>
        <v>0</v>
      </c>
      <c r="BG14" s="31" t="n">
        <f aca="false">IF(AND(53&gt;=1,53&lt;p_MesArranque,53&lt;=p_MesFin),1,0)</f>
        <v>0</v>
      </c>
      <c r="BH14" s="31" t="n">
        <f aca="false">IF(AND(54&gt;=1,54&lt;p_MesArranque,54&lt;=p_MesFin),1,0)</f>
        <v>0</v>
      </c>
      <c r="BI14" s="31" t="n">
        <f aca="false">IF(AND(55&gt;=1,55&lt;p_MesArranque,55&lt;=p_MesFin),1,0)</f>
        <v>0</v>
      </c>
      <c r="BJ14" s="31" t="n">
        <f aca="false">IF(AND(56&gt;=1,56&lt;p_MesArranque,56&lt;=p_MesFin),1,0)</f>
        <v>0</v>
      </c>
      <c r="BK14" s="31" t="n">
        <f aca="false">IF(AND(57&gt;=1,57&lt;p_MesArranque,57&lt;=p_MesFin),1,0)</f>
        <v>0</v>
      </c>
      <c r="BL14" s="31" t="n">
        <f aca="false">IF(AND(58&gt;=1,58&lt;p_MesArranque,58&lt;=p_MesFin),1,0)</f>
        <v>0</v>
      </c>
      <c r="BM14" s="31" t="n">
        <f aca="false">IF(AND(59&gt;=1,59&lt;p_MesArranque,59&lt;=p_MesFin),1,0)</f>
        <v>0</v>
      </c>
      <c r="BN14" s="31" t="n">
        <f aca="false">IF(AND(60&gt;=1,60&lt;p_MesArranque,60&lt;=p_MesFin),1,0)</f>
        <v>0</v>
      </c>
      <c r="BO14" s="31" t="n">
        <f aca="false">IF(AND(61&gt;=1,61&lt;p_MesArranque,61&lt;=p_MesFin),1,0)</f>
        <v>0</v>
      </c>
      <c r="BP14" s="31" t="n">
        <f aca="false">IF(AND(62&gt;=1,62&lt;p_MesArranque,62&lt;=p_MesFin),1,0)</f>
        <v>0</v>
      </c>
      <c r="BQ14" s="31" t="n">
        <f aca="false">IF(AND(63&gt;=1,63&lt;p_MesArranque,63&lt;=p_MesFin),1,0)</f>
        <v>0</v>
      </c>
      <c r="BR14" s="31" t="n">
        <f aca="false">IF(AND(64&gt;=1,64&lt;p_MesArranque,64&lt;=p_MesFin),1,0)</f>
        <v>0</v>
      </c>
      <c r="BS14" s="31" t="n">
        <f aca="false">IF(AND(65&gt;=1,65&lt;p_MesArranque,65&lt;=p_MesFin),1,0)</f>
        <v>0</v>
      </c>
      <c r="BT14" s="31" t="n">
        <f aca="false">IF(AND(66&gt;=1,66&lt;p_MesArranque,66&lt;=p_MesFin),1,0)</f>
        <v>0</v>
      </c>
      <c r="BU14" s="31" t="n">
        <f aca="false">IF(AND(67&gt;=1,67&lt;p_MesArranque,67&lt;=p_MesFin),1,0)</f>
        <v>0</v>
      </c>
      <c r="BV14" s="31" t="n">
        <f aca="false">IF(AND(68&gt;=1,68&lt;p_MesArranque,68&lt;=p_MesFin),1,0)</f>
        <v>0</v>
      </c>
      <c r="BW14" s="31" t="n">
        <f aca="false">IF(AND(69&gt;=1,69&lt;p_MesArranque,69&lt;=p_MesFin),1,0)</f>
        <v>0</v>
      </c>
      <c r="BX14" s="31" t="n">
        <f aca="false">IF(AND(70&gt;=1,70&lt;p_MesArranque,70&lt;=p_MesFin),1,0)</f>
        <v>0</v>
      </c>
      <c r="BY14" s="31" t="n">
        <f aca="false">IF(AND(71&gt;=1,71&lt;p_MesArranque,71&lt;=p_MesFin),1,0)</f>
        <v>0</v>
      </c>
      <c r="BZ14" s="31" t="n">
        <f aca="false">IF(AND(72&gt;=1,72&lt;p_MesArranque,72&lt;=p_MesFin),1,0)</f>
        <v>0</v>
      </c>
      <c r="CA14" s="31" t="n">
        <f aca="false">IF(AND(73&gt;=1,73&lt;p_MesArranque,73&lt;=p_MesFin),1,0)</f>
        <v>0</v>
      </c>
      <c r="CB14" s="31" t="n">
        <f aca="false">IF(AND(74&gt;=1,74&lt;p_MesArranque,74&lt;=p_MesFin),1,0)</f>
        <v>0</v>
      </c>
      <c r="CC14" s="31" t="n">
        <f aca="false">IF(AND(75&gt;=1,75&lt;p_MesArranque,75&lt;=p_MesFin),1,0)</f>
        <v>0</v>
      </c>
      <c r="CD14" s="31" t="n">
        <f aca="false">IF(AND(76&gt;=1,76&lt;p_MesArranque,76&lt;=p_MesFin),1,0)</f>
        <v>0</v>
      </c>
      <c r="CE14" s="31" t="n">
        <f aca="false">IF(AND(77&gt;=1,77&lt;p_MesArranque,77&lt;=p_MesFin),1,0)</f>
        <v>0</v>
      </c>
      <c r="CF14" s="31" t="n">
        <f aca="false">IF(AND(78&gt;=1,78&lt;p_MesArranque,78&lt;=p_MesFin),1,0)</f>
        <v>0</v>
      </c>
      <c r="CG14" s="31" t="n">
        <f aca="false">IF(AND(79&gt;=1,79&lt;p_MesArranque,79&lt;=p_MesFin),1,0)</f>
        <v>0</v>
      </c>
      <c r="CH14" s="31" t="n">
        <f aca="false">IF(AND(80&gt;=1,80&lt;p_MesArranque,80&lt;=p_MesFin),1,0)</f>
        <v>0</v>
      </c>
      <c r="CI14" s="31" t="n">
        <f aca="false">IF(AND(81&gt;=1,81&lt;p_MesArranque,81&lt;=p_MesFin),1,0)</f>
        <v>0</v>
      </c>
      <c r="CJ14" s="31" t="n">
        <f aca="false">IF(AND(82&gt;=1,82&lt;p_MesArranque,82&lt;=p_MesFin),1,0)</f>
        <v>0</v>
      </c>
      <c r="CK14" s="31" t="n">
        <f aca="false">IF(AND(83&gt;=1,83&lt;p_MesArranque,83&lt;=p_MesFin),1,0)</f>
        <v>0</v>
      </c>
      <c r="CL14" s="31" t="n">
        <f aca="false">IF(AND(84&gt;=1,84&lt;p_MesArranque,84&lt;=p_MesFin),1,0)</f>
        <v>0</v>
      </c>
      <c r="CM14" s="31" t="n">
        <f aca="false">IF(AND(85&gt;=1,85&lt;p_MesArranque,85&lt;=p_MesFin),1,0)</f>
        <v>0</v>
      </c>
      <c r="CN14" s="31" t="n">
        <f aca="false">IF(AND(86&gt;=1,86&lt;p_MesArranque,86&lt;=p_MesFin),1,0)</f>
        <v>0</v>
      </c>
      <c r="CO14" s="31" t="n">
        <f aca="false">IF(AND(87&gt;=1,87&lt;p_MesArranque,87&lt;=p_MesFin),1,0)</f>
        <v>0</v>
      </c>
      <c r="CP14" s="31" t="n">
        <f aca="false">IF(AND(88&gt;=1,88&lt;p_MesArranque,88&lt;=p_MesFin),1,0)</f>
        <v>0</v>
      </c>
      <c r="CQ14" s="31" t="n">
        <f aca="false">IF(AND(89&gt;=1,89&lt;p_MesArranque,89&lt;=p_MesFin),1,0)</f>
        <v>0</v>
      </c>
      <c r="CR14" s="31" t="n">
        <f aca="false">IF(AND(90&gt;=1,90&lt;p_MesArranque,90&lt;=p_MesFin),1,0)</f>
        <v>0</v>
      </c>
      <c r="CS14" s="31" t="n">
        <f aca="false">IF(AND(91&gt;=1,91&lt;p_MesArranque,91&lt;=p_MesFin),1,0)</f>
        <v>0</v>
      </c>
      <c r="CT14" s="31" t="n">
        <f aca="false">IF(AND(92&gt;=1,92&lt;p_MesArranque,92&lt;=p_MesFin),1,0)</f>
        <v>0</v>
      </c>
      <c r="CU14" s="31" t="n">
        <f aca="false">IF(AND(93&gt;=1,93&lt;p_MesArranque,93&lt;=p_MesFin),1,0)</f>
        <v>0</v>
      </c>
      <c r="CV14" s="31" t="n">
        <f aca="false">IF(AND(94&gt;=1,94&lt;p_MesArranque,94&lt;=p_MesFin),1,0)</f>
        <v>0</v>
      </c>
      <c r="CW14" s="31" t="n">
        <f aca="false">IF(AND(95&gt;=1,95&lt;p_MesArranque,95&lt;=p_MesFin),1,0)</f>
        <v>0</v>
      </c>
      <c r="CX14" s="31" t="n">
        <f aca="false">IF(AND(96&gt;=1,96&lt;p_MesArranque,96&lt;=p_MesFin),1,0)</f>
        <v>0</v>
      </c>
      <c r="CY14" s="31" t="n">
        <f aca="false">IF(AND(97&gt;=1,97&lt;p_MesArranque,97&lt;=p_MesFin),1,0)</f>
        <v>0</v>
      </c>
      <c r="CZ14" s="31" t="n">
        <f aca="false">IF(AND(98&gt;=1,98&lt;p_MesArranque,98&lt;=p_MesFin),1,0)</f>
        <v>0</v>
      </c>
      <c r="DA14" s="31" t="n">
        <f aca="false">IF(AND(99&gt;=1,99&lt;p_MesArranque,99&lt;=p_MesFin),1,0)</f>
        <v>0</v>
      </c>
      <c r="DB14" s="31" t="n">
        <f aca="false">IF(AND(100&gt;=1,100&lt;p_MesArranque,100&lt;=p_MesFin),1,0)</f>
        <v>0</v>
      </c>
      <c r="DC14" s="31" t="n">
        <f aca="false">IF(AND(101&gt;=1,101&lt;p_MesArranque,101&lt;=p_MesFin),1,0)</f>
        <v>0</v>
      </c>
      <c r="DD14" s="31" t="n">
        <f aca="false">IF(AND(102&gt;=1,102&lt;p_MesArranque,102&lt;=p_MesFin),1,0)</f>
        <v>0</v>
      </c>
      <c r="DE14" s="31" t="n">
        <f aca="false">IF(AND(103&gt;=1,103&lt;p_MesArranque,103&lt;=p_MesFin),1,0)</f>
        <v>0</v>
      </c>
      <c r="DF14" s="31" t="n">
        <f aca="false">IF(AND(104&gt;=1,104&lt;p_MesArranque,104&lt;=p_MesFin),1,0)</f>
        <v>0</v>
      </c>
      <c r="DG14" s="31" t="n">
        <f aca="false">IF(AND(105&gt;=1,105&lt;p_MesArranque,105&lt;=p_MesFin),1,0)</f>
        <v>0</v>
      </c>
      <c r="DH14" s="31" t="n">
        <f aca="false">IF(AND(106&gt;=1,106&lt;p_MesArranque,106&lt;=p_MesFin),1,0)</f>
        <v>0</v>
      </c>
      <c r="DI14" s="31" t="n">
        <f aca="false">IF(AND(107&gt;=1,107&lt;p_MesArranque,107&lt;=p_MesFin),1,0)</f>
        <v>0</v>
      </c>
      <c r="DJ14" s="31" t="n">
        <f aca="false">IF(AND(108&gt;=1,108&lt;p_MesArranque,108&lt;=p_MesFin),1,0)</f>
        <v>0</v>
      </c>
      <c r="DK14" s="31" t="n">
        <f aca="false">IF(AND(109&gt;=1,109&lt;p_MesArranque,109&lt;=p_MesFin),1,0)</f>
        <v>0</v>
      </c>
      <c r="DL14" s="31" t="n">
        <f aca="false">IF(AND(110&gt;=1,110&lt;p_MesArranque,110&lt;=p_MesFin),1,0)</f>
        <v>0</v>
      </c>
      <c r="DM14" s="31" t="n">
        <f aca="false">IF(AND(111&gt;=1,111&lt;p_MesArranque,111&lt;=p_MesFin),1,0)</f>
        <v>0</v>
      </c>
      <c r="DN14" s="31" t="n">
        <f aca="false">IF(AND(112&gt;=1,112&lt;p_MesArranque,112&lt;=p_MesFin),1,0)</f>
        <v>0</v>
      </c>
      <c r="DO14" s="31" t="n">
        <f aca="false">IF(AND(113&gt;=1,113&lt;p_MesArranque,113&lt;=p_MesFin),1,0)</f>
        <v>0</v>
      </c>
      <c r="DP14" s="31" t="n">
        <f aca="false">IF(AND(114&gt;=1,114&lt;p_MesArranque,114&lt;=p_MesFin),1,0)</f>
        <v>0</v>
      </c>
      <c r="DQ14" s="31" t="n">
        <f aca="false">IF(AND(115&gt;=1,115&lt;p_MesArranque,115&lt;=p_MesFin),1,0)</f>
        <v>0</v>
      </c>
      <c r="DR14" s="31" t="n">
        <f aca="false">IF(AND(116&gt;=1,116&lt;p_MesArranque,116&lt;=p_MesFin),1,0)</f>
        <v>0</v>
      </c>
      <c r="DS14" s="31" t="n">
        <f aca="false">IF(AND(117&gt;=1,117&lt;p_MesArranque,117&lt;=p_MesFin),1,0)</f>
        <v>0</v>
      </c>
      <c r="DT14" s="31" t="n">
        <f aca="false">IF(AND(118&gt;=1,118&lt;p_MesArranque,118&lt;=p_MesFin),1,0)</f>
        <v>0</v>
      </c>
      <c r="DU14" s="31" t="n">
        <f aca="false">IF(AND(119&gt;=1,119&lt;p_MesArranque,119&lt;=p_MesFin),1,0)</f>
        <v>0</v>
      </c>
      <c r="DV14" s="31" t="n">
        <f aca="false">IF(AND(120&gt;=1,120&lt;p_MesArranque,120&lt;=p_MesFin),1,0)</f>
        <v>0</v>
      </c>
      <c r="DW14" s="31" t="n">
        <f aca="false">IF(AND(121&gt;=1,121&lt;p_MesArranque,121&lt;=p_MesFin),1,0)</f>
        <v>0</v>
      </c>
      <c r="DX14" s="31" t="n">
        <f aca="false">IF(AND(122&gt;=1,122&lt;p_MesArranque,122&lt;=p_MesFin),1,0)</f>
        <v>0</v>
      </c>
      <c r="DY14" s="31" t="n">
        <f aca="false">IF(AND(123&gt;=1,123&lt;p_MesArranque,123&lt;=p_MesFin),1,0)</f>
        <v>0</v>
      </c>
      <c r="DZ14" s="31" t="n">
        <f aca="false">IF(AND(124&gt;=1,124&lt;p_MesArranque,124&lt;=p_MesFin),1,0)</f>
        <v>0</v>
      </c>
      <c r="EA14" s="31" t="n">
        <f aca="false">IF(AND(125&gt;=1,125&lt;p_MesArranque,125&lt;=p_MesFin),1,0)</f>
        <v>0</v>
      </c>
      <c r="EB14" s="31" t="n">
        <f aca="false">IF(AND(126&gt;=1,126&lt;p_MesArranque,126&lt;=p_MesFin),1,0)</f>
        <v>0</v>
      </c>
      <c r="EC14" s="31" t="n">
        <f aca="false">IF(AND(127&gt;=1,127&lt;p_MesArranque,127&lt;=p_MesFin),1,0)</f>
        <v>0</v>
      </c>
      <c r="ED14" s="31" t="n">
        <f aca="false">IF(AND(128&gt;=1,128&lt;p_MesArranque,128&lt;=p_MesFin),1,0)</f>
        <v>0</v>
      </c>
      <c r="EE14" s="31" t="n">
        <f aca="false">IF(AND(129&gt;=1,129&lt;p_MesArranque,129&lt;=p_MesFin),1,0)</f>
        <v>0</v>
      </c>
      <c r="EF14" s="31" t="n">
        <f aca="false">IF(AND(130&gt;=1,130&lt;p_MesArranque,130&lt;=p_MesFin),1,0)</f>
        <v>0</v>
      </c>
      <c r="EG14" s="31" t="n">
        <f aca="false">IF(AND(131&gt;=1,131&lt;p_MesArranque,131&lt;=p_MesFin),1,0)</f>
        <v>0</v>
      </c>
      <c r="EH14" s="31" t="n">
        <f aca="false">IF(AND(132&gt;=1,132&lt;p_MesArranque,132&lt;=p_MesFin),1,0)</f>
        <v>0</v>
      </c>
      <c r="EI14" s="31" t="n">
        <f aca="false">IF(AND(133&gt;=1,133&lt;p_MesArranque,133&lt;=p_MesFin),1,0)</f>
        <v>0</v>
      </c>
      <c r="EJ14" s="31" t="n">
        <f aca="false">IF(AND(134&gt;=1,134&lt;p_MesArranque,134&lt;=p_MesFin),1,0)</f>
        <v>0</v>
      </c>
      <c r="EK14" s="31" t="n">
        <f aca="false">IF(AND(135&gt;=1,135&lt;p_MesArranque,135&lt;=p_MesFin),1,0)</f>
        <v>0</v>
      </c>
      <c r="EL14" s="31" t="n">
        <f aca="false">IF(AND(136&gt;=1,136&lt;p_MesArranque,136&lt;=p_MesFin),1,0)</f>
        <v>0</v>
      </c>
      <c r="EM14" s="31" t="n">
        <f aca="false">IF(AND(137&gt;=1,137&lt;p_MesArranque,137&lt;=p_MesFin),1,0)</f>
        <v>0</v>
      </c>
      <c r="EN14" s="31" t="n">
        <f aca="false">IF(AND(138&gt;=1,138&lt;p_MesArranque,138&lt;=p_MesFin),1,0)</f>
        <v>0</v>
      </c>
      <c r="EO14" s="31" t="n">
        <f aca="false">IF(AND(139&gt;=1,139&lt;p_MesArranque,139&lt;=p_MesFin),1,0)</f>
        <v>0</v>
      </c>
      <c r="EP14" s="31" t="n">
        <f aca="false">IF(AND(140&gt;=1,140&lt;p_MesArranque,140&lt;=p_MesFin),1,0)</f>
        <v>0</v>
      </c>
      <c r="EQ14" s="31" t="n">
        <f aca="false">IF(AND(141&gt;=1,141&lt;p_MesArranque,141&lt;=p_MesFin),1,0)</f>
        <v>0</v>
      </c>
      <c r="ER14" s="31" t="n">
        <f aca="false">IF(AND(142&gt;=1,142&lt;p_MesArranque,142&lt;=p_MesFin),1,0)</f>
        <v>0</v>
      </c>
      <c r="ES14" s="31" t="n">
        <f aca="false">IF(AND(143&gt;=1,143&lt;p_MesArranque,143&lt;=p_MesFin),1,0)</f>
        <v>0</v>
      </c>
      <c r="ET14" s="31" t="n">
        <f aca="false">IF(AND(144&gt;=1,144&lt;p_MesArranque,144&lt;=p_MesFin),1,0)</f>
        <v>0</v>
      </c>
      <c r="EU14" s="31" t="n">
        <f aca="false">IF(AND(145&gt;=1,145&lt;p_MesArranque,145&lt;=p_MesFin),1,0)</f>
        <v>0</v>
      </c>
      <c r="EV14" s="31" t="n">
        <f aca="false">IF(AND(146&gt;=1,146&lt;p_MesArranque,146&lt;=p_MesFin),1,0)</f>
        <v>0</v>
      </c>
      <c r="EW14" s="31" t="n">
        <f aca="false">IF(AND(147&gt;=1,147&lt;p_MesArranque,147&lt;=p_MesFin),1,0)</f>
        <v>0</v>
      </c>
      <c r="EX14" s="31" t="n">
        <f aca="false">IF(AND(148&gt;=1,148&lt;p_MesArranque,148&lt;=p_MesFin),1,0)</f>
        <v>0</v>
      </c>
      <c r="EY14" s="31" t="n">
        <f aca="false">IF(AND(149&gt;=1,149&lt;p_MesArranque,149&lt;=p_MesFin),1,0)</f>
        <v>0</v>
      </c>
      <c r="EZ14" s="31" t="n">
        <f aca="false">IF(AND(150&gt;=1,150&lt;p_MesArranque,150&lt;=p_MesFin),1,0)</f>
        <v>0</v>
      </c>
      <c r="FA14" s="31" t="n">
        <f aca="false">IF(AND(151&gt;=1,151&lt;p_MesArranque,151&lt;=p_MesFin),1,0)</f>
        <v>0</v>
      </c>
      <c r="FB14" s="31" t="n">
        <f aca="false">IF(AND(152&gt;=1,152&lt;p_MesArranque,152&lt;=p_MesFin),1,0)</f>
        <v>0</v>
      </c>
      <c r="FC14" s="31" t="n">
        <f aca="false">IF(AND(153&gt;=1,153&lt;p_MesArranque,153&lt;=p_MesFin),1,0)</f>
        <v>0</v>
      </c>
      <c r="FD14" s="31" t="n">
        <f aca="false">IF(AND(154&gt;=1,154&lt;p_MesArranque,154&lt;=p_MesFin),1,0)</f>
        <v>0</v>
      </c>
      <c r="FE14" s="31" t="n">
        <f aca="false">IF(AND(155&gt;=1,155&lt;p_MesArranque,155&lt;=p_MesFin),1,0)</f>
        <v>0</v>
      </c>
      <c r="FF14" s="31" t="n">
        <f aca="false">IF(AND(156&gt;=1,156&lt;p_MesArranque,156&lt;=p_MesFin),1,0)</f>
        <v>0</v>
      </c>
    </row>
    <row r="15" customFormat="false" ht="15" hidden="false" customHeight="false" outlineLevel="0" collapsed="false">
      <c r="A15" s="2" t="s">
        <v>789</v>
      </c>
      <c r="B15" s="8" t="s">
        <v>790</v>
      </c>
      <c r="C15" s="8" t="s">
        <v>351</v>
      </c>
      <c r="E15" s="61" t="n">
        <f aca="false">SUM($F15:$FF15)</f>
        <v>1</v>
      </c>
      <c r="F15" s="31" t="n">
        <f aca="false">IF(0=p_MesFin,1,0)</f>
        <v>0</v>
      </c>
      <c r="G15" s="31" t="n">
        <f aca="false">IF(1=p_MesFin,1,0)</f>
        <v>0</v>
      </c>
      <c r="H15" s="31" t="n">
        <f aca="false">IF(2=p_MesFin,1,0)</f>
        <v>0</v>
      </c>
      <c r="I15" s="31" t="n">
        <f aca="false">IF(3=p_MesFin,1,0)</f>
        <v>0</v>
      </c>
      <c r="J15" s="31" t="n">
        <f aca="false">IF(4=p_MesFin,1,0)</f>
        <v>0</v>
      </c>
      <c r="K15" s="31" t="n">
        <f aca="false">IF(5=p_MesFin,1,0)</f>
        <v>0</v>
      </c>
      <c r="L15" s="31" t="n">
        <f aca="false">IF(6=p_MesFin,1,0)</f>
        <v>0</v>
      </c>
      <c r="M15" s="31" t="n">
        <f aca="false">IF(7=p_MesFin,1,0)</f>
        <v>0</v>
      </c>
      <c r="N15" s="31" t="n">
        <f aca="false">IF(8=p_MesFin,1,0)</f>
        <v>0</v>
      </c>
      <c r="O15" s="31" t="n">
        <f aca="false">IF(9=p_MesFin,1,0)</f>
        <v>0</v>
      </c>
      <c r="P15" s="31" t="n">
        <f aca="false">IF(10=p_MesFin,1,0)</f>
        <v>0</v>
      </c>
      <c r="Q15" s="31" t="n">
        <f aca="false">IF(11=p_MesFin,1,0)</f>
        <v>0</v>
      </c>
      <c r="R15" s="31" t="n">
        <f aca="false">IF(12=p_MesFin,1,0)</f>
        <v>0</v>
      </c>
      <c r="S15" s="31" t="n">
        <f aca="false">IF(13=p_MesFin,1,0)</f>
        <v>0</v>
      </c>
      <c r="T15" s="31" t="n">
        <f aca="false">IF(14=p_MesFin,1,0)</f>
        <v>0</v>
      </c>
      <c r="U15" s="31" t="n">
        <f aca="false">IF(15=p_MesFin,1,0)</f>
        <v>0</v>
      </c>
      <c r="V15" s="31" t="n">
        <f aca="false">IF(16=p_MesFin,1,0)</f>
        <v>0</v>
      </c>
      <c r="W15" s="31" t="n">
        <f aca="false">IF(17=p_MesFin,1,0)</f>
        <v>0</v>
      </c>
      <c r="X15" s="31" t="n">
        <f aca="false">IF(18=p_MesFin,1,0)</f>
        <v>0</v>
      </c>
      <c r="Y15" s="31" t="n">
        <f aca="false">IF(19=p_MesFin,1,0)</f>
        <v>0</v>
      </c>
      <c r="Z15" s="31" t="n">
        <f aca="false">IF(20=p_MesFin,1,0)</f>
        <v>0</v>
      </c>
      <c r="AA15" s="31" t="n">
        <f aca="false">IF(21=p_MesFin,1,0)</f>
        <v>0</v>
      </c>
      <c r="AB15" s="31" t="n">
        <f aca="false">IF(22=p_MesFin,1,0)</f>
        <v>0</v>
      </c>
      <c r="AC15" s="31" t="n">
        <f aca="false">IF(23=p_MesFin,1,0)</f>
        <v>0</v>
      </c>
      <c r="AD15" s="31" t="n">
        <f aca="false">IF(24=p_MesFin,1,0)</f>
        <v>0</v>
      </c>
      <c r="AE15" s="31" t="n">
        <f aca="false">IF(25=p_MesFin,1,0)</f>
        <v>0</v>
      </c>
      <c r="AF15" s="31" t="n">
        <f aca="false">IF(26=p_MesFin,1,0)</f>
        <v>0</v>
      </c>
      <c r="AG15" s="31" t="n">
        <f aca="false">IF(27=p_MesFin,1,0)</f>
        <v>0</v>
      </c>
      <c r="AH15" s="31" t="n">
        <f aca="false">IF(28=p_MesFin,1,0)</f>
        <v>0</v>
      </c>
      <c r="AI15" s="31" t="n">
        <f aca="false">IF(29=p_MesFin,1,0)</f>
        <v>0</v>
      </c>
      <c r="AJ15" s="31" t="n">
        <f aca="false">IF(30=p_MesFin,1,0)</f>
        <v>0</v>
      </c>
      <c r="AK15" s="31" t="n">
        <f aca="false">IF(31=p_MesFin,1,0)</f>
        <v>0</v>
      </c>
      <c r="AL15" s="31" t="n">
        <f aca="false">IF(32=p_MesFin,1,0)</f>
        <v>0</v>
      </c>
      <c r="AM15" s="31" t="n">
        <f aca="false">IF(33=p_MesFin,1,0)</f>
        <v>0</v>
      </c>
      <c r="AN15" s="31" t="n">
        <f aca="false">IF(34=p_MesFin,1,0)</f>
        <v>0</v>
      </c>
      <c r="AO15" s="31" t="n">
        <f aca="false">IF(35=p_MesFin,1,0)</f>
        <v>0</v>
      </c>
      <c r="AP15" s="31" t="n">
        <f aca="false">IF(36=p_MesFin,1,0)</f>
        <v>0</v>
      </c>
      <c r="AQ15" s="31" t="n">
        <f aca="false">IF(37=p_MesFin,1,0)</f>
        <v>0</v>
      </c>
      <c r="AR15" s="31" t="n">
        <f aca="false">IF(38=p_MesFin,1,0)</f>
        <v>0</v>
      </c>
      <c r="AS15" s="31" t="n">
        <f aca="false">IF(39=p_MesFin,1,0)</f>
        <v>0</v>
      </c>
      <c r="AT15" s="31" t="n">
        <f aca="false">IF(40=p_MesFin,1,0)</f>
        <v>0</v>
      </c>
      <c r="AU15" s="31" t="n">
        <f aca="false">IF(41=p_MesFin,1,0)</f>
        <v>0</v>
      </c>
      <c r="AV15" s="31" t="n">
        <f aca="false">IF(42=p_MesFin,1,0)</f>
        <v>0</v>
      </c>
      <c r="AW15" s="31" t="n">
        <f aca="false">IF(43=p_MesFin,1,0)</f>
        <v>0</v>
      </c>
      <c r="AX15" s="31" t="n">
        <f aca="false">IF(44=p_MesFin,1,0)</f>
        <v>0</v>
      </c>
      <c r="AY15" s="31" t="n">
        <f aca="false">IF(45=p_MesFin,1,0)</f>
        <v>0</v>
      </c>
      <c r="AZ15" s="31" t="n">
        <f aca="false">IF(46=p_MesFin,1,0)</f>
        <v>0</v>
      </c>
      <c r="BA15" s="31" t="n">
        <f aca="false">IF(47=p_MesFin,1,0)</f>
        <v>0</v>
      </c>
      <c r="BB15" s="31" t="n">
        <f aca="false">IF(48=p_MesFin,1,0)</f>
        <v>0</v>
      </c>
      <c r="BC15" s="31" t="n">
        <f aca="false">IF(49=p_MesFin,1,0)</f>
        <v>0</v>
      </c>
      <c r="BD15" s="31" t="n">
        <f aca="false">IF(50=p_MesFin,1,0)</f>
        <v>0</v>
      </c>
      <c r="BE15" s="31" t="n">
        <f aca="false">IF(51=p_MesFin,1,0)</f>
        <v>0</v>
      </c>
      <c r="BF15" s="31" t="n">
        <f aca="false">IF(52=p_MesFin,1,0)</f>
        <v>0</v>
      </c>
      <c r="BG15" s="31" t="n">
        <f aca="false">IF(53=p_MesFin,1,0)</f>
        <v>0</v>
      </c>
      <c r="BH15" s="31" t="n">
        <f aca="false">IF(54=p_MesFin,1,0)</f>
        <v>0</v>
      </c>
      <c r="BI15" s="31" t="n">
        <f aca="false">IF(55=p_MesFin,1,0)</f>
        <v>0</v>
      </c>
      <c r="BJ15" s="31" t="n">
        <f aca="false">IF(56=p_MesFin,1,0)</f>
        <v>0</v>
      </c>
      <c r="BK15" s="31" t="n">
        <f aca="false">IF(57=p_MesFin,1,0)</f>
        <v>0</v>
      </c>
      <c r="BL15" s="31" t="n">
        <f aca="false">IF(58=p_MesFin,1,0)</f>
        <v>0</v>
      </c>
      <c r="BM15" s="31" t="n">
        <f aca="false">IF(59=p_MesFin,1,0)</f>
        <v>0</v>
      </c>
      <c r="BN15" s="31" t="n">
        <f aca="false">IF(60=p_MesFin,1,0)</f>
        <v>0</v>
      </c>
      <c r="BO15" s="31" t="n">
        <f aca="false">IF(61=p_MesFin,1,0)</f>
        <v>0</v>
      </c>
      <c r="BP15" s="31" t="n">
        <f aca="false">IF(62=p_MesFin,1,0)</f>
        <v>0</v>
      </c>
      <c r="BQ15" s="31" t="n">
        <f aca="false">IF(63=p_MesFin,1,0)</f>
        <v>0</v>
      </c>
      <c r="BR15" s="31" t="n">
        <f aca="false">IF(64=p_MesFin,1,0)</f>
        <v>0</v>
      </c>
      <c r="BS15" s="31" t="n">
        <f aca="false">IF(65=p_MesFin,1,0)</f>
        <v>0</v>
      </c>
      <c r="BT15" s="31" t="n">
        <f aca="false">IF(66=p_MesFin,1,0)</f>
        <v>0</v>
      </c>
      <c r="BU15" s="31" t="n">
        <f aca="false">IF(67=p_MesFin,1,0)</f>
        <v>0</v>
      </c>
      <c r="BV15" s="31" t="n">
        <f aca="false">IF(68=p_MesFin,1,0)</f>
        <v>0</v>
      </c>
      <c r="BW15" s="31" t="n">
        <f aca="false">IF(69=p_MesFin,1,0)</f>
        <v>0</v>
      </c>
      <c r="BX15" s="31" t="n">
        <f aca="false">IF(70=p_MesFin,1,0)</f>
        <v>0</v>
      </c>
      <c r="BY15" s="31" t="n">
        <f aca="false">IF(71=p_MesFin,1,0)</f>
        <v>0</v>
      </c>
      <c r="BZ15" s="31" t="n">
        <f aca="false">IF(72=p_MesFin,1,0)</f>
        <v>0</v>
      </c>
      <c r="CA15" s="31" t="n">
        <f aca="false">IF(73=p_MesFin,1,0)</f>
        <v>0</v>
      </c>
      <c r="CB15" s="31" t="n">
        <f aca="false">IF(74=p_MesFin,1,0)</f>
        <v>0</v>
      </c>
      <c r="CC15" s="31" t="n">
        <f aca="false">IF(75=p_MesFin,1,0)</f>
        <v>0</v>
      </c>
      <c r="CD15" s="31" t="n">
        <f aca="false">IF(76=p_MesFin,1,0)</f>
        <v>0</v>
      </c>
      <c r="CE15" s="31" t="n">
        <f aca="false">IF(77=p_MesFin,1,0)</f>
        <v>0</v>
      </c>
      <c r="CF15" s="31" t="n">
        <f aca="false">IF(78=p_MesFin,1,0)</f>
        <v>0</v>
      </c>
      <c r="CG15" s="31" t="n">
        <f aca="false">IF(79=p_MesFin,1,0)</f>
        <v>0</v>
      </c>
      <c r="CH15" s="31" t="n">
        <f aca="false">IF(80=p_MesFin,1,0)</f>
        <v>0</v>
      </c>
      <c r="CI15" s="31" t="n">
        <f aca="false">IF(81=p_MesFin,1,0)</f>
        <v>0</v>
      </c>
      <c r="CJ15" s="31" t="n">
        <f aca="false">IF(82=p_MesFin,1,0)</f>
        <v>0</v>
      </c>
      <c r="CK15" s="31" t="n">
        <f aca="false">IF(83=p_MesFin,1,0)</f>
        <v>0</v>
      </c>
      <c r="CL15" s="31" t="n">
        <f aca="false">IF(84=p_MesFin,1,0)</f>
        <v>0</v>
      </c>
      <c r="CM15" s="31" t="n">
        <f aca="false">IF(85=p_MesFin,1,0)</f>
        <v>0</v>
      </c>
      <c r="CN15" s="31" t="n">
        <f aca="false">IF(86=p_MesFin,1,0)</f>
        <v>0</v>
      </c>
      <c r="CO15" s="31" t="n">
        <f aca="false">IF(87=p_MesFin,1,0)</f>
        <v>0</v>
      </c>
      <c r="CP15" s="31" t="n">
        <f aca="false">IF(88=p_MesFin,1,0)</f>
        <v>0</v>
      </c>
      <c r="CQ15" s="31" t="n">
        <f aca="false">IF(89=p_MesFin,1,0)</f>
        <v>0</v>
      </c>
      <c r="CR15" s="31" t="n">
        <f aca="false">IF(90=p_MesFin,1,0)</f>
        <v>0</v>
      </c>
      <c r="CS15" s="31" t="n">
        <f aca="false">IF(91=p_MesFin,1,0)</f>
        <v>0</v>
      </c>
      <c r="CT15" s="31" t="n">
        <f aca="false">IF(92=p_MesFin,1,0)</f>
        <v>0</v>
      </c>
      <c r="CU15" s="31" t="n">
        <f aca="false">IF(93=p_MesFin,1,0)</f>
        <v>0</v>
      </c>
      <c r="CV15" s="31" t="n">
        <f aca="false">IF(94=p_MesFin,1,0)</f>
        <v>0</v>
      </c>
      <c r="CW15" s="31" t="n">
        <f aca="false">IF(95=p_MesFin,1,0)</f>
        <v>0</v>
      </c>
      <c r="CX15" s="31" t="n">
        <f aca="false">IF(96=p_MesFin,1,0)</f>
        <v>0</v>
      </c>
      <c r="CY15" s="31" t="n">
        <f aca="false">IF(97=p_MesFin,1,0)</f>
        <v>0</v>
      </c>
      <c r="CZ15" s="31" t="n">
        <f aca="false">IF(98=p_MesFin,1,0)</f>
        <v>0</v>
      </c>
      <c r="DA15" s="31" t="n">
        <f aca="false">IF(99=p_MesFin,1,0)</f>
        <v>0</v>
      </c>
      <c r="DB15" s="31" t="n">
        <f aca="false">IF(100=p_MesFin,1,0)</f>
        <v>0</v>
      </c>
      <c r="DC15" s="31" t="n">
        <f aca="false">IF(101=p_MesFin,1,0)</f>
        <v>0</v>
      </c>
      <c r="DD15" s="31" t="n">
        <f aca="false">IF(102=p_MesFin,1,0)</f>
        <v>0</v>
      </c>
      <c r="DE15" s="31" t="n">
        <f aca="false">IF(103=p_MesFin,1,0)</f>
        <v>0</v>
      </c>
      <c r="DF15" s="31" t="n">
        <f aca="false">IF(104=p_MesFin,1,0)</f>
        <v>0</v>
      </c>
      <c r="DG15" s="31" t="n">
        <f aca="false">IF(105=p_MesFin,1,0)</f>
        <v>0</v>
      </c>
      <c r="DH15" s="31" t="n">
        <f aca="false">IF(106=p_MesFin,1,0)</f>
        <v>0</v>
      </c>
      <c r="DI15" s="31" t="n">
        <f aca="false">IF(107=p_MesFin,1,0)</f>
        <v>0</v>
      </c>
      <c r="DJ15" s="31" t="n">
        <f aca="false">IF(108=p_MesFin,1,0)</f>
        <v>0</v>
      </c>
      <c r="DK15" s="31" t="n">
        <f aca="false">IF(109=p_MesFin,1,0)</f>
        <v>0</v>
      </c>
      <c r="DL15" s="31" t="n">
        <f aca="false">IF(110=p_MesFin,1,0)</f>
        <v>0</v>
      </c>
      <c r="DM15" s="31" t="n">
        <f aca="false">IF(111=p_MesFin,1,0)</f>
        <v>0</v>
      </c>
      <c r="DN15" s="31" t="n">
        <f aca="false">IF(112=p_MesFin,1,0)</f>
        <v>0</v>
      </c>
      <c r="DO15" s="31" t="n">
        <f aca="false">IF(113=p_MesFin,1,0)</f>
        <v>0</v>
      </c>
      <c r="DP15" s="31" t="n">
        <f aca="false">IF(114=p_MesFin,1,0)</f>
        <v>0</v>
      </c>
      <c r="DQ15" s="31" t="n">
        <f aca="false">IF(115=p_MesFin,1,0)</f>
        <v>0</v>
      </c>
      <c r="DR15" s="31" t="n">
        <f aca="false">IF(116=p_MesFin,1,0)</f>
        <v>0</v>
      </c>
      <c r="DS15" s="31" t="n">
        <f aca="false">IF(117=p_MesFin,1,0)</f>
        <v>0</v>
      </c>
      <c r="DT15" s="31" t="n">
        <f aca="false">IF(118=p_MesFin,1,0)</f>
        <v>0</v>
      </c>
      <c r="DU15" s="31" t="n">
        <f aca="false">IF(119=p_MesFin,1,0)</f>
        <v>0</v>
      </c>
      <c r="DV15" s="31" t="n">
        <f aca="false">IF(120=p_MesFin,1,0)</f>
        <v>1</v>
      </c>
      <c r="DW15" s="31" t="n">
        <f aca="false">IF(121=p_MesFin,1,0)</f>
        <v>0</v>
      </c>
      <c r="DX15" s="31" t="n">
        <f aca="false">IF(122=p_MesFin,1,0)</f>
        <v>0</v>
      </c>
      <c r="DY15" s="31" t="n">
        <f aca="false">IF(123=p_MesFin,1,0)</f>
        <v>0</v>
      </c>
      <c r="DZ15" s="31" t="n">
        <f aca="false">IF(124=p_MesFin,1,0)</f>
        <v>0</v>
      </c>
      <c r="EA15" s="31" t="n">
        <f aca="false">IF(125=p_MesFin,1,0)</f>
        <v>0</v>
      </c>
      <c r="EB15" s="31" t="n">
        <f aca="false">IF(126=p_MesFin,1,0)</f>
        <v>0</v>
      </c>
      <c r="EC15" s="31" t="n">
        <f aca="false">IF(127=p_MesFin,1,0)</f>
        <v>0</v>
      </c>
      <c r="ED15" s="31" t="n">
        <f aca="false">IF(128=p_MesFin,1,0)</f>
        <v>0</v>
      </c>
      <c r="EE15" s="31" t="n">
        <f aca="false">IF(129=p_MesFin,1,0)</f>
        <v>0</v>
      </c>
      <c r="EF15" s="31" t="n">
        <f aca="false">IF(130=p_MesFin,1,0)</f>
        <v>0</v>
      </c>
      <c r="EG15" s="31" t="n">
        <f aca="false">IF(131=p_MesFin,1,0)</f>
        <v>0</v>
      </c>
      <c r="EH15" s="31" t="n">
        <f aca="false">IF(132=p_MesFin,1,0)</f>
        <v>0</v>
      </c>
      <c r="EI15" s="31" t="n">
        <f aca="false">IF(133=p_MesFin,1,0)</f>
        <v>0</v>
      </c>
      <c r="EJ15" s="31" t="n">
        <f aca="false">IF(134=p_MesFin,1,0)</f>
        <v>0</v>
      </c>
      <c r="EK15" s="31" t="n">
        <f aca="false">IF(135=p_MesFin,1,0)</f>
        <v>0</v>
      </c>
      <c r="EL15" s="31" t="n">
        <f aca="false">IF(136=p_MesFin,1,0)</f>
        <v>0</v>
      </c>
      <c r="EM15" s="31" t="n">
        <f aca="false">IF(137=p_MesFin,1,0)</f>
        <v>0</v>
      </c>
      <c r="EN15" s="31" t="n">
        <f aca="false">IF(138=p_MesFin,1,0)</f>
        <v>0</v>
      </c>
      <c r="EO15" s="31" t="n">
        <f aca="false">IF(139=p_MesFin,1,0)</f>
        <v>0</v>
      </c>
      <c r="EP15" s="31" t="n">
        <f aca="false">IF(140=p_MesFin,1,0)</f>
        <v>0</v>
      </c>
      <c r="EQ15" s="31" t="n">
        <f aca="false">IF(141=p_MesFin,1,0)</f>
        <v>0</v>
      </c>
      <c r="ER15" s="31" t="n">
        <f aca="false">IF(142=p_MesFin,1,0)</f>
        <v>0</v>
      </c>
      <c r="ES15" s="31" t="n">
        <f aca="false">IF(143=p_MesFin,1,0)</f>
        <v>0</v>
      </c>
      <c r="ET15" s="31" t="n">
        <f aca="false">IF(144=p_MesFin,1,0)</f>
        <v>0</v>
      </c>
      <c r="EU15" s="31" t="n">
        <f aca="false">IF(145=p_MesFin,1,0)</f>
        <v>0</v>
      </c>
      <c r="EV15" s="31" t="n">
        <f aca="false">IF(146=p_MesFin,1,0)</f>
        <v>0</v>
      </c>
      <c r="EW15" s="31" t="n">
        <f aca="false">IF(147=p_MesFin,1,0)</f>
        <v>0</v>
      </c>
      <c r="EX15" s="31" t="n">
        <f aca="false">IF(148=p_MesFin,1,0)</f>
        <v>0</v>
      </c>
      <c r="EY15" s="31" t="n">
        <f aca="false">IF(149=p_MesFin,1,0)</f>
        <v>0</v>
      </c>
      <c r="EZ15" s="31" t="n">
        <f aca="false">IF(150=p_MesFin,1,0)</f>
        <v>0</v>
      </c>
      <c r="FA15" s="31" t="n">
        <f aca="false">IF(151=p_MesFin,1,0)</f>
        <v>0</v>
      </c>
      <c r="FB15" s="31" t="n">
        <f aca="false">IF(152=p_MesFin,1,0)</f>
        <v>0</v>
      </c>
      <c r="FC15" s="31" t="n">
        <f aca="false">IF(153=p_MesFin,1,0)</f>
        <v>0</v>
      </c>
      <c r="FD15" s="31" t="n">
        <f aca="false">IF(154=p_MesFin,1,0)</f>
        <v>0</v>
      </c>
      <c r="FE15" s="31" t="n">
        <f aca="false">IF(155=p_MesFin,1,0)</f>
        <v>0</v>
      </c>
      <c r="FF15" s="31" t="n">
        <f aca="false">IF(156=p_MesFin,1,0)</f>
        <v>0</v>
      </c>
    </row>
    <row r="16" customFormat="false" ht="15" hidden="false" customHeight="false" outlineLevel="0" collapsed="false">
      <c r="A16" s="2" t="s">
        <v>791</v>
      </c>
      <c r="B16" s="8" t="s">
        <v>792</v>
      </c>
      <c r="C16" s="8" t="s">
        <v>771</v>
      </c>
      <c r="F16" s="31" t="n">
        <f aca="false">IF(AND(0&gt;p_ImplMeses,0&lt;=p_ImplMeses+p_MesesOp),0-p_ImplMeses,0)</f>
        <v>0</v>
      </c>
      <c r="G16" s="31" t="n">
        <f aca="false">IF(AND(1&gt;p_ImplMeses,1&lt;=p_ImplMeses+p_MesesOp),1-p_ImplMeses,0)</f>
        <v>1</v>
      </c>
      <c r="H16" s="31" t="n">
        <f aca="false">IF(AND(2&gt;p_ImplMeses,2&lt;=p_ImplMeses+p_MesesOp),2-p_ImplMeses,0)</f>
        <v>2</v>
      </c>
      <c r="I16" s="31" t="n">
        <f aca="false">IF(AND(3&gt;p_ImplMeses,3&lt;=p_ImplMeses+p_MesesOp),3-p_ImplMeses,0)</f>
        <v>3</v>
      </c>
      <c r="J16" s="31" t="n">
        <f aca="false">IF(AND(4&gt;p_ImplMeses,4&lt;=p_ImplMeses+p_MesesOp),4-p_ImplMeses,0)</f>
        <v>4</v>
      </c>
      <c r="K16" s="31" t="n">
        <f aca="false">IF(AND(5&gt;p_ImplMeses,5&lt;=p_ImplMeses+p_MesesOp),5-p_ImplMeses,0)</f>
        <v>5</v>
      </c>
      <c r="L16" s="31" t="n">
        <f aca="false">IF(AND(6&gt;p_ImplMeses,6&lt;=p_ImplMeses+p_MesesOp),6-p_ImplMeses,0)</f>
        <v>6</v>
      </c>
      <c r="M16" s="31" t="n">
        <f aca="false">IF(AND(7&gt;p_ImplMeses,7&lt;=p_ImplMeses+p_MesesOp),7-p_ImplMeses,0)</f>
        <v>7</v>
      </c>
      <c r="N16" s="31" t="n">
        <f aca="false">IF(AND(8&gt;p_ImplMeses,8&lt;=p_ImplMeses+p_MesesOp),8-p_ImplMeses,0)</f>
        <v>8</v>
      </c>
      <c r="O16" s="31" t="n">
        <f aca="false">IF(AND(9&gt;p_ImplMeses,9&lt;=p_ImplMeses+p_MesesOp),9-p_ImplMeses,0)</f>
        <v>9</v>
      </c>
      <c r="P16" s="31" t="n">
        <f aca="false">IF(AND(10&gt;p_ImplMeses,10&lt;=p_ImplMeses+p_MesesOp),10-p_ImplMeses,0)</f>
        <v>10</v>
      </c>
      <c r="Q16" s="31" t="n">
        <f aca="false">IF(AND(11&gt;p_ImplMeses,11&lt;=p_ImplMeses+p_MesesOp),11-p_ImplMeses,0)</f>
        <v>11</v>
      </c>
      <c r="R16" s="31" t="n">
        <f aca="false">IF(AND(12&gt;p_ImplMeses,12&lt;=p_ImplMeses+p_MesesOp),12-p_ImplMeses,0)</f>
        <v>12</v>
      </c>
      <c r="S16" s="31" t="n">
        <f aca="false">IF(AND(13&gt;p_ImplMeses,13&lt;=p_ImplMeses+p_MesesOp),13-p_ImplMeses,0)</f>
        <v>13</v>
      </c>
      <c r="T16" s="31" t="n">
        <f aca="false">IF(AND(14&gt;p_ImplMeses,14&lt;=p_ImplMeses+p_MesesOp),14-p_ImplMeses,0)</f>
        <v>14</v>
      </c>
      <c r="U16" s="31" t="n">
        <f aca="false">IF(AND(15&gt;p_ImplMeses,15&lt;=p_ImplMeses+p_MesesOp),15-p_ImplMeses,0)</f>
        <v>15</v>
      </c>
      <c r="V16" s="31" t="n">
        <f aca="false">IF(AND(16&gt;p_ImplMeses,16&lt;=p_ImplMeses+p_MesesOp),16-p_ImplMeses,0)</f>
        <v>16</v>
      </c>
      <c r="W16" s="31" t="n">
        <f aca="false">IF(AND(17&gt;p_ImplMeses,17&lt;=p_ImplMeses+p_MesesOp),17-p_ImplMeses,0)</f>
        <v>17</v>
      </c>
      <c r="X16" s="31" t="n">
        <f aca="false">IF(AND(18&gt;p_ImplMeses,18&lt;=p_ImplMeses+p_MesesOp),18-p_ImplMeses,0)</f>
        <v>18</v>
      </c>
      <c r="Y16" s="31" t="n">
        <f aca="false">IF(AND(19&gt;p_ImplMeses,19&lt;=p_ImplMeses+p_MesesOp),19-p_ImplMeses,0)</f>
        <v>19</v>
      </c>
      <c r="Z16" s="31" t="n">
        <f aca="false">IF(AND(20&gt;p_ImplMeses,20&lt;=p_ImplMeses+p_MesesOp),20-p_ImplMeses,0)</f>
        <v>20</v>
      </c>
      <c r="AA16" s="31" t="n">
        <f aca="false">IF(AND(21&gt;p_ImplMeses,21&lt;=p_ImplMeses+p_MesesOp),21-p_ImplMeses,0)</f>
        <v>21</v>
      </c>
      <c r="AB16" s="31" t="n">
        <f aca="false">IF(AND(22&gt;p_ImplMeses,22&lt;=p_ImplMeses+p_MesesOp),22-p_ImplMeses,0)</f>
        <v>22</v>
      </c>
      <c r="AC16" s="31" t="n">
        <f aca="false">IF(AND(23&gt;p_ImplMeses,23&lt;=p_ImplMeses+p_MesesOp),23-p_ImplMeses,0)</f>
        <v>23</v>
      </c>
      <c r="AD16" s="31" t="n">
        <f aca="false">IF(AND(24&gt;p_ImplMeses,24&lt;=p_ImplMeses+p_MesesOp),24-p_ImplMeses,0)</f>
        <v>24</v>
      </c>
      <c r="AE16" s="31" t="n">
        <f aca="false">IF(AND(25&gt;p_ImplMeses,25&lt;=p_ImplMeses+p_MesesOp),25-p_ImplMeses,0)</f>
        <v>25</v>
      </c>
      <c r="AF16" s="31" t="n">
        <f aca="false">IF(AND(26&gt;p_ImplMeses,26&lt;=p_ImplMeses+p_MesesOp),26-p_ImplMeses,0)</f>
        <v>26</v>
      </c>
      <c r="AG16" s="31" t="n">
        <f aca="false">IF(AND(27&gt;p_ImplMeses,27&lt;=p_ImplMeses+p_MesesOp),27-p_ImplMeses,0)</f>
        <v>27</v>
      </c>
      <c r="AH16" s="31" t="n">
        <f aca="false">IF(AND(28&gt;p_ImplMeses,28&lt;=p_ImplMeses+p_MesesOp),28-p_ImplMeses,0)</f>
        <v>28</v>
      </c>
      <c r="AI16" s="31" t="n">
        <f aca="false">IF(AND(29&gt;p_ImplMeses,29&lt;=p_ImplMeses+p_MesesOp),29-p_ImplMeses,0)</f>
        <v>29</v>
      </c>
      <c r="AJ16" s="31" t="n">
        <f aca="false">IF(AND(30&gt;p_ImplMeses,30&lt;=p_ImplMeses+p_MesesOp),30-p_ImplMeses,0)</f>
        <v>30</v>
      </c>
      <c r="AK16" s="31" t="n">
        <f aca="false">IF(AND(31&gt;p_ImplMeses,31&lt;=p_ImplMeses+p_MesesOp),31-p_ImplMeses,0)</f>
        <v>31</v>
      </c>
      <c r="AL16" s="31" t="n">
        <f aca="false">IF(AND(32&gt;p_ImplMeses,32&lt;=p_ImplMeses+p_MesesOp),32-p_ImplMeses,0)</f>
        <v>32</v>
      </c>
      <c r="AM16" s="31" t="n">
        <f aca="false">IF(AND(33&gt;p_ImplMeses,33&lt;=p_ImplMeses+p_MesesOp),33-p_ImplMeses,0)</f>
        <v>33</v>
      </c>
      <c r="AN16" s="31" t="n">
        <f aca="false">IF(AND(34&gt;p_ImplMeses,34&lt;=p_ImplMeses+p_MesesOp),34-p_ImplMeses,0)</f>
        <v>34</v>
      </c>
      <c r="AO16" s="31" t="n">
        <f aca="false">IF(AND(35&gt;p_ImplMeses,35&lt;=p_ImplMeses+p_MesesOp),35-p_ImplMeses,0)</f>
        <v>35</v>
      </c>
      <c r="AP16" s="31" t="n">
        <f aca="false">IF(AND(36&gt;p_ImplMeses,36&lt;=p_ImplMeses+p_MesesOp),36-p_ImplMeses,0)</f>
        <v>36</v>
      </c>
      <c r="AQ16" s="31" t="n">
        <f aca="false">IF(AND(37&gt;p_ImplMeses,37&lt;=p_ImplMeses+p_MesesOp),37-p_ImplMeses,0)</f>
        <v>37</v>
      </c>
      <c r="AR16" s="31" t="n">
        <f aca="false">IF(AND(38&gt;p_ImplMeses,38&lt;=p_ImplMeses+p_MesesOp),38-p_ImplMeses,0)</f>
        <v>38</v>
      </c>
      <c r="AS16" s="31" t="n">
        <f aca="false">IF(AND(39&gt;p_ImplMeses,39&lt;=p_ImplMeses+p_MesesOp),39-p_ImplMeses,0)</f>
        <v>39</v>
      </c>
      <c r="AT16" s="31" t="n">
        <f aca="false">IF(AND(40&gt;p_ImplMeses,40&lt;=p_ImplMeses+p_MesesOp),40-p_ImplMeses,0)</f>
        <v>40</v>
      </c>
      <c r="AU16" s="31" t="n">
        <f aca="false">IF(AND(41&gt;p_ImplMeses,41&lt;=p_ImplMeses+p_MesesOp),41-p_ImplMeses,0)</f>
        <v>41</v>
      </c>
      <c r="AV16" s="31" t="n">
        <f aca="false">IF(AND(42&gt;p_ImplMeses,42&lt;=p_ImplMeses+p_MesesOp),42-p_ImplMeses,0)</f>
        <v>42</v>
      </c>
      <c r="AW16" s="31" t="n">
        <f aca="false">IF(AND(43&gt;p_ImplMeses,43&lt;=p_ImplMeses+p_MesesOp),43-p_ImplMeses,0)</f>
        <v>43</v>
      </c>
      <c r="AX16" s="31" t="n">
        <f aca="false">IF(AND(44&gt;p_ImplMeses,44&lt;=p_ImplMeses+p_MesesOp),44-p_ImplMeses,0)</f>
        <v>44</v>
      </c>
      <c r="AY16" s="31" t="n">
        <f aca="false">IF(AND(45&gt;p_ImplMeses,45&lt;=p_ImplMeses+p_MesesOp),45-p_ImplMeses,0)</f>
        <v>45</v>
      </c>
      <c r="AZ16" s="31" t="n">
        <f aca="false">IF(AND(46&gt;p_ImplMeses,46&lt;=p_ImplMeses+p_MesesOp),46-p_ImplMeses,0)</f>
        <v>46</v>
      </c>
      <c r="BA16" s="31" t="n">
        <f aca="false">IF(AND(47&gt;p_ImplMeses,47&lt;=p_ImplMeses+p_MesesOp),47-p_ImplMeses,0)</f>
        <v>47</v>
      </c>
      <c r="BB16" s="31" t="n">
        <f aca="false">IF(AND(48&gt;p_ImplMeses,48&lt;=p_ImplMeses+p_MesesOp),48-p_ImplMeses,0)</f>
        <v>48</v>
      </c>
      <c r="BC16" s="31" t="n">
        <f aca="false">IF(AND(49&gt;p_ImplMeses,49&lt;=p_ImplMeses+p_MesesOp),49-p_ImplMeses,0)</f>
        <v>49</v>
      </c>
      <c r="BD16" s="31" t="n">
        <f aca="false">IF(AND(50&gt;p_ImplMeses,50&lt;=p_ImplMeses+p_MesesOp),50-p_ImplMeses,0)</f>
        <v>50</v>
      </c>
      <c r="BE16" s="31" t="n">
        <f aca="false">IF(AND(51&gt;p_ImplMeses,51&lt;=p_ImplMeses+p_MesesOp),51-p_ImplMeses,0)</f>
        <v>51</v>
      </c>
      <c r="BF16" s="31" t="n">
        <f aca="false">IF(AND(52&gt;p_ImplMeses,52&lt;=p_ImplMeses+p_MesesOp),52-p_ImplMeses,0)</f>
        <v>52</v>
      </c>
      <c r="BG16" s="31" t="n">
        <f aca="false">IF(AND(53&gt;p_ImplMeses,53&lt;=p_ImplMeses+p_MesesOp),53-p_ImplMeses,0)</f>
        <v>53</v>
      </c>
      <c r="BH16" s="31" t="n">
        <f aca="false">IF(AND(54&gt;p_ImplMeses,54&lt;=p_ImplMeses+p_MesesOp),54-p_ImplMeses,0)</f>
        <v>54</v>
      </c>
      <c r="BI16" s="31" t="n">
        <f aca="false">IF(AND(55&gt;p_ImplMeses,55&lt;=p_ImplMeses+p_MesesOp),55-p_ImplMeses,0)</f>
        <v>55</v>
      </c>
      <c r="BJ16" s="31" t="n">
        <f aca="false">IF(AND(56&gt;p_ImplMeses,56&lt;=p_ImplMeses+p_MesesOp),56-p_ImplMeses,0)</f>
        <v>56</v>
      </c>
      <c r="BK16" s="31" t="n">
        <f aca="false">IF(AND(57&gt;p_ImplMeses,57&lt;=p_ImplMeses+p_MesesOp),57-p_ImplMeses,0)</f>
        <v>57</v>
      </c>
      <c r="BL16" s="31" t="n">
        <f aca="false">IF(AND(58&gt;p_ImplMeses,58&lt;=p_ImplMeses+p_MesesOp),58-p_ImplMeses,0)</f>
        <v>58</v>
      </c>
      <c r="BM16" s="31" t="n">
        <f aca="false">IF(AND(59&gt;p_ImplMeses,59&lt;=p_ImplMeses+p_MesesOp),59-p_ImplMeses,0)</f>
        <v>59</v>
      </c>
      <c r="BN16" s="31" t="n">
        <f aca="false">IF(AND(60&gt;p_ImplMeses,60&lt;=p_ImplMeses+p_MesesOp),60-p_ImplMeses,0)</f>
        <v>60</v>
      </c>
      <c r="BO16" s="31" t="n">
        <f aca="false">IF(AND(61&gt;p_ImplMeses,61&lt;=p_ImplMeses+p_MesesOp),61-p_ImplMeses,0)</f>
        <v>61</v>
      </c>
      <c r="BP16" s="31" t="n">
        <f aca="false">IF(AND(62&gt;p_ImplMeses,62&lt;=p_ImplMeses+p_MesesOp),62-p_ImplMeses,0)</f>
        <v>62</v>
      </c>
      <c r="BQ16" s="31" t="n">
        <f aca="false">IF(AND(63&gt;p_ImplMeses,63&lt;=p_ImplMeses+p_MesesOp),63-p_ImplMeses,0)</f>
        <v>63</v>
      </c>
      <c r="BR16" s="31" t="n">
        <f aca="false">IF(AND(64&gt;p_ImplMeses,64&lt;=p_ImplMeses+p_MesesOp),64-p_ImplMeses,0)</f>
        <v>64</v>
      </c>
      <c r="BS16" s="31" t="n">
        <f aca="false">IF(AND(65&gt;p_ImplMeses,65&lt;=p_ImplMeses+p_MesesOp),65-p_ImplMeses,0)</f>
        <v>65</v>
      </c>
      <c r="BT16" s="31" t="n">
        <f aca="false">IF(AND(66&gt;p_ImplMeses,66&lt;=p_ImplMeses+p_MesesOp),66-p_ImplMeses,0)</f>
        <v>66</v>
      </c>
      <c r="BU16" s="31" t="n">
        <f aca="false">IF(AND(67&gt;p_ImplMeses,67&lt;=p_ImplMeses+p_MesesOp),67-p_ImplMeses,0)</f>
        <v>67</v>
      </c>
      <c r="BV16" s="31" t="n">
        <f aca="false">IF(AND(68&gt;p_ImplMeses,68&lt;=p_ImplMeses+p_MesesOp),68-p_ImplMeses,0)</f>
        <v>68</v>
      </c>
      <c r="BW16" s="31" t="n">
        <f aca="false">IF(AND(69&gt;p_ImplMeses,69&lt;=p_ImplMeses+p_MesesOp),69-p_ImplMeses,0)</f>
        <v>69</v>
      </c>
      <c r="BX16" s="31" t="n">
        <f aca="false">IF(AND(70&gt;p_ImplMeses,70&lt;=p_ImplMeses+p_MesesOp),70-p_ImplMeses,0)</f>
        <v>70</v>
      </c>
      <c r="BY16" s="31" t="n">
        <f aca="false">IF(AND(71&gt;p_ImplMeses,71&lt;=p_ImplMeses+p_MesesOp),71-p_ImplMeses,0)</f>
        <v>71</v>
      </c>
      <c r="BZ16" s="31" t="n">
        <f aca="false">IF(AND(72&gt;p_ImplMeses,72&lt;=p_ImplMeses+p_MesesOp),72-p_ImplMeses,0)</f>
        <v>72</v>
      </c>
      <c r="CA16" s="31" t="n">
        <f aca="false">IF(AND(73&gt;p_ImplMeses,73&lt;=p_ImplMeses+p_MesesOp),73-p_ImplMeses,0)</f>
        <v>73</v>
      </c>
      <c r="CB16" s="31" t="n">
        <f aca="false">IF(AND(74&gt;p_ImplMeses,74&lt;=p_ImplMeses+p_MesesOp),74-p_ImplMeses,0)</f>
        <v>74</v>
      </c>
      <c r="CC16" s="31" t="n">
        <f aca="false">IF(AND(75&gt;p_ImplMeses,75&lt;=p_ImplMeses+p_MesesOp),75-p_ImplMeses,0)</f>
        <v>75</v>
      </c>
      <c r="CD16" s="31" t="n">
        <f aca="false">IF(AND(76&gt;p_ImplMeses,76&lt;=p_ImplMeses+p_MesesOp),76-p_ImplMeses,0)</f>
        <v>76</v>
      </c>
      <c r="CE16" s="31" t="n">
        <f aca="false">IF(AND(77&gt;p_ImplMeses,77&lt;=p_ImplMeses+p_MesesOp),77-p_ImplMeses,0)</f>
        <v>77</v>
      </c>
      <c r="CF16" s="31" t="n">
        <f aca="false">IF(AND(78&gt;p_ImplMeses,78&lt;=p_ImplMeses+p_MesesOp),78-p_ImplMeses,0)</f>
        <v>78</v>
      </c>
      <c r="CG16" s="31" t="n">
        <f aca="false">IF(AND(79&gt;p_ImplMeses,79&lt;=p_ImplMeses+p_MesesOp),79-p_ImplMeses,0)</f>
        <v>79</v>
      </c>
      <c r="CH16" s="31" t="n">
        <f aca="false">IF(AND(80&gt;p_ImplMeses,80&lt;=p_ImplMeses+p_MesesOp),80-p_ImplMeses,0)</f>
        <v>80</v>
      </c>
      <c r="CI16" s="31" t="n">
        <f aca="false">IF(AND(81&gt;p_ImplMeses,81&lt;=p_ImplMeses+p_MesesOp),81-p_ImplMeses,0)</f>
        <v>81</v>
      </c>
      <c r="CJ16" s="31" t="n">
        <f aca="false">IF(AND(82&gt;p_ImplMeses,82&lt;=p_ImplMeses+p_MesesOp),82-p_ImplMeses,0)</f>
        <v>82</v>
      </c>
      <c r="CK16" s="31" t="n">
        <f aca="false">IF(AND(83&gt;p_ImplMeses,83&lt;=p_ImplMeses+p_MesesOp),83-p_ImplMeses,0)</f>
        <v>83</v>
      </c>
      <c r="CL16" s="31" t="n">
        <f aca="false">IF(AND(84&gt;p_ImplMeses,84&lt;=p_ImplMeses+p_MesesOp),84-p_ImplMeses,0)</f>
        <v>84</v>
      </c>
      <c r="CM16" s="31" t="n">
        <f aca="false">IF(AND(85&gt;p_ImplMeses,85&lt;=p_ImplMeses+p_MesesOp),85-p_ImplMeses,0)</f>
        <v>85</v>
      </c>
      <c r="CN16" s="31" t="n">
        <f aca="false">IF(AND(86&gt;p_ImplMeses,86&lt;=p_ImplMeses+p_MesesOp),86-p_ImplMeses,0)</f>
        <v>86</v>
      </c>
      <c r="CO16" s="31" t="n">
        <f aca="false">IF(AND(87&gt;p_ImplMeses,87&lt;=p_ImplMeses+p_MesesOp),87-p_ImplMeses,0)</f>
        <v>87</v>
      </c>
      <c r="CP16" s="31" t="n">
        <f aca="false">IF(AND(88&gt;p_ImplMeses,88&lt;=p_ImplMeses+p_MesesOp),88-p_ImplMeses,0)</f>
        <v>88</v>
      </c>
      <c r="CQ16" s="31" t="n">
        <f aca="false">IF(AND(89&gt;p_ImplMeses,89&lt;=p_ImplMeses+p_MesesOp),89-p_ImplMeses,0)</f>
        <v>89</v>
      </c>
      <c r="CR16" s="31" t="n">
        <f aca="false">IF(AND(90&gt;p_ImplMeses,90&lt;=p_ImplMeses+p_MesesOp),90-p_ImplMeses,0)</f>
        <v>90</v>
      </c>
      <c r="CS16" s="31" t="n">
        <f aca="false">IF(AND(91&gt;p_ImplMeses,91&lt;=p_ImplMeses+p_MesesOp),91-p_ImplMeses,0)</f>
        <v>91</v>
      </c>
      <c r="CT16" s="31" t="n">
        <f aca="false">IF(AND(92&gt;p_ImplMeses,92&lt;=p_ImplMeses+p_MesesOp),92-p_ImplMeses,0)</f>
        <v>92</v>
      </c>
      <c r="CU16" s="31" t="n">
        <f aca="false">IF(AND(93&gt;p_ImplMeses,93&lt;=p_ImplMeses+p_MesesOp),93-p_ImplMeses,0)</f>
        <v>93</v>
      </c>
      <c r="CV16" s="31" t="n">
        <f aca="false">IF(AND(94&gt;p_ImplMeses,94&lt;=p_ImplMeses+p_MesesOp),94-p_ImplMeses,0)</f>
        <v>94</v>
      </c>
      <c r="CW16" s="31" t="n">
        <f aca="false">IF(AND(95&gt;p_ImplMeses,95&lt;=p_ImplMeses+p_MesesOp),95-p_ImplMeses,0)</f>
        <v>95</v>
      </c>
      <c r="CX16" s="31" t="n">
        <f aca="false">IF(AND(96&gt;p_ImplMeses,96&lt;=p_ImplMeses+p_MesesOp),96-p_ImplMeses,0)</f>
        <v>96</v>
      </c>
      <c r="CY16" s="31" t="n">
        <f aca="false">IF(AND(97&gt;p_ImplMeses,97&lt;=p_ImplMeses+p_MesesOp),97-p_ImplMeses,0)</f>
        <v>97</v>
      </c>
      <c r="CZ16" s="31" t="n">
        <f aca="false">IF(AND(98&gt;p_ImplMeses,98&lt;=p_ImplMeses+p_MesesOp),98-p_ImplMeses,0)</f>
        <v>98</v>
      </c>
      <c r="DA16" s="31" t="n">
        <f aca="false">IF(AND(99&gt;p_ImplMeses,99&lt;=p_ImplMeses+p_MesesOp),99-p_ImplMeses,0)</f>
        <v>99</v>
      </c>
      <c r="DB16" s="31" t="n">
        <f aca="false">IF(AND(100&gt;p_ImplMeses,100&lt;=p_ImplMeses+p_MesesOp),100-p_ImplMeses,0)</f>
        <v>100</v>
      </c>
      <c r="DC16" s="31" t="n">
        <f aca="false">IF(AND(101&gt;p_ImplMeses,101&lt;=p_ImplMeses+p_MesesOp),101-p_ImplMeses,0)</f>
        <v>101</v>
      </c>
      <c r="DD16" s="31" t="n">
        <f aca="false">IF(AND(102&gt;p_ImplMeses,102&lt;=p_ImplMeses+p_MesesOp),102-p_ImplMeses,0)</f>
        <v>102</v>
      </c>
      <c r="DE16" s="31" t="n">
        <f aca="false">IF(AND(103&gt;p_ImplMeses,103&lt;=p_ImplMeses+p_MesesOp),103-p_ImplMeses,0)</f>
        <v>103</v>
      </c>
      <c r="DF16" s="31" t="n">
        <f aca="false">IF(AND(104&gt;p_ImplMeses,104&lt;=p_ImplMeses+p_MesesOp),104-p_ImplMeses,0)</f>
        <v>104</v>
      </c>
      <c r="DG16" s="31" t="n">
        <f aca="false">IF(AND(105&gt;p_ImplMeses,105&lt;=p_ImplMeses+p_MesesOp),105-p_ImplMeses,0)</f>
        <v>105</v>
      </c>
      <c r="DH16" s="31" t="n">
        <f aca="false">IF(AND(106&gt;p_ImplMeses,106&lt;=p_ImplMeses+p_MesesOp),106-p_ImplMeses,0)</f>
        <v>106</v>
      </c>
      <c r="DI16" s="31" t="n">
        <f aca="false">IF(AND(107&gt;p_ImplMeses,107&lt;=p_ImplMeses+p_MesesOp),107-p_ImplMeses,0)</f>
        <v>107</v>
      </c>
      <c r="DJ16" s="31" t="n">
        <f aca="false">IF(AND(108&gt;p_ImplMeses,108&lt;=p_ImplMeses+p_MesesOp),108-p_ImplMeses,0)</f>
        <v>108</v>
      </c>
      <c r="DK16" s="31" t="n">
        <f aca="false">IF(AND(109&gt;p_ImplMeses,109&lt;=p_ImplMeses+p_MesesOp),109-p_ImplMeses,0)</f>
        <v>109</v>
      </c>
      <c r="DL16" s="31" t="n">
        <f aca="false">IF(AND(110&gt;p_ImplMeses,110&lt;=p_ImplMeses+p_MesesOp),110-p_ImplMeses,0)</f>
        <v>110</v>
      </c>
      <c r="DM16" s="31" t="n">
        <f aca="false">IF(AND(111&gt;p_ImplMeses,111&lt;=p_ImplMeses+p_MesesOp),111-p_ImplMeses,0)</f>
        <v>111</v>
      </c>
      <c r="DN16" s="31" t="n">
        <f aca="false">IF(AND(112&gt;p_ImplMeses,112&lt;=p_ImplMeses+p_MesesOp),112-p_ImplMeses,0)</f>
        <v>112</v>
      </c>
      <c r="DO16" s="31" t="n">
        <f aca="false">IF(AND(113&gt;p_ImplMeses,113&lt;=p_ImplMeses+p_MesesOp),113-p_ImplMeses,0)</f>
        <v>113</v>
      </c>
      <c r="DP16" s="31" t="n">
        <f aca="false">IF(AND(114&gt;p_ImplMeses,114&lt;=p_ImplMeses+p_MesesOp),114-p_ImplMeses,0)</f>
        <v>114</v>
      </c>
      <c r="DQ16" s="31" t="n">
        <f aca="false">IF(AND(115&gt;p_ImplMeses,115&lt;=p_ImplMeses+p_MesesOp),115-p_ImplMeses,0)</f>
        <v>115</v>
      </c>
      <c r="DR16" s="31" t="n">
        <f aca="false">IF(AND(116&gt;p_ImplMeses,116&lt;=p_ImplMeses+p_MesesOp),116-p_ImplMeses,0)</f>
        <v>116</v>
      </c>
      <c r="DS16" s="31" t="n">
        <f aca="false">IF(AND(117&gt;p_ImplMeses,117&lt;=p_ImplMeses+p_MesesOp),117-p_ImplMeses,0)</f>
        <v>117</v>
      </c>
      <c r="DT16" s="31" t="n">
        <f aca="false">IF(AND(118&gt;p_ImplMeses,118&lt;=p_ImplMeses+p_MesesOp),118-p_ImplMeses,0)</f>
        <v>118</v>
      </c>
      <c r="DU16" s="31" t="n">
        <f aca="false">IF(AND(119&gt;p_ImplMeses,119&lt;=p_ImplMeses+p_MesesOp),119-p_ImplMeses,0)</f>
        <v>119</v>
      </c>
      <c r="DV16" s="31" t="n">
        <f aca="false">IF(AND(120&gt;p_ImplMeses,120&lt;=p_ImplMeses+p_MesesOp),120-p_ImplMeses,0)</f>
        <v>120</v>
      </c>
      <c r="DW16" s="31" t="n">
        <f aca="false">IF(AND(121&gt;p_ImplMeses,121&lt;=p_ImplMeses+p_MesesOp),121-p_ImplMeses,0)</f>
        <v>0</v>
      </c>
      <c r="DX16" s="31" t="n">
        <f aca="false">IF(AND(122&gt;p_ImplMeses,122&lt;=p_ImplMeses+p_MesesOp),122-p_ImplMeses,0)</f>
        <v>0</v>
      </c>
      <c r="DY16" s="31" t="n">
        <f aca="false">IF(AND(123&gt;p_ImplMeses,123&lt;=p_ImplMeses+p_MesesOp),123-p_ImplMeses,0)</f>
        <v>0</v>
      </c>
      <c r="DZ16" s="31" t="n">
        <f aca="false">IF(AND(124&gt;p_ImplMeses,124&lt;=p_ImplMeses+p_MesesOp),124-p_ImplMeses,0)</f>
        <v>0</v>
      </c>
      <c r="EA16" s="31" t="n">
        <f aca="false">IF(AND(125&gt;p_ImplMeses,125&lt;=p_ImplMeses+p_MesesOp),125-p_ImplMeses,0)</f>
        <v>0</v>
      </c>
      <c r="EB16" s="31" t="n">
        <f aca="false">IF(AND(126&gt;p_ImplMeses,126&lt;=p_ImplMeses+p_MesesOp),126-p_ImplMeses,0)</f>
        <v>0</v>
      </c>
      <c r="EC16" s="31" t="n">
        <f aca="false">IF(AND(127&gt;p_ImplMeses,127&lt;=p_ImplMeses+p_MesesOp),127-p_ImplMeses,0)</f>
        <v>0</v>
      </c>
      <c r="ED16" s="31" t="n">
        <f aca="false">IF(AND(128&gt;p_ImplMeses,128&lt;=p_ImplMeses+p_MesesOp),128-p_ImplMeses,0)</f>
        <v>0</v>
      </c>
      <c r="EE16" s="31" t="n">
        <f aca="false">IF(AND(129&gt;p_ImplMeses,129&lt;=p_ImplMeses+p_MesesOp),129-p_ImplMeses,0)</f>
        <v>0</v>
      </c>
      <c r="EF16" s="31" t="n">
        <f aca="false">IF(AND(130&gt;p_ImplMeses,130&lt;=p_ImplMeses+p_MesesOp),130-p_ImplMeses,0)</f>
        <v>0</v>
      </c>
      <c r="EG16" s="31" t="n">
        <f aca="false">IF(AND(131&gt;p_ImplMeses,131&lt;=p_ImplMeses+p_MesesOp),131-p_ImplMeses,0)</f>
        <v>0</v>
      </c>
      <c r="EH16" s="31" t="n">
        <f aca="false">IF(AND(132&gt;p_ImplMeses,132&lt;=p_ImplMeses+p_MesesOp),132-p_ImplMeses,0)</f>
        <v>0</v>
      </c>
      <c r="EI16" s="31" t="n">
        <f aca="false">IF(AND(133&gt;p_ImplMeses,133&lt;=p_ImplMeses+p_MesesOp),133-p_ImplMeses,0)</f>
        <v>0</v>
      </c>
      <c r="EJ16" s="31" t="n">
        <f aca="false">IF(AND(134&gt;p_ImplMeses,134&lt;=p_ImplMeses+p_MesesOp),134-p_ImplMeses,0)</f>
        <v>0</v>
      </c>
      <c r="EK16" s="31" t="n">
        <f aca="false">IF(AND(135&gt;p_ImplMeses,135&lt;=p_ImplMeses+p_MesesOp),135-p_ImplMeses,0)</f>
        <v>0</v>
      </c>
      <c r="EL16" s="31" t="n">
        <f aca="false">IF(AND(136&gt;p_ImplMeses,136&lt;=p_ImplMeses+p_MesesOp),136-p_ImplMeses,0)</f>
        <v>0</v>
      </c>
      <c r="EM16" s="31" t="n">
        <f aca="false">IF(AND(137&gt;p_ImplMeses,137&lt;=p_ImplMeses+p_MesesOp),137-p_ImplMeses,0)</f>
        <v>0</v>
      </c>
      <c r="EN16" s="31" t="n">
        <f aca="false">IF(AND(138&gt;p_ImplMeses,138&lt;=p_ImplMeses+p_MesesOp),138-p_ImplMeses,0)</f>
        <v>0</v>
      </c>
      <c r="EO16" s="31" t="n">
        <f aca="false">IF(AND(139&gt;p_ImplMeses,139&lt;=p_ImplMeses+p_MesesOp),139-p_ImplMeses,0)</f>
        <v>0</v>
      </c>
      <c r="EP16" s="31" t="n">
        <f aca="false">IF(AND(140&gt;p_ImplMeses,140&lt;=p_ImplMeses+p_MesesOp),140-p_ImplMeses,0)</f>
        <v>0</v>
      </c>
      <c r="EQ16" s="31" t="n">
        <f aca="false">IF(AND(141&gt;p_ImplMeses,141&lt;=p_ImplMeses+p_MesesOp),141-p_ImplMeses,0)</f>
        <v>0</v>
      </c>
      <c r="ER16" s="31" t="n">
        <f aca="false">IF(AND(142&gt;p_ImplMeses,142&lt;=p_ImplMeses+p_MesesOp),142-p_ImplMeses,0)</f>
        <v>0</v>
      </c>
      <c r="ES16" s="31" t="n">
        <f aca="false">IF(AND(143&gt;p_ImplMeses,143&lt;=p_ImplMeses+p_MesesOp),143-p_ImplMeses,0)</f>
        <v>0</v>
      </c>
      <c r="ET16" s="31" t="n">
        <f aca="false">IF(AND(144&gt;p_ImplMeses,144&lt;=p_ImplMeses+p_MesesOp),144-p_ImplMeses,0)</f>
        <v>0</v>
      </c>
      <c r="EU16" s="31" t="n">
        <f aca="false">IF(AND(145&gt;p_ImplMeses,145&lt;=p_ImplMeses+p_MesesOp),145-p_ImplMeses,0)</f>
        <v>0</v>
      </c>
      <c r="EV16" s="31" t="n">
        <f aca="false">IF(AND(146&gt;p_ImplMeses,146&lt;=p_ImplMeses+p_MesesOp),146-p_ImplMeses,0)</f>
        <v>0</v>
      </c>
      <c r="EW16" s="31" t="n">
        <f aca="false">IF(AND(147&gt;p_ImplMeses,147&lt;=p_ImplMeses+p_MesesOp),147-p_ImplMeses,0)</f>
        <v>0</v>
      </c>
      <c r="EX16" s="31" t="n">
        <f aca="false">IF(AND(148&gt;p_ImplMeses,148&lt;=p_ImplMeses+p_MesesOp),148-p_ImplMeses,0)</f>
        <v>0</v>
      </c>
      <c r="EY16" s="31" t="n">
        <f aca="false">IF(AND(149&gt;p_ImplMeses,149&lt;=p_ImplMeses+p_MesesOp),149-p_ImplMeses,0)</f>
        <v>0</v>
      </c>
      <c r="EZ16" s="31" t="n">
        <f aca="false">IF(AND(150&gt;p_ImplMeses,150&lt;=p_ImplMeses+p_MesesOp),150-p_ImplMeses,0)</f>
        <v>0</v>
      </c>
      <c r="FA16" s="31" t="n">
        <f aca="false">IF(AND(151&gt;p_ImplMeses,151&lt;=p_ImplMeses+p_MesesOp),151-p_ImplMeses,0)</f>
        <v>0</v>
      </c>
      <c r="FB16" s="31" t="n">
        <f aca="false">IF(AND(152&gt;p_ImplMeses,152&lt;=p_ImplMeses+p_MesesOp),152-p_ImplMeses,0)</f>
        <v>0</v>
      </c>
      <c r="FC16" s="31" t="n">
        <f aca="false">IF(AND(153&gt;p_ImplMeses,153&lt;=p_ImplMeses+p_MesesOp),153-p_ImplMeses,0)</f>
        <v>0</v>
      </c>
      <c r="FD16" s="31" t="n">
        <f aca="false">IF(AND(154&gt;p_ImplMeses,154&lt;=p_ImplMeses+p_MesesOp),154-p_ImplMeses,0)</f>
        <v>0</v>
      </c>
      <c r="FE16" s="31" t="n">
        <f aca="false">IF(AND(155&gt;p_ImplMeses,155&lt;=p_ImplMeses+p_MesesOp),155-p_ImplMeses,0)</f>
        <v>0</v>
      </c>
      <c r="FF16" s="31" t="n">
        <f aca="false">IF(AND(156&gt;p_ImplMeses,156&lt;=p_ImplMeses+p_MesesOp),156-p_ImplMeses,0)</f>
        <v>0</v>
      </c>
    </row>
    <row r="17" customFormat="false" ht="15" hidden="false" customHeight="false" outlineLevel="0" collapsed="false">
      <c r="A17" s="2" t="s">
        <v>793</v>
      </c>
      <c r="B17" s="8" t="s">
        <v>794</v>
      </c>
      <c r="C17" s="8" t="s">
        <v>771</v>
      </c>
      <c r="F17" s="31" t="n">
        <f aca="false">IF(F$16&gt;0,ROUNDUP(F$16/12,0),0)</f>
        <v>0</v>
      </c>
      <c r="G17" s="31" t="n">
        <f aca="false">IF(G$16&gt;0,ROUNDUP(G$16/12,0),0)</f>
        <v>1</v>
      </c>
      <c r="H17" s="31" t="n">
        <f aca="false">IF(H$16&gt;0,ROUNDUP(H$16/12,0),0)</f>
        <v>1</v>
      </c>
      <c r="I17" s="31" t="n">
        <f aca="false">IF(I$16&gt;0,ROUNDUP(I$16/12,0),0)</f>
        <v>1</v>
      </c>
      <c r="J17" s="31" t="n">
        <f aca="false">IF(J$16&gt;0,ROUNDUP(J$16/12,0),0)</f>
        <v>1</v>
      </c>
      <c r="K17" s="31" t="n">
        <f aca="false">IF(K$16&gt;0,ROUNDUP(K$16/12,0),0)</f>
        <v>1</v>
      </c>
      <c r="L17" s="31" t="n">
        <f aca="false">IF(L$16&gt;0,ROUNDUP(L$16/12,0),0)</f>
        <v>1</v>
      </c>
      <c r="M17" s="31" t="n">
        <f aca="false">IF(M$16&gt;0,ROUNDUP(M$16/12,0),0)</f>
        <v>1</v>
      </c>
      <c r="N17" s="31" t="n">
        <f aca="false">IF(N$16&gt;0,ROUNDUP(N$16/12,0),0)</f>
        <v>1</v>
      </c>
      <c r="O17" s="31" t="n">
        <f aca="false">IF(O$16&gt;0,ROUNDUP(O$16/12,0),0)</f>
        <v>1</v>
      </c>
      <c r="P17" s="31" t="n">
        <f aca="false">IF(P$16&gt;0,ROUNDUP(P$16/12,0),0)</f>
        <v>1</v>
      </c>
      <c r="Q17" s="31" t="n">
        <f aca="false">IF(Q$16&gt;0,ROUNDUP(Q$16/12,0),0)</f>
        <v>1</v>
      </c>
      <c r="R17" s="31" t="n">
        <f aca="false">IF(R$16&gt;0,ROUNDUP(R$16/12,0),0)</f>
        <v>1</v>
      </c>
      <c r="S17" s="31" t="n">
        <f aca="false">IF(S$16&gt;0,ROUNDUP(S$16/12,0),0)</f>
        <v>2</v>
      </c>
      <c r="T17" s="31" t="n">
        <f aca="false">IF(T$16&gt;0,ROUNDUP(T$16/12,0),0)</f>
        <v>2</v>
      </c>
      <c r="U17" s="31" t="n">
        <f aca="false">IF(U$16&gt;0,ROUNDUP(U$16/12,0),0)</f>
        <v>2</v>
      </c>
      <c r="V17" s="31" t="n">
        <f aca="false">IF(V$16&gt;0,ROUNDUP(V$16/12,0),0)</f>
        <v>2</v>
      </c>
      <c r="W17" s="31" t="n">
        <f aca="false">IF(W$16&gt;0,ROUNDUP(W$16/12,0),0)</f>
        <v>2</v>
      </c>
      <c r="X17" s="31" t="n">
        <f aca="false">IF(X$16&gt;0,ROUNDUP(X$16/12,0),0)</f>
        <v>2</v>
      </c>
      <c r="Y17" s="31" t="n">
        <f aca="false">IF(Y$16&gt;0,ROUNDUP(Y$16/12,0),0)</f>
        <v>2</v>
      </c>
      <c r="Z17" s="31" t="n">
        <f aca="false">IF(Z$16&gt;0,ROUNDUP(Z$16/12,0),0)</f>
        <v>2</v>
      </c>
      <c r="AA17" s="31" t="n">
        <f aca="false">IF(AA$16&gt;0,ROUNDUP(AA$16/12,0),0)</f>
        <v>2</v>
      </c>
      <c r="AB17" s="31" t="n">
        <f aca="false">IF(AB$16&gt;0,ROUNDUP(AB$16/12,0),0)</f>
        <v>2</v>
      </c>
      <c r="AC17" s="31" t="n">
        <f aca="false">IF(AC$16&gt;0,ROUNDUP(AC$16/12,0),0)</f>
        <v>2</v>
      </c>
      <c r="AD17" s="31" t="n">
        <f aca="false">IF(AD$16&gt;0,ROUNDUP(AD$16/12,0),0)</f>
        <v>2</v>
      </c>
      <c r="AE17" s="31" t="n">
        <f aca="false">IF(AE$16&gt;0,ROUNDUP(AE$16/12,0),0)</f>
        <v>3</v>
      </c>
      <c r="AF17" s="31" t="n">
        <f aca="false">IF(AF$16&gt;0,ROUNDUP(AF$16/12,0),0)</f>
        <v>3</v>
      </c>
      <c r="AG17" s="31" t="n">
        <f aca="false">IF(AG$16&gt;0,ROUNDUP(AG$16/12,0),0)</f>
        <v>3</v>
      </c>
      <c r="AH17" s="31" t="n">
        <f aca="false">IF(AH$16&gt;0,ROUNDUP(AH$16/12,0),0)</f>
        <v>3</v>
      </c>
      <c r="AI17" s="31" t="n">
        <f aca="false">IF(AI$16&gt;0,ROUNDUP(AI$16/12,0),0)</f>
        <v>3</v>
      </c>
      <c r="AJ17" s="31" t="n">
        <f aca="false">IF(AJ$16&gt;0,ROUNDUP(AJ$16/12,0),0)</f>
        <v>3</v>
      </c>
      <c r="AK17" s="31" t="n">
        <f aca="false">IF(AK$16&gt;0,ROUNDUP(AK$16/12,0),0)</f>
        <v>3</v>
      </c>
      <c r="AL17" s="31" t="n">
        <f aca="false">IF(AL$16&gt;0,ROUNDUP(AL$16/12,0),0)</f>
        <v>3</v>
      </c>
      <c r="AM17" s="31" t="n">
        <f aca="false">IF(AM$16&gt;0,ROUNDUP(AM$16/12,0),0)</f>
        <v>3</v>
      </c>
      <c r="AN17" s="31" t="n">
        <f aca="false">IF(AN$16&gt;0,ROUNDUP(AN$16/12,0),0)</f>
        <v>3</v>
      </c>
      <c r="AO17" s="31" t="n">
        <f aca="false">IF(AO$16&gt;0,ROUNDUP(AO$16/12,0),0)</f>
        <v>3</v>
      </c>
      <c r="AP17" s="31" t="n">
        <f aca="false">IF(AP$16&gt;0,ROUNDUP(AP$16/12,0),0)</f>
        <v>3</v>
      </c>
      <c r="AQ17" s="31" t="n">
        <f aca="false">IF(AQ$16&gt;0,ROUNDUP(AQ$16/12,0),0)</f>
        <v>4</v>
      </c>
      <c r="AR17" s="31" t="n">
        <f aca="false">IF(AR$16&gt;0,ROUNDUP(AR$16/12,0),0)</f>
        <v>4</v>
      </c>
      <c r="AS17" s="31" t="n">
        <f aca="false">IF(AS$16&gt;0,ROUNDUP(AS$16/12,0),0)</f>
        <v>4</v>
      </c>
      <c r="AT17" s="31" t="n">
        <f aca="false">IF(AT$16&gt;0,ROUNDUP(AT$16/12,0),0)</f>
        <v>4</v>
      </c>
      <c r="AU17" s="31" t="n">
        <f aca="false">IF(AU$16&gt;0,ROUNDUP(AU$16/12,0),0)</f>
        <v>4</v>
      </c>
      <c r="AV17" s="31" t="n">
        <f aca="false">IF(AV$16&gt;0,ROUNDUP(AV$16/12,0),0)</f>
        <v>4</v>
      </c>
      <c r="AW17" s="31" t="n">
        <f aca="false">IF(AW$16&gt;0,ROUNDUP(AW$16/12,0),0)</f>
        <v>4</v>
      </c>
      <c r="AX17" s="31" t="n">
        <f aca="false">IF(AX$16&gt;0,ROUNDUP(AX$16/12,0),0)</f>
        <v>4</v>
      </c>
      <c r="AY17" s="31" t="n">
        <f aca="false">IF(AY$16&gt;0,ROUNDUP(AY$16/12,0),0)</f>
        <v>4</v>
      </c>
      <c r="AZ17" s="31" t="n">
        <f aca="false">IF(AZ$16&gt;0,ROUNDUP(AZ$16/12,0),0)</f>
        <v>4</v>
      </c>
      <c r="BA17" s="31" t="n">
        <f aca="false">IF(BA$16&gt;0,ROUNDUP(BA$16/12,0),0)</f>
        <v>4</v>
      </c>
      <c r="BB17" s="31" t="n">
        <f aca="false">IF(BB$16&gt;0,ROUNDUP(BB$16/12,0),0)</f>
        <v>4</v>
      </c>
      <c r="BC17" s="31" t="n">
        <f aca="false">IF(BC$16&gt;0,ROUNDUP(BC$16/12,0),0)</f>
        <v>5</v>
      </c>
      <c r="BD17" s="31" t="n">
        <f aca="false">IF(BD$16&gt;0,ROUNDUP(BD$16/12,0),0)</f>
        <v>5</v>
      </c>
      <c r="BE17" s="31" t="n">
        <f aca="false">IF(BE$16&gt;0,ROUNDUP(BE$16/12,0),0)</f>
        <v>5</v>
      </c>
      <c r="BF17" s="31" t="n">
        <f aca="false">IF(BF$16&gt;0,ROUNDUP(BF$16/12,0),0)</f>
        <v>5</v>
      </c>
      <c r="BG17" s="31" t="n">
        <f aca="false">IF(BG$16&gt;0,ROUNDUP(BG$16/12,0),0)</f>
        <v>5</v>
      </c>
      <c r="BH17" s="31" t="n">
        <f aca="false">IF(BH$16&gt;0,ROUNDUP(BH$16/12,0),0)</f>
        <v>5</v>
      </c>
      <c r="BI17" s="31" t="n">
        <f aca="false">IF(BI$16&gt;0,ROUNDUP(BI$16/12,0),0)</f>
        <v>5</v>
      </c>
      <c r="BJ17" s="31" t="n">
        <f aca="false">IF(BJ$16&gt;0,ROUNDUP(BJ$16/12,0),0)</f>
        <v>5</v>
      </c>
      <c r="BK17" s="31" t="n">
        <f aca="false">IF(BK$16&gt;0,ROUNDUP(BK$16/12,0),0)</f>
        <v>5</v>
      </c>
      <c r="BL17" s="31" t="n">
        <f aca="false">IF(BL$16&gt;0,ROUNDUP(BL$16/12,0),0)</f>
        <v>5</v>
      </c>
      <c r="BM17" s="31" t="n">
        <f aca="false">IF(BM$16&gt;0,ROUNDUP(BM$16/12,0),0)</f>
        <v>5</v>
      </c>
      <c r="BN17" s="31" t="n">
        <f aca="false">IF(BN$16&gt;0,ROUNDUP(BN$16/12,0),0)</f>
        <v>5</v>
      </c>
      <c r="BO17" s="31" t="n">
        <f aca="false">IF(BO$16&gt;0,ROUNDUP(BO$16/12,0),0)</f>
        <v>6</v>
      </c>
      <c r="BP17" s="31" t="n">
        <f aca="false">IF(BP$16&gt;0,ROUNDUP(BP$16/12,0),0)</f>
        <v>6</v>
      </c>
      <c r="BQ17" s="31" t="n">
        <f aca="false">IF(BQ$16&gt;0,ROUNDUP(BQ$16/12,0),0)</f>
        <v>6</v>
      </c>
      <c r="BR17" s="31" t="n">
        <f aca="false">IF(BR$16&gt;0,ROUNDUP(BR$16/12,0),0)</f>
        <v>6</v>
      </c>
      <c r="BS17" s="31" t="n">
        <f aca="false">IF(BS$16&gt;0,ROUNDUP(BS$16/12,0),0)</f>
        <v>6</v>
      </c>
      <c r="BT17" s="31" t="n">
        <f aca="false">IF(BT$16&gt;0,ROUNDUP(BT$16/12,0),0)</f>
        <v>6</v>
      </c>
      <c r="BU17" s="31" t="n">
        <f aca="false">IF(BU$16&gt;0,ROUNDUP(BU$16/12,0),0)</f>
        <v>6</v>
      </c>
      <c r="BV17" s="31" t="n">
        <f aca="false">IF(BV$16&gt;0,ROUNDUP(BV$16/12,0),0)</f>
        <v>6</v>
      </c>
      <c r="BW17" s="31" t="n">
        <f aca="false">IF(BW$16&gt;0,ROUNDUP(BW$16/12,0),0)</f>
        <v>6</v>
      </c>
      <c r="BX17" s="31" t="n">
        <f aca="false">IF(BX$16&gt;0,ROUNDUP(BX$16/12,0),0)</f>
        <v>6</v>
      </c>
      <c r="BY17" s="31" t="n">
        <f aca="false">IF(BY$16&gt;0,ROUNDUP(BY$16/12,0),0)</f>
        <v>6</v>
      </c>
      <c r="BZ17" s="31" t="n">
        <f aca="false">IF(BZ$16&gt;0,ROUNDUP(BZ$16/12,0),0)</f>
        <v>6</v>
      </c>
      <c r="CA17" s="31" t="n">
        <f aca="false">IF(CA$16&gt;0,ROUNDUP(CA$16/12,0),0)</f>
        <v>7</v>
      </c>
      <c r="CB17" s="31" t="n">
        <f aca="false">IF(CB$16&gt;0,ROUNDUP(CB$16/12,0),0)</f>
        <v>7</v>
      </c>
      <c r="CC17" s="31" t="n">
        <f aca="false">IF(CC$16&gt;0,ROUNDUP(CC$16/12,0),0)</f>
        <v>7</v>
      </c>
      <c r="CD17" s="31" t="n">
        <f aca="false">IF(CD$16&gt;0,ROUNDUP(CD$16/12,0),0)</f>
        <v>7</v>
      </c>
      <c r="CE17" s="31" t="n">
        <f aca="false">IF(CE$16&gt;0,ROUNDUP(CE$16/12,0),0)</f>
        <v>7</v>
      </c>
      <c r="CF17" s="31" t="n">
        <f aca="false">IF(CF$16&gt;0,ROUNDUP(CF$16/12,0),0)</f>
        <v>7</v>
      </c>
      <c r="CG17" s="31" t="n">
        <f aca="false">IF(CG$16&gt;0,ROUNDUP(CG$16/12,0),0)</f>
        <v>7</v>
      </c>
      <c r="CH17" s="31" t="n">
        <f aca="false">IF(CH$16&gt;0,ROUNDUP(CH$16/12,0),0)</f>
        <v>7</v>
      </c>
      <c r="CI17" s="31" t="n">
        <f aca="false">IF(CI$16&gt;0,ROUNDUP(CI$16/12,0),0)</f>
        <v>7</v>
      </c>
      <c r="CJ17" s="31" t="n">
        <f aca="false">IF(CJ$16&gt;0,ROUNDUP(CJ$16/12,0),0)</f>
        <v>7</v>
      </c>
      <c r="CK17" s="31" t="n">
        <f aca="false">IF(CK$16&gt;0,ROUNDUP(CK$16/12,0),0)</f>
        <v>7</v>
      </c>
      <c r="CL17" s="31" t="n">
        <f aca="false">IF(CL$16&gt;0,ROUNDUP(CL$16/12,0),0)</f>
        <v>7</v>
      </c>
      <c r="CM17" s="31" t="n">
        <f aca="false">IF(CM$16&gt;0,ROUNDUP(CM$16/12,0),0)</f>
        <v>8</v>
      </c>
      <c r="CN17" s="31" t="n">
        <f aca="false">IF(CN$16&gt;0,ROUNDUP(CN$16/12,0),0)</f>
        <v>8</v>
      </c>
      <c r="CO17" s="31" t="n">
        <f aca="false">IF(CO$16&gt;0,ROUNDUP(CO$16/12,0),0)</f>
        <v>8</v>
      </c>
      <c r="CP17" s="31" t="n">
        <f aca="false">IF(CP$16&gt;0,ROUNDUP(CP$16/12,0),0)</f>
        <v>8</v>
      </c>
      <c r="CQ17" s="31" t="n">
        <f aca="false">IF(CQ$16&gt;0,ROUNDUP(CQ$16/12,0),0)</f>
        <v>8</v>
      </c>
      <c r="CR17" s="31" t="n">
        <f aca="false">IF(CR$16&gt;0,ROUNDUP(CR$16/12,0),0)</f>
        <v>8</v>
      </c>
      <c r="CS17" s="31" t="n">
        <f aca="false">IF(CS$16&gt;0,ROUNDUP(CS$16/12,0),0)</f>
        <v>8</v>
      </c>
      <c r="CT17" s="31" t="n">
        <f aca="false">IF(CT$16&gt;0,ROUNDUP(CT$16/12,0),0)</f>
        <v>8</v>
      </c>
      <c r="CU17" s="31" t="n">
        <f aca="false">IF(CU$16&gt;0,ROUNDUP(CU$16/12,0),0)</f>
        <v>8</v>
      </c>
      <c r="CV17" s="31" t="n">
        <f aca="false">IF(CV$16&gt;0,ROUNDUP(CV$16/12,0),0)</f>
        <v>8</v>
      </c>
      <c r="CW17" s="31" t="n">
        <f aca="false">IF(CW$16&gt;0,ROUNDUP(CW$16/12,0),0)</f>
        <v>8</v>
      </c>
      <c r="CX17" s="31" t="n">
        <f aca="false">IF(CX$16&gt;0,ROUNDUP(CX$16/12,0),0)</f>
        <v>8</v>
      </c>
      <c r="CY17" s="31" t="n">
        <f aca="false">IF(CY$16&gt;0,ROUNDUP(CY$16/12,0),0)</f>
        <v>9</v>
      </c>
      <c r="CZ17" s="31" t="n">
        <f aca="false">IF(CZ$16&gt;0,ROUNDUP(CZ$16/12,0),0)</f>
        <v>9</v>
      </c>
      <c r="DA17" s="31" t="n">
        <f aca="false">IF(DA$16&gt;0,ROUNDUP(DA$16/12,0),0)</f>
        <v>9</v>
      </c>
      <c r="DB17" s="31" t="n">
        <f aca="false">IF(DB$16&gt;0,ROUNDUP(DB$16/12,0),0)</f>
        <v>9</v>
      </c>
      <c r="DC17" s="31" t="n">
        <f aca="false">IF(DC$16&gt;0,ROUNDUP(DC$16/12,0),0)</f>
        <v>9</v>
      </c>
      <c r="DD17" s="31" t="n">
        <f aca="false">IF(DD$16&gt;0,ROUNDUP(DD$16/12,0),0)</f>
        <v>9</v>
      </c>
      <c r="DE17" s="31" t="n">
        <f aca="false">IF(DE$16&gt;0,ROUNDUP(DE$16/12,0),0)</f>
        <v>9</v>
      </c>
      <c r="DF17" s="31" t="n">
        <f aca="false">IF(DF$16&gt;0,ROUNDUP(DF$16/12,0),0)</f>
        <v>9</v>
      </c>
      <c r="DG17" s="31" t="n">
        <f aca="false">IF(DG$16&gt;0,ROUNDUP(DG$16/12,0),0)</f>
        <v>9</v>
      </c>
      <c r="DH17" s="31" t="n">
        <f aca="false">IF(DH$16&gt;0,ROUNDUP(DH$16/12,0),0)</f>
        <v>9</v>
      </c>
      <c r="DI17" s="31" t="n">
        <f aca="false">IF(DI$16&gt;0,ROUNDUP(DI$16/12,0),0)</f>
        <v>9</v>
      </c>
      <c r="DJ17" s="31" t="n">
        <f aca="false">IF(DJ$16&gt;0,ROUNDUP(DJ$16/12,0),0)</f>
        <v>9</v>
      </c>
      <c r="DK17" s="31" t="n">
        <f aca="false">IF(DK$16&gt;0,ROUNDUP(DK$16/12,0),0)</f>
        <v>10</v>
      </c>
      <c r="DL17" s="31" t="n">
        <f aca="false">IF(DL$16&gt;0,ROUNDUP(DL$16/12,0),0)</f>
        <v>10</v>
      </c>
      <c r="DM17" s="31" t="n">
        <f aca="false">IF(DM$16&gt;0,ROUNDUP(DM$16/12,0),0)</f>
        <v>10</v>
      </c>
      <c r="DN17" s="31" t="n">
        <f aca="false">IF(DN$16&gt;0,ROUNDUP(DN$16/12,0),0)</f>
        <v>10</v>
      </c>
      <c r="DO17" s="31" t="n">
        <f aca="false">IF(DO$16&gt;0,ROUNDUP(DO$16/12,0),0)</f>
        <v>10</v>
      </c>
      <c r="DP17" s="31" t="n">
        <f aca="false">IF(DP$16&gt;0,ROUNDUP(DP$16/12,0),0)</f>
        <v>10</v>
      </c>
      <c r="DQ17" s="31" t="n">
        <f aca="false">IF(DQ$16&gt;0,ROUNDUP(DQ$16/12,0),0)</f>
        <v>10</v>
      </c>
      <c r="DR17" s="31" t="n">
        <f aca="false">IF(DR$16&gt;0,ROUNDUP(DR$16/12,0),0)</f>
        <v>10</v>
      </c>
      <c r="DS17" s="31" t="n">
        <f aca="false">IF(DS$16&gt;0,ROUNDUP(DS$16/12,0),0)</f>
        <v>10</v>
      </c>
      <c r="DT17" s="31" t="n">
        <f aca="false">IF(DT$16&gt;0,ROUNDUP(DT$16/12,0),0)</f>
        <v>10</v>
      </c>
      <c r="DU17" s="31" t="n">
        <f aca="false">IF(DU$16&gt;0,ROUNDUP(DU$16/12,0),0)</f>
        <v>10</v>
      </c>
      <c r="DV17" s="31" t="n">
        <f aca="false">IF(DV$16&gt;0,ROUNDUP(DV$16/12,0),0)</f>
        <v>10</v>
      </c>
      <c r="DW17" s="31" t="n">
        <f aca="false">IF(DW$16&gt;0,ROUNDUP(DW$16/12,0),0)</f>
        <v>0</v>
      </c>
      <c r="DX17" s="31" t="n">
        <f aca="false">IF(DX$16&gt;0,ROUNDUP(DX$16/12,0),0)</f>
        <v>0</v>
      </c>
      <c r="DY17" s="31" t="n">
        <f aca="false">IF(DY$16&gt;0,ROUNDUP(DY$16/12,0),0)</f>
        <v>0</v>
      </c>
      <c r="DZ17" s="31" t="n">
        <f aca="false">IF(DZ$16&gt;0,ROUNDUP(DZ$16/12,0),0)</f>
        <v>0</v>
      </c>
      <c r="EA17" s="31" t="n">
        <f aca="false">IF(EA$16&gt;0,ROUNDUP(EA$16/12,0),0)</f>
        <v>0</v>
      </c>
      <c r="EB17" s="31" t="n">
        <f aca="false">IF(EB$16&gt;0,ROUNDUP(EB$16/12,0),0)</f>
        <v>0</v>
      </c>
      <c r="EC17" s="31" t="n">
        <f aca="false">IF(EC$16&gt;0,ROUNDUP(EC$16/12,0),0)</f>
        <v>0</v>
      </c>
      <c r="ED17" s="31" t="n">
        <f aca="false">IF(ED$16&gt;0,ROUNDUP(ED$16/12,0),0)</f>
        <v>0</v>
      </c>
      <c r="EE17" s="31" t="n">
        <f aca="false">IF(EE$16&gt;0,ROUNDUP(EE$16/12,0),0)</f>
        <v>0</v>
      </c>
      <c r="EF17" s="31" t="n">
        <f aca="false">IF(EF$16&gt;0,ROUNDUP(EF$16/12,0),0)</f>
        <v>0</v>
      </c>
      <c r="EG17" s="31" t="n">
        <f aca="false">IF(EG$16&gt;0,ROUNDUP(EG$16/12,0),0)</f>
        <v>0</v>
      </c>
      <c r="EH17" s="31" t="n">
        <f aca="false">IF(EH$16&gt;0,ROUNDUP(EH$16/12,0),0)</f>
        <v>0</v>
      </c>
      <c r="EI17" s="31" t="n">
        <f aca="false">IF(EI$16&gt;0,ROUNDUP(EI$16/12,0),0)</f>
        <v>0</v>
      </c>
      <c r="EJ17" s="31" t="n">
        <f aca="false">IF(EJ$16&gt;0,ROUNDUP(EJ$16/12,0),0)</f>
        <v>0</v>
      </c>
      <c r="EK17" s="31" t="n">
        <f aca="false">IF(EK$16&gt;0,ROUNDUP(EK$16/12,0),0)</f>
        <v>0</v>
      </c>
      <c r="EL17" s="31" t="n">
        <f aca="false">IF(EL$16&gt;0,ROUNDUP(EL$16/12,0),0)</f>
        <v>0</v>
      </c>
      <c r="EM17" s="31" t="n">
        <f aca="false">IF(EM$16&gt;0,ROUNDUP(EM$16/12,0),0)</f>
        <v>0</v>
      </c>
      <c r="EN17" s="31" t="n">
        <f aca="false">IF(EN$16&gt;0,ROUNDUP(EN$16/12,0),0)</f>
        <v>0</v>
      </c>
      <c r="EO17" s="31" t="n">
        <f aca="false">IF(EO$16&gt;0,ROUNDUP(EO$16/12,0),0)</f>
        <v>0</v>
      </c>
      <c r="EP17" s="31" t="n">
        <f aca="false">IF(EP$16&gt;0,ROUNDUP(EP$16/12,0),0)</f>
        <v>0</v>
      </c>
      <c r="EQ17" s="31" t="n">
        <f aca="false">IF(EQ$16&gt;0,ROUNDUP(EQ$16/12,0),0)</f>
        <v>0</v>
      </c>
      <c r="ER17" s="31" t="n">
        <f aca="false">IF(ER$16&gt;0,ROUNDUP(ER$16/12,0),0)</f>
        <v>0</v>
      </c>
      <c r="ES17" s="31" t="n">
        <f aca="false">IF(ES$16&gt;0,ROUNDUP(ES$16/12,0),0)</f>
        <v>0</v>
      </c>
      <c r="ET17" s="31" t="n">
        <f aca="false">IF(ET$16&gt;0,ROUNDUP(ET$16/12,0),0)</f>
        <v>0</v>
      </c>
      <c r="EU17" s="31" t="n">
        <f aca="false">IF(EU$16&gt;0,ROUNDUP(EU$16/12,0),0)</f>
        <v>0</v>
      </c>
      <c r="EV17" s="31" t="n">
        <f aca="false">IF(EV$16&gt;0,ROUNDUP(EV$16/12,0),0)</f>
        <v>0</v>
      </c>
      <c r="EW17" s="31" t="n">
        <f aca="false">IF(EW$16&gt;0,ROUNDUP(EW$16/12,0),0)</f>
        <v>0</v>
      </c>
      <c r="EX17" s="31" t="n">
        <f aca="false">IF(EX$16&gt;0,ROUNDUP(EX$16/12,0),0)</f>
        <v>0</v>
      </c>
      <c r="EY17" s="31" t="n">
        <f aca="false">IF(EY$16&gt;0,ROUNDUP(EY$16/12,0),0)</f>
        <v>0</v>
      </c>
      <c r="EZ17" s="31" t="n">
        <f aca="false">IF(EZ$16&gt;0,ROUNDUP(EZ$16/12,0),0)</f>
        <v>0</v>
      </c>
      <c r="FA17" s="31" t="n">
        <f aca="false">IF(FA$16&gt;0,ROUNDUP(FA$16/12,0),0)</f>
        <v>0</v>
      </c>
      <c r="FB17" s="31" t="n">
        <f aca="false">IF(FB$16&gt;0,ROUNDUP(FB$16/12,0),0)</f>
        <v>0</v>
      </c>
      <c r="FC17" s="31" t="n">
        <f aca="false">IF(FC$16&gt;0,ROUNDUP(FC$16/12,0),0)</f>
        <v>0</v>
      </c>
      <c r="FD17" s="31" t="n">
        <f aca="false">IF(FD$16&gt;0,ROUNDUP(FD$16/12,0),0)</f>
        <v>0</v>
      </c>
      <c r="FE17" s="31" t="n">
        <f aca="false">IF(FE$16&gt;0,ROUNDUP(FE$16/12,0),0)</f>
        <v>0</v>
      </c>
      <c r="FF17" s="31" t="n">
        <f aca="false">IF(FF$16&gt;0,ROUNDUP(FF$16/12,0),0)</f>
        <v>0</v>
      </c>
    </row>
    <row r="18" customFormat="false" ht="15" hidden="false" customHeight="false" outlineLevel="0" collapsed="false">
      <c r="A18" s="2" t="s">
        <v>795</v>
      </c>
      <c r="B18" s="8" t="s">
        <v>796</v>
      </c>
      <c r="C18" s="8" t="s">
        <v>351</v>
      </c>
      <c r="E18" s="61" t="n">
        <f aca="false">SUM($F18:$FF18)</f>
        <v>0</v>
      </c>
      <c r="F18" s="31" t="n">
        <f aca="false">IF(0&lt;=p_MesCorte,1,0)</f>
        <v>0</v>
      </c>
      <c r="G18" s="31" t="n">
        <f aca="false">IF(1&lt;=p_MesCorte,1,0)</f>
        <v>0</v>
      </c>
      <c r="H18" s="31" t="n">
        <f aca="false">IF(2&lt;=p_MesCorte,1,0)</f>
        <v>0</v>
      </c>
      <c r="I18" s="31" t="n">
        <f aca="false">IF(3&lt;=p_MesCorte,1,0)</f>
        <v>0</v>
      </c>
      <c r="J18" s="31" t="n">
        <f aca="false">IF(4&lt;=p_MesCorte,1,0)</f>
        <v>0</v>
      </c>
      <c r="K18" s="31" t="n">
        <f aca="false">IF(5&lt;=p_MesCorte,1,0)</f>
        <v>0</v>
      </c>
      <c r="L18" s="31" t="n">
        <f aca="false">IF(6&lt;=p_MesCorte,1,0)</f>
        <v>0</v>
      </c>
      <c r="M18" s="31" t="n">
        <f aca="false">IF(7&lt;=p_MesCorte,1,0)</f>
        <v>0</v>
      </c>
      <c r="N18" s="31" t="n">
        <f aca="false">IF(8&lt;=p_MesCorte,1,0)</f>
        <v>0</v>
      </c>
      <c r="O18" s="31" t="n">
        <f aca="false">IF(9&lt;=p_MesCorte,1,0)</f>
        <v>0</v>
      </c>
      <c r="P18" s="31" t="n">
        <f aca="false">IF(10&lt;=p_MesCorte,1,0)</f>
        <v>0</v>
      </c>
      <c r="Q18" s="31" t="n">
        <f aca="false">IF(11&lt;=p_MesCorte,1,0)</f>
        <v>0</v>
      </c>
      <c r="R18" s="31" t="n">
        <f aca="false">IF(12&lt;=p_MesCorte,1,0)</f>
        <v>0</v>
      </c>
      <c r="S18" s="31" t="n">
        <f aca="false">IF(13&lt;=p_MesCorte,1,0)</f>
        <v>0</v>
      </c>
      <c r="T18" s="31" t="n">
        <f aca="false">IF(14&lt;=p_MesCorte,1,0)</f>
        <v>0</v>
      </c>
      <c r="U18" s="31" t="n">
        <f aca="false">IF(15&lt;=p_MesCorte,1,0)</f>
        <v>0</v>
      </c>
      <c r="V18" s="31" t="n">
        <f aca="false">IF(16&lt;=p_MesCorte,1,0)</f>
        <v>0</v>
      </c>
      <c r="W18" s="31" t="n">
        <f aca="false">IF(17&lt;=p_MesCorte,1,0)</f>
        <v>0</v>
      </c>
      <c r="X18" s="31" t="n">
        <f aca="false">IF(18&lt;=p_MesCorte,1,0)</f>
        <v>0</v>
      </c>
      <c r="Y18" s="31" t="n">
        <f aca="false">IF(19&lt;=p_MesCorte,1,0)</f>
        <v>0</v>
      </c>
      <c r="Z18" s="31" t="n">
        <f aca="false">IF(20&lt;=p_MesCorte,1,0)</f>
        <v>0</v>
      </c>
      <c r="AA18" s="31" t="n">
        <f aca="false">IF(21&lt;=p_MesCorte,1,0)</f>
        <v>0</v>
      </c>
      <c r="AB18" s="31" t="n">
        <f aca="false">IF(22&lt;=p_MesCorte,1,0)</f>
        <v>0</v>
      </c>
      <c r="AC18" s="31" t="n">
        <f aca="false">IF(23&lt;=p_MesCorte,1,0)</f>
        <v>0</v>
      </c>
      <c r="AD18" s="31" t="n">
        <f aca="false">IF(24&lt;=p_MesCorte,1,0)</f>
        <v>0</v>
      </c>
      <c r="AE18" s="31" t="n">
        <f aca="false">IF(25&lt;=p_MesCorte,1,0)</f>
        <v>0</v>
      </c>
      <c r="AF18" s="31" t="n">
        <f aca="false">IF(26&lt;=p_MesCorte,1,0)</f>
        <v>0</v>
      </c>
      <c r="AG18" s="31" t="n">
        <f aca="false">IF(27&lt;=p_MesCorte,1,0)</f>
        <v>0</v>
      </c>
      <c r="AH18" s="31" t="n">
        <f aca="false">IF(28&lt;=p_MesCorte,1,0)</f>
        <v>0</v>
      </c>
      <c r="AI18" s="31" t="n">
        <f aca="false">IF(29&lt;=p_MesCorte,1,0)</f>
        <v>0</v>
      </c>
      <c r="AJ18" s="31" t="n">
        <f aca="false">IF(30&lt;=p_MesCorte,1,0)</f>
        <v>0</v>
      </c>
      <c r="AK18" s="31" t="n">
        <f aca="false">IF(31&lt;=p_MesCorte,1,0)</f>
        <v>0</v>
      </c>
      <c r="AL18" s="31" t="n">
        <f aca="false">IF(32&lt;=p_MesCorte,1,0)</f>
        <v>0</v>
      </c>
      <c r="AM18" s="31" t="n">
        <f aca="false">IF(33&lt;=p_MesCorte,1,0)</f>
        <v>0</v>
      </c>
      <c r="AN18" s="31" t="n">
        <f aca="false">IF(34&lt;=p_MesCorte,1,0)</f>
        <v>0</v>
      </c>
      <c r="AO18" s="31" t="n">
        <f aca="false">IF(35&lt;=p_MesCorte,1,0)</f>
        <v>0</v>
      </c>
      <c r="AP18" s="31" t="n">
        <f aca="false">IF(36&lt;=p_MesCorte,1,0)</f>
        <v>0</v>
      </c>
      <c r="AQ18" s="31" t="n">
        <f aca="false">IF(37&lt;=p_MesCorte,1,0)</f>
        <v>0</v>
      </c>
      <c r="AR18" s="31" t="n">
        <f aca="false">IF(38&lt;=p_MesCorte,1,0)</f>
        <v>0</v>
      </c>
      <c r="AS18" s="31" t="n">
        <f aca="false">IF(39&lt;=p_MesCorte,1,0)</f>
        <v>0</v>
      </c>
      <c r="AT18" s="31" t="n">
        <f aca="false">IF(40&lt;=p_MesCorte,1,0)</f>
        <v>0</v>
      </c>
      <c r="AU18" s="31" t="n">
        <f aca="false">IF(41&lt;=p_MesCorte,1,0)</f>
        <v>0</v>
      </c>
      <c r="AV18" s="31" t="n">
        <f aca="false">IF(42&lt;=p_MesCorte,1,0)</f>
        <v>0</v>
      </c>
      <c r="AW18" s="31" t="n">
        <f aca="false">IF(43&lt;=p_MesCorte,1,0)</f>
        <v>0</v>
      </c>
      <c r="AX18" s="31" t="n">
        <f aca="false">IF(44&lt;=p_MesCorte,1,0)</f>
        <v>0</v>
      </c>
      <c r="AY18" s="31" t="n">
        <f aca="false">IF(45&lt;=p_MesCorte,1,0)</f>
        <v>0</v>
      </c>
      <c r="AZ18" s="31" t="n">
        <f aca="false">IF(46&lt;=p_MesCorte,1,0)</f>
        <v>0</v>
      </c>
      <c r="BA18" s="31" t="n">
        <f aca="false">IF(47&lt;=p_MesCorte,1,0)</f>
        <v>0</v>
      </c>
      <c r="BB18" s="31" t="n">
        <f aca="false">IF(48&lt;=p_MesCorte,1,0)</f>
        <v>0</v>
      </c>
      <c r="BC18" s="31" t="n">
        <f aca="false">IF(49&lt;=p_MesCorte,1,0)</f>
        <v>0</v>
      </c>
      <c r="BD18" s="31" t="n">
        <f aca="false">IF(50&lt;=p_MesCorte,1,0)</f>
        <v>0</v>
      </c>
      <c r="BE18" s="31" t="n">
        <f aca="false">IF(51&lt;=p_MesCorte,1,0)</f>
        <v>0</v>
      </c>
      <c r="BF18" s="31" t="n">
        <f aca="false">IF(52&lt;=p_MesCorte,1,0)</f>
        <v>0</v>
      </c>
      <c r="BG18" s="31" t="n">
        <f aca="false">IF(53&lt;=p_MesCorte,1,0)</f>
        <v>0</v>
      </c>
      <c r="BH18" s="31" t="n">
        <f aca="false">IF(54&lt;=p_MesCorte,1,0)</f>
        <v>0</v>
      </c>
      <c r="BI18" s="31" t="n">
        <f aca="false">IF(55&lt;=p_MesCorte,1,0)</f>
        <v>0</v>
      </c>
      <c r="BJ18" s="31" t="n">
        <f aca="false">IF(56&lt;=p_MesCorte,1,0)</f>
        <v>0</v>
      </c>
      <c r="BK18" s="31" t="n">
        <f aca="false">IF(57&lt;=p_MesCorte,1,0)</f>
        <v>0</v>
      </c>
      <c r="BL18" s="31" t="n">
        <f aca="false">IF(58&lt;=p_MesCorte,1,0)</f>
        <v>0</v>
      </c>
      <c r="BM18" s="31" t="n">
        <f aca="false">IF(59&lt;=p_MesCorte,1,0)</f>
        <v>0</v>
      </c>
      <c r="BN18" s="31" t="n">
        <f aca="false">IF(60&lt;=p_MesCorte,1,0)</f>
        <v>0</v>
      </c>
      <c r="BO18" s="31" t="n">
        <f aca="false">IF(61&lt;=p_MesCorte,1,0)</f>
        <v>0</v>
      </c>
      <c r="BP18" s="31" t="n">
        <f aca="false">IF(62&lt;=p_MesCorte,1,0)</f>
        <v>0</v>
      </c>
      <c r="BQ18" s="31" t="n">
        <f aca="false">IF(63&lt;=p_MesCorte,1,0)</f>
        <v>0</v>
      </c>
      <c r="BR18" s="31" t="n">
        <f aca="false">IF(64&lt;=p_MesCorte,1,0)</f>
        <v>0</v>
      </c>
      <c r="BS18" s="31" t="n">
        <f aca="false">IF(65&lt;=p_MesCorte,1,0)</f>
        <v>0</v>
      </c>
      <c r="BT18" s="31" t="n">
        <f aca="false">IF(66&lt;=p_MesCorte,1,0)</f>
        <v>0</v>
      </c>
      <c r="BU18" s="31" t="n">
        <f aca="false">IF(67&lt;=p_MesCorte,1,0)</f>
        <v>0</v>
      </c>
      <c r="BV18" s="31" t="n">
        <f aca="false">IF(68&lt;=p_MesCorte,1,0)</f>
        <v>0</v>
      </c>
      <c r="BW18" s="31" t="n">
        <f aca="false">IF(69&lt;=p_MesCorte,1,0)</f>
        <v>0</v>
      </c>
      <c r="BX18" s="31" t="n">
        <f aca="false">IF(70&lt;=p_MesCorte,1,0)</f>
        <v>0</v>
      </c>
      <c r="BY18" s="31" t="n">
        <f aca="false">IF(71&lt;=p_MesCorte,1,0)</f>
        <v>0</v>
      </c>
      <c r="BZ18" s="31" t="n">
        <f aca="false">IF(72&lt;=p_MesCorte,1,0)</f>
        <v>0</v>
      </c>
      <c r="CA18" s="31" t="n">
        <f aca="false">IF(73&lt;=p_MesCorte,1,0)</f>
        <v>0</v>
      </c>
      <c r="CB18" s="31" t="n">
        <f aca="false">IF(74&lt;=p_MesCorte,1,0)</f>
        <v>0</v>
      </c>
      <c r="CC18" s="31" t="n">
        <f aca="false">IF(75&lt;=p_MesCorte,1,0)</f>
        <v>0</v>
      </c>
      <c r="CD18" s="31" t="n">
        <f aca="false">IF(76&lt;=p_MesCorte,1,0)</f>
        <v>0</v>
      </c>
      <c r="CE18" s="31" t="n">
        <f aca="false">IF(77&lt;=p_MesCorte,1,0)</f>
        <v>0</v>
      </c>
      <c r="CF18" s="31" t="n">
        <f aca="false">IF(78&lt;=p_MesCorte,1,0)</f>
        <v>0</v>
      </c>
      <c r="CG18" s="31" t="n">
        <f aca="false">IF(79&lt;=p_MesCorte,1,0)</f>
        <v>0</v>
      </c>
      <c r="CH18" s="31" t="n">
        <f aca="false">IF(80&lt;=p_MesCorte,1,0)</f>
        <v>0</v>
      </c>
      <c r="CI18" s="31" t="n">
        <f aca="false">IF(81&lt;=p_MesCorte,1,0)</f>
        <v>0</v>
      </c>
      <c r="CJ18" s="31" t="n">
        <f aca="false">IF(82&lt;=p_MesCorte,1,0)</f>
        <v>0</v>
      </c>
      <c r="CK18" s="31" t="n">
        <f aca="false">IF(83&lt;=p_MesCorte,1,0)</f>
        <v>0</v>
      </c>
      <c r="CL18" s="31" t="n">
        <f aca="false">IF(84&lt;=p_MesCorte,1,0)</f>
        <v>0</v>
      </c>
      <c r="CM18" s="31" t="n">
        <f aca="false">IF(85&lt;=p_MesCorte,1,0)</f>
        <v>0</v>
      </c>
      <c r="CN18" s="31" t="n">
        <f aca="false">IF(86&lt;=p_MesCorte,1,0)</f>
        <v>0</v>
      </c>
      <c r="CO18" s="31" t="n">
        <f aca="false">IF(87&lt;=p_MesCorte,1,0)</f>
        <v>0</v>
      </c>
      <c r="CP18" s="31" t="n">
        <f aca="false">IF(88&lt;=p_MesCorte,1,0)</f>
        <v>0</v>
      </c>
      <c r="CQ18" s="31" t="n">
        <f aca="false">IF(89&lt;=p_MesCorte,1,0)</f>
        <v>0</v>
      </c>
      <c r="CR18" s="31" t="n">
        <f aca="false">IF(90&lt;=p_MesCorte,1,0)</f>
        <v>0</v>
      </c>
      <c r="CS18" s="31" t="n">
        <f aca="false">IF(91&lt;=p_MesCorte,1,0)</f>
        <v>0</v>
      </c>
      <c r="CT18" s="31" t="n">
        <f aca="false">IF(92&lt;=p_MesCorte,1,0)</f>
        <v>0</v>
      </c>
      <c r="CU18" s="31" t="n">
        <f aca="false">IF(93&lt;=p_MesCorte,1,0)</f>
        <v>0</v>
      </c>
      <c r="CV18" s="31" t="n">
        <f aca="false">IF(94&lt;=p_MesCorte,1,0)</f>
        <v>0</v>
      </c>
      <c r="CW18" s="31" t="n">
        <f aca="false">IF(95&lt;=p_MesCorte,1,0)</f>
        <v>0</v>
      </c>
      <c r="CX18" s="31" t="n">
        <f aca="false">IF(96&lt;=p_MesCorte,1,0)</f>
        <v>0</v>
      </c>
      <c r="CY18" s="31" t="n">
        <f aca="false">IF(97&lt;=p_MesCorte,1,0)</f>
        <v>0</v>
      </c>
      <c r="CZ18" s="31" t="n">
        <f aca="false">IF(98&lt;=p_MesCorte,1,0)</f>
        <v>0</v>
      </c>
      <c r="DA18" s="31" t="n">
        <f aca="false">IF(99&lt;=p_MesCorte,1,0)</f>
        <v>0</v>
      </c>
      <c r="DB18" s="31" t="n">
        <f aca="false">IF(100&lt;=p_MesCorte,1,0)</f>
        <v>0</v>
      </c>
      <c r="DC18" s="31" t="n">
        <f aca="false">IF(101&lt;=p_MesCorte,1,0)</f>
        <v>0</v>
      </c>
      <c r="DD18" s="31" t="n">
        <f aca="false">IF(102&lt;=p_MesCorte,1,0)</f>
        <v>0</v>
      </c>
      <c r="DE18" s="31" t="n">
        <f aca="false">IF(103&lt;=p_MesCorte,1,0)</f>
        <v>0</v>
      </c>
      <c r="DF18" s="31" t="n">
        <f aca="false">IF(104&lt;=p_MesCorte,1,0)</f>
        <v>0</v>
      </c>
      <c r="DG18" s="31" t="n">
        <f aca="false">IF(105&lt;=p_MesCorte,1,0)</f>
        <v>0</v>
      </c>
      <c r="DH18" s="31" t="n">
        <f aca="false">IF(106&lt;=p_MesCorte,1,0)</f>
        <v>0</v>
      </c>
      <c r="DI18" s="31" t="n">
        <f aca="false">IF(107&lt;=p_MesCorte,1,0)</f>
        <v>0</v>
      </c>
      <c r="DJ18" s="31" t="n">
        <f aca="false">IF(108&lt;=p_MesCorte,1,0)</f>
        <v>0</v>
      </c>
      <c r="DK18" s="31" t="n">
        <f aca="false">IF(109&lt;=p_MesCorte,1,0)</f>
        <v>0</v>
      </c>
      <c r="DL18" s="31" t="n">
        <f aca="false">IF(110&lt;=p_MesCorte,1,0)</f>
        <v>0</v>
      </c>
      <c r="DM18" s="31" t="n">
        <f aca="false">IF(111&lt;=p_MesCorte,1,0)</f>
        <v>0</v>
      </c>
      <c r="DN18" s="31" t="n">
        <f aca="false">IF(112&lt;=p_MesCorte,1,0)</f>
        <v>0</v>
      </c>
      <c r="DO18" s="31" t="n">
        <f aca="false">IF(113&lt;=p_MesCorte,1,0)</f>
        <v>0</v>
      </c>
      <c r="DP18" s="31" t="n">
        <f aca="false">IF(114&lt;=p_MesCorte,1,0)</f>
        <v>0</v>
      </c>
      <c r="DQ18" s="31" t="n">
        <f aca="false">IF(115&lt;=p_MesCorte,1,0)</f>
        <v>0</v>
      </c>
      <c r="DR18" s="31" t="n">
        <f aca="false">IF(116&lt;=p_MesCorte,1,0)</f>
        <v>0</v>
      </c>
      <c r="DS18" s="31" t="n">
        <f aca="false">IF(117&lt;=p_MesCorte,1,0)</f>
        <v>0</v>
      </c>
      <c r="DT18" s="31" t="n">
        <f aca="false">IF(118&lt;=p_MesCorte,1,0)</f>
        <v>0</v>
      </c>
      <c r="DU18" s="31" t="n">
        <f aca="false">IF(119&lt;=p_MesCorte,1,0)</f>
        <v>0</v>
      </c>
      <c r="DV18" s="31" t="n">
        <f aca="false">IF(120&lt;=p_MesCorte,1,0)</f>
        <v>0</v>
      </c>
      <c r="DW18" s="31" t="n">
        <f aca="false">IF(121&lt;=p_MesCorte,1,0)</f>
        <v>0</v>
      </c>
      <c r="DX18" s="31" t="n">
        <f aca="false">IF(122&lt;=p_MesCorte,1,0)</f>
        <v>0</v>
      </c>
      <c r="DY18" s="31" t="n">
        <f aca="false">IF(123&lt;=p_MesCorte,1,0)</f>
        <v>0</v>
      </c>
      <c r="DZ18" s="31" t="n">
        <f aca="false">IF(124&lt;=p_MesCorte,1,0)</f>
        <v>0</v>
      </c>
      <c r="EA18" s="31" t="n">
        <f aca="false">IF(125&lt;=p_MesCorte,1,0)</f>
        <v>0</v>
      </c>
      <c r="EB18" s="31" t="n">
        <f aca="false">IF(126&lt;=p_MesCorte,1,0)</f>
        <v>0</v>
      </c>
      <c r="EC18" s="31" t="n">
        <f aca="false">IF(127&lt;=p_MesCorte,1,0)</f>
        <v>0</v>
      </c>
      <c r="ED18" s="31" t="n">
        <f aca="false">IF(128&lt;=p_MesCorte,1,0)</f>
        <v>0</v>
      </c>
      <c r="EE18" s="31" t="n">
        <f aca="false">IF(129&lt;=p_MesCorte,1,0)</f>
        <v>0</v>
      </c>
      <c r="EF18" s="31" t="n">
        <f aca="false">IF(130&lt;=p_MesCorte,1,0)</f>
        <v>0</v>
      </c>
      <c r="EG18" s="31" t="n">
        <f aca="false">IF(131&lt;=p_MesCorte,1,0)</f>
        <v>0</v>
      </c>
      <c r="EH18" s="31" t="n">
        <f aca="false">IF(132&lt;=p_MesCorte,1,0)</f>
        <v>0</v>
      </c>
      <c r="EI18" s="31" t="n">
        <f aca="false">IF(133&lt;=p_MesCorte,1,0)</f>
        <v>0</v>
      </c>
      <c r="EJ18" s="31" t="n">
        <f aca="false">IF(134&lt;=p_MesCorte,1,0)</f>
        <v>0</v>
      </c>
      <c r="EK18" s="31" t="n">
        <f aca="false">IF(135&lt;=p_MesCorte,1,0)</f>
        <v>0</v>
      </c>
      <c r="EL18" s="31" t="n">
        <f aca="false">IF(136&lt;=p_MesCorte,1,0)</f>
        <v>0</v>
      </c>
      <c r="EM18" s="31" t="n">
        <f aca="false">IF(137&lt;=p_MesCorte,1,0)</f>
        <v>0</v>
      </c>
      <c r="EN18" s="31" t="n">
        <f aca="false">IF(138&lt;=p_MesCorte,1,0)</f>
        <v>0</v>
      </c>
      <c r="EO18" s="31" t="n">
        <f aca="false">IF(139&lt;=p_MesCorte,1,0)</f>
        <v>0</v>
      </c>
      <c r="EP18" s="31" t="n">
        <f aca="false">IF(140&lt;=p_MesCorte,1,0)</f>
        <v>0</v>
      </c>
      <c r="EQ18" s="31" t="n">
        <f aca="false">IF(141&lt;=p_MesCorte,1,0)</f>
        <v>0</v>
      </c>
      <c r="ER18" s="31" t="n">
        <f aca="false">IF(142&lt;=p_MesCorte,1,0)</f>
        <v>0</v>
      </c>
      <c r="ES18" s="31" t="n">
        <f aca="false">IF(143&lt;=p_MesCorte,1,0)</f>
        <v>0</v>
      </c>
      <c r="ET18" s="31" t="n">
        <f aca="false">IF(144&lt;=p_MesCorte,1,0)</f>
        <v>0</v>
      </c>
      <c r="EU18" s="31" t="n">
        <f aca="false">IF(145&lt;=p_MesCorte,1,0)</f>
        <v>0</v>
      </c>
      <c r="EV18" s="31" t="n">
        <f aca="false">IF(146&lt;=p_MesCorte,1,0)</f>
        <v>0</v>
      </c>
      <c r="EW18" s="31" t="n">
        <f aca="false">IF(147&lt;=p_MesCorte,1,0)</f>
        <v>0</v>
      </c>
      <c r="EX18" s="31" t="n">
        <f aca="false">IF(148&lt;=p_MesCorte,1,0)</f>
        <v>0</v>
      </c>
      <c r="EY18" s="31" t="n">
        <f aca="false">IF(149&lt;=p_MesCorte,1,0)</f>
        <v>0</v>
      </c>
      <c r="EZ18" s="31" t="n">
        <f aca="false">IF(150&lt;=p_MesCorte,1,0)</f>
        <v>0</v>
      </c>
      <c r="FA18" s="31" t="n">
        <f aca="false">IF(151&lt;=p_MesCorte,1,0)</f>
        <v>0</v>
      </c>
      <c r="FB18" s="31" t="n">
        <f aca="false">IF(152&lt;=p_MesCorte,1,0)</f>
        <v>0</v>
      </c>
      <c r="FC18" s="31" t="n">
        <f aca="false">IF(153&lt;=p_MesCorte,1,0)</f>
        <v>0</v>
      </c>
      <c r="FD18" s="31" t="n">
        <f aca="false">IF(154&lt;=p_MesCorte,1,0)</f>
        <v>0</v>
      </c>
      <c r="FE18" s="31" t="n">
        <f aca="false">IF(155&lt;=p_MesCorte,1,0)</f>
        <v>0</v>
      </c>
      <c r="FF18" s="31" t="n">
        <f aca="false">IF(156&lt;=p_MesCorte,1,0)</f>
        <v>0</v>
      </c>
    </row>
    <row r="19" customFormat="false" ht="15" hidden="false" customHeight="false" outlineLevel="0" collapsed="false">
      <c r="A19" s="2" t="s">
        <v>797</v>
      </c>
      <c r="B19" s="8" t="s">
        <v>798</v>
      </c>
      <c r="C19" s="8" t="s">
        <v>771</v>
      </c>
      <c r="F19" s="31" t="n">
        <f aca="false">MAX(1,F$7)</f>
        <v>1</v>
      </c>
      <c r="G19" s="31" t="n">
        <f aca="false">MAX(1,G$7)</f>
        <v>1</v>
      </c>
      <c r="H19" s="31" t="n">
        <f aca="false">MAX(1,H$7)</f>
        <v>1</v>
      </c>
      <c r="I19" s="31" t="n">
        <f aca="false">MAX(1,I$7)</f>
        <v>1</v>
      </c>
      <c r="J19" s="31" t="n">
        <f aca="false">MAX(1,J$7)</f>
        <v>1</v>
      </c>
      <c r="K19" s="31" t="n">
        <f aca="false">MAX(1,K$7)</f>
        <v>1</v>
      </c>
      <c r="L19" s="31" t="n">
        <f aca="false">MAX(1,L$7)</f>
        <v>1</v>
      </c>
      <c r="M19" s="31" t="n">
        <f aca="false">MAX(1,M$7)</f>
        <v>1</v>
      </c>
      <c r="N19" s="31" t="n">
        <f aca="false">MAX(1,N$7)</f>
        <v>1</v>
      </c>
      <c r="O19" s="31" t="n">
        <f aca="false">MAX(1,O$7)</f>
        <v>1</v>
      </c>
      <c r="P19" s="31" t="n">
        <f aca="false">MAX(1,P$7)</f>
        <v>1</v>
      </c>
      <c r="Q19" s="31" t="n">
        <f aca="false">MAX(1,Q$7)</f>
        <v>1</v>
      </c>
      <c r="R19" s="31" t="n">
        <f aca="false">MAX(1,R$7)</f>
        <v>1</v>
      </c>
      <c r="S19" s="31" t="n">
        <f aca="false">MAX(1,S$7)</f>
        <v>2</v>
      </c>
      <c r="T19" s="31" t="n">
        <f aca="false">MAX(1,T$7)</f>
        <v>2</v>
      </c>
      <c r="U19" s="31" t="n">
        <f aca="false">MAX(1,U$7)</f>
        <v>2</v>
      </c>
      <c r="V19" s="31" t="n">
        <f aca="false">MAX(1,V$7)</f>
        <v>2</v>
      </c>
      <c r="W19" s="31" t="n">
        <f aca="false">MAX(1,W$7)</f>
        <v>2</v>
      </c>
      <c r="X19" s="31" t="n">
        <f aca="false">MAX(1,X$7)</f>
        <v>2</v>
      </c>
      <c r="Y19" s="31" t="n">
        <f aca="false">MAX(1,Y$7)</f>
        <v>2</v>
      </c>
      <c r="Z19" s="31" t="n">
        <f aca="false">MAX(1,Z$7)</f>
        <v>2</v>
      </c>
      <c r="AA19" s="31" t="n">
        <f aca="false">MAX(1,AA$7)</f>
        <v>2</v>
      </c>
      <c r="AB19" s="31" t="n">
        <f aca="false">MAX(1,AB$7)</f>
        <v>2</v>
      </c>
      <c r="AC19" s="31" t="n">
        <f aca="false">MAX(1,AC$7)</f>
        <v>2</v>
      </c>
      <c r="AD19" s="31" t="n">
        <f aca="false">MAX(1,AD$7)</f>
        <v>2</v>
      </c>
      <c r="AE19" s="31" t="n">
        <f aca="false">MAX(1,AE$7)</f>
        <v>3</v>
      </c>
      <c r="AF19" s="31" t="n">
        <f aca="false">MAX(1,AF$7)</f>
        <v>3</v>
      </c>
      <c r="AG19" s="31" t="n">
        <f aca="false">MAX(1,AG$7)</f>
        <v>3</v>
      </c>
      <c r="AH19" s="31" t="n">
        <f aca="false">MAX(1,AH$7)</f>
        <v>3</v>
      </c>
      <c r="AI19" s="31" t="n">
        <f aca="false">MAX(1,AI$7)</f>
        <v>3</v>
      </c>
      <c r="AJ19" s="31" t="n">
        <f aca="false">MAX(1,AJ$7)</f>
        <v>3</v>
      </c>
      <c r="AK19" s="31" t="n">
        <f aca="false">MAX(1,AK$7)</f>
        <v>3</v>
      </c>
      <c r="AL19" s="31" t="n">
        <f aca="false">MAX(1,AL$7)</f>
        <v>3</v>
      </c>
      <c r="AM19" s="31" t="n">
        <f aca="false">MAX(1,AM$7)</f>
        <v>3</v>
      </c>
      <c r="AN19" s="31" t="n">
        <f aca="false">MAX(1,AN$7)</f>
        <v>3</v>
      </c>
      <c r="AO19" s="31" t="n">
        <f aca="false">MAX(1,AO$7)</f>
        <v>3</v>
      </c>
      <c r="AP19" s="31" t="n">
        <f aca="false">MAX(1,AP$7)</f>
        <v>3</v>
      </c>
      <c r="AQ19" s="31" t="n">
        <f aca="false">MAX(1,AQ$7)</f>
        <v>4</v>
      </c>
      <c r="AR19" s="31" t="n">
        <f aca="false">MAX(1,AR$7)</f>
        <v>4</v>
      </c>
      <c r="AS19" s="31" t="n">
        <f aca="false">MAX(1,AS$7)</f>
        <v>4</v>
      </c>
      <c r="AT19" s="31" t="n">
        <f aca="false">MAX(1,AT$7)</f>
        <v>4</v>
      </c>
      <c r="AU19" s="31" t="n">
        <f aca="false">MAX(1,AU$7)</f>
        <v>4</v>
      </c>
      <c r="AV19" s="31" t="n">
        <f aca="false">MAX(1,AV$7)</f>
        <v>4</v>
      </c>
      <c r="AW19" s="31" t="n">
        <f aca="false">MAX(1,AW$7)</f>
        <v>4</v>
      </c>
      <c r="AX19" s="31" t="n">
        <f aca="false">MAX(1,AX$7)</f>
        <v>4</v>
      </c>
      <c r="AY19" s="31" t="n">
        <f aca="false">MAX(1,AY$7)</f>
        <v>4</v>
      </c>
      <c r="AZ19" s="31" t="n">
        <f aca="false">MAX(1,AZ$7)</f>
        <v>4</v>
      </c>
      <c r="BA19" s="31" t="n">
        <f aca="false">MAX(1,BA$7)</f>
        <v>4</v>
      </c>
      <c r="BB19" s="31" t="n">
        <f aca="false">MAX(1,BB$7)</f>
        <v>4</v>
      </c>
      <c r="BC19" s="31" t="n">
        <f aca="false">MAX(1,BC$7)</f>
        <v>5</v>
      </c>
      <c r="BD19" s="31" t="n">
        <f aca="false">MAX(1,BD$7)</f>
        <v>5</v>
      </c>
      <c r="BE19" s="31" t="n">
        <f aca="false">MAX(1,BE$7)</f>
        <v>5</v>
      </c>
      <c r="BF19" s="31" t="n">
        <f aca="false">MAX(1,BF$7)</f>
        <v>5</v>
      </c>
      <c r="BG19" s="31" t="n">
        <f aca="false">MAX(1,BG$7)</f>
        <v>5</v>
      </c>
      <c r="BH19" s="31" t="n">
        <f aca="false">MAX(1,BH$7)</f>
        <v>5</v>
      </c>
      <c r="BI19" s="31" t="n">
        <f aca="false">MAX(1,BI$7)</f>
        <v>5</v>
      </c>
      <c r="BJ19" s="31" t="n">
        <f aca="false">MAX(1,BJ$7)</f>
        <v>5</v>
      </c>
      <c r="BK19" s="31" t="n">
        <f aca="false">MAX(1,BK$7)</f>
        <v>5</v>
      </c>
      <c r="BL19" s="31" t="n">
        <f aca="false">MAX(1,BL$7)</f>
        <v>5</v>
      </c>
      <c r="BM19" s="31" t="n">
        <f aca="false">MAX(1,BM$7)</f>
        <v>5</v>
      </c>
      <c r="BN19" s="31" t="n">
        <f aca="false">MAX(1,BN$7)</f>
        <v>5</v>
      </c>
      <c r="BO19" s="31" t="n">
        <f aca="false">MAX(1,BO$7)</f>
        <v>6</v>
      </c>
      <c r="BP19" s="31" t="n">
        <f aca="false">MAX(1,BP$7)</f>
        <v>6</v>
      </c>
      <c r="BQ19" s="31" t="n">
        <f aca="false">MAX(1,BQ$7)</f>
        <v>6</v>
      </c>
      <c r="BR19" s="31" t="n">
        <f aca="false">MAX(1,BR$7)</f>
        <v>6</v>
      </c>
      <c r="BS19" s="31" t="n">
        <f aca="false">MAX(1,BS$7)</f>
        <v>6</v>
      </c>
      <c r="BT19" s="31" t="n">
        <f aca="false">MAX(1,BT$7)</f>
        <v>6</v>
      </c>
      <c r="BU19" s="31" t="n">
        <f aca="false">MAX(1,BU$7)</f>
        <v>6</v>
      </c>
      <c r="BV19" s="31" t="n">
        <f aca="false">MAX(1,BV$7)</f>
        <v>6</v>
      </c>
      <c r="BW19" s="31" t="n">
        <f aca="false">MAX(1,BW$7)</f>
        <v>6</v>
      </c>
      <c r="BX19" s="31" t="n">
        <f aca="false">MAX(1,BX$7)</f>
        <v>6</v>
      </c>
      <c r="BY19" s="31" t="n">
        <f aca="false">MAX(1,BY$7)</f>
        <v>6</v>
      </c>
      <c r="BZ19" s="31" t="n">
        <f aca="false">MAX(1,BZ$7)</f>
        <v>6</v>
      </c>
      <c r="CA19" s="31" t="n">
        <f aca="false">MAX(1,CA$7)</f>
        <v>7</v>
      </c>
      <c r="CB19" s="31" t="n">
        <f aca="false">MAX(1,CB$7)</f>
        <v>7</v>
      </c>
      <c r="CC19" s="31" t="n">
        <f aca="false">MAX(1,CC$7)</f>
        <v>7</v>
      </c>
      <c r="CD19" s="31" t="n">
        <f aca="false">MAX(1,CD$7)</f>
        <v>7</v>
      </c>
      <c r="CE19" s="31" t="n">
        <f aca="false">MAX(1,CE$7)</f>
        <v>7</v>
      </c>
      <c r="CF19" s="31" t="n">
        <f aca="false">MAX(1,CF$7)</f>
        <v>7</v>
      </c>
      <c r="CG19" s="31" t="n">
        <f aca="false">MAX(1,CG$7)</f>
        <v>7</v>
      </c>
      <c r="CH19" s="31" t="n">
        <f aca="false">MAX(1,CH$7)</f>
        <v>7</v>
      </c>
      <c r="CI19" s="31" t="n">
        <f aca="false">MAX(1,CI$7)</f>
        <v>7</v>
      </c>
      <c r="CJ19" s="31" t="n">
        <f aca="false">MAX(1,CJ$7)</f>
        <v>7</v>
      </c>
      <c r="CK19" s="31" t="n">
        <f aca="false">MAX(1,CK$7)</f>
        <v>7</v>
      </c>
      <c r="CL19" s="31" t="n">
        <f aca="false">MAX(1,CL$7)</f>
        <v>7</v>
      </c>
      <c r="CM19" s="31" t="n">
        <f aca="false">MAX(1,CM$7)</f>
        <v>8</v>
      </c>
      <c r="CN19" s="31" t="n">
        <f aca="false">MAX(1,CN$7)</f>
        <v>8</v>
      </c>
      <c r="CO19" s="31" t="n">
        <f aca="false">MAX(1,CO$7)</f>
        <v>8</v>
      </c>
      <c r="CP19" s="31" t="n">
        <f aca="false">MAX(1,CP$7)</f>
        <v>8</v>
      </c>
      <c r="CQ19" s="31" t="n">
        <f aca="false">MAX(1,CQ$7)</f>
        <v>8</v>
      </c>
      <c r="CR19" s="31" t="n">
        <f aca="false">MAX(1,CR$7)</f>
        <v>8</v>
      </c>
      <c r="CS19" s="31" t="n">
        <f aca="false">MAX(1,CS$7)</f>
        <v>8</v>
      </c>
      <c r="CT19" s="31" t="n">
        <f aca="false">MAX(1,CT$7)</f>
        <v>8</v>
      </c>
      <c r="CU19" s="31" t="n">
        <f aca="false">MAX(1,CU$7)</f>
        <v>8</v>
      </c>
      <c r="CV19" s="31" t="n">
        <f aca="false">MAX(1,CV$7)</f>
        <v>8</v>
      </c>
      <c r="CW19" s="31" t="n">
        <f aca="false">MAX(1,CW$7)</f>
        <v>8</v>
      </c>
      <c r="CX19" s="31" t="n">
        <f aca="false">MAX(1,CX$7)</f>
        <v>8</v>
      </c>
      <c r="CY19" s="31" t="n">
        <f aca="false">MAX(1,CY$7)</f>
        <v>9</v>
      </c>
      <c r="CZ19" s="31" t="n">
        <f aca="false">MAX(1,CZ$7)</f>
        <v>9</v>
      </c>
      <c r="DA19" s="31" t="n">
        <f aca="false">MAX(1,DA$7)</f>
        <v>9</v>
      </c>
      <c r="DB19" s="31" t="n">
        <f aca="false">MAX(1,DB$7)</f>
        <v>9</v>
      </c>
      <c r="DC19" s="31" t="n">
        <f aca="false">MAX(1,DC$7)</f>
        <v>9</v>
      </c>
      <c r="DD19" s="31" t="n">
        <f aca="false">MAX(1,DD$7)</f>
        <v>9</v>
      </c>
      <c r="DE19" s="31" t="n">
        <f aca="false">MAX(1,DE$7)</f>
        <v>9</v>
      </c>
      <c r="DF19" s="31" t="n">
        <f aca="false">MAX(1,DF$7)</f>
        <v>9</v>
      </c>
      <c r="DG19" s="31" t="n">
        <f aca="false">MAX(1,DG$7)</f>
        <v>9</v>
      </c>
      <c r="DH19" s="31" t="n">
        <f aca="false">MAX(1,DH$7)</f>
        <v>9</v>
      </c>
      <c r="DI19" s="31" t="n">
        <f aca="false">MAX(1,DI$7)</f>
        <v>9</v>
      </c>
      <c r="DJ19" s="31" t="n">
        <f aca="false">MAX(1,DJ$7)</f>
        <v>9</v>
      </c>
      <c r="DK19" s="31" t="n">
        <f aca="false">MAX(1,DK$7)</f>
        <v>10</v>
      </c>
      <c r="DL19" s="31" t="n">
        <f aca="false">MAX(1,DL$7)</f>
        <v>10</v>
      </c>
      <c r="DM19" s="31" t="n">
        <f aca="false">MAX(1,DM$7)</f>
        <v>10</v>
      </c>
      <c r="DN19" s="31" t="n">
        <f aca="false">MAX(1,DN$7)</f>
        <v>10</v>
      </c>
      <c r="DO19" s="31" t="n">
        <f aca="false">MAX(1,DO$7)</f>
        <v>10</v>
      </c>
      <c r="DP19" s="31" t="n">
        <f aca="false">MAX(1,DP$7)</f>
        <v>10</v>
      </c>
      <c r="DQ19" s="31" t="n">
        <f aca="false">MAX(1,DQ$7)</f>
        <v>10</v>
      </c>
      <c r="DR19" s="31" t="n">
        <f aca="false">MAX(1,DR$7)</f>
        <v>10</v>
      </c>
      <c r="DS19" s="31" t="n">
        <f aca="false">MAX(1,DS$7)</f>
        <v>10</v>
      </c>
      <c r="DT19" s="31" t="n">
        <f aca="false">MAX(1,DT$7)</f>
        <v>10</v>
      </c>
      <c r="DU19" s="31" t="n">
        <f aca="false">MAX(1,DU$7)</f>
        <v>10</v>
      </c>
      <c r="DV19" s="31" t="n">
        <f aca="false">MAX(1,DV$7)</f>
        <v>10</v>
      </c>
      <c r="DW19" s="31" t="n">
        <f aca="false">MAX(1,DW$7)</f>
        <v>11</v>
      </c>
      <c r="DX19" s="31" t="n">
        <f aca="false">MAX(1,DX$7)</f>
        <v>11</v>
      </c>
      <c r="DY19" s="31" t="n">
        <f aca="false">MAX(1,DY$7)</f>
        <v>11</v>
      </c>
      <c r="DZ19" s="31" t="n">
        <f aca="false">MAX(1,DZ$7)</f>
        <v>11</v>
      </c>
      <c r="EA19" s="31" t="n">
        <f aca="false">MAX(1,EA$7)</f>
        <v>11</v>
      </c>
      <c r="EB19" s="31" t="n">
        <f aca="false">MAX(1,EB$7)</f>
        <v>11</v>
      </c>
      <c r="EC19" s="31" t="n">
        <f aca="false">MAX(1,EC$7)</f>
        <v>11</v>
      </c>
      <c r="ED19" s="31" t="n">
        <f aca="false">MAX(1,ED$7)</f>
        <v>11</v>
      </c>
      <c r="EE19" s="31" t="n">
        <f aca="false">MAX(1,EE$7)</f>
        <v>11</v>
      </c>
      <c r="EF19" s="31" t="n">
        <f aca="false">MAX(1,EF$7)</f>
        <v>11</v>
      </c>
      <c r="EG19" s="31" t="n">
        <f aca="false">MAX(1,EG$7)</f>
        <v>11</v>
      </c>
      <c r="EH19" s="31" t="n">
        <f aca="false">MAX(1,EH$7)</f>
        <v>11</v>
      </c>
      <c r="EI19" s="31" t="n">
        <f aca="false">MAX(1,EI$7)</f>
        <v>12</v>
      </c>
      <c r="EJ19" s="31" t="n">
        <f aca="false">MAX(1,EJ$7)</f>
        <v>12</v>
      </c>
      <c r="EK19" s="31" t="n">
        <f aca="false">MAX(1,EK$7)</f>
        <v>12</v>
      </c>
      <c r="EL19" s="31" t="n">
        <f aca="false">MAX(1,EL$7)</f>
        <v>12</v>
      </c>
      <c r="EM19" s="31" t="n">
        <f aca="false">MAX(1,EM$7)</f>
        <v>12</v>
      </c>
      <c r="EN19" s="31" t="n">
        <f aca="false">MAX(1,EN$7)</f>
        <v>12</v>
      </c>
      <c r="EO19" s="31" t="n">
        <f aca="false">MAX(1,EO$7)</f>
        <v>12</v>
      </c>
      <c r="EP19" s="31" t="n">
        <f aca="false">MAX(1,EP$7)</f>
        <v>12</v>
      </c>
      <c r="EQ19" s="31" t="n">
        <f aca="false">MAX(1,EQ$7)</f>
        <v>12</v>
      </c>
      <c r="ER19" s="31" t="n">
        <f aca="false">MAX(1,ER$7)</f>
        <v>12</v>
      </c>
      <c r="ES19" s="31" t="n">
        <f aca="false">MAX(1,ES$7)</f>
        <v>12</v>
      </c>
      <c r="ET19" s="31" t="n">
        <f aca="false">MAX(1,ET$7)</f>
        <v>12</v>
      </c>
      <c r="EU19" s="31" t="n">
        <f aca="false">MAX(1,EU$7)</f>
        <v>13</v>
      </c>
      <c r="EV19" s="31" t="n">
        <f aca="false">MAX(1,EV$7)</f>
        <v>13</v>
      </c>
      <c r="EW19" s="31" t="n">
        <f aca="false">MAX(1,EW$7)</f>
        <v>13</v>
      </c>
      <c r="EX19" s="31" t="n">
        <f aca="false">MAX(1,EX$7)</f>
        <v>13</v>
      </c>
      <c r="EY19" s="31" t="n">
        <f aca="false">MAX(1,EY$7)</f>
        <v>13</v>
      </c>
      <c r="EZ19" s="31" t="n">
        <f aca="false">MAX(1,EZ$7)</f>
        <v>13</v>
      </c>
      <c r="FA19" s="31" t="n">
        <f aca="false">MAX(1,FA$7)</f>
        <v>13</v>
      </c>
      <c r="FB19" s="31" t="n">
        <f aca="false">MAX(1,FB$7)</f>
        <v>13</v>
      </c>
      <c r="FC19" s="31" t="n">
        <f aca="false">MAX(1,FC$7)</f>
        <v>13</v>
      </c>
      <c r="FD19" s="31" t="n">
        <f aca="false">MAX(1,FD$7)</f>
        <v>13</v>
      </c>
      <c r="FE19" s="31" t="n">
        <f aca="false">MAX(1,FE$7)</f>
        <v>13</v>
      </c>
      <c r="FF19" s="31" t="n">
        <f aca="false">MAX(1,FF$7)</f>
        <v>13</v>
      </c>
    </row>
    <row r="20" customFormat="false" ht="15" hidden="false" customHeight="false" outlineLevel="0" collapsed="false">
      <c r="A20" s="2" t="s">
        <v>799</v>
      </c>
      <c r="B20" s="8" t="s">
        <v>800</v>
      </c>
      <c r="C20" s="8" t="s">
        <v>156</v>
      </c>
      <c r="F20" s="13" t="n">
        <f aca="false">INDEX(e_TC,MIN(14,F$7+1))</f>
        <v>7300</v>
      </c>
      <c r="G20" s="13" t="n">
        <f aca="false">INDEX(e_TC,MIN(14,G$7+1))</f>
        <v>7300</v>
      </c>
      <c r="H20" s="13" t="n">
        <f aca="false">INDEX(e_TC,MIN(14,H$7+1))</f>
        <v>7300</v>
      </c>
      <c r="I20" s="13" t="n">
        <f aca="false">INDEX(e_TC,MIN(14,I$7+1))</f>
        <v>7300</v>
      </c>
      <c r="J20" s="13" t="n">
        <f aca="false">INDEX(e_TC,MIN(14,J$7+1))</f>
        <v>7300</v>
      </c>
      <c r="K20" s="13" t="n">
        <f aca="false">INDEX(e_TC,MIN(14,K$7+1))</f>
        <v>7300</v>
      </c>
      <c r="L20" s="13" t="n">
        <f aca="false">INDEX(e_TC,MIN(14,L$7+1))</f>
        <v>7300</v>
      </c>
      <c r="M20" s="13" t="n">
        <f aca="false">INDEX(e_TC,MIN(14,M$7+1))</f>
        <v>7300</v>
      </c>
      <c r="N20" s="13" t="n">
        <f aca="false">INDEX(e_TC,MIN(14,N$7+1))</f>
        <v>7300</v>
      </c>
      <c r="O20" s="13" t="n">
        <f aca="false">INDEX(e_TC,MIN(14,O$7+1))</f>
        <v>7300</v>
      </c>
      <c r="P20" s="13" t="n">
        <f aca="false">INDEX(e_TC,MIN(14,P$7+1))</f>
        <v>7300</v>
      </c>
      <c r="Q20" s="13" t="n">
        <f aca="false">INDEX(e_TC,MIN(14,Q$7+1))</f>
        <v>7300</v>
      </c>
      <c r="R20" s="13" t="n">
        <f aca="false">INDEX(e_TC,MIN(14,R$7+1))</f>
        <v>7300</v>
      </c>
      <c r="S20" s="13" t="n">
        <f aca="false">INDEX(e_TC,MIN(14,S$7+1))</f>
        <v>7300</v>
      </c>
      <c r="T20" s="13" t="n">
        <f aca="false">INDEX(e_TC,MIN(14,T$7+1))</f>
        <v>7300</v>
      </c>
      <c r="U20" s="13" t="n">
        <f aca="false">INDEX(e_TC,MIN(14,U$7+1))</f>
        <v>7300</v>
      </c>
      <c r="V20" s="13" t="n">
        <f aca="false">INDEX(e_TC,MIN(14,V$7+1))</f>
        <v>7300</v>
      </c>
      <c r="W20" s="13" t="n">
        <f aca="false">INDEX(e_TC,MIN(14,W$7+1))</f>
        <v>7300</v>
      </c>
      <c r="X20" s="13" t="n">
        <f aca="false">INDEX(e_TC,MIN(14,X$7+1))</f>
        <v>7300</v>
      </c>
      <c r="Y20" s="13" t="n">
        <f aca="false">INDEX(e_TC,MIN(14,Y$7+1))</f>
        <v>7300</v>
      </c>
      <c r="Z20" s="13" t="n">
        <f aca="false">INDEX(e_TC,MIN(14,Z$7+1))</f>
        <v>7300</v>
      </c>
      <c r="AA20" s="13" t="n">
        <f aca="false">INDEX(e_TC,MIN(14,AA$7+1))</f>
        <v>7300</v>
      </c>
      <c r="AB20" s="13" t="n">
        <f aca="false">INDEX(e_TC,MIN(14,AB$7+1))</f>
        <v>7300</v>
      </c>
      <c r="AC20" s="13" t="n">
        <f aca="false">INDEX(e_TC,MIN(14,AC$7+1))</f>
        <v>7300</v>
      </c>
      <c r="AD20" s="13" t="n">
        <f aca="false">INDEX(e_TC,MIN(14,AD$7+1))</f>
        <v>7300</v>
      </c>
      <c r="AE20" s="13" t="n">
        <f aca="false">INDEX(e_TC,MIN(14,AE$7+1))</f>
        <v>7300</v>
      </c>
      <c r="AF20" s="13" t="n">
        <f aca="false">INDEX(e_TC,MIN(14,AF$7+1))</f>
        <v>7300</v>
      </c>
      <c r="AG20" s="13" t="n">
        <f aca="false">INDEX(e_TC,MIN(14,AG$7+1))</f>
        <v>7300</v>
      </c>
      <c r="AH20" s="13" t="n">
        <f aca="false">INDEX(e_TC,MIN(14,AH$7+1))</f>
        <v>7300</v>
      </c>
      <c r="AI20" s="13" t="n">
        <f aca="false">INDEX(e_TC,MIN(14,AI$7+1))</f>
        <v>7300</v>
      </c>
      <c r="AJ20" s="13" t="n">
        <f aca="false">INDEX(e_TC,MIN(14,AJ$7+1))</f>
        <v>7300</v>
      </c>
      <c r="AK20" s="13" t="n">
        <f aca="false">INDEX(e_TC,MIN(14,AK$7+1))</f>
        <v>7300</v>
      </c>
      <c r="AL20" s="13" t="n">
        <f aca="false">INDEX(e_TC,MIN(14,AL$7+1))</f>
        <v>7300</v>
      </c>
      <c r="AM20" s="13" t="n">
        <f aca="false">INDEX(e_TC,MIN(14,AM$7+1))</f>
        <v>7300</v>
      </c>
      <c r="AN20" s="13" t="n">
        <f aca="false">INDEX(e_TC,MIN(14,AN$7+1))</f>
        <v>7300</v>
      </c>
      <c r="AO20" s="13" t="n">
        <f aca="false">INDEX(e_TC,MIN(14,AO$7+1))</f>
        <v>7300</v>
      </c>
      <c r="AP20" s="13" t="n">
        <f aca="false">INDEX(e_TC,MIN(14,AP$7+1))</f>
        <v>7300</v>
      </c>
      <c r="AQ20" s="13" t="n">
        <f aca="false">INDEX(e_TC,MIN(14,AQ$7+1))</f>
        <v>7300</v>
      </c>
      <c r="AR20" s="13" t="n">
        <f aca="false">INDEX(e_TC,MIN(14,AR$7+1))</f>
        <v>7300</v>
      </c>
      <c r="AS20" s="13" t="n">
        <f aca="false">INDEX(e_TC,MIN(14,AS$7+1))</f>
        <v>7300</v>
      </c>
      <c r="AT20" s="13" t="n">
        <f aca="false">INDEX(e_TC,MIN(14,AT$7+1))</f>
        <v>7300</v>
      </c>
      <c r="AU20" s="13" t="n">
        <f aca="false">INDEX(e_TC,MIN(14,AU$7+1))</f>
        <v>7300</v>
      </c>
      <c r="AV20" s="13" t="n">
        <f aca="false">INDEX(e_TC,MIN(14,AV$7+1))</f>
        <v>7300</v>
      </c>
      <c r="AW20" s="13" t="n">
        <f aca="false">INDEX(e_TC,MIN(14,AW$7+1))</f>
        <v>7300</v>
      </c>
      <c r="AX20" s="13" t="n">
        <f aca="false">INDEX(e_TC,MIN(14,AX$7+1))</f>
        <v>7300</v>
      </c>
      <c r="AY20" s="13" t="n">
        <f aca="false">INDEX(e_TC,MIN(14,AY$7+1))</f>
        <v>7300</v>
      </c>
      <c r="AZ20" s="13" t="n">
        <f aca="false">INDEX(e_TC,MIN(14,AZ$7+1))</f>
        <v>7300</v>
      </c>
      <c r="BA20" s="13" t="n">
        <f aca="false">INDEX(e_TC,MIN(14,BA$7+1))</f>
        <v>7300</v>
      </c>
      <c r="BB20" s="13" t="n">
        <f aca="false">INDEX(e_TC,MIN(14,BB$7+1))</f>
        <v>7300</v>
      </c>
      <c r="BC20" s="13" t="n">
        <f aca="false">INDEX(e_TC,MIN(14,BC$7+1))</f>
        <v>7300</v>
      </c>
      <c r="BD20" s="13" t="n">
        <f aca="false">INDEX(e_TC,MIN(14,BD$7+1))</f>
        <v>7300</v>
      </c>
      <c r="BE20" s="13" t="n">
        <f aca="false">INDEX(e_TC,MIN(14,BE$7+1))</f>
        <v>7300</v>
      </c>
      <c r="BF20" s="13" t="n">
        <f aca="false">INDEX(e_TC,MIN(14,BF$7+1))</f>
        <v>7300</v>
      </c>
      <c r="BG20" s="13" t="n">
        <f aca="false">INDEX(e_TC,MIN(14,BG$7+1))</f>
        <v>7300</v>
      </c>
      <c r="BH20" s="13" t="n">
        <f aca="false">INDEX(e_TC,MIN(14,BH$7+1))</f>
        <v>7300</v>
      </c>
      <c r="BI20" s="13" t="n">
        <f aca="false">INDEX(e_TC,MIN(14,BI$7+1))</f>
        <v>7300</v>
      </c>
      <c r="BJ20" s="13" t="n">
        <f aca="false">INDEX(e_TC,MIN(14,BJ$7+1))</f>
        <v>7300</v>
      </c>
      <c r="BK20" s="13" t="n">
        <f aca="false">INDEX(e_TC,MIN(14,BK$7+1))</f>
        <v>7300</v>
      </c>
      <c r="BL20" s="13" t="n">
        <f aca="false">INDEX(e_TC,MIN(14,BL$7+1))</f>
        <v>7300</v>
      </c>
      <c r="BM20" s="13" t="n">
        <f aca="false">INDEX(e_TC,MIN(14,BM$7+1))</f>
        <v>7300</v>
      </c>
      <c r="BN20" s="13" t="n">
        <f aca="false">INDEX(e_TC,MIN(14,BN$7+1))</f>
        <v>7300</v>
      </c>
      <c r="BO20" s="13" t="n">
        <f aca="false">INDEX(e_TC,MIN(14,BO$7+1))</f>
        <v>7300</v>
      </c>
      <c r="BP20" s="13" t="n">
        <f aca="false">INDEX(e_TC,MIN(14,BP$7+1))</f>
        <v>7300</v>
      </c>
      <c r="BQ20" s="13" t="n">
        <f aca="false">INDEX(e_TC,MIN(14,BQ$7+1))</f>
        <v>7300</v>
      </c>
      <c r="BR20" s="13" t="n">
        <f aca="false">INDEX(e_TC,MIN(14,BR$7+1))</f>
        <v>7300</v>
      </c>
      <c r="BS20" s="13" t="n">
        <f aca="false">INDEX(e_TC,MIN(14,BS$7+1))</f>
        <v>7300</v>
      </c>
      <c r="BT20" s="13" t="n">
        <f aca="false">INDEX(e_TC,MIN(14,BT$7+1))</f>
        <v>7300</v>
      </c>
      <c r="BU20" s="13" t="n">
        <f aca="false">INDEX(e_TC,MIN(14,BU$7+1))</f>
        <v>7300</v>
      </c>
      <c r="BV20" s="13" t="n">
        <f aca="false">INDEX(e_TC,MIN(14,BV$7+1))</f>
        <v>7300</v>
      </c>
      <c r="BW20" s="13" t="n">
        <f aca="false">INDEX(e_TC,MIN(14,BW$7+1))</f>
        <v>7300</v>
      </c>
      <c r="BX20" s="13" t="n">
        <f aca="false">INDEX(e_TC,MIN(14,BX$7+1))</f>
        <v>7300</v>
      </c>
      <c r="BY20" s="13" t="n">
        <f aca="false">INDEX(e_TC,MIN(14,BY$7+1))</f>
        <v>7300</v>
      </c>
      <c r="BZ20" s="13" t="n">
        <f aca="false">INDEX(e_TC,MIN(14,BZ$7+1))</f>
        <v>7300</v>
      </c>
      <c r="CA20" s="13" t="n">
        <f aca="false">INDEX(e_TC,MIN(14,CA$7+1))</f>
        <v>7300</v>
      </c>
      <c r="CB20" s="13" t="n">
        <f aca="false">INDEX(e_TC,MIN(14,CB$7+1))</f>
        <v>7300</v>
      </c>
      <c r="CC20" s="13" t="n">
        <f aca="false">INDEX(e_TC,MIN(14,CC$7+1))</f>
        <v>7300</v>
      </c>
      <c r="CD20" s="13" t="n">
        <f aca="false">INDEX(e_TC,MIN(14,CD$7+1))</f>
        <v>7300</v>
      </c>
      <c r="CE20" s="13" t="n">
        <f aca="false">INDEX(e_TC,MIN(14,CE$7+1))</f>
        <v>7300</v>
      </c>
      <c r="CF20" s="13" t="n">
        <f aca="false">INDEX(e_TC,MIN(14,CF$7+1))</f>
        <v>7300</v>
      </c>
      <c r="CG20" s="13" t="n">
        <f aca="false">INDEX(e_TC,MIN(14,CG$7+1))</f>
        <v>7300</v>
      </c>
      <c r="CH20" s="13" t="n">
        <f aca="false">INDEX(e_TC,MIN(14,CH$7+1))</f>
        <v>7300</v>
      </c>
      <c r="CI20" s="13" t="n">
        <f aca="false">INDEX(e_TC,MIN(14,CI$7+1))</f>
        <v>7300</v>
      </c>
      <c r="CJ20" s="13" t="n">
        <f aca="false">INDEX(e_TC,MIN(14,CJ$7+1))</f>
        <v>7300</v>
      </c>
      <c r="CK20" s="13" t="n">
        <f aca="false">INDEX(e_TC,MIN(14,CK$7+1))</f>
        <v>7300</v>
      </c>
      <c r="CL20" s="13" t="n">
        <f aca="false">INDEX(e_TC,MIN(14,CL$7+1))</f>
        <v>7300</v>
      </c>
      <c r="CM20" s="13" t="n">
        <f aca="false">INDEX(e_TC,MIN(14,CM$7+1))</f>
        <v>7300</v>
      </c>
      <c r="CN20" s="13" t="n">
        <f aca="false">INDEX(e_TC,MIN(14,CN$7+1))</f>
        <v>7300</v>
      </c>
      <c r="CO20" s="13" t="n">
        <f aca="false">INDEX(e_TC,MIN(14,CO$7+1))</f>
        <v>7300</v>
      </c>
      <c r="CP20" s="13" t="n">
        <f aca="false">INDEX(e_TC,MIN(14,CP$7+1))</f>
        <v>7300</v>
      </c>
      <c r="CQ20" s="13" t="n">
        <f aca="false">INDEX(e_TC,MIN(14,CQ$7+1))</f>
        <v>7300</v>
      </c>
      <c r="CR20" s="13" t="n">
        <f aca="false">INDEX(e_TC,MIN(14,CR$7+1))</f>
        <v>7300</v>
      </c>
      <c r="CS20" s="13" t="n">
        <f aca="false">INDEX(e_TC,MIN(14,CS$7+1))</f>
        <v>7300</v>
      </c>
      <c r="CT20" s="13" t="n">
        <f aca="false">INDEX(e_TC,MIN(14,CT$7+1))</f>
        <v>7300</v>
      </c>
      <c r="CU20" s="13" t="n">
        <f aca="false">INDEX(e_TC,MIN(14,CU$7+1))</f>
        <v>7300</v>
      </c>
      <c r="CV20" s="13" t="n">
        <f aca="false">INDEX(e_TC,MIN(14,CV$7+1))</f>
        <v>7300</v>
      </c>
      <c r="CW20" s="13" t="n">
        <f aca="false">INDEX(e_TC,MIN(14,CW$7+1))</f>
        <v>7300</v>
      </c>
      <c r="CX20" s="13" t="n">
        <f aca="false">INDEX(e_TC,MIN(14,CX$7+1))</f>
        <v>7300</v>
      </c>
      <c r="CY20" s="13" t="n">
        <f aca="false">INDEX(e_TC,MIN(14,CY$7+1))</f>
        <v>7300</v>
      </c>
      <c r="CZ20" s="13" t="n">
        <f aca="false">INDEX(e_TC,MIN(14,CZ$7+1))</f>
        <v>7300</v>
      </c>
      <c r="DA20" s="13" t="n">
        <f aca="false">INDEX(e_TC,MIN(14,DA$7+1))</f>
        <v>7300</v>
      </c>
      <c r="DB20" s="13" t="n">
        <f aca="false">INDEX(e_TC,MIN(14,DB$7+1))</f>
        <v>7300</v>
      </c>
      <c r="DC20" s="13" t="n">
        <f aca="false">INDEX(e_TC,MIN(14,DC$7+1))</f>
        <v>7300</v>
      </c>
      <c r="DD20" s="13" t="n">
        <f aca="false">INDEX(e_TC,MIN(14,DD$7+1))</f>
        <v>7300</v>
      </c>
      <c r="DE20" s="13" t="n">
        <f aca="false">INDEX(e_TC,MIN(14,DE$7+1))</f>
        <v>7300</v>
      </c>
      <c r="DF20" s="13" t="n">
        <f aca="false">INDEX(e_TC,MIN(14,DF$7+1))</f>
        <v>7300</v>
      </c>
      <c r="DG20" s="13" t="n">
        <f aca="false">INDEX(e_TC,MIN(14,DG$7+1))</f>
        <v>7300</v>
      </c>
      <c r="DH20" s="13" t="n">
        <f aca="false">INDEX(e_TC,MIN(14,DH$7+1))</f>
        <v>7300</v>
      </c>
      <c r="DI20" s="13" t="n">
        <f aca="false">INDEX(e_TC,MIN(14,DI$7+1))</f>
        <v>7300</v>
      </c>
      <c r="DJ20" s="13" t="n">
        <f aca="false">INDEX(e_TC,MIN(14,DJ$7+1))</f>
        <v>7300</v>
      </c>
      <c r="DK20" s="13" t="n">
        <f aca="false">INDEX(e_TC,MIN(14,DK$7+1))</f>
        <v>7300</v>
      </c>
      <c r="DL20" s="13" t="n">
        <f aca="false">INDEX(e_TC,MIN(14,DL$7+1))</f>
        <v>7300</v>
      </c>
      <c r="DM20" s="13" t="n">
        <f aca="false">INDEX(e_TC,MIN(14,DM$7+1))</f>
        <v>7300</v>
      </c>
      <c r="DN20" s="13" t="n">
        <f aca="false">INDEX(e_TC,MIN(14,DN$7+1))</f>
        <v>7300</v>
      </c>
      <c r="DO20" s="13" t="n">
        <f aca="false">INDEX(e_TC,MIN(14,DO$7+1))</f>
        <v>7300</v>
      </c>
      <c r="DP20" s="13" t="n">
        <f aca="false">INDEX(e_TC,MIN(14,DP$7+1))</f>
        <v>7300</v>
      </c>
      <c r="DQ20" s="13" t="n">
        <f aca="false">INDEX(e_TC,MIN(14,DQ$7+1))</f>
        <v>7300</v>
      </c>
      <c r="DR20" s="13" t="n">
        <f aca="false">INDEX(e_TC,MIN(14,DR$7+1))</f>
        <v>7300</v>
      </c>
      <c r="DS20" s="13" t="n">
        <f aca="false">INDEX(e_TC,MIN(14,DS$7+1))</f>
        <v>7300</v>
      </c>
      <c r="DT20" s="13" t="n">
        <f aca="false">INDEX(e_TC,MIN(14,DT$7+1))</f>
        <v>7300</v>
      </c>
      <c r="DU20" s="13" t="n">
        <f aca="false">INDEX(e_TC,MIN(14,DU$7+1))</f>
        <v>7300</v>
      </c>
      <c r="DV20" s="13" t="n">
        <f aca="false">INDEX(e_TC,MIN(14,DV$7+1))</f>
        <v>7300</v>
      </c>
      <c r="DW20" s="13" t="n">
        <f aca="false">INDEX(e_TC,MIN(14,DW$7+1))</f>
        <v>7300</v>
      </c>
      <c r="DX20" s="13" t="n">
        <f aca="false">INDEX(e_TC,MIN(14,DX$7+1))</f>
        <v>7300</v>
      </c>
      <c r="DY20" s="13" t="n">
        <f aca="false">INDEX(e_TC,MIN(14,DY$7+1))</f>
        <v>7300</v>
      </c>
      <c r="DZ20" s="13" t="n">
        <f aca="false">INDEX(e_TC,MIN(14,DZ$7+1))</f>
        <v>7300</v>
      </c>
      <c r="EA20" s="13" t="n">
        <f aca="false">INDEX(e_TC,MIN(14,EA$7+1))</f>
        <v>7300</v>
      </c>
      <c r="EB20" s="13" t="n">
        <f aca="false">INDEX(e_TC,MIN(14,EB$7+1))</f>
        <v>7300</v>
      </c>
      <c r="EC20" s="13" t="n">
        <f aca="false">INDEX(e_TC,MIN(14,EC$7+1))</f>
        <v>7300</v>
      </c>
      <c r="ED20" s="13" t="n">
        <f aca="false">INDEX(e_TC,MIN(14,ED$7+1))</f>
        <v>7300</v>
      </c>
      <c r="EE20" s="13" t="n">
        <f aca="false">INDEX(e_TC,MIN(14,EE$7+1))</f>
        <v>7300</v>
      </c>
      <c r="EF20" s="13" t="n">
        <f aca="false">INDEX(e_TC,MIN(14,EF$7+1))</f>
        <v>7300</v>
      </c>
      <c r="EG20" s="13" t="n">
        <f aca="false">INDEX(e_TC,MIN(14,EG$7+1))</f>
        <v>7300</v>
      </c>
      <c r="EH20" s="13" t="n">
        <f aca="false">INDEX(e_TC,MIN(14,EH$7+1))</f>
        <v>7300</v>
      </c>
      <c r="EI20" s="13" t="n">
        <f aca="false">INDEX(e_TC,MIN(14,EI$7+1))</f>
        <v>7300</v>
      </c>
      <c r="EJ20" s="13" t="n">
        <f aca="false">INDEX(e_TC,MIN(14,EJ$7+1))</f>
        <v>7300</v>
      </c>
      <c r="EK20" s="13" t="n">
        <f aca="false">INDEX(e_TC,MIN(14,EK$7+1))</f>
        <v>7300</v>
      </c>
      <c r="EL20" s="13" t="n">
        <f aca="false">INDEX(e_TC,MIN(14,EL$7+1))</f>
        <v>7300</v>
      </c>
      <c r="EM20" s="13" t="n">
        <f aca="false">INDEX(e_TC,MIN(14,EM$7+1))</f>
        <v>7300</v>
      </c>
      <c r="EN20" s="13" t="n">
        <f aca="false">INDEX(e_TC,MIN(14,EN$7+1))</f>
        <v>7300</v>
      </c>
      <c r="EO20" s="13" t="n">
        <f aca="false">INDEX(e_TC,MIN(14,EO$7+1))</f>
        <v>7300</v>
      </c>
      <c r="EP20" s="13" t="n">
        <f aca="false">INDEX(e_TC,MIN(14,EP$7+1))</f>
        <v>7300</v>
      </c>
      <c r="EQ20" s="13" t="n">
        <f aca="false">INDEX(e_TC,MIN(14,EQ$7+1))</f>
        <v>7300</v>
      </c>
      <c r="ER20" s="13" t="n">
        <f aca="false">INDEX(e_TC,MIN(14,ER$7+1))</f>
        <v>7300</v>
      </c>
      <c r="ES20" s="13" t="n">
        <f aca="false">INDEX(e_TC,MIN(14,ES$7+1))</f>
        <v>7300</v>
      </c>
      <c r="ET20" s="13" t="n">
        <f aca="false">INDEX(e_TC,MIN(14,ET$7+1))</f>
        <v>7300</v>
      </c>
      <c r="EU20" s="13" t="n">
        <f aca="false">INDEX(e_TC,MIN(14,EU$7+1))</f>
        <v>7300</v>
      </c>
      <c r="EV20" s="13" t="n">
        <f aca="false">INDEX(e_TC,MIN(14,EV$7+1))</f>
        <v>7300</v>
      </c>
      <c r="EW20" s="13" t="n">
        <f aca="false">INDEX(e_TC,MIN(14,EW$7+1))</f>
        <v>7300</v>
      </c>
      <c r="EX20" s="13" t="n">
        <f aca="false">INDEX(e_TC,MIN(14,EX$7+1))</f>
        <v>7300</v>
      </c>
      <c r="EY20" s="13" t="n">
        <f aca="false">INDEX(e_TC,MIN(14,EY$7+1))</f>
        <v>7300</v>
      </c>
      <c r="EZ20" s="13" t="n">
        <f aca="false">INDEX(e_TC,MIN(14,EZ$7+1))</f>
        <v>7300</v>
      </c>
      <c r="FA20" s="13" t="n">
        <f aca="false">INDEX(e_TC,MIN(14,FA$7+1))</f>
        <v>7300</v>
      </c>
      <c r="FB20" s="13" t="n">
        <f aca="false">INDEX(e_TC,MIN(14,FB$7+1))</f>
        <v>7300</v>
      </c>
      <c r="FC20" s="13" t="n">
        <f aca="false">INDEX(e_TC,MIN(14,FC$7+1))</f>
        <v>7300</v>
      </c>
      <c r="FD20" s="13" t="n">
        <f aca="false">INDEX(e_TC,MIN(14,FD$7+1))</f>
        <v>7300</v>
      </c>
      <c r="FE20" s="13" t="n">
        <f aca="false">INDEX(e_TC,MIN(14,FE$7+1))</f>
        <v>7300</v>
      </c>
      <c r="FF20" s="13" t="n">
        <f aca="false">INDEX(e_TC,MIN(14,FF$7+1))</f>
        <v>7300</v>
      </c>
    </row>
    <row r="21" customFormat="false" ht="15" hidden="false" customHeight="false" outlineLevel="0" collapsed="false">
      <c r="A21" s="2" t="s">
        <v>801</v>
      </c>
      <c r="B21" s="8" t="s">
        <v>802</v>
      </c>
      <c r="C21" s="8" t="s">
        <v>803</v>
      </c>
      <c r="F21" s="53" t="n">
        <f aca="false">1/(1+p_TasaProy)^(0/12)</f>
        <v>1</v>
      </c>
      <c r="G21" s="53" t="n">
        <f aca="false">1/(1+p_TasaProy)^(1/12)</f>
        <v>0.992473690375872</v>
      </c>
      <c r="H21" s="53" t="n">
        <f aca="false">1/(1+p_TasaProy)^(2/12)</f>
        <v>0.985004026088301</v>
      </c>
      <c r="I21" s="53" t="n">
        <f aca="false">1/(1+p_TasaProy)^(3/12)</f>
        <v>0.977590580806948</v>
      </c>
      <c r="J21" s="53" t="n">
        <f aca="false">1/(1+p_TasaProy)^(4/12)</f>
        <v>0.970232931410163</v>
      </c>
      <c r="K21" s="53" t="n">
        <f aca="false">1/(1+p_TasaProy)^(5/12)</f>
        <v>0.962930657960844</v>
      </c>
      <c r="L21" s="53" t="n">
        <f aca="false">1/(1+p_TasaProy)^(6/12)</f>
        <v>0.955683343682465</v>
      </c>
      <c r="M21" s="53" t="n">
        <f aca="false">1/(1+p_TasaProy)^(7/12)</f>
        <v>0.948490574935288</v>
      </c>
      <c r="N21" s="53" t="n">
        <f aca="false">1/(1+p_TasaProy)^(8/12)</f>
        <v>0.941351941192758</v>
      </c>
      <c r="O21" s="53" t="n">
        <f aca="false">1/(1+p_TasaProy)^(9/12)</f>
        <v>0.934267035018067</v>
      </c>
      <c r="P21" s="53" t="n">
        <f aca="false">1/(1+p_TasaProy)^(10/12)</f>
        <v>0.927235452040904</v>
      </c>
      <c r="Q21" s="53" t="n">
        <f aca="false">1/(1+p_TasaProy)^(11/12)</f>
        <v>0.920256790934376</v>
      </c>
      <c r="R21" s="53" t="n">
        <f aca="false">1/(1+p_TasaProy)^(12/12)</f>
        <v>0.913330653392097</v>
      </c>
      <c r="S21" s="53" t="n">
        <f aca="false">1/(1+p_TasaProy)^(13/12)</f>
        <v>0.90645664410546</v>
      </c>
      <c r="T21" s="53" t="n">
        <f aca="false">1/(1+p_TasaProy)^(14/12)</f>
        <v>0.899634370741074</v>
      </c>
      <c r="U21" s="53" t="n">
        <f aca="false">1/(1+p_TasaProy)^(15/12)</f>
        <v>0.892863443918369</v>
      </c>
      <c r="V21" s="53" t="n">
        <f aca="false">1/(1+p_TasaProy)^(16/12)</f>
        <v>0.886143477187374</v>
      </c>
      <c r="W21" s="53" t="n">
        <f aca="false">1/(1+p_TasaProy)^(17/12)</f>
        <v>0.879474087006659</v>
      </c>
      <c r="X21" s="53" t="n">
        <f aca="false">1/(1+p_TasaProy)^(18/12)</f>
        <v>0.87285489272145</v>
      </c>
      <c r="Y21" s="53" t="n">
        <f aca="false">1/(1+p_TasaProy)^(19/12)</f>
        <v>0.866285516541893</v>
      </c>
      <c r="Z21" s="53" t="n">
        <f aca="false">1/(1+p_TasaProy)^(20/12)</f>
        <v>0.8597655835215</v>
      </c>
      <c r="AA21" s="53" t="n">
        <f aca="false">1/(1+p_TasaProy)^(21/12)</f>
        <v>0.853294721535748</v>
      </c>
      <c r="AB21" s="53" t="n">
        <f aca="false">1/(1+p_TasaProy)^(22/12)</f>
        <v>0.846872561260835</v>
      </c>
      <c r="AC21" s="53" t="n">
        <f aca="false">1/(1+p_TasaProy)^(23/12)</f>
        <v>0.840498736152608</v>
      </c>
      <c r="AD21" s="53" t="n">
        <f aca="false">1/(1+p_TasaProy)^(24/12)</f>
        <v>0.834172882425634</v>
      </c>
      <c r="AE21" s="53" t="n">
        <f aca="false">1/(1+p_TasaProy)^(25/12)</f>
        <v>0.827894639032447</v>
      </c>
      <c r="AF21" s="53" t="n">
        <f aca="false">1/(1+p_TasaProy)^(26/12)</f>
        <v>0.821663647642933</v>
      </c>
      <c r="AG21" s="53" t="n">
        <f aca="false">1/(1+p_TasaProy)^(27/12)</f>
        <v>0.815479552623882</v>
      </c>
      <c r="AH21" s="53" t="n">
        <f aca="false">1/(1+p_TasaProy)^(28/12)</f>
        <v>0.809342001018688</v>
      </c>
      <c r="AI21" s="53" t="n">
        <f aca="false">1/(1+p_TasaProy)^(29/12)</f>
        <v>0.80325064252721</v>
      </c>
      <c r="AJ21" s="53" t="n">
        <f aca="false">1/(1+p_TasaProy)^(30/12)</f>
        <v>0.79720512948577</v>
      </c>
      <c r="AK21" s="53" t="n">
        <f aca="false">1/(1+p_TasaProy)^(31/12)</f>
        <v>0.791205116847317</v>
      </c>
      <c r="AL21" s="53" t="n">
        <f aca="false">1/(1+p_TasaProy)^(32/12)</f>
        <v>0.785250262161729</v>
      </c>
      <c r="AM21" s="53" t="n">
        <f aca="false">1/(1+p_TasaProy)^(33/12)</f>
        <v>0.779340225556272</v>
      </c>
      <c r="AN21" s="53" t="n">
        <f aca="false">1/(1+p_TasaProy)^(34/12)</f>
        <v>0.773474669716197</v>
      </c>
      <c r="AO21" s="53" t="n">
        <f aca="false">1/(1+p_TasaProy)^(35/12)</f>
        <v>0.767653259865493</v>
      </c>
      <c r="AP21" s="53" t="n">
        <f aca="false">1/(1+p_TasaProy)^(36/12)</f>
        <v>0.761875663747773</v>
      </c>
      <c r="AQ21" s="53" t="n">
        <f aca="false">1/(1+p_TasaProy)^(37/12)</f>
        <v>0.756141551607319</v>
      </c>
      <c r="AR21" s="53" t="n">
        <f aca="false">1/(1+p_TasaProy)^(38/12)</f>
        <v>0.750450596170254</v>
      </c>
      <c r="AS21" s="53" t="n">
        <f aca="false">1/(1+p_TasaProy)^(39/12)</f>
        <v>0.744802472625864</v>
      </c>
      <c r="AT21" s="53" t="n">
        <f aca="false">1/(1+p_TasaProy)^(40/12)</f>
        <v>0.739196858608066</v>
      </c>
      <c r="AU21" s="53" t="n">
        <f aca="false">1/(1+p_TasaProy)^(41/12)</f>
        <v>0.733633434176998</v>
      </c>
      <c r="AV21" s="53" t="n">
        <f aca="false">1/(1+p_TasaProy)^(42/12)</f>
        <v>0.72811188180077</v>
      </c>
      <c r="AW21" s="53" t="n">
        <f aca="false">1/(1+p_TasaProy)^(43/12)</f>
        <v>0.72263188633733</v>
      </c>
      <c r="AX21" s="53" t="n">
        <f aca="false">1/(1+p_TasaProy)^(44/12)</f>
        <v>0.717193135016487</v>
      </c>
      <c r="AY21" s="53" t="n">
        <f aca="false">1/(1+p_TasaProy)^(45/12)</f>
        <v>0.711795317422054</v>
      </c>
      <c r="AZ21" s="53" t="n">
        <f aca="false">1/(1+p_TasaProy)^(46/12)</f>
        <v>0.706438125474131</v>
      </c>
      <c r="BA21" s="53" t="n">
        <f aca="false">1/(1+p_TasaProy)^(47/12)</f>
        <v>0.701121253411523</v>
      </c>
      <c r="BB21" s="53" t="n">
        <f aca="false">1/(1+p_TasaProy)^(48/12)</f>
        <v>0.695844397774291</v>
      </c>
      <c r="BC21" s="53" t="n">
        <f aca="false">1/(1+p_TasaProy)^(49/12)</f>
        <v>0.690607257386427</v>
      </c>
      <c r="BD21" s="53" t="n">
        <f aca="false">1/(1+p_TasaProy)^(50/12)</f>
        <v>0.685409533338666</v>
      </c>
      <c r="BE21" s="53" t="n">
        <f aca="false">1/(1+p_TasaProy)^(51/12)</f>
        <v>0.68025092897143</v>
      </c>
      <c r="BF21" s="53" t="n">
        <f aca="false">1/(1+p_TasaProy)^(52/12)</f>
        <v>0.67513114985789</v>
      </c>
      <c r="BG21" s="53" t="n">
        <f aca="false">1/(1+p_TasaProy)^(53/12)</f>
        <v>0.670049903787166</v>
      </c>
      <c r="BH21" s="53" t="n">
        <f aca="false">1/(1+p_TasaProy)^(54/12)</f>
        <v>0.665006900747646</v>
      </c>
      <c r="BI21" s="53" t="n">
        <f aca="false">1/(1+p_TasaProy)^(55/12)</f>
        <v>0.660001852910437</v>
      </c>
      <c r="BJ21" s="53" t="n">
        <f aca="false">1/(1+p_TasaProy)^(56/12)</f>
        <v>0.655034474612935</v>
      </c>
      <c r="BK21" s="53" t="n">
        <f aca="false">1/(1+p_TasaProy)^(57/12)</f>
        <v>0.650104482342519</v>
      </c>
      <c r="BL21" s="53" t="n">
        <f aca="false">1/(1+p_TasaProy)^(58/12)</f>
        <v>0.645211594720376</v>
      </c>
      <c r="BM21" s="53" t="n">
        <f aca="false">1/(1+p_TasaProy)^(59/12)</f>
        <v>0.640355532485432</v>
      </c>
      <c r="BN21" s="53" t="n">
        <f aca="false">1/(1+p_TasaProy)^(60/12)</f>
        <v>0.635536018478423</v>
      </c>
      <c r="BO21" s="53" t="n">
        <f aca="false">1/(1+p_TasaProy)^(61/12)</f>
        <v>0.630752777626069</v>
      </c>
      <c r="BP21" s="53" t="n">
        <f aca="false">1/(1+p_TasaProy)^(62/12)</f>
        <v>0.626005536925376</v>
      </c>
      <c r="BQ21" s="53" t="n">
        <f aca="false">1/(1+p_TasaProy)^(63/12)</f>
        <v>0.621294025428057</v>
      </c>
      <c r="BR21" s="53" t="n">
        <f aca="false">1/(1+p_TasaProy)^(64/12)</f>
        <v>0.616617974225064</v>
      </c>
      <c r="BS21" s="53" t="n">
        <f aca="false">1/(1+p_TasaProy)^(65/12)</f>
        <v>0.611977116431243</v>
      </c>
      <c r="BT21" s="53" t="n">
        <f aca="false">1/(1+p_TasaProy)^(66/12)</f>
        <v>0.607371187170101</v>
      </c>
      <c r="BU21" s="53" t="n">
        <f aca="false">1/(1+p_TasaProy)^(67/12)</f>
        <v>0.602799923558684</v>
      </c>
      <c r="BV21" s="53" t="n">
        <f aca="false">1/(1+p_TasaProy)^(68/12)</f>
        <v>0.59826306469258</v>
      </c>
      <c r="BW21" s="53" t="n">
        <f aca="false">1/(1+p_TasaProy)^(69/12)</f>
        <v>0.593760351631024</v>
      </c>
      <c r="BX21" s="53" t="n">
        <f aca="false">1/(1+p_TasaProy)^(70/12)</f>
        <v>0.589291527382117</v>
      </c>
      <c r="BY21" s="53" t="n">
        <f aca="false">1/(1+p_TasaProy)^(71/12)</f>
        <v>0.584856336888164</v>
      </c>
      <c r="BZ21" s="53" t="n">
        <f aca="false">1/(1+p_TasaProy)^(72/12)</f>
        <v>0.58045452701111</v>
      </c>
      <c r="CA21" s="53" t="n">
        <f aca="false">1/(1+p_TasaProy)^(73/12)</f>
        <v>0.576085846518098</v>
      </c>
      <c r="CB21" s="53" t="n">
        <f aca="false">1/(1+p_TasaProy)^(74/12)</f>
        <v>0.571750046067124</v>
      </c>
      <c r="CC21" s="53" t="n">
        <f aca="false">1/(1+p_TasaProy)^(75/12)</f>
        <v>0.567446878192813</v>
      </c>
      <c r="CD21" s="53" t="n">
        <f aca="false">1/(1+p_TasaProy)^(76/12)</f>
        <v>0.563176097292289</v>
      </c>
      <c r="CE21" s="53" t="n">
        <f aca="false">1/(1+p_TasaProy)^(77/12)</f>
        <v>0.558937459611159</v>
      </c>
      <c r="CF21" s="53" t="n">
        <f aca="false">1/(1+p_TasaProy)^(78/12)</f>
        <v>0.554730723229602</v>
      </c>
      <c r="CG21" s="53" t="n">
        <f aca="false">1/(1+p_TasaProy)^(79/12)</f>
        <v>0.550555648048559</v>
      </c>
      <c r="CH21" s="53" t="n">
        <f aca="false">1/(1+p_TasaProy)^(80/12)</f>
        <v>0.546411995776033</v>
      </c>
      <c r="CI21" s="53" t="n">
        <f aca="false">1/(1+p_TasaProy)^(81/12)</f>
        <v>0.542299529913484</v>
      </c>
      <c r="CJ21" s="53" t="n">
        <f aca="false">1/(1+p_TasaProy)^(82/12)</f>
        <v>0.538218015742336</v>
      </c>
      <c r="CK21" s="53" t="n">
        <f aca="false">1/(1+p_TasaProy)^(83/12)</f>
        <v>0.534167220310575</v>
      </c>
      <c r="CL21" s="53" t="n">
        <f aca="false">1/(1+p_TasaProy)^(84/12)</f>
        <v>0.530146912419458</v>
      </c>
      <c r="CM21" s="53" t="n">
        <f aca="false">1/(1+p_TasaProy)^(85/12)</f>
        <v>0.526156862610313</v>
      </c>
      <c r="CN21" s="53" t="n">
        <f aca="false">1/(1+p_TasaProy)^(86/12)</f>
        <v>0.522196843151448</v>
      </c>
      <c r="CO21" s="53" t="n">
        <f aca="false">1/(1+p_TasaProy)^(87/12)</f>
        <v>0.518266628025148</v>
      </c>
      <c r="CP21" s="53" t="n">
        <f aca="false">1/(1+p_TasaProy)^(88/12)</f>
        <v>0.514365992914777</v>
      </c>
      <c r="CQ21" s="53" t="n">
        <f aca="false">1/(1+p_TasaProy)^(89/12)</f>
        <v>0.510494715191978</v>
      </c>
      <c r="CR21" s="53" t="n">
        <f aca="false">1/(1+p_TasaProy)^(90/12)</f>
        <v>0.506652573903962</v>
      </c>
      <c r="CS21" s="53" t="n">
        <f aca="false">1/(1+p_TasaProy)^(91/12)</f>
        <v>0.5028393497609</v>
      </c>
      <c r="CT21" s="53" t="n">
        <f aca="false">1/(1+p_TasaProy)^(92/12)</f>
        <v>0.499054825123404</v>
      </c>
      <c r="CU21" s="53" t="n">
        <f aca="false">1/(1+p_TasaProy)^(93/12)</f>
        <v>0.495298783990109</v>
      </c>
      <c r="CV21" s="53" t="n">
        <f aca="false">1/(1+p_TasaProy)^(94/12)</f>
        <v>0.491571011985346</v>
      </c>
      <c r="CW21" s="53" t="n">
        <f aca="false">1/(1+p_TasaProy)^(95/12)</f>
        <v>0.487871296346898</v>
      </c>
      <c r="CX21" s="53" t="n">
        <f aca="false">1/(1+p_TasaProy)^(96/12)</f>
        <v>0.484199425913866</v>
      </c>
      <c r="CY21" s="53" t="n">
        <f aca="false">1/(1+p_TasaProy)^(97/12)</f>
        <v>0.480555191114613</v>
      </c>
      <c r="CZ21" s="53" t="n">
        <f aca="false">1/(1+p_TasaProy)^(98/12)</f>
        <v>0.476938383954802</v>
      </c>
      <c r="DA21" s="53" t="n">
        <f aca="false">1/(1+p_TasaProy)^(99/12)</f>
        <v>0.473348798005527</v>
      </c>
      <c r="DB21" s="53" t="n">
        <f aca="false">1/(1+p_TasaProy)^(100/12)</f>
        <v>0.469786228391528</v>
      </c>
      <c r="DC21" s="53" t="n">
        <f aca="false">1/(1+p_TasaProy)^(101/12)</f>
        <v>0.466250471779502</v>
      </c>
      <c r="DD21" s="53" t="n">
        <f aca="false">1/(1+p_TasaProy)^(102/12)</f>
        <v>0.462741326366493</v>
      </c>
      <c r="DE21" s="53" t="n">
        <f aca="false">1/(1+p_TasaProy)^(103/12)</f>
        <v>0.459258591868379</v>
      </c>
      <c r="DF21" s="53" t="n">
        <f aca="false">1/(1+p_TasaProy)^(104/12)</f>
        <v>0.455802069508437</v>
      </c>
      <c r="DG21" s="53" t="n">
        <f aca="false">1/(1+p_TasaProy)^(105/12)</f>
        <v>0.452371562005998</v>
      </c>
      <c r="DH21" s="53" t="n">
        <f aca="false">1/(1+p_TasaProy)^(106/12)</f>
        <v>0.44896687356519</v>
      </c>
      <c r="DI21" s="53" t="n">
        <f aca="false">1/(1+p_TasaProy)^(107/12)</f>
        <v>0.445587809863761</v>
      </c>
      <c r="DJ21" s="53" t="n">
        <f aca="false">1/(1+p_TasaProy)^(108/12)</f>
        <v>0.442234178041989</v>
      </c>
      <c r="DK21" s="53" t="n">
        <f aca="false">1/(1+p_TasaProy)^(109/12)</f>
        <v>0.438905786691673</v>
      </c>
      <c r="DL21" s="53" t="n">
        <f aca="false">1/(1+p_TasaProy)^(110/12)</f>
        <v>0.43560244584521</v>
      </c>
      <c r="DM21" s="53" t="n">
        <f aca="false">1/(1+p_TasaProy)^(111/12)</f>
        <v>0.432323966964751</v>
      </c>
      <c r="DN21" s="53" t="n">
        <f aca="false">1/(1+p_TasaProy)^(112/12)</f>
        <v>0.429070162931443</v>
      </c>
      <c r="DO21" s="53" t="n">
        <f aca="false">1/(1+p_TasaProy)^(113/12)</f>
        <v>0.425840848034746</v>
      </c>
      <c r="DP21" s="53" t="n">
        <f aca="false">1/(1+p_TasaProy)^(114/12)</f>
        <v>0.422635837961835</v>
      </c>
      <c r="DQ21" s="53" t="n">
        <f aca="false">1/(1+p_TasaProy)^(115/12)</f>
        <v>0.419454949787081</v>
      </c>
      <c r="DR21" s="53" t="n">
        <f aca="false">1/(1+p_TasaProy)^(116/12)</f>
        <v>0.41629800196161</v>
      </c>
      <c r="DS21" s="53" t="n">
        <f aca="false">1/(1+p_TasaProy)^(117/12)</f>
        <v>0.413164814302941</v>
      </c>
      <c r="DT21" s="53" t="n">
        <f aca="false">1/(1+p_TasaProy)^(118/12)</f>
        <v>0.410055207984702</v>
      </c>
      <c r="DU21" s="53" t="n">
        <f aca="false">1/(1+p_TasaProy)^(119/12)</f>
        <v>0.406969005526422</v>
      </c>
      <c r="DV21" s="53" t="n">
        <f aca="false">1/(1+p_TasaProy)^(120/12)</f>
        <v>0.403906030783407</v>
      </c>
      <c r="DW21" s="53" t="n">
        <f aca="false">1/(1+p_TasaProy)^(121/12)</f>
        <v>0.400866108936678</v>
      </c>
      <c r="DX21" s="53" t="n">
        <f aca="false">1/(1+p_TasaProy)^(122/12)</f>
        <v>0.397849066483001</v>
      </c>
      <c r="DY21" s="53" t="n">
        <f aca="false">1/(1+p_TasaProy)^(123/12)</f>
        <v>0.39485473122498</v>
      </c>
      <c r="DZ21" s="53" t="n">
        <f aca="false">1/(1+p_TasaProy)^(124/12)</f>
        <v>0.391882932261228</v>
      </c>
      <c r="EA21" s="53" t="n">
        <f aca="false">1/(1+p_TasaProy)^(125/12)</f>
        <v>0.388933499976619</v>
      </c>
      <c r="EB21" s="53" t="n">
        <f aca="false">1/(1+p_TasaProy)^(126/12)</f>
        <v>0.386006266032599</v>
      </c>
      <c r="EC21" s="53" t="n">
        <f aca="false">1/(1+p_TasaProy)^(127/12)</f>
        <v>0.383101063357584</v>
      </c>
      <c r="ED21" s="53" t="n">
        <f aca="false">1/(1+p_TasaProy)^(128/12)</f>
        <v>0.380217726137422</v>
      </c>
      <c r="EE21" s="53" t="n">
        <f aca="false">1/(1+p_TasaProy)^(129/12)</f>
        <v>0.37735608980593</v>
      </c>
      <c r="EF21" s="53" t="n">
        <f aca="false">1/(1+p_TasaProy)^(130/12)</f>
        <v>0.3745159910355</v>
      </c>
      <c r="EG21" s="53" t="n">
        <f aca="false">1/(1+p_TasaProy)^(131/12)</f>
        <v>0.371697267727779</v>
      </c>
      <c r="EH21" s="53" t="n">
        <f aca="false">1/(1+p_TasaProy)^(132/12)</f>
        <v>0.368899759004417</v>
      </c>
      <c r="EI21" s="53" t="n">
        <f aca="false">1/(1+p_TasaProy)^(133/12)</f>
        <v>0.366123305197884</v>
      </c>
      <c r="EJ21" s="53" t="n">
        <f aca="false">1/(1+p_TasaProy)^(134/12)</f>
        <v>0.363367747842355</v>
      </c>
      <c r="EK21" s="53" t="n">
        <f aca="false">1/(1+p_TasaProy)^(135/12)</f>
        <v>0.360632929664671</v>
      </c>
      <c r="EL21" s="53" t="n">
        <f aca="false">1/(1+p_TasaProy)^(136/12)</f>
        <v>0.357918694575359</v>
      </c>
      <c r="EM21" s="53" t="n">
        <f aca="false">1/(1+p_TasaProy)^(137/12)</f>
        <v>0.355224887659721</v>
      </c>
      <c r="EN21" s="53" t="n">
        <f aca="false">1/(1+p_TasaProy)^(138/12)</f>
        <v>0.352551355168997</v>
      </c>
      <c r="EO21" s="53" t="n">
        <f aca="false">1/(1+p_TasaProy)^(139/12)</f>
        <v>0.349897944511589</v>
      </c>
      <c r="EP21" s="53" t="n">
        <f aca="false">1/(1+p_TasaProy)^(140/12)</f>
        <v>0.347264504244349</v>
      </c>
      <c r="EQ21" s="53" t="n">
        <f aca="false">1/(1+p_TasaProy)^(141/12)</f>
        <v>0.344650884063936</v>
      </c>
      <c r="ER21" s="53" t="n">
        <f aca="false">1/(1+p_TasaProy)^(142/12)</f>
        <v>0.342056934798242</v>
      </c>
      <c r="ES21" s="53" t="n">
        <f aca="false">1/(1+p_TasaProy)^(143/12)</f>
        <v>0.33948250839787</v>
      </c>
      <c r="ET21" s="53" t="n">
        <f aca="false">1/(1+p_TasaProy)^(144/12)</f>
        <v>0.336927457927692</v>
      </c>
      <c r="EU21" s="53" t="n">
        <f aca="false">1/(1+p_TasaProy)^(145/12)</f>
        <v>0.334391637558457</v>
      </c>
      <c r="EV21" s="53" t="n">
        <f aca="false">1/(1+p_TasaProy)^(146/12)</f>
        <v>0.331874902558473</v>
      </c>
      <c r="EW21" s="53" t="n">
        <f aca="false">1/(1+p_TasaProy)^(147/12)</f>
        <v>0.32937710928534</v>
      </c>
      <c r="EX21" s="53" t="n">
        <f aca="false">1/(1+p_TasaProy)^(148/12)</f>
        <v>0.326898115177759</v>
      </c>
      <c r="EY21" s="53" t="n">
        <f aca="false">1/(1+p_TasaProy)^(149/12)</f>
        <v>0.324437778747387</v>
      </c>
      <c r="EZ21" s="53" t="n">
        <f aca="false">1/(1+p_TasaProy)^(150/12)</f>
        <v>0.321995959570769</v>
      </c>
      <c r="FA21" s="53" t="n">
        <f aca="false">1/(1+p_TasaProy)^(151/12)</f>
        <v>0.319572518281321</v>
      </c>
      <c r="FB21" s="53" t="n">
        <f aca="false">1/(1+p_TasaProy)^(152/12)</f>
        <v>0.317167316561374</v>
      </c>
      <c r="FC21" s="53" t="n">
        <f aca="false">1/(1+p_TasaProy)^(153/12)</f>
        <v>0.314780217134279</v>
      </c>
      <c r="FD21" s="53" t="n">
        <f aca="false">1/(1+p_TasaProy)^(154/12)</f>
        <v>0.312411083756576</v>
      </c>
      <c r="FE21" s="53" t="n">
        <f aca="false">1/(1+p_TasaProy)^(155/12)</f>
        <v>0.310059781210214</v>
      </c>
      <c r="FF21" s="53" t="n">
        <f aca="false">1/(1+p_TasaProy)^(156/12)</f>
        <v>0.307726175294837</v>
      </c>
    </row>
    <row r="22" customFormat="false" ht="15" hidden="false" customHeight="false" outlineLevel="0" collapsed="false">
      <c r="A22" s="2" t="s">
        <v>804</v>
      </c>
      <c r="B22" s="8" t="s">
        <v>805</v>
      </c>
      <c r="C22" s="8" t="s">
        <v>803</v>
      </c>
      <c r="F22" s="53" t="n">
        <f aca="false">1/(1+p_Ke)^(0/12)</f>
        <v>1</v>
      </c>
      <c r="G22" s="53" t="n">
        <f aca="false">1/(1+p_Ke)^(1/12)</f>
        <v>0.987481119072306</v>
      </c>
      <c r="H22" s="53" t="n">
        <f aca="false">1/(1+p_Ke)^(2/12)</f>
        <v>0.975118960524295</v>
      </c>
      <c r="I22" s="53" t="n">
        <f aca="false">1/(1+p_Ke)^(3/12)</f>
        <v>0.962911562367155</v>
      </c>
      <c r="J22" s="53" t="n">
        <f aca="false">1/(1+p_Ke)^(4/12)</f>
        <v>0.950856987173981</v>
      </c>
      <c r="K22" s="53" t="n">
        <f aca="false">1/(1+p_Ke)^(5/12)</f>
        <v>0.938953321772285</v>
      </c>
      <c r="L22" s="53" t="n">
        <f aca="false">1/(1+p_Ke)^(6/12)</f>
        <v>0.927198676940355</v>
      </c>
      <c r="M22" s="53" t="n">
        <f aca="false">1/(1+p_Ke)^(7/12)</f>
        <v>0.915591187107424</v>
      </c>
      <c r="N22" s="53" t="n">
        <f aca="false">1/(1+p_Ke)^(8/12)</f>
        <v>0.90412901005758</v>
      </c>
      <c r="O22" s="53" t="n">
        <f aca="false">1/(1+p_Ke)^(9/12)</f>
        <v>0.892810326637396</v>
      </c>
      <c r="P22" s="53" t="n">
        <f aca="false">1/(1+p_Ke)^(10/12)</f>
        <v>0.881633340467207</v>
      </c>
      <c r="Q22" s="53" t="n">
        <f aca="false">1/(1+p_Ke)^(11/12)</f>
        <v>0.870596277656014</v>
      </c>
      <c r="R22" s="53" t="n">
        <f aca="false">1/(1+p_Ke)^(12/12)</f>
        <v>0.859697386519945</v>
      </c>
      <c r="S22" s="53" t="n">
        <f aca="false">1/(1+p_Ke)^(13/12)</f>
        <v>0.848934937304252</v>
      </c>
      <c r="T22" s="53" t="n">
        <f aca="false">1/(1+p_Ke)^(14/12)</f>
        <v>0.838307221908782</v>
      </c>
      <c r="U22" s="53" t="n">
        <f aca="false">1/(1+p_Ke)^(15/12)</f>
        <v>0.82781255361688</v>
      </c>
      <c r="V22" s="53" t="n">
        <f aca="false">1/(1+p_Ke)^(16/12)</f>
        <v>0.8174492668277</v>
      </c>
      <c r="W22" s="53" t="n">
        <f aca="false">1/(1+p_Ke)^(17/12)</f>
        <v>0.807215716791854</v>
      </c>
      <c r="X22" s="53" t="n">
        <f aca="false">1/(1+p_Ke)^(18/12)</f>
        <v>0.797110279350374</v>
      </c>
      <c r="Y22" s="53" t="n">
        <f aca="false">1/(1+p_Ke)^(19/12)</f>
        <v>0.787131350676946</v>
      </c>
      <c r="Z22" s="53" t="n">
        <f aca="false">1/(1+p_Ke)^(20/12)</f>
        <v>0.777277347023367</v>
      </c>
      <c r="AA22" s="53" t="n">
        <f aca="false">1/(1+p_Ke)^(21/12)</f>
        <v>0.767546704468188</v>
      </c>
      <c r="AB22" s="53" t="n">
        <f aca="false">1/(1+p_Ke)^(22/12)</f>
        <v>0.757937878668507</v>
      </c>
      <c r="AC22" s="53" t="n">
        <f aca="false">1/(1+p_Ke)^(23/12)</f>
        <v>0.748449344614867</v>
      </c>
      <c r="AD22" s="53" t="n">
        <f aca="false">1/(1+p_Ke)^(24/12)</f>
        <v>0.739079596389224</v>
      </c>
      <c r="AE22" s="53" t="n">
        <f aca="false">1/(1+p_Ke)^(25/12)</f>
        <v>0.729827146925939</v>
      </c>
      <c r="AF22" s="53" t="n">
        <f aca="false">1/(1+p_Ke)^(26/12)</f>
        <v>0.720690527775775</v>
      </c>
      <c r="AG22" s="53" t="n">
        <f aca="false">1/(1+p_Ke)^(27/12)</f>
        <v>0.711668288872834</v>
      </c>
      <c r="AH22" s="53" t="n">
        <f aca="false">1/(1+p_Ke)^(28/12)</f>
        <v>0.702758998304419</v>
      </c>
      <c r="AI22" s="53" t="n">
        <f aca="false">1/(1+p_Ke)^(29/12)</f>
        <v>0.693961242083781</v>
      </c>
      <c r="AJ22" s="53" t="n">
        <f aca="false">1/(1+p_Ke)^(30/12)</f>
        <v>0.6852736239257</v>
      </c>
      <c r="AK22" s="53" t="n">
        <f aca="false">1/(1+p_Ke)^(31/12)</f>
        <v>0.676694765024885</v>
      </c>
      <c r="AL22" s="53" t="n">
        <f aca="false">1/(1+p_Ke)^(32/12)</f>
        <v>0.668223303837145</v>
      </c>
      <c r="AM22" s="53" t="n">
        <f aca="false">1/(1+p_Ke)^(33/12)</f>
        <v>0.659857895863298</v>
      </c>
      <c r="AN22" s="53" t="n">
        <f aca="false">1/(1+p_Ke)^(34/12)</f>
        <v>0.651597213435787</v>
      </c>
      <c r="AO22" s="53" t="n">
        <f aca="false">1/(1+p_Ke)^(35/12)</f>
        <v>0.643439945507967</v>
      </c>
      <c r="AP22" s="53" t="n">
        <f aca="false">1/(1+p_Ke)^(36/12)</f>
        <v>0.635384797446031</v>
      </c>
      <c r="AQ22" s="53" t="n">
        <f aca="false">1/(1+p_Ke)^(37/12)</f>
        <v>0.627430490823538</v>
      </c>
      <c r="AR22" s="53" t="n">
        <f aca="false">1/(1+p_Ke)^(38/12)</f>
        <v>0.619575763218514</v>
      </c>
      <c r="AS22" s="53" t="n">
        <f aca="false">1/(1+p_Ke)^(39/12)</f>
        <v>0.611819368013096</v>
      </c>
      <c r="AT22" s="53" t="n">
        <f aca="false">1/(1+p_Ke)^(40/12)</f>
        <v>0.604160074195684</v>
      </c>
      <c r="AU22" s="53" t="n">
        <f aca="false">1/(1+p_Ke)^(41/12)</f>
        <v>0.596596666165561</v>
      </c>
      <c r="AV22" s="53" t="n">
        <f aca="false">1/(1+p_Ke)^(42/12)</f>
        <v>0.589127943539976</v>
      </c>
      <c r="AW22" s="53" t="n">
        <f aca="false">1/(1+p_Ke)^(43/12)</f>
        <v>0.581752720963622</v>
      </c>
      <c r="AX22" s="53" t="n">
        <f aca="false">1/(1+p_Ke)^(44/12)</f>
        <v>0.574469827920517</v>
      </c>
      <c r="AY22" s="53" t="n">
        <f aca="false">1/(1+p_Ke)^(45/12)</f>
        <v>0.567278108548227</v>
      </c>
      <c r="AZ22" s="53" t="n">
        <f aca="false">1/(1+p_Ke)^(46/12)</f>
        <v>0.560176421454425</v>
      </c>
      <c r="BA22" s="53" t="n">
        <f aca="false">1/(1+p_Ke)^(47/12)</f>
        <v>0.553163639535735</v>
      </c>
      <c r="BB22" s="53" t="n">
        <f aca="false">1/(1+p_Ke)^(48/12)</f>
        <v>0.546238649798858</v>
      </c>
      <c r="BC22" s="53" t="n">
        <f aca="false">1/(1+p_Ke)^(49/12)</f>
        <v>0.539400353183922</v>
      </c>
      <c r="BD22" s="53" t="n">
        <f aca="false">1/(1+p_Ke)^(50/12)</f>
        <v>0.532647664390056</v>
      </c>
      <c r="BE22" s="53" t="n">
        <f aca="false">1/(1+p_Ke)^(51/12)</f>
        <v>0.525979511703143</v>
      </c>
      <c r="BF22" s="53" t="n">
        <f aca="false">1/(1+p_Ke)^(52/12)</f>
        <v>0.519394836825725</v>
      </c>
      <c r="BG22" s="53" t="n">
        <f aca="false">1/(1+p_Ke)^(53/12)</f>
        <v>0.512892594709045</v>
      </c>
      <c r="BH22" s="53" t="n">
        <f aca="false">1/(1+p_Ke)^(54/12)</f>
        <v>0.506471753387187</v>
      </c>
      <c r="BI22" s="53" t="n">
        <f aca="false">1/(1+p_Ke)^(55/12)</f>
        <v>0.500131293813293</v>
      </c>
      <c r="BJ22" s="53" t="n">
        <f aca="false">1/(1+p_Ke)^(56/12)</f>
        <v>0.493870209697831</v>
      </c>
      <c r="BK22" s="53" t="n">
        <f aca="false">1/(1+p_Ke)^(57/12)</f>
        <v>0.487687507348888</v>
      </c>
      <c r="BL22" s="53" t="n">
        <f aca="false">1/(1+p_Ke)^(58/12)</f>
        <v>0.481582205514464</v>
      </c>
      <c r="BM22" s="53" t="n">
        <f aca="false">1/(1+p_Ke)^(59/12)</f>
        <v>0.475553335226732</v>
      </c>
      <c r="BN22" s="53" t="n">
        <f aca="false">1/(1+p_Ke)^(60/12)</f>
        <v>0.469599939648261</v>
      </c>
      <c r="BO22" s="53" t="n">
        <f aca="false">1/(1+p_Ke)^(61/12)</f>
        <v>0.463721073920153</v>
      </c>
      <c r="BP22" s="53" t="n">
        <f aca="false">1/(1+p_Ke)^(62/12)</f>
        <v>0.457915805012084</v>
      </c>
      <c r="BQ22" s="53" t="n">
        <f aca="false">1/(1+p_Ke)^(63/12)</f>
        <v>0.452183211574229</v>
      </c>
      <c r="BR22" s="53" t="n">
        <f aca="false">1/(1+p_Ke)^(64/12)</f>
        <v>0.446522383791029</v>
      </c>
      <c r="BS22" s="53" t="n">
        <f aca="false">1/(1+p_Ke)^(65/12)</f>
        <v>0.4409324232368</v>
      </c>
      <c r="BT22" s="53" t="n">
        <f aca="false">1/(1+p_Ke)^(66/12)</f>
        <v>0.435412442733139</v>
      </c>
      <c r="BU22" s="53" t="n">
        <f aca="false">1/(1+p_Ke)^(67/12)</f>
        <v>0.429961566208126</v>
      </c>
      <c r="BV22" s="53" t="n">
        <f aca="false">1/(1+p_Ke)^(68/12)</f>
        <v>0.424578928557282</v>
      </c>
      <c r="BW22" s="53" t="n">
        <f aca="false">1/(1+p_Ke)^(69/12)</f>
        <v>0.419263675506266</v>
      </c>
      <c r="BX22" s="53" t="n">
        <f aca="false">1/(1+p_Ke)^(70/12)</f>
        <v>0.414014963475296</v>
      </c>
      <c r="BY22" s="53" t="n">
        <f aca="false">1/(1+p_Ke)^(71/12)</f>
        <v>0.408831959445265</v>
      </c>
      <c r="BZ22" s="53" t="n">
        <f aca="false">1/(1+p_Ke)^(72/12)</f>
        <v>0.403713840825534</v>
      </c>
      <c r="CA22" s="53" t="n">
        <f aca="false">1/(1+p_Ke)^(73/12)</f>
        <v>0.398659795323378</v>
      </c>
      <c r="CB22" s="53" t="n">
        <f aca="false">1/(1+p_Ke)^(74/12)</f>
        <v>0.393669020815066</v>
      </c>
      <c r="CC22" s="53" t="n">
        <f aca="false">1/(1+p_Ke)^(75/12)</f>
        <v>0.38874072521856</v>
      </c>
      <c r="CD22" s="53" t="n">
        <f aca="false">1/(1+p_Ke)^(76/12)</f>
        <v>0.383874126367804</v>
      </c>
      <c r="CE22" s="53" t="n">
        <f aca="false">1/(1+p_Ke)^(77/12)</f>
        <v>0.379068451888583</v>
      </c>
      <c r="CF22" s="53" t="n">
        <f aca="false">1/(1+p_Ke)^(78/12)</f>
        <v>0.374322939075945</v>
      </c>
      <c r="CG22" s="53" t="n">
        <f aca="false">1/(1+p_Ke)^(79/12)</f>
        <v>0.369636834773149</v>
      </c>
      <c r="CH22" s="53" t="n">
        <f aca="false">1/(1+p_Ke)^(80/12)</f>
        <v>0.365009395252134</v>
      </c>
      <c r="CI22" s="53" t="n">
        <f aca="false">1/(1+p_Ke)^(81/12)</f>
        <v>0.360439886095483</v>
      </c>
      <c r="CJ22" s="53" t="n">
        <f aca="false">1/(1+p_Ke)^(82/12)</f>
        <v>0.355927582079862</v>
      </c>
      <c r="CK22" s="53" t="n">
        <f aca="false">1/(1+p_Ke)^(83/12)</f>
        <v>0.351471767060923</v>
      </c>
      <c r="CL22" s="53" t="n">
        <f aca="false">1/(1+p_Ke)^(84/12)</f>
        <v>0.347071733859641</v>
      </c>
      <c r="CM22" s="53" t="n">
        <f aca="false">1/(1+p_Ke)^(85/12)</f>
        <v>0.342726784150084</v>
      </c>
      <c r="CN22" s="53" t="n">
        <f aca="false">1/(1+p_Ke)^(86/12)</f>
        <v>0.338436228348578</v>
      </c>
      <c r="CO22" s="53" t="n">
        <f aca="false">1/(1+p_Ke)^(87/12)</f>
        <v>0.334199385504264</v>
      </c>
      <c r="CP22" s="53" t="n">
        <f aca="false">1/(1+p_Ke)^(88/12)</f>
        <v>0.330015583191028</v>
      </c>
      <c r="CQ22" s="53" t="n">
        <f aca="false">1/(1+p_Ke)^(89/12)</f>
        <v>0.325884157400776</v>
      </c>
      <c r="CR22" s="53" t="n">
        <f aca="false">1/(1+p_Ke)^(90/12)</f>
        <v>0.321804452438054</v>
      </c>
      <c r="CS22" s="53" t="n">
        <f aca="false">1/(1+p_Ke)^(91/12)</f>
        <v>0.31777582081598</v>
      </c>
      <c r="CT22" s="53" t="n">
        <f aca="false">1/(1+p_Ke)^(92/12)</f>
        <v>0.313797623153485</v>
      </c>
      <c r="CU22" s="53" t="n">
        <f aca="false">1/(1+p_Ke)^(93/12)</f>
        <v>0.309869228073833</v>
      </c>
      <c r="CV22" s="53" t="n">
        <f aca="false">1/(1+p_Ke)^(94/12)</f>
        <v>0.305990012104421</v>
      </c>
      <c r="CW22" s="53" t="n">
        <f aca="false">1/(1+p_Ke)^(95/12)</f>
        <v>0.302159359577822</v>
      </c>
      <c r="CX22" s="53" t="n">
        <f aca="false">1/(1+p_Ke)^(96/12)</f>
        <v>0.298376662534079</v>
      </c>
      <c r="CY22" s="53" t="n">
        <f aca="false">1/(1+p_Ke)^(97/12)</f>
        <v>0.294641320624212</v>
      </c>
      <c r="CZ22" s="53" t="n">
        <f aca="false">1/(1+p_Ke)^(98/12)</f>
        <v>0.29095274101494</v>
      </c>
      <c r="DA22" s="53" t="n">
        <f aca="false">1/(1+p_Ke)^(99/12)</f>
        <v>0.287310338294587</v>
      </c>
      <c r="DB22" s="53" t="n">
        <f aca="false">1/(1+p_Ke)^(100/12)</f>
        <v>0.283713534380182</v>
      </c>
      <c r="DC22" s="53" t="n">
        <f aca="false">1/(1+p_Ke)^(101/12)</f>
        <v>0.280161758425702</v>
      </c>
      <c r="DD22" s="53" t="n">
        <f aca="false">1/(1+p_Ke)^(102/12)</f>
        <v>0.276654446731477</v>
      </c>
      <c r="DE22" s="53" t="n">
        <f aca="false">1/(1+p_Ke)^(103/12)</f>
        <v>0.273191042654729</v>
      </c>
      <c r="DF22" s="53" t="n">
        <f aca="false">1/(1+p_Ke)^(104/12)</f>
        <v>0.269770996521222</v>
      </c>
      <c r="DG22" s="53" t="n">
        <f aca="false">1/(1+p_Ke)^(105/12)</f>
        <v>0.266393765538027</v>
      </c>
      <c r="DH22" s="53" t="n">
        <f aca="false">1/(1+p_Ke)^(106/12)</f>
        <v>0.263058813707377</v>
      </c>
      <c r="DI22" s="53" t="n">
        <f aca="false">1/(1+p_Ke)^(107/12)</f>
        <v>0.259765611741594</v>
      </c>
      <c r="DJ22" s="53" t="n">
        <f aca="false">1/(1+p_Ke)^(108/12)</f>
        <v>0.256513636979091</v>
      </c>
      <c r="DK22" s="53" t="n">
        <f aca="false">1/(1+p_Ke)^(109/12)</f>
        <v>0.253302373301421</v>
      </c>
      <c r="DL22" s="53" t="n">
        <f aca="false">1/(1+p_Ke)^(110/12)</f>
        <v>0.250131311051358</v>
      </c>
      <c r="DM22" s="53" t="n">
        <f aca="false">1/(1+p_Ke)^(111/12)</f>
        <v>0.246999946952018</v>
      </c>
      <c r="DN22" s="53" t="n">
        <f aca="false">1/(1+p_Ke)^(112/12)</f>
        <v>0.243907784026979</v>
      </c>
      <c r="DO22" s="53" t="n">
        <f aca="false">1/(1+p_Ke)^(113/12)</f>
        <v>0.240854331521408</v>
      </c>
      <c r="DP22" s="53" t="n">
        <f aca="false">1/(1+p_Ke)^(114/12)</f>
        <v>0.237839104824172</v>
      </c>
      <c r="DQ22" s="53" t="n">
        <f aca="false">1/(1+p_Ke)^(115/12)</f>
        <v>0.234861625390929</v>
      </c>
      <c r="DR22" s="53" t="n">
        <f aca="false">1/(1+p_Ke)^(116/12)</f>
        <v>0.231921420668176</v>
      </c>
      <c r="DS22" s="53" t="n">
        <f aca="false">1/(1+p_Ke)^(117/12)</f>
        <v>0.229018024018249</v>
      </c>
      <c r="DT22" s="53" t="n">
        <f aca="false">1/(1+p_Ke)^(118/12)</f>
        <v>0.226150974645269</v>
      </c>
      <c r="DU22" s="53" t="n">
        <f aca="false">1/(1+p_Ke)^(119/12)</f>
        <v>0.223319817522003</v>
      </c>
      <c r="DV22" s="53" t="n">
        <f aca="false">1/(1+p_Ke)^(120/12)</f>
        <v>0.220524103317651</v>
      </c>
      <c r="DW22" s="53" t="n">
        <f aca="false">1/(1+p_Ke)^(121/12)</f>
        <v>0.217763388326531</v>
      </c>
      <c r="DX22" s="53" t="n">
        <f aca="false">1/(1+p_Ke)^(122/12)</f>
        <v>0.21503723439766</v>
      </c>
      <c r="DY22" s="53" t="n">
        <f aca="false">1/(1+p_Ke)^(123/12)</f>
        <v>0.212345208865215</v>
      </c>
      <c r="DZ22" s="53" t="n">
        <f aca="false">1/(1+p_Ke)^(124/12)</f>
        <v>0.209686884479865</v>
      </c>
      <c r="EA22" s="53" t="n">
        <f aca="false">1/(1+p_Ke)^(125/12)</f>
        <v>0.207061839340963</v>
      </c>
      <c r="EB22" s="53" t="n">
        <f aca="false">1/(1+p_Ke)^(126/12)</f>
        <v>0.204469656829584</v>
      </c>
      <c r="EC22" s="53" t="n">
        <f aca="false">1/(1+p_Ke)^(127/12)</f>
        <v>0.201909925542408</v>
      </c>
      <c r="ED22" s="53" t="n">
        <f aca="false">1/(1+p_Ke)^(128/12)</f>
        <v>0.199382239226423</v>
      </c>
      <c r="EE22" s="53" t="n">
        <f aca="false">1/(1+p_Ke)^(129/12)</f>
        <v>0.196886196714451</v>
      </c>
      <c r="EF22" s="53" t="n">
        <f aca="false">1/(1+p_Ke)^(130/12)</f>
        <v>0.194421401861476</v>
      </c>
      <c r="EG22" s="53" t="n">
        <f aca="false">1/(1+p_Ke)^(131/12)</f>
        <v>0.191987463481777</v>
      </c>
      <c r="EH22" s="53" t="n">
        <f aca="false">1/(1+p_Ke)^(132/12)</f>
        <v>0.189583995286839</v>
      </c>
      <c r="EI22" s="53" t="n">
        <f aca="false">1/(1+p_Ke)^(133/12)</f>
        <v>0.187210615824046</v>
      </c>
      <c r="EJ22" s="53" t="n">
        <f aca="false">1/(1+p_Ke)^(134/12)</f>
        <v>0.184866948416145</v>
      </c>
      <c r="EK22" s="53" t="n">
        <f aca="false">1/(1+p_Ke)^(135/12)</f>
        <v>0.182552621101457</v>
      </c>
      <c r="EL22" s="53" t="n">
        <f aca="false">1/(1+p_Ke)^(136/12)</f>
        <v>0.18026726657485</v>
      </c>
      <c r="EM22" s="53" t="n">
        <f aca="false">1/(1+p_Ke)^(137/12)</f>
        <v>0.178010522129438</v>
      </c>
      <c r="EN22" s="53" t="n">
        <f aca="false">1/(1+p_Ke)^(138/12)</f>
        <v>0.175782029599023</v>
      </c>
      <c r="EO22" s="53" t="n">
        <f aca="false">1/(1+p_Ke)^(139/12)</f>
        <v>0.173581435301245</v>
      </c>
      <c r="EP22" s="53" t="n">
        <f aca="false">1/(1+p_Ke)^(140/12)</f>
        <v>0.171408389981451</v>
      </c>
      <c r="EQ22" s="53" t="n">
        <f aca="false">1/(1+p_Ke)^(141/12)</f>
        <v>0.169262548757265</v>
      </c>
      <c r="ER22" s="53" t="n">
        <f aca="false">1/(1+p_Ke)^(142/12)</f>
        <v>0.167143571063855</v>
      </c>
      <c r="ES22" s="53" t="n">
        <f aca="false">1/(1+p_Ke)^(143/12)</f>
        <v>0.165051120599877</v>
      </c>
      <c r="ET22" s="53" t="n">
        <f aca="false">1/(1+p_Ke)^(144/12)</f>
        <v>0.162984865274105</v>
      </c>
      <c r="EU22" s="53" t="n">
        <f aca="false">1/(1+p_Ke)^(145/12)</f>
        <v>0.160944477152722</v>
      </c>
      <c r="EV22" s="53" t="n">
        <f aca="false">1/(1+p_Ke)^(146/12)</f>
        <v>0.158929632407277</v>
      </c>
      <c r="EW22" s="53" t="n">
        <f aca="false">1/(1+p_Ke)^(147/12)</f>
        <v>0.156940011263289</v>
      </c>
      <c r="EX22" s="53" t="n">
        <f aca="false">1/(1+p_Ke)^(148/12)</f>
        <v>0.154975297949493</v>
      </c>
      <c r="EY22" s="53" t="n">
        <f aca="false">1/(1+p_Ke)^(149/12)</f>
        <v>0.153035180647729</v>
      </c>
      <c r="EZ22" s="53" t="n">
        <f aca="false">1/(1+p_Ke)^(150/12)</f>
        <v>0.151119351443452</v>
      </c>
      <c r="FA22" s="53" t="n">
        <f aca="false">1/(1+p_Ke)^(151/12)</f>
        <v>0.149227506276861</v>
      </c>
      <c r="FB22" s="53" t="n">
        <f aca="false">1/(1+p_Ke)^(152/12)</f>
        <v>0.147359344894645</v>
      </c>
      <c r="FC22" s="53" t="n">
        <f aca="false">1/(1+p_Ke)^(153/12)</f>
        <v>0.145514570802326</v>
      </c>
      <c r="FD22" s="53" t="n">
        <f aca="false">1/(1+p_Ke)^(154/12)</f>
        <v>0.143692891217207</v>
      </c>
      <c r="FE22" s="53" t="n">
        <f aca="false">1/(1+p_Ke)^(155/12)</f>
        <v>0.141894017021903</v>
      </c>
      <c r="FF22" s="53" t="n">
        <f aca="false">1/(1+p_Ke)^(156/12)</f>
        <v>0.140117662718453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F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9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162" min="6" style="0" width="11.5"/>
  </cols>
  <sheetData>
    <row r="1" customFormat="false" ht="16.15" hidden="false" customHeight="false" outlineLevel="0" collapsed="false">
      <c r="A1" s="1" t="s">
        <v>806</v>
      </c>
    </row>
    <row r="2" customFormat="false" ht="15" hidden="false" customHeight="false" outlineLevel="0" collapsed="false">
      <c r="A2" s="2" t="s">
        <v>767</v>
      </c>
    </row>
    <row r="4" customFormat="false" ht="15" hidden="false" customHeight="false" outlineLevel="0" collapsed="false">
      <c r="A4" s="62" t="s">
        <v>807</v>
      </c>
      <c r="B4" s="58" t="s">
        <v>808</v>
      </c>
      <c r="C4" s="63"/>
      <c r="D4" s="63"/>
      <c r="E4" s="58" t="s">
        <v>809</v>
      </c>
      <c r="F4" s="59" t="n">
        <f aca="false">Calendario!F$5</f>
        <v>0</v>
      </c>
      <c r="G4" s="59" t="n">
        <f aca="false">Calendario!G$5</f>
        <v>1</v>
      </c>
      <c r="H4" s="59" t="n">
        <f aca="false">Calendario!H$5</f>
        <v>2</v>
      </c>
      <c r="I4" s="59" t="n">
        <f aca="false">Calendario!I$5</f>
        <v>3</v>
      </c>
      <c r="J4" s="59" t="n">
        <f aca="false">Calendario!J$5</f>
        <v>4</v>
      </c>
      <c r="K4" s="59" t="n">
        <f aca="false">Calendario!K$5</f>
        <v>5</v>
      </c>
      <c r="L4" s="59" t="n">
        <f aca="false">Calendario!L$5</f>
        <v>6</v>
      </c>
      <c r="M4" s="59" t="n">
        <f aca="false">Calendario!M$5</f>
        <v>7</v>
      </c>
      <c r="N4" s="59" t="n">
        <f aca="false">Calendario!N$5</f>
        <v>8</v>
      </c>
      <c r="O4" s="59" t="n">
        <f aca="false">Calendario!O$5</f>
        <v>9</v>
      </c>
      <c r="P4" s="59" t="n">
        <f aca="false">Calendario!P$5</f>
        <v>10</v>
      </c>
      <c r="Q4" s="59" t="n">
        <f aca="false">Calendario!Q$5</f>
        <v>11</v>
      </c>
      <c r="R4" s="59" t="n">
        <f aca="false">Calendario!R$5</f>
        <v>12</v>
      </c>
      <c r="S4" s="59" t="n">
        <f aca="false">Calendario!S$5</f>
        <v>13</v>
      </c>
      <c r="T4" s="59" t="n">
        <f aca="false">Calendario!T$5</f>
        <v>14</v>
      </c>
      <c r="U4" s="59" t="n">
        <f aca="false">Calendario!U$5</f>
        <v>15</v>
      </c>
      <c r="V4" s="59" t="n">
        <f aca="false">Calendario!V$5</f>
        <v>16</v>
      </c>
      <c r="W4" s="59" t="n">
        <f aca="false">Calendario!W$5</f>
        <v>17</v>
      </c>
      <c r="X4" s="59" t="n">
        <f aca="false">Calendario!X$5</f>
        <v>18</v>
      </c>
      <c r="Y4" s="59" t="n">
        <f aca="false">Calendario!Y$5</f>
        <v>19</v>
      </c>
      <c r="Z4" s="59" t="n">
        <f aca="false">Calendario!Z$5</f>
        <v>20</v>
      </c>
      <c r="AA4" s="59" t="n">
        <f aca="false">Calendario!AA$5</f>
        <v>21</v>
      </c>
      <c r="AB4" s="59" t="n">
        <f aca="false">Calendario!AB$5</f>
        <v>22</v>
      </c>
      <c r="AC4" s="59" t="n">
        <f aca="false">Calendario!AC$5</f>
        <v>23</v>
      </c>
      <c r="AD4" s="59" t="n">
        <f aca="false">Calendario!AD$5</f>
        <v>24</v>
      </c>
      <c r="AE4" s="59" t="n">
        <f aca="false">Calendario!AE$5</f>
        <v>25</v>
      </c>
      <c r="AF4" s="59" t="n">
        <f aca="false">Calendario!AF$5</f>
        <v>26</v>
      </c>
      <c r="AG4" s="59" t="n">
        <f aca="false">Calendario!AG$5</f>
        <v>27</v>
      </c>
      <c r="AH4" s="59" t="n">
        <f aca="false">Calendario!AH$5</f>
        <v>28</v>
      </c>
      <c r="AI4" s="59" t="n">
        <f aca="false">Calendario!AI$5</f>
        <v>29</v>
      </c>
      <c r="AJ4" s="59" t="n">
        <f aca="false">Calendario!AJ$5</f>
        <v>30</v>
      </c>
      <c r="AK4" s="59" t="n">
        <f aca="false">Calendario!AK$5</f>
        <v>31</v>
      </c>
      <c r="AL4" s="59" t="n">
        <f aca="false">Calendario!AL$5</f>
        <v>32</v>
      </c>
      <c r="AM4" s="59" t="n">
        <f aca="false">Calendario!AM$5</f>
        <v>33</v>
      </c>
      <c r="AN4" s="59" t="n">
        <f aca="false">Calendario!AN$5</f>
        <v>34</v>
      </c>
      <c r="AO4" s="59" t="n">
        <f aca="false">Calendario!AO$5</f>
        <v>35</v>
      </c>
      <c r="AP4" s="59" t="n">
        <f aca="false">Calendario!AP$5</f>
        <v>36</v>
      </c>
      <c r="AQ4" s="59" t="n">
        <f aca="false">Calendario!AQ$5</f>
        <v>37</v>
      </c>
      <c r="AR4" s="59" t="n">
        <f aca="false">Calendario!AR$5</f>
        <v>38</v>
      </c>
      <c r="AS4" s="59" t="n">
        <f aca="false">Calendario!AS$5</f>
        <v>39</v>
      </c>
      <c r="AT4" s="59" t="n">
        <f aca="false">Calendario!AT$5</f>
        <v>40</v>
      </c>
      <c r="AU4" s="59" t="n">
        <f aca="false">Calendario!AU$5</f>
        <v>41</v>
      </c>
      <c r="AV4" s="59" t="n">
        <f aca="false">Calendario!AV$5</f>
        <v>42</v>
      </c>
      <c r="AW4" s="59" t="n">
        <f aca="false">Calendario!AW$5</f>
        <v>43</v>
      </c>
      <c r="AX4" s="59" t="n">
        <f aca="false">Calendario!AX$5</f>
        <v>44</v>
      </c>
      <c r="AY4" s="59" t="n">
        <f aca="false">Calendario!AY$5</f>
        <v>45</v>
      </c>
      <c r="AZ4" s="59" t="n">
        <f aca="false">Calendario!AZ$5</f>
        <v>46</v>
      </c>
      <c r="BA4" s="59" t="n">
        <f aca="false">Calendario!BA$5</f>
        <v>47</v>
      </c>
      <c r="BB4" s="59" t="n">
        <f aca="false">Calendario!BB$5</f>
        <v>48</v>
      </c>
      <c r="BC4" s="59" t="n">
        <f aca="false">Calendario!BC$5</f>
        <v>49</v>
      </c>
      <c r="BD4" s="59" t="n">
        <f aca="false">Calendario!BD$5</f>
        <v>50</v>
      </c>
      <c r="BE4" s="59" t="n">
        <f aca="false">Calendario!BE$5</f>
        <v>51</v>
      </c>
      <c r="BF4" s="59" t="n">
        <f aca="false">Calendario!BF$5</f>
        <v>52</v>
      </c>
      <c r="BG4" s="59" t="n">
        <f aca="false">Calendario!BG$5</f>
        <v>53</v>
      </c>
      <c r="BH4" s="59" t="n">
        <f aca="false">Calendario!BH$5</f>
        <v>54</v>
      </c>
      <c r="BI4" s="59" t="n">
        <f aca="false">Calendario!BI$5</f>
        <v>55</v>
      </c>
      <c r="BJ4" s="59" t="n">
        <f aca="false">Calendario!BJ$5</f>
        <v>56</v>
      </c>
      <c r="BK4" s="59" t="n">
        <f aca="false">Calendario!BK$5</f>
        <v>57</v>
      </c>
      <c r="BL4" s="59" t="n">
        <f aca="false">Calendario!BL$5</f>
        <v>58</v>
      </c>
      <c r="BM4" s="59" t="n">
        <f aca="false">Calendario!BM$5</f>
        <v>59</v>
      </c>
      <c r="BN4" s="59" t="n">
        <f aca="false">Calendario!BN$5</f>
        <v>60</v>
      </c>
      <c r="BO4" s="59" t="n">
        <f aca="false">Calendario!BO$5</f>
        <v>61</v>
      </c>
      <c r="BP4" s="59" t="n">
        <f aca="false">Calendario!BP$5</f>
        <v>62</v>
      </c>
      <c r="BQ4" s="59" t="n">
        <f aca="false">Calendario!BQ$5</f>
        <v>63</v>
      </c>
      <c r="BR4" s="59" t="n">
        <f aca="false">Calendario!BR$5</f>
        <v>64</v>
      </c>
      <c r="BS4" s="59" t="n">
        <f aca="false">Calendario!BS$5</f>
        <v>65</v>
      </c>
      <c r="BT4" s="59" t="n">
        <f aca="false">Calendario!BT$5</f>
        <v>66</v>
      </c>
      <c r="BU4" s="59" t="n">
        <f aca="false">Calendario!BU$5</f>
        <v>67</v>
      </c>
      <c r="BV4" s="59" t="n">
        <f aca="false">Calendario!BV$5</f>
        <v>68</v>
      </c>
      <c r="BW4" s="59" t="n">
        <f aca="false">Calendario!BW$5</f>
        <v>69</v>
      </c>
      <c r="BX4" s="59" t="n">
        <f aca="false">Calendario!BX$5</f>
        <v>70</v>
      </c>
      <c r="BY4" s="59" t="n">
        <f aca="false">Calendario!BY$5</f>
        <v>71</v>
      </c>
      <c r="BZ4" s="59" t="n">
        <f aca="false">Calendario!BZ$5</f>
        <v>72</v>
      </c>
      <c r="CA4" s="59" t="n">
        <f aca="false">Calendario!CA$5</f>
        <v>73</v>
      </c>
      <c r="CB4" s="59" t="n">
        <f aca="false">Calendario!CB$5</f>
        <v>74</v>
      </c>
      <c r="CC4" s="59" t="n">
        <f aca="false">Calendario!CC$5</f>
        <v>75</v>
      </c>
      <c r="CD4" s="59" t="n">
        <f aca="false">Calendario!CD$5</f>
        <v>76</v>
      </c>
      <c r="CE4" s="59" t="n">
        <f aca="false">Calendario!CE$5</f>
        <v>77</v>
      </c>
      <c r="CF4" s="59" t="n">
        <f aca="false">Calendario!CF$5</f>
        <v>78</v>
      </c>
      <c r="CG4" s="59" t="n">
        <f aca="false">Calendario!CG$5</f>
        <v>79</v>
      </c>
      <c r="CH4" s="59" t="n">
        <f aca="false">Calendario!CH$5</f>
        <v>80</v>
      </c>
      <c r="CI4" s="59" t="n">
        <f aca="false">Calendario!CI$5</f>
        <v>81</v>
      </c>
      <c r="CJ4" s="59" t="n">
        <f aca="false">Calendario!CJ$5</f>
        <v>82</v>
      </c>
      <c r="CK4" s="59" t="n">
        <f aca="false">Calendario!CK$5</f>
        <v>83</v>
      </c>
      <c r="CL4" s="59" t="n">
        <f aca="false">Calendario!CL$5</f>
        <v>84</v>
      </c>
      <c r="CM4" s="59" t="n">
        <f aca="false">Calendario!CM$5</f>
        <v>85</v>
      </c>
      <c r="CN4" s="59" t="n">
        <f aca="false">Calendario!CN$5</f>
        <v>86</v>
      </c>
      <c r="CO4" s="59" t="n">
        <f aca="false">Calendario!CO$5</f>
        <v>87</v>
      </c>
      <c r="CP4" s="59" t="n">
        <f aca="false">Calendario!CP$5</f>
        <v>88</v>
      </c>
      <c r="CQ4" s="59" t="n">
        <f aca="false">Calendario!CQ$5</f>
        <v>89</v>
      </c>
      <c r="CR4" s="59" t="n">
        <f aca="false">Calendario!CR$5</f>
        <v>90</v>
      </c>
      <c r="CS4" s="59" t="n">
        <f aca="false">Calendario!CS$5</f>
        <v>91</v>
      </c>
      <c r="CT4" s="59" t="n">
        <f aca="false">Calendario!CT$5</f>
        <v>92</v>
      </c>
      <c r="CU4" s="59" t="n">
        <f aca="false">Calendario!CU$5</f>
        <v>93</v>
      </c>
      <c r="CV4" s="59" t="n">
        <f aca="false">Calendario!CV$5</f>
        <v>94</v>
      </c>
      <c r="CW4" s="59" t="n">
        <f aca="false">Calendario!CW$5</f>
        <v>95</v>
      </c>
      <c r="CX4" s="59" t="n">
        <f aca="false">Calendario!CX$5</f>
        <v>96</v>
      </c>
      <c r="CY4" s="59" t="n">
        <f aca="false">Calendario!CY$5</f>
        <v>97</v>
      </c>
      <c r="CZ4" s="59" t="n">
        <f aca="false">Calendario!CZ$5</f>
        <v>98</v>
      </c>
      <c r="DA4" s="59" t="n">
        <f aca="false">Calendario!DA$5</f>
        <v>99</v>
      </c>
      <c r="DB4" s="59" t="n">
        <f aca="false">Calendario!DB$5</f>
        <v>100</v>
      </c>
      <c r="DC4" s="59" t="n">
        <f aca="false">Calendario!DC$5</f>
        <v>101</v>
      </c>
      <c r="DD4" s="59" t="n">
        <f aca="false">Calendario!DD$5</f>
        <v>102</v>
      </c>
      <c r="DE4" s="59" t="n">
        <f aca="false">Calendario!DE$5</f>
        <v>103</v>
      </c>
      <c r="DF4" s="59" t="n">
        <f aca="false">Calendario!DF$5</f>
        <v>104</v>
      </c>
      <c r="DG4" s="59" t="n">
        <f aca="false">Calendario!DG$5</f>
        <v>105</v>
      </c>
      <c r="DH4" s="59" t="n">
        <f aca="false">Calendario!DH$5</f>
        <v>106</v>
      </c>
      <c r="DI4" s="59" t="n">
        <f aca="false">Calendario!DI$5</f>
        <v>107</v>
      </c>
      <c r="DJ4" s="59" t="n">
        <f aca="false">Calendario!DJ$5</f>
        <v>108</v>
      </c>
      <c r="DK4" s="59" t="n">
        <f aca="false">Calendario!DK$5</f>
        <v>109</v>
      </c>
      <c r="DL4" s="59" t="n">
        <f aca="false">Calendario!DL$5</f>
        <v>110</v>
      </c>
      <c r="DM4" s="59" t="n">
        <f aca="false">Calendario!DM$5</f>
        <v>111</v>
      </c>
      <c r="DN4" s="59" t="n">
        <f aca="false">Calendario!DN$5</f>
        <v>112</v>
      </c>
      <c r="DO4" s="59" t="n">
        <f aca="false">Calendario!DO$5</f>
        <v>113</v>
      </c>
      <c r="DP4" s="59" t="n">
        <f aca="false">Calendario!DP$5</f>
        <v>114</v>
      </c>
      <c r="DQ4" s="59" t="n">
        <f aca="false">Calendario!DQ$5</f>
        <v>115</v>
      </c>
      <c r="DR4" s="59" t="n">
        <f aca="false">Calendario!DR$5</f>
        <v>116</v>
      </c>
      <c r="DS4" s="59" t="n">
        <f aca="false">Calendario!DS$5</f>
        <v>117</v>
      </c>
      <c r="DT4" s="59" t="n">
        <f aca="false">Calendario!DT$5</f>
        <v>118</v>
      </c>
      <c r="DU4" s="59" t="n">
        <f aca="false">Calendario!DU$5</f>
        <v>119</v>
      </c>
      <c r="DV4" s="59" t="n">
        <f aca="false">Calendario!DV$5</f>
        <v>120</v>
      </c>
      <c r="DW4" s="59" t="n">
        <f aca="false">Calendario!DW$5</f>
        <v>121</v>
      </c>
      <c r="DX4" s="59" t="n">
        <f aca="false">Calendario!DX$5</f>
        <v>122</v>
      </c>
      <c r="DY4" s="59" t="n">
        <f aca="false">Calendario!DY$5</f>
        <v>123</v>
      </c>
      <c r="DZ4" s="59" t="n">
        <f aca="false">Calendario!DZ$5</f>
        <v>124</v>
      </c>
      <c r="EA4" s="59" t="n">
        <f aca="false">Calendario!EA$5</f>
        <v>125</v>
      </c>
      <c r="EB4" s="59" t="n">
        <f aca="false">Calendario!EB$5</f>
        <v>126</v>
      </c>
      <c r="EC4" s="59" t="n">
        <f aca="false">Calendario!EC$5</f>
        <v>127</v>
      </c>
      <c r="ED4" s="59" t="n">
        <f aca="false">Calendario!ED$5</f>
        <v>128</v>
      </c>
      <c r="EE4" s="59" t="n">
        <f aca="false">Calendario!EE$5</f>
        <v>129</v>
      </c>
      <c r="EF4" s="59" t="n">
        <f aca="false">Calendario!EF$5</f>
        <v>130</v>
      </c>
      <c r="EG4" s="59" t="n">
        <f aca="false">Calendario!EG$5</f>
        <v>131</v>
      </c>
      <c r="EH4" s="59" t="n">
        <f aca="false">Calendario!EH$5</f>
        <v>132</v>
      </c>
      <c r="EI4" s="59" t="n">
        <f aca="false">Calendario!EI$5</f>
        <v>133</v>
      </c>
      <c r="EJ4" s="59" t="n">
        <f aca="false">Calendario!EJ$5</f>
        <v>134</v>
      </c>
      <c r="EK4" s="59" t="n">
        <f aca="false">Calendario!EK$5</f>
        <v>135</v>
      </c>
      <c r="EL4" s="59" t="n">
        <f aca="false">Calendario!EL$5</f>
        <v>136</v>
      </c>
      <c r="EM4" s="59" t="n">
        <f aca="false">Calendario!EM$5</f>
        <v>137</v>
      </c>
      <c r="EN4" s="59" t="n">
        <f aca="false">Calendario!EN$5</f>
        <v>138</v>
      </c>
      <c r="EO4" s="59" t="n">
        <f aca="false">Calendario!EO$5</f>
        <v>139</v>
      </c>
      <c r="EP4" s="59" t="n">
        <f aca="false">Calendario!EP$5</f>
        <v>140</v>
      </c>
      <c r="EQ4" s="59" t="n">
        <f aca="false">Calendario!EQ$5</f>
        <v>141</v>
      </c>
      <c r="ER4" s="59" t="n">
        <f aca="false">Calendario!ER$5</f>
        <v>142</v>
      </c>
      <c r="ES4" s="59" t="n">
        <f aca="false">Calendario!ES$5</f>
        <v>143</v>
      </c>
      <c r="ET4" s="59" t="n">
        <f aca="false">Calendario!ET$5</f>
        <v>144</v>
      </c>
      <c r="EU4" s="59" t="n">
        <f aca="false">Calendario!EU$5</f>
        <v>145</v>
      </c>
      <c r="EV4" s="59" t="n">
        <f aca="false">Calendario!EV$5</f>
        <v>146</v>
      </c>
      <c r="EW4" s="59" t="n">
        <f aca="false">Calendario!EW$5</f>
        <v>147</v>
      </c>
      <c r="EX4" s="59" t="n">
        <f aca="false">Calendario!EX$5</f>
        <v>148</v>
      </c>
      <c r="EY4" s="59" t="n">
        <f aca="false">Calendario!EY$5</f>
        <v>149</v>
      </c>
      <c r="EZ4" s="59" t="n">
        <f aca="false">Calendario!EZ$5</f>
        <v>150</v>
      </c>
      <c r="FA4" s="59" t="n">
        <f aca="false">Calendario!FA$5</f>
        <v>151</v>
      </c>
      <c r="FB4" s="59" t="n">
        <f aca="false">Calendario!FB$5</f>
        <v>152</v>
      </c>
      <c r="FC4" s="59" t="n">
        <f aca="false">Calendario!FC$5</f>
        <v>153</v>
      </c>
      <c r="FD4" s="59" t="n">
        <f aca="false">Calendario!FD$5</f>
        <v>154</v>
      </c>
      <c r="FE4" s="59" t="n">
        <f aca="false">Calendario!FE$5</f>
        <v>155</v>
      </c>
      <c r="FF4" s="59" t="n">
        <f aca="false">Calendario!FF$5</f>
        <v>156</v>
      </c>
    </row>
    <row r="5" customFormat="false" ht="15" hidden="false" customHeight="false" outlineLevel="0" collapsed="false">
      <c r="A5" s="8" t="s">
        <v>810</v>
      </c>
      <c r="B5" s="5" t="s">
        <v>811</v>
      </c>
      <c r="F5" s="64" t="str">
        <f aca="false">Calendario!F$6</f>
        <v>s/f</v>
      </c>
      <c r="G5" s="64" t="str">
        <f aca="false">Calendario!G$6</f>
        <v>s/f</v>
      </c>
      <c r="H5" s="64" t="str">
        <f aca="false">Calendario!H$6</f>
        <v>s/f</v>
      </c>
      <c r="I5" s="64" t="str">
        <f aca="false">Calendario!I$6</f>
        <v>s/f</v>
      </c>
      <c r="J5" s="64" t="str">
        <f aca="false">Calendario!J$6</f>
        <v>s/f</v>
      </c>
      <c r="K5" s="64" t="str">
        <f aca="false">Calendario!K$6</f>
        <v>s/f</v>
      </c>
      <c r="L5" s="64" t="str">
        <f aca="false">Calendario!L$6</f>
        <v>s/f</v>
      </c>
      <c r="M5" s="64" t="str">
        <f aca="false">Calendario!M$6</f>
        <v>s/f</v>
      </c>
      <c r="N5" s="64" t="str">
        <f aca="false">Calendario!N$6</f>
        <v>s/f</v>
      </c>
      <c r="O5" s="64" t="str">
        <f aca="false">Calendario!O$6</f>
        <v>s/f</v>
      </c>
      <c r="P5" s="64" t="str">
        <f aca="false">Calendario!P$6</f>
        <v>s/f</v>
      </c>
      <c r="Q5" s="64" t="str">
        <f aca="false">Calendario!Q$6</f>
        <v>s/f</v>
      </c>
      <c r="R5" s="64" t="str">
        <f aca="false">Calendario!R$6</f>
        <v>s/f</v>
      </c>
      <c r="S5" s="64" t="str">
        <f aca="false">Calendario!S$6</f>
        <v>s/f</v>
      </c>
      <c r="T5" s="64" t="str">
        <f aca="false">Calendario!T$6</f>
        <v>s/f</v>
      </c>
      <c r="U5" s="64" t="str">
        <f aca="false">Calendario!U$6</f>
        <v>s/f</v>
      </c>
      <c r="V5" s="64" t="str">
        <f aca="false">Calendario!V$6</f>
        <v>s/f</v>
      </c>
      <c r="W5" s="64" t="str">
        <f aca="false">Calendario!W$6</f>
        <v>s/f</v>
      </c>
      <c r="X5" s="64" t="str">
        <f aca="false">Calendario!X$6</f>
        <v>s/f</v>
      </c>
      <c r="Y5" s="64" t="str">
        <f aca="false">Calendario!Y$6</f>
        <v>s/f</v>
      </c>
      <c r="Z5" s="64" t="str">
        <f aca="false">Calendario!Z$6</f>
        <v>s/f</v>
      </c>
      <c r="AA5" s="64" t="str">
        <f aca="false">Calendario!AA$6</f>
        <v>s/f</v>
      </c>
      <c r="AB5" s="64" t="str">
        <f aca="false">Calendario!AB$6</f>
        <v>s/f</v>
      </c>
      <c r="AC5" s="64" t="str">
        <f aca="false">Calendario!AC$6</f>
        <v>s/f</v>
      </c>
      <c r="AD5" s="64" t="str">
        <f aca="false">Calendario!AD$6</f>
        <v>s/f</v>
      </c>
      <c r="AE5" s="64" t="str">
        <f aca="false">Calendario!AE$6</f>
        <v>s/f</v>
      </c>
      <c r="AF5" s="64" t="str">
        <f aca="false">Calendario!AF$6</f>
        <v>s/f</v>
      </c>
      <c r="AG5" s="64" t="str">
        <f aca="false">Calendario!AG$6</f>
        <v>s/f</v>
      </c>
      <c r="AH5" s="64" t="str">
        <f aca="false">Calendario!AH$6</f>
        <v>s/f</v>
      </c>
      <c r="AI5" s="64" t="str">
        <f aca="false">Calendario!AI$6</f>
        <v>s/f</v>
      </c>
      <c r="AJ5" s="64" t="str">
        <f aca="false">Calendario!AJ$6</f>
        <v>s/f</v>
      </c>
      <c r="AK5" s="64" t="str">
        <f aca="false">Calendario!AK$6</f>
        <v>s/f</v>
      </c>
      <c r="AL5" s="64" t="str">
        <f aca="false">Calendario!AL$6</f>
        <v>s/f</v>
      </c>
      <c r="AM5" s="64" t="str">
        <f aca="false">Calendario!AM$6</f>
        <v>s/f</v>
      </c>
      <c r="AN5" s="64" t="str">
        <f aca="false">Calendario!AN$6</f>
        <v>s/f</v>
      </c>
      <c r="AO5" s="64" t="str">
        <f aca="false">Calendario!AO$6</f>
        <v>s/f</v>
      </c>
      <c r="AP5" s="64" t="str">
        <f aca="false">Calendario!AP$6</f>
        <v>s/f</v>
      </c>
      <c r="AQ5" s="64" t="str">
        <f aca="false">Calendario!AQ$6</f>
        <v>s/f</v>
      </c>
      <c r="AR5" s="64" t="str">
        <f aca="false">Calendario!AR$6</f>
        <v>s/f</v>
      </c>
      <c r="AS5" s="64" t="str">
        <f aca="false">Calendario!AS$6</f>
        <v>s/f</v>
      </c>
      <c r="AT5" s="64" t="str">
        <f aca="false">Calendario!AT$6</f>
        <v>s/f</v>
      </c>
      <c r="AU5" s="64" t="str">
        <f aca="false">Calendario!AU$6</f>
        <v>s/f</v>
      </c>
      <c r="AV5" s="64" t="str">
        <f aca="false">Calendario!AV$6</f>
        <v>s/f</v>
      </c>
      <c r="AW5" s="64" t="str">
        <f aca="false">Calendario!AW$6</f>
        <v>s/f</v>
      </c>
      <c r="AX5" s="64" t="str">
        <f aca="false">Calendario!AX$6</f>
        <v>s/f</v>
      </c>
      <c r="AY5" s="64" t="str">
        <f aca="false">Calendario!AY$6</f>
        <v>s/f</v>
      </c>
      <c r="AZ5" s="64" t="str">
        <f aca="false">Calendario!AZ$6</f>
        <v>s/f</v>
      </c>
      <c r="BA5" s="64" t="str">
        <f aca="false">Calendario!BA$6</f>
        <v>s/f</v>
      </c>
      <c r="BB5" s="64" t="str">
        <f aca="false">Calendario!BB$6</f>
        <v>s/f</v>
      </c>
      <c r="BC5" s="64" t="str">
        <f aca="false">Calendario!BC$6</f>
        <v>s/f</v>
      </c>
      <c r="BD5" s="64" t="str">
        <f aca="false">Calendario!BD$6</f>
        <v>s/f</v>
      </c>
      <c r="BE5" s="64" t="str">
        <f aca="false">Calendario!BE$6</f>
        <v>s/f</v>
      </c>
      <c r="BF5" s="64" t="str">
        <f aca="false">Calendario!BF$6</f>
        <v>s/f</v>
      </c>
      <c r="BG5" s="64" t="str">
        <f aca="false">Calendario!BG$6</f>
        <v>s/f</v>
      </c>
      <c r="BH5" s="64" t="str">
        <f aca="false">Calendario!BH$6</f>
        <v>s/f</v>
      </c>
      <c r="BI5" s="64" t="str">
        <f aca="false">Calendario!BI$6</f>
        <v>s/f</v>
      </c>
      <c r="BJ5" s="64" t="str">
        <f aca="false">Calendario!BJ$6</f>
        <v>s/f</v>
      </c>
      <c r="BK5" s="64" t="str">
        <f aca="false">Calendario!BK$6</f>
        <v>s/f</v>
      </c>
      <c r="BL5" s="64" t="str">
        <f aca="false">Calendario!BL$6</f>
        <v>s/f</v>
      </c>
      <c r="BM5" s="64" t="str">
        <f aca="false">Calendario!BM$6</f>
        <v>s/f</v>
      </c>
      <c r="BN5" s="64" t="str">
        <f aca="false">Calendario!BN$6</f>
        <v>s/f</v>
      </c>
      <c r="BO5" s="64" t="str">
        <f aca="false">Calendario!BO$6</f>
        <v>s/f</v>
      </c>
      <c r="BP5" s="64" t="str">
        <f aca="false">Calendario!BP$6</f>
        <v>s/f</v>
      </c>
      <c r="BQ5" s="64" t="str">
        <f aca="false">Calendario!BQ$6</f>
        <v>s/f</v>
      </c>
      <c r="BR5" s="64" t="str">
        <f aca="false">Calendario!BR$6</f>
        <v>s/f</v>
      </c>
      <c r="BS5" s="64" t="str">
        <f aca="false">Calendario!BS$6</f>
        <v>s/f</v>
      </c>
      <c r="BT5" s="64" t="str">
        <f aca="false">Calendario!BT$6</f>
        <v>s/f</v>
      </c>
      <c r="BU5" s="64" t="str">
        <f aca="false">Calendario!BU$6</f>
        <v>s/f</v>
      </c>
      <c r="BV5" s="64" t="str">
        <f aca="false">Calendario!BV$6</f>
        <v>s/f</v>
      </c>
      <c r="BW5" s="64" t="str">
        <f aca="false">Calendario!BW$6</f>
        <v>s/f</v>
      </c>
      <c r="BX5" s="64" t="str">
        <f aca="false">Calendario!BX$6</f>
        <v>s/f</v>
      </c>
      <c r="BY5" s="64" t="str">
        <f aca="false">Calendario!BY$6</f>
        <v>s/f</v>
      </c>
      <c r="BZ5" s="64" t="str">
        <f aca="false">Calendario!BZ$6</f>
        <v>s/f</v>
      </c>
      <c r="CA5" s="64" t="str">
        <f aca="false">Calendario!CA$6</f>
        <v>s/f</v>
      </c>
      <c r="CB5" s="64" t="str">
        <f aca="false">Calendario!CB$6</f>
        <v>s/f</v>
      </c>
      <c r="CC5" s="64" t="str">
        <f aca="false">Calendario!CC$6</f>
        <v>s/f</v>
      </c>
      <c r="CD5" s="64" t="str">
        <f aca="false">Calendario!CD$6</f>
        <v>s/f</v>
      </c>
      <c r="CE5" s="64" t="str">
        <f aca="false">Calendario!CE$6</f>
        <v>s/f</v>
      </c>
      <c r="CF5" s="64" t="str">
        <f aca="false">Calendario!CF$6</f>
        <v>s/f</v>
      </c>
      <c r="CG5" s="64" t="str">
        <f aca="false">Calendario!CG$6</f>
        <v>s/f</v>
      </c>
      <c r="CH5" s="64" t="str">
        <f aca="false">Calendario!CH$6</f>
        <v>s/f</v>
      </c>
      <c r="CI5" s="64" t="str">
        <f aca="false">Calendario!CI$6</f>
        <v>s/f</v>
      </c>
      <c r="CJ5" s="64" t="str">
        <f aca="false">Calendario!CJ$6</f>
        <v>s/f</v>
      </c>
      <c r="CK5" s="64" t="str">
        <f aca="false">Calendario!CK$6</f>
        <v>s/f</v>
      </c>
      <c r="CL5" s="64" t="str">
        <f aca="false">Calendario!CL$6</f>
        <v>s/f</v>
      </c>
      <c r="CM5" s="64" t="str">
        <f aca="false">Calendario!CM$6</f>
        <v>s/f</v>
      </c>
      <c r="CN5" s="64" t="str">
        <f aca="false">Calendario!CN$6</f>
        <v>s/f</v>
      </c>
      <c r="CO5" s="64" t="str">
        <f aca="false">Calendario!CO$6</f>
        <v>s/f</v>
      </c>
      <c r="CP5" s="64" t="str">
        <f aca="false">Calendario!CP$6</f>
        <v>s/f</v>
      </c>
      <c r="CQ5" s="64" t="str">
        <f aca="false">Calendario!CQ$6</f>
        <v>s/f</v>
      </c>
      <c r="CR5" s="64" t="str">
        <f aca="false">Calendario!CR$6</f>
        <v>s/f</v>
      </c>
      <c r="CS5" s="64" t="str">
        <f aca="false">Calendario!CS$6</f>
        <v>s/f</v>
      </c>
      <c r="CT5" s="64" t="str">
        <f aca="false">Calendario!CT$6</f>
        <v>s/f</v>
      </c>
      <c r="CU5" s="64" t="str">
        <f aca="false">Calendario!CU$6</f>
        <v>s/f</v>
      </c>
      <c r="CV5" s="64" t="str">
        <f aca="false">Calendario!CV$6</f>
        <v>s/f</v>
      </c>
      <c r="CW5" s="64" t="str">
        <f aca="false">Calendario!CW$6</f>
        <v>s/f</v>
      </c>
      <c r="CX5" s="64" t="str">
        <f aca="false">Calendario!CX$6</f>
        <v>s/f</v>
      </c>
      <c r="CY5" s="64" t="str">
        <f aca="false">Calendario!CY$6</f>
        <v>s/f</v>
      </c>
      <c r="CZ5" s="64" t="str">
        <f aca="false">Calendario!CZ$6</f>
        <v>s/f</v>
      </c>
      <c r="DA5" s="64" t="str">
        <f aca="false">Calendario!DA$6</f>
        <v>s/f</v>
      </c>
      <c r="DB5" s="64" t="str">
        <f aca="false">Calendario!DB$6</f>
        <v>s/f</v>
      </c>
      <c r="DC5" s="64" t="str">
        <f aca="false">Calendario!DC$6</f>
        <v>s/f</v>
      </c>
      <c r="DD5" s="64" t="str">
        <f aca="false">Calendario!DD$6</f>
        <v>s/f</v>
      </c>
      <c r="DE5" s="64" t="str">
        <f aca="false">Calendario!DE$6</f>
        <v>s/f</v>
      </c>
      <c r="DF5" s="64" t="str">
        <f aca="false">Calendario!DF$6</f>
        <v>s/f</v>
      </c>
      <c r="DG5" s="64" t="str">
        <f aca="false">Calendario!DG$6</f>
        <v>s/f</v>
      </c>
      <c r="DH5" s="64" t="str">
        <f aca="false">Calendario!DH$6</f>
        <v>s/f</v>
      </c>
      <c r="DI5" s="64" t="str">
        <f aca="false">Calendario!DI$6</f>
        <v>s/f</v>
      </c>
      <c r="DJ5" s="64" t="str">
        <f aca="false">Calendario!DJ$6</f>
        <v>s/f</v>
      </c>
      <c r="DK5" s="64" t="str">
        <f aca="false">Calendario!DK$6</f>
        <v>s/f</v>
      </c>
      <c r="DL5" s="64" t="str">
        <f aca="false">Calendario!DL$6</f>
        <v>s/f</v>
      </c>
      <c r="DM5" s="64" t="str">
        <f aca="false">Calendario!DM$6</f>
        <v>s/f</v>
      </c>
      <c r="DN5" s="64" t="str">
        <f aca="false">Calendario!DN$6</f>
        <v>s/f</v>
      </c>
      <c r="DO5" s="64" t="str">
        <f aca="false">Calendario!DO$6</f>
        <v>s/f</v>
      </c>
      <c r="DP5" s="64" t="str">
        <f aca="false">Calendario!DP$6</f>
        <v>s/f</v>
      </c>
      <c r="DQ5" s="64" t="str">
        <f aca="false">Calendario!DQ$6</f>
        <v>s/f</v>
      </c>
      <c r="DR5" s="64" t="str">
        <f aca="false">Calendario!DR$6</f>
        <v>s/f</v>
      </c>
      <c r="DS5" s="64" t="str">
        <f aca="false">Calendario!DS$6</f>
        <v>s/f</v>
      </c>
      <c r="DT5" s="64" t="str">
        <f aca="false">Calendario!DT$6</f>
        <v>s/f</v>
      </c>
      <c r="DU5" s="64" t="str">
        <f aca="false">Calendario!DU$6</f>
        <v>s/f</v>
      </c>
      <c r="DV5" s="64" t="str">
        <f aca="false">Calendario!DV$6</f>
        <v>s/f</v>
      </c>
      <c r="DW5" s="64" t="str">
        <f aca="false">Calendario!DW$6</f>
        <v>s/f</v>
      </c>
      <c r="DX5" s="64" t="str">
        <f aca="false">Calendario!DX$6</f>
        <v>s/f</v>
      </c>
      <c r="DY5" s="64" t="str">
        <f aca="false">Calendario!DY$6</f>
        <v>s/f</v>
      </c>
      <c r="DZ5" s="64" t="str">
        <f aca="false">Calendario!DZ$6</f>
        <v>s/f</v>
      </c>
      <c r="EA5" s="64" t="str">
        <f aca="false">Calendario!EA$6</f>
        <v>s/f</v>
      </c>
      <c r="EB5" s="64" t="str">
        <f aca="false">Calendario!EB$6</f>
        <v>s/f</v>
      </c>
      <c r="EC5" s="64" t="str">
        <f aca="false">Calendario!EC$6</f>
        <v>s/f</v>
      </c>
      <c r="ED5" s="64" t="str">
        <f aca="false">Calendario!ED$6</f>
        <v>s/f</v>
      </c>
      <c r="EE5" s="64" t="str">
        <f aca="false">Calendario!EE$6</f>
        <v>s/f</v>
      </c>
      <c r="EF5" s="64" t="str">
        <f aca="false">Calendario!EF$6</f>
        <v>s/f</v>
      </c>
      <c r="EG5" s="64" t="str">
        <f aca="false">Calendario!EG$6</f>
        <v>s/f</v>
      </c>
      <c r="EH5" s="64" t="str">
        <f aca="false">Calendario!EH$6</f>
        <v>s/f</v>
      </c>
      <c r="EI5" s="64" t="str">
        <f aca="false">Calendario!EI$6</f>
        <v>s/f</v>
      </c>
      <c r="EJ5" s="64" t="str">
        <f aca="false">Calendario!EJ$6</f>
        <v>s/f</v>
      </c>
      <c r="EK5" s="64" t="str">
        <f aca="false">Calendario!EK$6</f>
        <v>s/f</v>
      </c>
      <c r="EL5" s="64" t="str">
        <f aca="false">Calendario!EL$6</f>
        <v>s/f</v>
      </c>
      <c r="EM5" s="64" t="str">
        <f aca="false">Calendario!EM$6</f>
        <v>s/f</v>
      </c>
      <c r="EN5" s="64" t="str">
        <f aca="false">Calendario!EN$6</f>
        <v>s/f</v>
      </c>
      <c r="EO5" s="64" t="str">
        <f aca="false">Calendario!EO$6</f>
        <v>s/f</v>
      </c>
      <c r="EP5" s="64" t="str">
        <f aca="false">Calendario!EP$6</f>
        <v>s/f</v>
      </c>
      <c r="EQ5" s="64" t="str">
        <f aca="false">Calendario!EQ$6</f>
        <v>s/f</v>
      </c>
      <c r="ER5" s="64" t="str">
        <f aca="false">Calendario!ER$6</f>
        <v>s/f</v>
      </c>
      <c r="ES5" s="64" t="str">
        <f aca="false">Calendario!ES$6</f>
        <v>s/f</v>
      </c>
      <c r="ET5" s="64" t="str">
        <f aca="false">Calendario!ET$6</f>
        <v>s/f</v>
      </c>
      <c r="EU5" s="64" t="str">
        <f aca="false">Calendario!EU$6</f>
        <v>s/f</v>
      </c>
      <c r="EV5" s="64" t="str">
        <f aca="false">Calendario!EV$6</f>
        <v>s/f</v>
      </c>
      <c r="EW5" s="64" t="str">
        <f aca="false">Calendario!EW$6</f>
        <v>s/f</v>
      </c>
      <c r="EX5" s="64" t="str">
        <f aca="false">Calendario!EX$6</f>
        <v>s/f</v>
      </c>
      <c r="EY5" s="64" t="str">
        <f aca="false">Calendario!EY$6</f>
        <v>s/f</v>
      </c>
      <c r="EZ5" s="64" t="str">
        <f aca="false">Calendario!EZ$6</f>
        <v>s/f</v>
      </c>
      <c r="FA5" s="64" t="str">
        <f aca="false">Calendario!FA$6</f>
        <v>s/f</v>
      </c>
      <c r="FB5" s="64" t="str">
        <f aca="false">Calendario!FB$6</f>
        <v>s/f</v>
      </c>
      <c r="FC5" s="64" t="str">
        <f aca="false">Calendario!FC$6</f>
        <v>s/f</v>
      </c>
      <c r="FD5" s="64" t="str">
        <f aca="false">Calendario!FD$6</f>
        <v>s/f</v>
      </c>
      <c r="FE5" s="64" t="str">
        <f aca="false">Calendario!FE$6</f>
        <v>s/f</v>
      </c>
      <c r="FF5" s="64" t="str">
        <f aca="false">Calendario!FF$6</f>
        <v>s/f</v>
      </c>
    </row>
    <row r="6" customFormat="false" ht="15" hidden="false" customHeight="false" outlineLevel="0" collapsed="false">
      <c r="A6" s="8" t="s">
        <v>812</v>
      </c>
      <c r="B6" s="5" t="s">
        <v>813</v>
      </c>
      <c r="F6" s="43" t="n">
        <f aca="false">Calendario!F$7</f>
        <v>0</v>
      </c>
      <c r="G6" s="43" t="n">
        <f aca="false">Calendario!G$7</f>
        <v>1</v>
      </c>
      <c r="H6" s="43" t="n">
        <f aca="false">Calendario!H$7</f>
        <v>1</v>
      </c>
      <c r="I6" s="43" t="n">
        <f aca="false">Calendario!I$7</f>
        <v>1</v>
      </c>
      <c r="J6" s="43" t="n">
        <f aca="false">Calendario!J$7</f>
        <v>1</v>
      </c>
      <c r="K6" s="43" t="n">
        <f aca="false">Calendario!K$7</f>
        <v>1</v>
      </c>
      <c r="L6" s="43" t="n">
        <f aca="false">Calendario!L$7</f>
        <v>1</v>
      </c>
      <c r="M6" s="43" t="n">
        <f aca="false">Calendario!M$7</f>
        <v>1</v>
      </c>
      <c r="N6" s="43" t="n">
        <f aca="false">Calendario!N$7</f>
        <v>1</v>
      </c>
      <c r="O6" s="43" t="n">
        <f aca="false">Calendario!O$7</f>
        <v>1</v>
      </c>
      <c r="P6" s="43" t="n">
        <f aca="false">Calendario!P$7</f>
        <v>1</v>
      </c>
      <c r="Q6" s="43" t="n">
        <f aca="false">Calendario!Q$7</f>
        <v>1</v>
      </c>
      <c r="R6" s="43" t="n">
        <f aca="false">Calendario!R$7</f>
        <v>1</v>
      </c>
      <c r="S6" s="43" t="n">
        <f aca="false">Calendario!S$7</f>
        <v>2</v>
      </c>
      <c r="T6" s="43" t="n">
        <f aca="false">Calendario!T$7</f>
        <v>2</v>
      </c>
      <c r="U6" s="43" t="n">
        <f aca="false">Calendario!U$7</f>
        <v>2</v>
      </c>
      <c r="V6" s="43" t="n">
        <f aca="false">Calendario!V$7</f>
        <v>2</v>
      </c>
      <c r="W6" s="43" t="n">
        <f aca="false">Calendario!W$7</f>
        <v>2</v>
      </c>
      <c r="X6" s="43" t="n">
        <f aca="false">Calendario!X$7</f>
        <v>2</v>
      </c>
      <c r="Y6" s="43" t="n">
        <f aca="false">Calendario!Y$7</f>
        <v>2</v>
      </c>
      <c r="Z6" s="43" t="n">
        <f aca="false">Calendario!Z$7</f>
        <v>2</v>
      </c>
      <c r="AA6" s="43" t="n">
        <f aca="false">Calendario!AA$7</f>
        <v>2</v>
      </c>
      <c r="AB6" s="43" t="n">
        <f aca="false">Calendario!AB$7</f>
        <v>2</v>
      </c>
      <c r="AC6" s="43" t="n">
        <f aca="false">Calendario!AC$7</f>
        <v>2</v>
      </c>
      <c r="AD6" s="43" t="n">
        <f aca="false">Calendario!AD$7</f>
        <v>2</v>
      </c>
      <c r="AE6" s="43" t="n">
        <f aca="false">Calendario!AE$7</f>
        <v>3</v>
      </c>
      <c r="AF6" s="43" t="n">
        <f aca="false">Calendario!AF$7</f>
        <v>3</v>
      </c>
      <c r="AG6" s="43" t="n">
        <f aca="false">Calendario!AG$7</f>
        <v>3</v>
      </c>
      <c r="AH6" s="43" t="n">
        <f aca="false">Calendario!AH$7</f>
        <v>3</v>
      </c>
      <c r="AI6" s="43" t="n">
        <f aca="false">Calendario!AI$7</f>
        <v>3</v>
      </c>
      <c r="AJ6" s="43" t="n">
        <f aca="false">Calendario!AJ$7</f>
        <v>3</v>
      </c>
      <c r="AK6" s="43" t="n">
        <f aca="false">Calendario!AK$7</f>
        <v>3</v>
      </c>
      <c r="AL6" s="43" t="n">
        <f aca="false">Calendario!AL$7</f>
        <v>3</v>
      </c>
      <c r="AM6" s="43" t="n">
        <f aca="false">Calendario!AM$7</f>
        <v>3</v>
      </c>
      <c r="AN6" s="43" t="n">
        <f aca="false">Calendario!AN$7</f>
        <v>3</v>
      </c>
      <c r="AO6" s="43" t="n">
        <f aca="false">Calendario!AO$7</f>
        <v>3</v>
      </c>
      <c r="AP6" s="43" t="n">
        <f aca="false">Calendario!AP$7</f>
        <v>3</v>
      </c>
      <c r="AQ6" s="43" t="n">
        <f aca="false">Calendario!AQ$7</f>
        <v>4</v>
      </c>
      <c r="AR6" s="43" t="n">
        <f aca="false">Calendario!AR$7</f>
        <v>4</v>
      </c>
      <c r="AS6" s="43" t="n">
        <f aca="false">Calendario!AS$7</f>
        <v>4</v>
      </c>
      <c r="AT6" s="43" t="n">
        <f aca="false">Calendario!AT$7</f>
        <v>4</v>
      </c>
      <c r="AU6" s="43" t="n">
        <f aca="false">Calendario!AU$7</f>
        <v>4</v>
      </c>
      <c r="AV6" s="43" t="n">
        <f aca="false">Calendario!AV$7</f>
        <v>4</v>
      </c>
      <c r="AW6" s="43" t="n">
        <f aca="false">Calendario!AW$7</f>
        <v>4</v>
      </c>
      <c r="AX6" s="43" t="n">
        <f aca="false">Calendario!AX$7</f>
        <v>4</v>
      </c>
      <c r="AY6" s="43" t="n">
        <f aca="false">Calendario!AY$7</f>
        <v>4</v>
      </c>
      <c r="AZ6" s="43" t="n">
        <f aca="false">Calendario!AZ$7</f>
        <v>4</v>
      </c>
      <c r="BA6" s="43" t="n">
        <f aca="false">Calendario!BA$7</f>
        <v>4</v>
      </c>
      <c r="BB6" s="43" t="n">
        <f aca="false">Calendario!BB$7</f>
        <v>4</v>
      </c>
      <c r="BC6" s="43" t="n">
        <f aca="false">Calendario!BC$7</f>
        <v>5</v>
      </c>
      <c r="BD6" s="43" t="n">
        <f aca="false">Calendario!BD$7</f>
        <v>5</v>
      </c>
      <c r="BE6" s="43" t="n">
        <f aca="false">Calendario!BE$7</f>
        <v>5</v>
      </c>
      <c r="BF6" s="43" t="n">
        <f aca="false">Calendario!BF$7</f>
        <v>5</v>
      </c>
      <c r="BG6" s="43" t="n">
        <f aca="false">Calendario!BG$7</f>
        <v>5</v>
      </c>
      <c r="BH6" s="43" t="n">
        <f aca="false">Calendario!BH$7</f>
        <v>5</v>
      </c>
      <c r="BI6" s="43" t="n">
        <f aca="false">Calendario!BI$7</f>
        <v>5</v>
      </c>
      <c r="BJ6" s="43" t="n">
        <f aca="false">Calendario!BJ$7</f>
        <v>5</v>
      </c>
      <c r="BK6" s="43" t="n">
        <f aca="false">Calendario!BK$7</f>
        <v>5</v>
      </c>
      <c r="BL6" s="43" t="n">
        <f aca="false">Calendario!BL$7</f>
        <v>5</v>
      </c>
      <c r="BM6" s="43" t="n">
        <f aca="false">Calendario!BM$7</f>
        <v>5</v>
      </c>
      <c r="BN6" s="43" t="n">
        <f aca="false">Calendario!BN$7</f>
        <v>5</v>
      </c>
      <c r="BO6" s="43" t="n">
        <f aca="false">Calendario!BO$7</f>
        <v>6</v>
      </c>
      <c r="BP6" s="43" t="n">
        <f aca="false">Calendario!BP$7</f>
        <v>6</v>
      </c>
      <c r="BQ6" s="43" t="n">
        <f aca="false">Calendario!BQ$7</f>
        <v>6</v>
      </c>
      <c r="BR6" s="43" t="n">
        <f aca="false">Calendario!BR$7</f>
        <v>6</v>
      </c>
      <c r="BS6" s="43" t="n">
        <f aca="false">Calendario!BS$7</f>
        <v>6</v>
      </c>
      <c r="BT6" s="43" t="n">
        <f aca="false">Calendario!BT$7</f>
        <v>6</v>
      </c>
      <c r="BU6" s="43" t="n">
        <f aca="false">Calendario!BU$7</f>
        <v>6</v>
      </c>
      <c r="BV6" s="43" t="n">
        <f aca="false">Calendario!BV$7</f>
        <v>6</v>
      </c>
      <c r="BW6" s="43" t="n">
        <f aca="false">Calendario!BW$7</f>
        <v>6</v>
      </c>
      <c r="BX6" s="43" t="n">
        <f aca="false">Calendario!BX$7</f>
        <v>6</v>
      </c>
      <c r="BY6" s="43" t="n">
        <f aca="false">Calendario!BY$7</f>
        <v>6</v>
      </c>
      <c r="BZ6" s="43" t="n">
        <f aca="false">Calendario!BZ$7</f>
        <v>6</v>
      </c>
      <c r="CA6" s="43" t="n">
        <f aca="false">Calendario!CA$7</f>
        <v>7</v>
      </c>
      <c r="CB6" s="43" t="n">
        <f aca="false">Calendario!CB$7</f>
        <v>7</v>
      </c>
      <c r="CC6" s="43" t="n">
        <f aca="false">Calendario!CC$7</f>
        <v>7</v>
      </c>
      <c r="CD6" s="43" t="n">
        <f aca="false">Calendario!CD$7</f>
        <v>7</v>
      </c>
      <c r="CE6" s="43" t="n">
        <f aca="false">Calendario!CE$7</f>
        <v>7</v>
      </c>
      <c r="CF6" s="43" t="n">
        <f aca="false">Calendario!CF$7</f>
        <v>7</v>
      </c>
      <c r="CG6" s="43" t="n">
        <f aca="false">Calendario!CG$7</f>
        <v>7</v>
      </c>
      <c r="CH6" s="43" t="n">
        <f aca="false">Calendario!CH$7</f>
        <v>7</v>
      </c>
      <c r="CI6" s="43" t="n">
        <f aca="false">Calendario!CI$7</f>
        <v>7</v>
      </c>
      <c r="CJ6" s="43" t="n">
        <f aca="false">Calendario!CJ$7</f>
        <v>7</v>
      </c>
      <c r="CK6" s="43" t="n">
        <f aca="false">Calendario!CK$7</f>
        <v>7</v>
      </c>
      <c r="CL6" s="43" t="n">
        <f aca="false">Calendario!CL$7</f>
        <v>7</v>
      </c>
      <c r="CM6" s="43" t="n">
        <f aca="false">Calendario!CM$7</f>
        <v>8</v>
      </c>
      <c r="CN6" s="43" t="n">
        <f aca="false">Calendario!CN$7</f>
        <v>8</v>
      </c>
      <c r="CO6" s="43" t="n">
        <f aca="false">Calendario!CO$7</f>
        <v>8</v>
      </c>
      <c r="CP6" s="43" t="n">
        <f aca="false">Calendario!CP$7</f>
        <v>8</v>
      </c>
      <c r="CQ6" s="43" t="n">
        <f aca="false">Calendario!CQ$7</f>
        <v>8</v>
      </c>
      <c r="CR6" s="43" t="n">
        <f aca="false">Calendario!CR$7</f>
        <v>8</v>
      </c>
      <c r="CS6" s="43" t="n">
        <f aca="false">Calendario!CS$7</f>
        <v>8</v>
      </c>
      <c r="CT6" s="43" t="n">
        <f aca="false">Calendario!CT$7</f>
        <v>8</v>
      </c>
      <c r="CU6" s="43" t="n">
        <f aca="false">Calendario!CU$7</f>
        <v>8</v>
      </c>
      <c r="CV6" s="43" t="n">
        <f aca="false">Calendario!CV$7</f>
        <v>8</v>
      </c>
      <c r="CW6" s="43" t="n">
        <f aca="false">Calendario!CW$7</f>
        <v>8</v>
      </c>
      <c r="CX6" s="43" t="n">
        <f aca="false">Calendario!CX$7</f>
        <v>8</v>
      </c>
      <c r="CY6" s="43" t="n">
        <f aca="false">Calendario!CY$7</f>
        <v>9</v>
      </c>
      <c r="CZ6" s="43" t="n">
        <f aca="false">Calendario!CZ$7</f>
        <v>9</v>
      </c>
      <c r="DA6" s="43" t="n">
        <f aca="false">Calendario!DA$7</f>
        <v>9</v>
      </c>
      <c r="DB6" s="43" t="n">
        <f aca="false">Calendario!DB$7</f>
        <v>9</v>
      </c>
      <c r="DC6" s="43" t="n">
        <f aca="false">Calendario!DC$7</f>
        <v>9</v>
      </c>
      <c r="DD6" s="43" t="n">
        <f aca="false">Calendario!DD$7</f>
        <v>9</v>
      </c>
      <c r="DE6" s="43" t="n">
        <f aca="false">Calendario!DE$7</f>
        <v>9</v>
      </c>
      <c r="DF6" s="43" t="n">
        <f aca="false">Calendario!DF$7</f>
        <v>9</v>
      </c>
      <c r="DG6" s="43" t="n">
        <f aca="false">Calendario!DG$7</f>
        <v>9</v>
      </c>
      <c r="DH6" s="43" t="n">
        <f aca="false">Calendario!DH$7</f>
        <v>9</v>
      </c>
      <c r="DI6" s="43" t="n">
        <f aca="false">Calendario!DI$7</f>
        <v>9</v>
      </c>
      <c r="DJ6" s="43" t="n">
        <f aca="false">Calendario!DJ$7</f>
        <v>9</v>
      </c>
      <c r="DK6" s="43" t="n">
        <f aca="false">Calendario!DK$7</f>
        <v>10</v>
      </c>
      <c r="DL6" s="43" t="n">
        <f aca="false">Calendario!DL$7</f>
        <v>10</v>
      </c>
      <c r="DM6" s="43" t="n">
        <f aca="false">Calendario!DM$7</f>
        <v>10</v>
      </c>
      <c r="DN6" s="43" t="n">
        <f aca="false">Calendario!DN$7</f>
        <v>10</v>
      </c>
      <c r="DO6" s="43" t="n">
        <f aca="false">Calendario!DO$7</f>
        <v>10</v>
      </c>
      <c r="DP6" s="43" t="n">
        <f aca="false">Calendario!DP$7</f>
        <v>10</v>
      </c>
      <c r="DQ6" s="43" t="n">
        <f aca="false">Calendario!DQ$7</f>
        <v>10</v>
      </c>
      <c r="DR6" s="43" t="n">
        <f aca="false">Calendario!DR$7</f>
        <v>10</v>
      </c>
      <c r="DS6" s="43" t="n">
        <f aca="false">Calendario!DS$7</f>
        <v>10</v>
      </c>
      <c r="DT6" s="43" t="n">
        <f aca="false">Calendario!DT$7</f>
        <v>10</v>
      </c>
      <c r="DU6" s="43" t="n">
        <f aca="false">Calendario!DU$7</f>
        <v>10</v>
      </c>
      <c r="DV6" s="43" t="n">
        <f aca="false">Calendario!DV$7</f>
        <v>10</v>
      </c>
      <c r="DW6" s="43" t="n">
        <f aca="false">Calendario!DW$7</f>
        <v>11</v>
      </c>
      <c r="DX6" s="43" t="n">
        <f aca="false">Calendario!DX$7</f>
        <v>11</v>
      </c>
      <c r="DY6" s="43" t="n">
        <f aca="false">Calendario!DY$7</f>
        <v>11</v>
      </c>
      <c r="DZ6" s="43" t="n">
        <f aca="false">Calendario!DZ$7</f>
        <v>11</v>
      </c>
      <c r="EA6" s="43" t="n">
        <f aca="false">Calendario!EA$7</f>
        <v>11</v>
      </c>
      <c r="EB6" s="43" t="n">
        <f aca="false">Calendario!EB$7</f>
        <v>11</v>
      </c>
      <c r="EC6" s="43" t="n">
        <f aca="false">Calendario!EC$7</f>
        <v>11</v>
      </c>
      <c r="ED6" s="43" t="n">
        <f aca="false">Calendario!ED$7</f>
        <v>11</v>
      </c>
      <c r="EE6" s="43" t="n">
        <f aca="false">Calendario!EE$7</f>
        <v>11</v>
      </c>
      <c r="EF6" s="43" t="n">
        <f aca="false">Calendario!EF$7</f>
        <v>11</v>
      </c>
      <c r="EG6" s="43" t="n">
        <f aca="false">Calendario!EG$7</f>
        <v>11</v>
      </c>
      <c r="EH6" s="43" t="n">
        <f aca="false">Calendario!EH$7</f>
        <v>11</v>
      </c>
      <c r="EI6" s="43" t="n">
        <f aca="false">Calendario!EI$7</f>
        <v>12</v>
      </c>
      <c r="EJ6" s="43" t="n">
        <f aca="false">Calendario!EJ$7</f>
        <v>12</v>
      </c>
      <c r="EK6" s="43" t="n">
        <f aca="false">Calendario!EK$7</f>
        <v>12</v>
      </c>
      <c r="EL6" s="43" t="n">
        <f aca="false">Calendario!EL$7</f>
        <v>12</v>
      </c>
      <c r="EM6" s="43" t="n">
        <f aca="false">Calendario!EM$7</f>
        <v>12</v>
      </c>
      <c r="EN6" s="43" t="n">
        <f aca="false">Calendario!EN$7</f>
        <v>12</v>
      </c>
      <c r="EO6" s="43" t="n">
        <f aca="false">Calendario!EO$7</f>
        <v>12</v>
      </c>
      <c r="EP6" s="43" t="n">
        <f aca="false">Calendario!EP$7</f>
        <v>12</v>
      </c>
      <c r="EQ6" s="43" t="n">
        <f aca="false">Calendario!EQ$7</f>
        <v>12</v>
      </c>
      <c r="ER6" s="43" t="n">
        <f aca="false">Calendario!ER$7</f>
        <v>12</v>
      </c>
      <c r="ES6" s="43" t="n">
        <f aca="false">Calendario!ES$7</f>
        <v>12</v>
      </c>
      <c r="ET6" s="43" t="n">
        <f aca="false">Calendario!ET$7</f>
        <v>12</v>
      </c>
      <c r="EU6" s="43" t="n">
        <f aca="false">Calendario!EU$7</f>
        <v>13</v>
      </c>
      <c r="EV6" s="43" t="n">
        <f aca="false">Calendario!EV$7</f>
        <v>13</v>
      </c>
      <c r="EW6" s="43" t="n">
        <f aca="false">Calendario!EW$7</f>
        <v>13</v>
      </c>
      <c r="EX6" s="43" t="n">
        <f aca="false">Calendario!EX$7</f>
        <v>13</v>
      </c>
      <c r="EY6" s="43" t="n">
        <f aca="false">Calendario!EY$7</f>
        <v>13</v>
      </c>
      <c r="EZ6" s="43" t="n">
        <f aca="false">Calendario!EZ$7</f>
        <v>13</v>
      </c>
      <c r="FA6" s="43" t="n">
        <f aca="false">Calendario!FA$7</f>
        <v>13</v>
      </c>
      <c r="FB6" s="43" t="n">
        <f aca="false">Calendario!FB$7</f>
        <v>13</v>
      </c>
      <c r="FC6" s="43" t="n">
        <f aca="false">Calendario!FC$7</f>
        <v>13</v>
      </c>
      <c r="FD6" s="43" t="n">
        <f aca="false">Calendario!FD$7</f>
        <v>13</v>
      </c>
      <c r="FE6" s="43" t="n">
        <f aca="false">Calendario!FE$7</f>
        <v>13</v>
      </c>
      <c r="FF6" s="43" t="n">
        <f aca="false">Calendario!FF$7</f>
        <v>13</v>
      </c>
    </row>
    <row r="7" customFormat="false" ht="15" hidden="false" customHeight="false" outlineLevel="0" collapsed="false">
      <c r="A7" s="8" t="s">
        <v>814</v>
      </c>
      <c r="B7" s="5" t="s">
        <v>815</v>
      </c>
      <c r="F7" s="43" t="n">
        <f aca="false">Calendario!F$11</f>
        <v>0</v>
      </c>
      <c r="G7" s="43" t="n">
        <f aca="false">Calendario!G$11</f>
        <v>1</v>
      </c>
      <c r="H7" s="43" t="n">
        <f aca="false">Calendario!H$11</f>
        <v>1</v>
      </c>
      <c r="I7" s="43" t="n">
        <f aca="false">Calendario!I$11</f>
        <v>1</v>
      </c>
      <c r="J7" s="43" t="n">
        <f aca="false">Calendario!J$11</f>
        <v>1</v>
      </c>
      <c r="K7" s="43" t="n">
        <f aca="false">Calendario!K$11</f>
        <v>1</v>
      </c>
      <c r="L7" s="43" t="n">
        <f aca="false">Calendario!L$11</f>
        <v>1</v>
      </c>
      <c r="M7" s="43" t="n">
        <f aca="false">Calendario!M$11</f>
        <v>1</v>
      </c>
      <c r="N7" s="43" t="n">
        <f aca="false">Calendario!N$11</f>
        <v>1</v>
      </c>
      <c r="O7" s="43" t="n">
        <f aca="false">Calendario!O$11</f>
        <v>1</v>
      </c>
      <c r="P7" s="43" t="n">
        <f aca="false">Calendario!P$11</f>
        <v>1</v>
      </c>
      <c r="Q7" s="43" t="n">
        <f aca="false">Calendario!Q$11</f>
        <v>1</v>
      </c>
      <c r="R7" s="43" t="n">
        <f aca="false">Calendario!R$11</f>
        <v>1</v>
      </c>
      <c r="S7" s="43" t="n">
        <f aca="false">Calendario!S$11</f>
        <v>2</v>
      </c>
      <c r="T7" s="43" t="n">
        <f aca="false">Calendario!T$11</f>
        <v>2</v>
      </c>
      <c r="U7" s="43" t="n">
        <f aca="false">Calendario!U$11</f>
        <v>2</v>
      </c>
      <c r="V7" s="43" t="n">
        <f aca="false">Calendario!V$11</f>
        <v>2</v>
      </c>
      <c r="W7" s="43" t="n">
        <f aca="false">Calendario!W$11</f>
        <v>2</v>
      </c>
      <c r="X7" s="43" t="n">
        <f aca="false">Calendario!X$11</f>
        <v>2</v>
      </c>
      <c r="Y7" s="43" t="n">
        <f aca="false">Calendario!Y$11</f>
        <v>2</v>
      </c>
      <c r="Z7" s="43" t="n">
        <f aca="false">Calendario!Z$11</f>
        <v>2</v>
      </c>
      <c r="AA7" s="43" t="n">
        <f aca="false">Calendario!AA$11</f>
        <v>2</v>
      </c>
      <c r="AB7" s="43" t="n">
        <f aca="false">Calendario!AB$11</f>
        <v>2</v>
      </c>
      <c r="AC7" s="43" t="n">
        <f aca="false">Calendario!AC$11</f>
        <v>2</v>
      </c>
      <c r="AD7" s="43" t="n">
        <f aca="false">Calendario!AD$11</f>
        <v>2</v>
      </c>
      <c r="AE7" s="43" t="n">
        <f aca="false">Calendario!AE$11</f>
        <v>3</v>
      </c>
      <c r="AF7" s="43" t="n">
        <f aca="false">Calendario!AF$11</f>
        <v>3</v>
      </c>
      <c r="AG7" s="43" t="n">
        <f aca="false">Calendario!AG$11</f>
        <v>3</v>
      </c>
      <c r="AH7" s="43" t="n">
        <f aca="false">Calendario!AH$11</f>
        <v>3</v>
      </c>
      <c r="AI7" s="43" t="n">
        <f aca="false">Calendario!AI$11</f>
        <v>3</v>
      </c>
      <c r="AJ7" s="43" t="n">
        <f aca="false">Calendario!AJ$11</f>
        <v>3</v>
      </c>
      <c r="AK7" s="43" t="n">
        <f aca="false">Calendario!AK$11</f>
        <v>3</v>
      </c>
      <c r="AL7" s="43" t="n">
        <f aca="false">Calendario!AL$11</f>
        <v>3</v>
      </c>
      <c r="AM7" s="43" t="n">
        <f aca="false">Calendario!AM$11</f>
        <v>3</v>
      </c>
      <c r="AN7" s="43" t="n">
        <f aca="false">Calendario!AN$11</f>
        <v>3</v>
      </c>
      <c r="AO7" s="43" t="n">
        <f aca="false">Calendario!AO$11</f>
        <v>3</v>
      </c>
      <c r="AP7" s="43" t="n">
        <f aca="false">Calendario!AP$11</f>
        <v>3</v>
      </c>
      <c r="AQ7" s="43" t="n">
        <f aca="false">Calendario!AQ$11</f>
        <v>4</v>
      </c>
      <c r="AR7" s="43" t="n">
        <f aca="false">Calendario!AR$11</f>
        <v>4</v>
      </c>
      <c r="AS7" s="43" t="n">
        <f aca="false">Calendario!AS$11</f>
        <v>4</v>
      </c>
      <c r="AT7" s="43" t="n">
        <f aca="false">Calendario!AT$11</f>
        <v>4</v>
      </c>
      <c r="AU7" s="43" t="n">
        <f aca="false">Calendario!AU$11</f>
        <v>4</v>
      </c>
      <c r="AV7" s="43" t="n">
        <f aca="false">Calendario!AV$11</f>
        <v>4</v>
      </c>
      <c r="AW7" s="43" t="n">
        <f aca="false">Calendario!AW$11</f>
        <v>4</v>
      </c>
      <c r="AX7" s="43" t="n">
        <f aca="false">Calendario!AX$11</f>
        <v>4</v>
      </c>
      <c r="AY7" s="43" t="n">
        <f aca="false">Calendario!AY$11</f>
        <v>4</v>
      </c>
      <c r="AZ7" s="43" t="n">
        <f aca="false">Calendario!AZ$11</f>
        <v>4</v>
      </c>
      <c r="BA7" s="43" t="n">
        <f aca="false">Calendario!BA$11</f>
        <v>4</v>
      </c>
      <c r="BB7" s="43" t="n">
        <f aca="false">Calendario!BB$11</f>
        <v>4</v>
      </c>
      <c r="BC7" s="43" t="n">
        <f aca="false">Calendario!BC$11</f>
        <v>5</v>
      </c>
      <c r="BD7" s="43" t="n">
        <f aca="false">Calendario!BD$11</f>
        <v>5</v>
      </c>
      <c r="BE7" s="43" t="n">
        <f aca="false">Calendario!BE$11</f>
        <v>5</v>
      </c>
      <c r="BF7" s="43" t="n">
        <f aca="false">Calendario!BF$11</f>
        <v>5</v>
      </c>
      <c r="BG7" s="43" t="n">
        <f aca="false">Calendario!BG$11</f>
        <v>5</v>
      </c>
      <c r="BH7" s="43" t="n">
        <f aca="false">Calendario!BH$11</f>
        <v>5</v>
      </c>
      <c r="BI7" s="43" t="n">
        <f aca="false">Calendario!BI$11</f>
        <v>5</v>
      </c>
      <c r="BJ7" s="43" t="n">
        <f aca="false">Calendario!BJ$11</f>
        <v>5</v>
      </c>
      <c r="BK7" s="43" t="n">
        <f aca="false">Calendario!BK$11</f>
        <v>5</v>
      </c>
      <c r="BL7" s="43" t="n">
        <f aca="false">Calendario!BL$11</f>
        <v>5</v>
      </c>
      <c r="BM7" s="43" t="n">
        <f aca="false">Calendario!BM$11</f>
        <v>5</v>
      </c>
      <c r="BN7" s="43" t="n">
        <f aca="false">Calendario!BN$11</f>
        <v>5</v>
      </c>
      <c r="BO7" s="43" t="n">
        <f aca="false">Calendario!BO$11</f>
        <v>6</v>
      </c>
      <c r="BP7" s="43" t="n">
        <f aca="false">Calendario!BP$11</f>
        <v>6</v>
      </c>
      <c r="BQ7" s="43" t="n">
        <f aca="false">Calendario!BQ$11</f>
        <v>6</v>
      </c>
      <c r="BR7" s="43" t="n">
        <f aca="false">Calendario!BR$11</f>
        <v>6</v>
      </c>
      <c r="BS7" s="43" t="n">
        <f aca="false">Calendario!BS$11</f>
        <v>6</v>
      </c>
      <c r="BT7" s="43" t="n">
        <f aca="false">Calendario!BT$11</f>
        <v>6</v>
      </c>
      <c r="BU7" s="43" t="n">
        <f aca="false">Calendario!BU$11</f>
        <v>6</v>
      </c>
      <c r="BV7" s="43" t="n">
        <f aca="false">Calendario!BV$11</f>
        <v>6</v>
      </c>
      <c r="BW7" s="43" t="n">
        <f aca="false">Calendario!BW$11</f>
        <v>6</v>
      </c>
      <c r="BX7" s="43" t="n">
        <f aca="false">Calendario!BX$11</f>
        <v>6</v>
      </c>
      <c r="BY7" s="43" t="n">
        <f aca="false">Calendario!BY$11</f>
        <v>6</v>
      </c>
      <c r="BZ7" s="43" t="n">
        <f aca="false">Calendario!BZ$11</f>
        <v>6</v>
      </c>
      <c r="CA7" s="43" t="n">
        <f aca="false">Calendario!CA$11</f>
        <v>7</v>
      </c>
      <c r="CB7" s="43" t="n">
        <f aca="false">Calendario!CB$11</f>
        <v>7</v>
      </c>
      <c r="CC7" s="43" t="n">
        <f aca="false">Calendario!CC$11</f>
        <v>7</v>
      </c>
      <c r="CD7" s="43" t="n">
        <f aca="false">Calendario!CD$11</f>
        <v>7</v>
      </c>
      <c r="CE7" s="43" t="n">
        <f aca="false">Calendario!CE$11</f>
        <v>7</v>
      </c>
      <c r="CF7" s="43" t="n">
        <f aca="false">Calendario!CF$11</f>
        <v>7</v>
      </c>
      <c r="CG7" s="43" t="n">
        <f aca="false">Calendario!CG$11</f>
        <v>7</v>
      </c>
      <c r="CH7" s="43" t="n">
        <f aca="false">Calendario!CH$11</f>
        <v>7</v>
      </c>
      <c r="CI7" s="43" t="n">
        <f aca="false">Calendario!CI$11</f>
        <v>7</v>
      </c>
      <c r="CJ7" s="43" t="n">
        <f aca="false">Calendario!CJ$11</f>
        <v>7</v>
      </c>
      <c r="CK7" s="43" t="n">
        <f aca="false">Calendario!CK$11</f>
        <v>7</v>
      </c>
      <c r="CL7" s="43" t="n">
        <f aca="false">Calendario!CL$11</f>
        <v>7</v>
      </c>
      <c r="CM7" s="43" t="n">
        <f aca="false">Calendario!CM$11</f>
        <v>8</v>
      </c>
      <c r="CN7" s="43" t="n">
        <f aca="false">Calendario!CN$11</f>
        <v>8</v>
      </c>
      <c r="CO7" s="43" t="n">
        <f aca="false">Calendario!CO$11</f>
        <v>8</v>
      </c>
      <c r="CP7" s="43" t="n">
        <f aca="false">Calendario!CP$11</f>
        <v>8</v>
      </c>
      <c r="CQ7" s="43" t="n">
        <f aca="false">Calendario!CQ$11</f>
        <v>8</v>
      </c>
      <c r="CR7" s="43" t="n">
        <f aca="false">Calendario!CR$11</f>
        <v>8</v>
      </c>
      <c r="CS7" s="43" t="n">
        <f aca="false">Calendario!CS$11</f>
        <v>8</v>
      </c>
      <c r="CT7" s="43" t="n">
        <f aca="false">Calendario!CT$11</f>
        <v>8</v>
      </c>
      <c r="CU7" s="43" t="n">
        <f aca="false">Calendario!CU$11</f>
        <v>8</v>
      </c>
      <c r="CV7" s="43" t="n">
        <f aca="false">Calendario!CV$11</f>
        <v>8</v>
      </c>
      <c r="CW7" s="43" t="n">
        <f aca="false">Calendario!CW$11</f>
        <v>8</v>
      </c>
      <c r="CX7" s="43" t="n">
        <f aca="false">Calendario!CX$11</f>
        <v>8</v>
      </c>
      <c r="CY7" s="43" t="n">
        <f aca="false">Calendario!CY$11</f>
        <v>9</v>
      </c>
      <c r="CZ7" s="43" t="n">
        <f aca="false">Calendario!CZ$11</f>
        <v>9</v>
      </c>
      <c r="DA7" s="43" t="n">
        <f aca="false">Calendario!DA$11</f>
        <v>9</v>
      </c>
      <c r="DB7" s="43" t="n">
        <f aca="false">Calendario!DB$11</f>
        <v>9</v>
      </c>
      <c r="DC7" s="43" t="n">
        <f aca="false">Calendario!DC$11</f>
        <v>9</v>
      </c>
      <c r="DD7" s="43" t="n">
        <f aca="false">Calendario!DD$11</f>
        <v>9</v>
      </c>
      <c r="DE7" s="43" t="n">
        <f aca="false">Calendario!DE$11</f>
        <v>9</v>
      </c>
      <c r="DF7" s="43" t="n">
        <f aca="false">Calendario!DF$11</f>
        <v>9</v>
      </c>
      <c r="DG7" s="43" t="n">
        <f aca="false">Calendario!DG$11</f>
        <v>9</v>
      </c>
      <c r="DH7" s="43" t="n">
        <f aca="false">Calendario!DH$11</f>
        <v>9</v>
      </c>
      <c r="DI7" s="43" t="n">
        <f aca="false">Calendario!DI$11</f>
        <v>9</v>
      </c>
      <c r="DJ7" s="43" t="n">
        <f aca="false">Calendario!DJ$11</f>
        <v>9</v>
      </c>
      <c r="DK7" s="43" t="n">
        <f aca="false">Calendario!DK$11</f>
        <v>10</v>
      </c>
      <c r="DL7" s="43" t="n">
        <f aca="false">Calendario!DL$11</f>
        <v>10</v>
      </c>
      <c r="DM7" s="43" t="n">
        <f aca="false">Calendario!DM$11</f>
        <v>10</v>
      </c>
      <c r="DN7" s="43" t="n">
        <f aca="false">Calendario!DN$11</f>
        <v>10</v>
      </c>
      <c r="DO7" s="43" t="n">
        <f aca="false">Calendario!DO$11</f>
        <v>10</v>
      </c>
      <c r="DP7" s="43" t="n">
        <f aca="false">Calendario!DP$11</f>
        <v>10</v>
      </c>
      <c r="DQ7" s="43" t="n">
        <f aca="false">Calendario!DQ$11</f>
        <v>10</v>
      </c>
      <c r="DR7" s="43" t="n">
        <f aca="false">Calendario!DR$11</f>
        <v>10</v>
      </c>
      <c r="DS7" s="43" t="n">
        <f aca="false">Calendario!DS$11</f>
        <v>10</v>
      </c>
      <c r="DT7" s="43" t="n">
        <f aca="false">Calendario!DT$11</f>
        <v>10</v>
      </c>
      <c r="DU7" s="43" t="n">
        <f aca="false">Calendario!DU$11</f>
        <v>10</v>
      </c>
      <c r="DV7" s="43" t="n">
        <f aca="false">Calendario!DV$11</f>
        <v>10</v>
      </c>
      <c r="DW7" s="43" t="n">
        <f aca="false">Calendario!DW$11</f>
        <v>0</v>
      </c>
      <c r="DX7" s="43" t="n">
        <f aca="false">Calendario!DX$11</f>
        <v>0</v>
      </c>
      <c r="DY7" s="43" t="n">
        <f aca="false">Calendario!DY$11</f>
        <v>0</v>
      </c>
      <c r="DZ7" s="43" t="n">
        <f aca="false">Calendario!DZ$11</f>
        <v>0</v>
      </c>
      <c r="EA7" s="43" t="n">
        <f aca="false">Calendario!EA$11</f>
        <v>0</v>
      </c>
      <c r="EB7" s="43" t="n">
        <f aca="false">Calendario!EB$11</f>
        <v>0</v>
      </c>
      <c r="EC7" s="43" t="n">
        <f aca="false">Calendario!EC$11</f>
        <v>0</v>
      </c>
      <c r="ED7" s="43" t="n">
        <f aca="false">Calendario!ED$11</f>
        <v>0</v>
      </c>
      <c r="EE7" s="43" t="n">
        <f aca="false">Calendario!EE$11</f>
        <v>0</v>
      </c>
      <c r="EF7" s="43" t="n">
        <f aca="false">Calendario!EF$11</f>
        <v>0</v>
      </c>
      <c r="EG7" s="43" t="n">
        <f aca="false">Calendario!EG$11</f>
        <v>0</v>
      </c>
      <c r="EH7" s="43" t="n">
        <f aca="false">Calendario!EH$11</f>
        <v>0</v>
      </c>
      <c r="EI7" s="43" t="n">
        <f aca="false">Calendario!EI$11</f>
        <v>0</v>
      </c>
      <c r="EJ7" s="43" t="n">
        <f aca="false">Calendario!EJ$11</f>
        <v>0</v>
      </c>
      <c r="EK7" s="43" t="n">
        <f aca="false">Calendario!EK$11</f>
        <v>0</v>
      </c>
      <c r="EL7" s="43" t="n">
        <f aca="false">Calendario!EL$11</f>
        <v>0</v>
      </c>
      <c r="EM7" s="43" t="n">
        <f aca="false">Calendario!EM$11</f>
        <v>0</v>
      </c>
      <c r="EN7" s="43" t="n">
        <f aca="false">Calendario!EN$11</f>
        <v>0</v>
      </c>
      <c r="EO7" s="43" t="n">
        <f aca="false">Calendario!EO$11</f>
        <v>0</v>
      </c>
      <c r="EP7" s="43" t="n">
        <f aca="false">Calendario!EP$11</f>
        <v>0</v>
      </c>
      <c r="EQ7" s="43" t="n">
        <f aca="false">Calendario!EQ$11</f>
        <v>0</v>
      </c>
      <c r="ER7" s="43" t="n">
        <f aca="false">Calendario!ER$11</f>
        <v>0</v>
      </c>
      <c r="ES7" s="43" t="n">
        <f aca="false">Calendario!ES$11</f>
        <v>0</v>
      </c>
      <c r="ET7" s="43" t="n">
        <f aca="false">Calendario!ET$11</f>
        <v>0</v>
      </c>
      <c r="EU7" s="43" t="n">
        <f aca="false">Calendario!EU$11</f>
        <v>0</v>
      </c>
      <c r="EV7" s="43" t="n">
        <f aca="false">Calendario!EV$11</f>
        <v>0</v>
      </c>
      <c r="EW7" s="43" t="n">
        <f aca="false">Calendario!EW$11</f>
        <v>0</v>
      </c>
      <c r="EX7" s="43" t="n">
        <f aca="false">Calendario!EX$11</f>
        <v>0</v>
      </c>
      <c r="EY7" s="43" t="n">
        <f aca="false">Calendario!EY$11</f>
        <v>0</v>
      </c>
      <c r="EZ7" s="43" t="n">
        <f aca="false">Calendario!EZ$11</f>
        <v>0</v>
      </c>
      <c r="FA7" s="43" t="n">
        <f aca="false">Calendario!FA$11</f>
        <v>0</v>
      </c>
      <c r="FB7" s="43" t="n">
        <f aca="false">Calendario!FB$11</f>
        <v>0</v>
      </c>
      <c r="FC7" s="43" t="n">
        <f aca="false">Calendario!FC$11</f>
        <v>0</v>
      </c>
      <c r="FD7" s="43" t="n">
        <f aca="false">Calendario!FD$11</f>
        <v>0</v>
      </c>
      <c r="FE7" s="43" t="n">
        <f aca="false">Calendario!FE$11</f>
        <v>0</v>
      </c>
      <c r="FF7" s="43" t="n">
        <f aca="false">Calendario!FF$11</f>
        <v>0</v>
      </c>
    </row>
    <row r="8" customFormat="false" ht="15" hidden="false" customHeight="false" outlineLevel="0" collapsed="false">
      <c r="A8" s="8" t="s">
        <v>816</v>
      </c>
      <c r="B8" s="5" t="s">
        <v>784</v>
      </c>
      <c r="F8" s="43" t="n">
        <f aca="false">Calendario!F$12</f>
        <v>0</v>
      </c>
      <c r="G8" s="43" t="n">
        <f aca="false">Calendario!G$12</f>
        <v>1</v>
      </c>
      <c r="H8" s="43" t="n">
        <f aca="false">Calendario!H$12</f>
        <v>1</v>
      </c>
      <c r="I8" s="43" t="n">
        <f aca="false">Calendario!I$12</f>
        <v>1</v>
      </c>
      <c r="J8" s="43" t="n">
        <f aca="false">Calendario!J$12</f>
        <v>1</v>
      </c>
      <c r="K8" s="43" t="n">
        <f aca="false">Calendario!K$12</f>
        <v>1</v>
      </c>
      <c r="L8" s="43" t="n">
        <f aca="false">Calendario!L$12</f>
        <v>1</v>
      </c>
      <c r="M8" s="43" t="n">
        <f aca="false">Calendario!M$12</f>
        <v>1</v>
      </c>
      <c r="N8" s="43" t="n">
        <f aca="false">Calendario!N$12</f>
        <v>1</v>
      </c>
      <c r="O8" s="43" t="n">
        <f aca="false">Calendario!O$12</f>
        <v>1</v>
      </c>
      <c r="P8" s="43" t="n">
        <f aca="false">Calendario!P$12</f>
        <v>1</v>
      </c>
      <c r="Q8" s="43" t="n">
        <f aca="false">Calendario!Q$12</f>
        <v>1</v>
      </c>
      <c r="R8" s="43" t="n">
        <f aca="false">Calendario!R$12</f>
        <v>1</v>
      </c>
      <c r="S8" s="43" t="n">
        <f aca="false">Calendario!S$12</f>
        <v>1</v>
      </c>
      <c r="T8" s="43" t="n">
        <f aca="false">Calendario!T$12</f>
        <v>1</v>
      </c>
      <c r="U8" s="43" t="n">
        <f aca="false">Calendario!U$12</f>
        <v>1</v>
      </c>
      <c r="V8" s="43" t="n">
        <f aca="false">Calendario!V$12</f>
        <v>1</v>
      </c>
      <c r="W8" s="43" t="n">
        <f aca="false">Calendario!W$12</f>
        <v>1</v>
      </c>
      <c r="X8" s="43" t="n">
        <f aca="false">Calendario!X$12</f>
        <v>1</v>
      </c>
      <c r="Y8" s="43" t="n">
        <f aca="false">Calendario!Y$12</f>
        <v>1</v>
      </c>
      <c r="Z8" s="43" t="n">
        <f aca="false">Calendario!Z$12</f>
        <v>1</v>
      </c>
      <c r="AA8" s="43" t="n">
        <f aca="false">Calendario!AA$12</f>
        <v>1</v>
      </c>
      <c r="AB8" s="43" t="n">
        <f aca="false">Calendario!AB$12</f>
        <v>1</v>
      </c>
      <c r="AC8" s="43" t="n">
        <f aca="false">Calendario!AC$12</f>
        <v>1</v>
      </c>
      <c r="AD8" s="43" t="n">
        <f aca="false">Calendario!AD$12</f>
        <v>1</v>
      </c>
      <c r="AE8" s="43" t="n">
        <f aca="false">Calendario!AE$12</f>
        <v>1</v>
      </c>
      <c r="AF8" s="43" t="n">
        <f aca="false">Calendario!AF$12</f>
        <v>1</v>
      </c>
      <c r="AG8" s="43" t="n">
        <f aca="false">Calendario!AG$12</f>
        <v>1</v>
      </c>
      <c r="AH8" s="43" t="n">
        <f aca="false">Calendario!AH$12</f>
        <v>1</v>
      </c>
      <c r="AI8" s="43" t="n">
        <f aca="false">Calendario!AI$12</f>
        <v>1</v>
      </c>
      <c r="AJ8" s="43" t="n">
        <f aca="false">Calendario!AJ$12</f>
        <v>1</v>
      </c>
      <c r="AK8" s="43" t="n">
        <f aca="false">Calendario!AK$12</f>
        <v>1</v>
      </c>
      <c r="AL8" s="43" t="n">
        <f aca="false">Calendario!AL$12</f>
        <v>1</v>
      </c>
      <c r="AM8" s="43" t="n">
        <f aca="false">Calendario!AM$12</f>
        <v>1</v>
      </c>
      <c r="AN8" s="43" t="n">
        <f aca="false">Calendario!AN$12</f>
        <v>1</v>
      </c>
      <c r="AO8" s="43" t="n">
        <f aca="false">Calendario!AO$12</f>
        <v>1</v>
      </c>
      <c r="AP8" s="43" t="n">
        <f aca="false">Calendario!AP$12</f>
        <v>1</v>
      </c>
      <c r="AQ8" s="43" t="n">
        <f aca="false">Calendario!AQ$12</f>
        <v>1</v>
      </c>
      <c r="AR8" s="43" t="n">
        <f aca="false">Calendario!AR$12</f>
        <v>1</v>
      </c>
      <c r="AS8" s="43" t="n">
        <f aca="false">Calendario!AS$12</f>
        <v>1</v>
      </c>
      <c r="AT8" s="43" t="n">
        <f aca="false">Calendario!AT$12</f>
        <v>1</v>
      </c>
      <c r="AU8" s="43" t="n">
        <f aca="false">Calendario!AU$12</f>
        <v>1</v>
      </c>
      <c r="AV8" s="43" t="n">
        <f aca="false">Calendario!AV$12</f>
        <v>1</v>
      </c>
      <c r="AW8" s="43" t="n">
        <f aca="false">Calendario!AW$12</f>
        <v>1</v>
      </c>
      <c r="AX8" s="43" t="n">
        <f aca="false">Calendario!AX$12</f>
        <v>1</v>
      </c>
      <c r="AY8" s="43" t="n">
        <f aca="false">Calendario!AY$12</f>
        <v>1</v>
      </c>
      <c r="AZ8" s="43" t="n">
        <f aca="false">Calendario!AZ$12</f>
        <v>1</v>
      </c>
      <c r="BA8" s="43" t="n">
        <f aca="false">Calendario!BA$12</f>
        <v>1</v>
      </c>
      <c r="BB8" s="43" t="n">
        <f aca="false">Calendario!BB$12</f>
        <v>1</v>
      </c>
      <c r="BC8" s="43" t="n">
        <f aca="false">Calendario!BC$12</f>
        <v>1</v>
      </c>
      <c r="BD8" s="43" t="n">
        <f aca="false">Calendario!BD$12</f>
        <v>1</v>
      </c>
      <c r="BE8" s="43" t="n">
        <f aca="false">Calendario!BE$12</f>
        <v>1</v>
      </c>
      <c r="BF8" s="43" t="n">
        <f aca="false">Calendario!BF$12</f>
        <v>1</v>
      </c>
      <c r="BG8" s="43" t="n">
        <f aca="false">Calendario!BG$12</f>
        <v>1</v>
      </c>
      <c r="BH8" s="43" t="n">
        <f aca="false">Calendario!BH$12</f>
        <v>1</v>
      </c>
      <c r="BI8" s="43" t="n">
        <f aca="false">Calendario!BI$12</f>
        <v>1</v>
      </c>
      <c r="BJ8" s="43" t="n">
        <f aca="false">Calendario!BJ$12</f>
        <v>1</v>
      </c>
      <c r="BK8" s="43" t="n">
        <f aca="false">Calendario!BK$12</f>
        <v>1</v>
      </c>
      <c r="BL8" s="43" t="n">
        <f aca="false">Calendario!BL$12</f>
        <v>1</v>
      </c>
      <c r="BM8" s="43" t="n">
        <f aca="false">Calendario!BM$12</f>
        <v>1</v>
      </c>
      <c r="BN8" s="43" t="n">
        <f aca="false">Calendario!BN$12</f>
        <v>1</v>
      </c>
      <c r="BO8" s="43" t="n">
        <f aca="false">Calendario!BO$12</f>
        <v>1</v>
      </c>
      <c r="BP8" s="43" t="n">
        <f aca="false">Calendario!BP$12</f>
        <v>1</v>
      </c>
      <c r="BQ8" s="43" t="n">
        <f aca="false">Calendario!BQ$12</f>
        <v>1</v>
      </c>
      <c r="BR8" s="43" t="n">
        <f aca="false">Calendario!BR$12</f>
        <v>1</v>
      </c>
      <c r="BS8" s="43" t="n">
        <f aca="false">Calendario!BS$12</f>
        <v>1</v>
      </c>
      <c r="BT8" s="43" t="n">
        <f aca="false">Calendario!BT$12</f>
        <v>1</v>
      </c>
      <c r="BU8" s="43" t="n">
        <f aca="false">Calendario!BU$12</f>
        <v>1</v>
      </c>
      <c r="BV8" s="43" t="n">
        <f aca="false">Calendario!BV$12</f>
        <v>1</v>
      </c>
      <c r="BW8" s="43" t="n">
        <f aca="false">Calendario!BW$12</f>
        <v>1</v>
      </c>
      <c r="BX8" s="43" t="n">
        <f aca="false">Calendario!BX$12</f>
        <v>1</v>
      </c>
      <c r="BY8" s="43" t="n">
        <f aca="false">Calendario!BY$12</f>
        <v>1</v>
      </c>
      <c r="BZ8" s="43" t="n">
        <f aca="false">Calendario!BZ$12</f>
        <v>1</v>
      </c>
      <c r="CA8" s="43" t="n">
        <f aca="false">Calendario!CA$12</f>
        <v>1</v>
      </c>
      <c r="CB8" s="43" t="n">
        <f aca="false">Calendario!CB$12</f>
        <v>1</v>
      </c>
      <c r="CC8" s="43" t="n">
        <f aca="false">Calendario!CC$12</f>
        <v>1</v>
      </c>
      <c r="CD8" s="43" t="n">
        <f aca="false">Calendario!CD$12</f>
        <v>1</v>
      </c>
      <c r="CE8" s="43" t="n">
        <f aca="false">Calendario!CE$12</f>
        <v>1</v>
      </c>
      <c r="CF8" s="43" t="n">
        <f aca="false">Calendario!CF$12</f>
        <v>1</v>
      </c>
      <c r="CG8" s="43" t="n">
        <f aca="false">Calendario!CG$12</f>
        <v>1</v>
      </c>
      <c r="CH8" s="43" t="n">
        <f aca="false">Calendario!CH$12</f>
        <v>1</v>
      </c>
      <c r="CI8" s="43" t="n">
        <f aca="false">Calendario!CI$12</f>
        <v>1</v>
      </c>
      <c r="CJ8" s="43" t="n">
        <f aca="false">Calendario!CJ$12</f>
        <v>1</v>
      </c>
      <c r="CK8" s="43" t="n">
        <f aca="false">Calendario!CK$12</f>
        <v>1</v>
      </c>
      <c r="CL8" s="43" t="n">
        <f aca="false">Calendario!CL$12</f>
        <v>1</v>
      </c>
      <c r="CM8" s="43" t="n">
        <f aca="false">Calendario!CM$12</f>
        <v>1</v>
      </c>
      <c r="CN8" s="43" t="n">
        <f aca="false">Calendario!CN$12</f>
        <v>1</v>
      </c>
      <c r="CO8" s="43" t="n">
        <f aca="false">Calendario!CO$12</f>
        <v>1</v>
      </c>
      <c r="CP8" s="43" t="n">
        <f aca="false">Calendario!CP$12</f>
        <v>1</v>
      </c>
      <c r="CQ8" s="43" t="n">
        <f aca="false">Calendario!CQ$12</f>
        <v>1</v>
      </c>
      <c r="CR8" s="43" t="n">
        <f aca="false">Calendario!CR$12</f>
        <v>1</v>
      </c>
      <c r="CS8" s="43" t="n">
        <f aca="false">Calendario!CS$12</f>
        <v>1</v>
      </c>
      <c r="CT8" s="43" t="n">
        <f aca="false">Calendario!CT$12</f>
        <v>1</v>
      </c>
      <c r="CU8" s="43" t="n">
        <f aca="false">Calendario!CU$12</f>
        <v>1</v>
      </c>
      <c r="CV8" s="43" t="n">
        <f aca="false">Calendario!CV$12</f>
        <v>1</v>
      </c>
      <c r="CW8" s="43" t="n">
        <f aca="false">Calendario!CW$12</f>
        <v>1</v>
      </c>
      <c r="CX8" s="43" t="n">
        <f aca="false">Calendario!CX$12</f>
        <v>1</v>
      </c>
      <c r="CY8" s="43" t="n">
        <f aca="false">Calendario!CY$12</f>
        <v>1</v>
      </c>
      <c r="CZ8" s="43" t="n">
        <f aca="false">Calendario!CZ$12</f>
        <v>1</v>
      </c>
      <c r="DA8" s="43" t="n">
        <f aca="false">Calendario!DA$12</f>
        <v>1</v>
      </c>
      <c r="DB8" s="43" t="n">
        <f aca="false">Calendario!DB$12</f>
        <v>1</v>
      </c>
      <c r="DC8" s="43" t="n">
        <f aca="false">Calendario!DC$12</f>
        <v>1</v>
      </c>
      <c r="DD8" s="43" t="n">
        <f aca="false">Calendario!DD$12</f>
        <v>1</v>
      </c>
      <c r="DE8" s="43" t="n">
        <f aca="false">Calendario!DE$12</f>
        <v>1</v>
      </c>
      <c r="DF8" s="43" t="n">
        <f aca="false">Calendario!DF$12</f>
        <v>1</v>
      </c>
      <c r="DG8" s="43" t="n">
        <f aca="false">Calendario!DG$12</f>
        <v>1</v>
      </c>
      <c r="DH8" s="43" t="n">
        <f aca="false">Calendario!DH$12</f>
        <v>1</v>
      </c>
      <c r="DI8" s="43" t="n">
        <f aca="false">Calendario!DI$12</f>
        <v>1</v>
      </c>
      <c r="DJ8" s="43" t="n">
        <f aca="false">Calendario!DJ$12</f>
        <v>1</v>
      </c>
      <c r="DK8" s="43" t="n">
        <f aca="false">Calendario!DK$12</f>
        <v>1</v>
      </c>
      <c r="DL8" s="43" t="n">
        <f aca="false">Calendario!DL$12</f>
        <v>1</v>
      </c>
      <c r="DM8" s="43" t="n">
        <f aca="false">Calendario!DM$12</f>
        <v>1</v>
      </c>
      <c r="DN8" s="43" t="n">
        <f aca="false">Calendario!DN$12</f>
        <v>1</v>
      </c>
      <c r="DO8" s="43" t="n">
        <f aca="false">Calendario!DO$12</f>
        <v>1</v>
      </c>
      <c r="DP8" s="43" t="n">
        <f aca="false">Calendario!DP$12</f>
        <v>1</v>
      </c>
      <c r="DQ8" s="43" t="n">
        <f aca="false">Calendario!DQ$12</f>
        <v>1</v>
      </c>
      <c r="DR8" s="43" t="n">
        <f aca="false">Calendario!DR$12</f>
        <v>1</v>
      </c>
      <c r="DS8" s="43" t="n">
        <f aca="false">Calendario!DS$12</f>
        <v>1</v>
      </c>
      <c r="DT8" s="43" t="n">
        <f aca="false">Calendario!DT$12</f>
        <v>1</v>
      </c>
      <c r="DU8" s="43" t="n">
        <f aca="false">Calendario!DU$12</f>
        <v>1</v>
      </c>
      <c r="DV8" s="43" t="n">
        <f aca="false">Calendario!DV$12</f>
        <v>1</v>
      </c>
      <c r="DW8" s="43" t="n">
        <f aca="false">Calendario!DW$12</f>
        <v>0</v>
      </c>
      <c r="DX8" s="43" t="n">
        <f aca="false">Calendario!DX$12</f>
        <v>0</v>
      </c>
      <c r="DY8" s="43" t="n">
        <f aca="false">Calendario!DY$12</f>
        <v>0</v>
      </c>
      <c r="DZ8" s="43" t="n">
        <f aca="false">Calendario!DZ$12</f>
        <v>0</v>
      </c>
      <c r="EA8" s="43" t="n">
        <f aca="false">Calendario!EA$12</f>
        <v>0</v>
      </c>
      <c r="EB8" s="43" t="n">
        <f aca="false">Calendario!EB$12</f>
        <v>0</v>
      </c>
      <c r="EC8" s="43" t="n">
        <f aca="false">Calendario!EC$12</f>
        <v>0</v>
      </c>
      <c r="ED8" s="43" t="n">
        <f aca="false">Calendario!ED$12</f>
        <v>0</v>
      </c>
      <c r="EE8" s="43" t="n">
        <f aca="false">Calendario!EE$12</f>
        <v>0</v>
      </c>
      <c r="EF8" s="43" t="n">
        <f aca="false">Calendario!EF$12</f>
        <v>0</v>
      </c>
      <c r="EG8" s="43" t="n">
        <f aca="false">Calendario!EG$12</f>
        <v>0</v>
      </c>
      <c r="EH8" s="43" t="n">
        <f aca="false">Calendario!EH$12</f>
        <v>0</v>
      </c>
      <c r="EI8" s="43" t="n">
        <f aca="false">Calendario!EI$12</f>
        <v>0</v>
      </c>
      <c r="EJ8" s="43" t="n">
        <f aca="false">Calendario!EJ$12</f>
        <v>0</v>
      </c>
      <c r="EK8" s="43" t="n">
        <f aca="false">Calendario!EK$12</f>
        <v>0</v>
      </c>
      <c r="EL8" s="43" t="n">
        <f aca="false">Calendario!EL$12</f>
        <v>0</v>
      </c>
      <c r="EM8" s="43" t="n">
        <f aca="false">Calendario!EM$12</f>
        <v>0</v>
      </c>
      <c r="EN8" s="43" t="n">
        <f aca="false">Calendario!EN$12</f>
        <v>0</v>
      </c>
      <c r="EO8" s="43" t="n">
        <f aca="false">Calendario!EO$12</f>
        <v>0</v>
      </c>
      <c r="EP8" s="43" t="n">
        <f aca="false">Calendario!EP$12</f>
        <v>0</v>
      </c>
      <c r="EQ8" s="43" t="n">
        <f aca="false">Calendario!EQ$12</f>
        <v>0</v>
      </c>
      <c r="ER8" s="43" t="n">
        <f aca="false">Calendario!ER$12</f>
        <v>0</v>
      </c>
      <c r="ES8" s="43" t="n">
        <f aca="false">Calendario!ES$12</f>
        <v>0</v>
      </c>
      <c r="ET8" s="43" t="n">
        <f aca="false">Calendario!ET$12</f>
        <v>0</v>
      </c>
      <c r="EU8" s="43" t="n">
        <f aca="false">Calendario!EU$12</f>
        <v>0</v>
      </c>
      <c r="EV8" s="43" t="n">
        <f aca="false">Calendario!EV$12</f>
        <v>0</v>
      </c>
      <c r="EW8" s="43" t="n">
        <f aca="false">Calendario!EW$12</f>
        <v>0</v>
      </c>
      <c r="EX8" s="43" t="n">
        <f aca="false">Calendario!EX$12</f>
        <v>0</v>
      </c>
      <c r="EY8" s="43" t="n">
        <f aca="false">Calendario!EY$12</f>
        <v>0</v>
      </c>
      <c r="EZ8" s="43" t="n">
        <f aca="false">Calendario!EZ$12</f>
        <v>0</v>
      </c>
      <c r="FA8" s="43" t="n">
        <f aca="false">Calendario!FA$12</f>
        <v>0</v>
      </c>
      <c r="FB8" s="43" t="n">
        <f aca="false">Calendario!FB$12</f>
        <v>0</v>
      </c>
      <c r="FC8" s="43" t="n">
        <f aca="false">Calendario!FC$12</f>
        <v>0</v>
      </c>
      <c r="FD8" s="43" t="n">
        <f aca="false">Calendario!FD$12</f>
        <v>0</v>
      </c>
      <c r="FE8" s="43" t="n">
        <f aca="false">Calendario!FE$12</f>
        <v>0</v>
      </c>
      <c r="FF8" s="43" t="n">
        <f aca="false">Calendario!FF$12</f>
        <v>0</v>
      </c>
    </row>
    <row r="9" customFormat="false" ht="15" hidden="false" customHeight="false" outlineLevel="0" collapsed="false">
      <c r="A9" s="8" t="s">
        <v>817</v>
      </c>
      <c r="B9" s="5" t="s">
        <v>818</v>
      </c>
      <c r="F9" s="43" t="n">
        <f aca="false">Calendario!F$18</f>
        <v>0</v>
      </c>
      <c r="G9" s="43" t="n">
        <f aca="false">Calendario!G$18</f>
        <v>0</v>
      </c>
      <c r="H9" s="43" t="n">
        <f aca="false">Calendario!H$18</f>
        <v>0</v>
      </c>
      <c r="I9" s="43" t="n">
        <f aca="false">Calendario!I$18</f>
        <v>0</v>
      </c>
      <c r="J9" s="43" t="n">
        <f aca="false">Calendario!J$18</f>
        <v>0</v>
      </c>
      <c r="K9" s="43" t="n">
        <f aca="false">Calendario!K$18</f>
        <v>0</v>
      </c>
      <c r="L9" s="43" t="n">
        <f aca="false">Calendario!L$18</f>
        <v>0</v>
      </c>
      <c r="M9" s="43" t="n">
        <f aca="false">Calendario!M$18</f>
        <v>0</v>
      </c>
      <c r="N9" s="43" t="n">
        <f aca="false">Calendario!N$18</f>
        <v>0</v>
      </c>
      <c r="O9" s="43" t="n">
        <f aca="false">Calendario!O$18</f>
        <v>0</v>
      </c>
      <c r="P9" s="43" t="n">
        <f aca="false">Calendario!P$18</f>
        <v>0</v>
      </c>
      <c r="Q9" s="43" t="n">
        <f aca="false">Calendario!Q$18</f>
        <v>0</v>
      </c>
      <c r="R9" s="43" t="n">
        <f aca="false">Calendario!R$18</f>
        <v>0</v>
      </c>
      <c r="S9" s="43" t="n">
        <f aca="false">Calendario!S$18</f>
        <v>0</v>
      </c>
      <c r="T9" s="43" t="n">
        <f aca="false">Calendario!T$18</f>
        <v>0</v>
      </c>
      <c r="U9" s="43" t="n">
        <f aca="false">Calendario!U$18</f>
        <v>0</v>
      </c>
      <c r="V9" s="43" t="n">
        <f aca="false">Calendario!V$18</f>
        <v>0</v>
      </c>
      <c r="W9" s="43" t="n">
        <f aca="false">Calendario!W$18</f>
        <v>0</v>
      </c>
      <c r="X9" s="43" t="n">
        <f aca="false">Calendario!X$18</f>
        <v>0</v>
      </c>
      <c r="Y9" s="43" t="n">
        <f aca="false">Calendario!Y$18</f>
        <v>0</v>
      </c>
      <c r="Z9" s="43" t="n">
        <f aca="false">Calendario!Z$18</f>
        <v>0</v>
      </c>
      <c r="AA9" s="43" t="n">
        <f aca="false">Calendario!AA$18</f>
        <v>0</v>
      </c>
      <c r="AB9" s="43" t="n">
        <f aca="false">Calendario!AB$18</f>
        <v>0</v>
      </c>
      <c r="AC9" s="43" t="n">
        <f aca="false">Calendario!AC$18</f>
        <v>0</v>
      </c>
      <c r="AD9" s="43" t="n">
        <f aca="false">Calendario!AD$18</f>
        <v>0</v>
      </c>
      <c r="AE9" s="43" t="n">
        <f aca="false">Calendario!AE$18</f>
        <v>0</v>
      </c>
      <c r="AF9" s="43" t="n">
        <f aca="false">Calendario!AF$18</f>
        <v>0</v>
      </c>
      <c r="AG9" s="43" t="n">
        <f aca="false">Calendario!AG$18</f>
        <v>0</v>
      </c>
      <c r="AH9" s="43" t="n">
        <f aca="false">Calendario!AH$18</f>
        <v>0</v>
      </c>
      <c r="AI9" s="43" t="n">
        <f aca="false">Calendario!AI$18</f>
        <v>0</v>
      </c>
      <c r="AJ9" s="43" t="n">
        <f aca="false">Calendario!AJ$18</f>
        <v>0</v>
      </c>
      <c r="AK9" s="43" t="n">
        <f aca="false">Calendario!AK$18</f>
        <v>0</v>
      </c>
      <c r="AL9" s="43" t="n">
        <f aca="false">Calendario!AL$18</f>
        <v>0</v>
      </c>
      <c r="AM9" s="43" t="n">
        <f aca="false">Calendario!AM$18</f>
        <v>0</v>
      </c>
      <c r="AN9" s="43" t="n">
        <f aca="false">Calendario!AN$18</f>
        <v>0</v>
      </c>
      <c r="AO9" s="43" t="n">
        <f aca="false">Calendario!AO$18</f>
        <v>0</v>
      </c>
      <c r="AP9" s="43" t="n">
        <f aca="false">Calendario!AP$18</f>
        <v>0</v>
      </c>
      <c r="AQ9" s="43" t="n">
        <f aca="false">Calendario!AQ$18</f>
        <v>0</v>
      </c>
      <c r="AR9" s="43" t="n">
        <f aca="false">Calendario!AR$18</f>
        <v>0</v>
      </c>
      <c r="AS9" s="43" t="n">
        <f aca="false">Calendario!AS$18</f>
        <v>0</v>
      </c>
      <c r="AT9" s="43" t="n">
        <f aca="false">Calendario!AT$18</f>
        <v>0</v>
      </c>
      <c r="AU9" s="43" t="n">
        <f aca="false">Calendario!AU$18</f>
        <v>0</v>
      </c>
      <c r="AV9" s="43" t="n">
        <f aca="false">Calendario!AV$18</f>
        <v>0</v>
      </c>
      <c r="AW9" s="43" t="n">
        <f aca="false">Calendario!AW$18</f>
        <v>0</v>
      </c>
      <c r="AX9" s="43" t="n">
        <f aca="false">Calendario!AX$18</f>
        <v>0</v>
      </c>
      <c r="AY9" s="43" t="n">
        <f aca="false">Calendario!AY$18</f>
        <v>0</v>
      </c>
      <c r="AZ9" s="43" t="n">
        <f aca="false">Calendario!AZ$18</f>
        <v>0</v>
      </c>
      <c r="BA9" s="43" t="n">
        <f aca="false">Calendario!BA$18</f>
        <v>0</v>
      </c>
      <c r="BB9" s="43" t="n">
        <f aca="false">Calendario!BB$18</f>
        <v>0</v>
      </c>
      <c r="BC9" s="43" t="n">
        <f aca="false">Calendario!BC$18</f>
        <v>0</v>
      </c>
      <c r="BD9" s="43" t="n">
        <f aca="false">Calendario!BD$18</f>
        <v>0</v>
      </c>
      <c r="BE9" s="43" t="n">
        <f aca="false">Calendario!BE$18</f>
        <v>0</v>
      </c>
      <c r="BF9" s="43" t="n">
        <f aca="false">Calendario!BF$18</f>
        <v>0</v>
      </c>
      <c r="BG9" s="43" t="n">
        <f aca="false">Calendario!BG$18</f>
        <v>0</v>
      </c>
      <c r="BH9" s="43" t="n">
        <f aca="false">Calendario!BH$18</f>
        <v>0</v>
      </c>
      <c r="BI9" s="43" t="n">
        <f aca="false">Calendario!BI$18</f>
        <v>0</v>
      </c>
      <c r="BJ9" s="43" t="n">
        <f aca="false">Calendario!BJ$18</f>
        <v>0</v>
      </c>
      <c r="BK9" s="43" t="n">
        <f aca="false">Calendario!BK$18</f>
        <v>0</v>
      </c>
      <c r="BL9" s="43" t="n">
        <f aca="false">Calendario!BL$18</f>
        <v>0</v>
      </c>
      <c r="BM9" s="43" t="n">
        <f aca="false">Calendario!BM$18</f>
        <v>0</v>
      </c>
      <c r="BN9" s="43" t="n">
        <f aca="false">Calendario!BN$18</f>
        <v>0</v>
      </c>
      <c r="BO9" s="43" t="n">
        <f aca="false">Calendario!BO$18</f>
        <v>0</v>
      </c>
      <c r="BP9" s="43" t="n">
        <f aca="false">Calendario!BP$18</f>
        <v>0</v>
      </c>
      <c r="BQ9" s="43" t="n">
        <f aca="false">Calendario!BQ$18</f>
        <v>0</v>
      </c>
      <c r="BR9" s="43" t="n">
        <f aca="false">Calendario!BR$18</f>
        <v>0</v>
      </c>
      <c r="BS9" s="43" t="n">
        <f aca="false">Calendario!BS$18</f>
        <v>0</v>
      </c>
      <c r="BT9" s="43" t="n">
        <f aca="false">Calendario!BT$18</f>
        <v>0</v>
      </c>
      <c r="BU9" s="43" t="n">
        <f aca="false">Calendario!BU$18</f>
        <v>0</v>
      </c>
      <c r="BV9" s="43" t="n">
        <f aca="false">Calendario!BV$18</f>
        <v>0</v>
      </c>
      <c r="BW9" s="43" t="n">
        <f aca="false">Calendario!BW$18</f>
        <v>0</v>
      </c>
      <c r="BX9" s="43" t="n">
        <f aca="false">Calendario!BX$18</f>
        <v>0</v>
      </c>
      <c r="BY9" s="43" t="n">
        <f aca="false">Calendario!BY$18</f>
        <v>0</v>
      </c>
      <c r="BZ9" s="43" t="n">
        <f aca="false">Calendario!BZ$18</f>
        <v>0</v>
      </c>
      <c r="CA9" s="43" t="n">
        <f aca="false">Calendario!CA$18</f>
        <v>0</v>
      </c>
      <c r="CB9" s="43" t="n">
        <f aca="false">Calendario!CB$18</f>
        <v>0</v>
      </c>
      <c r="CC9" s="43" t="n">
        <f aca="false">Calendario!CC$18</f>
        <v>0</v>
      </c>
      <c r="CD9" s="43" t="n">
        <f aca="false">Calendario!CD$18</f>
        <v>0</v>
      </c>
      <c r="CE9" s="43" t="n">
        <f aca="false">Calendario!CE$18</f>
        <v>0</v>
      </c>
      <c r="CF9" s="43" t="n">
        <f aca="false">Calendario!CF$18</f>
        <v>0</v>
      </c>
      <c r="CG9" s="43" t="n">
        <f aca="false">Calendario!CG$18</f>
        <v>0</v>
      </c>
      <c r="CH9" s="43" t="n">
        <f aca="false">Calendario!CH$18</f>
        <v>0</v>
      </c>
      <c r="CI9" s="43" t="n">
        <f aca="false">Calendario!CI$18</f>
        <v>0</v>
      </c>
      <c r="CJ9" s="43" t="n">
        <f aca="false">Calendario!CJ$18</f>
        <v>0</v>
      </c>
      <c r="CK9" s="43" t="n">
        <f aca="false">Calendario!CK$18</f>
        <v>0</v>
      </c>
      <c r="CL9" s="43" t="n">
        <f aca="false">Calendario!CL$18</f>
        <v>0</v>
      </c>
      <c r="CM9" s="43" t="n">
        <f aca="false">Calendario!CM$18</f>
        <v>0</v>
      </c>
      <c r="CN9" s="43" t="n">
        <f aca="false">Calendario!CN$18</f>
        <v>0</v>
      </c>
      <c r="CO9" s="43" t="n">
        <f aca="false">Calendario!CO$18</f>
        <v>0</v>
      </c>
      <c r="CP9" s="43" t="n">
        <f aca="false">Calendario!CP$18</f>
        <v>0</v>
      </c>
      <c r="CQ9" s="43" t="n">
        <f aca="false">Calendario!CQ$18</f>
        <v>0</v>
      </c>
      <c r="CR9" s="43" t="n">
        <f aca="false">Calendario!CR$18</f>
        <v>0</v>
      </c>
      <c r="CS9" s="43" t="n">
        <f aca="false">Calendario!CS$18</f>
        <v>0</v>
      </c>
      <c r="CT9" s="43" t="n">
        <f aca="false">Calendario!CT$18</f>
        <v>0</v>
      </c>
      <c r="CU9" s="43" t="n">
        <f aca="false">Calendario!CU$18</f>
        <v>0</v>
      </c>
      <c r="CV9" s="43" t="n">
        <f aca="false">Calendario!CV$18</f>
        <v>0</v>
      </c>
      <c r="CW9" s="43" t="n">
        <f aca="false">Calendario!CW$18</f>
        <v>0</v>
      </c>
      <c r="CX9" s="43" t="n">
        <f aca="false">Calendario!CX$18</f>
        <v>0</v>
      </c>
      <c r="CY9" s="43" t="n">
        <f aca="false">Calendario!CY$18</f>
        <v>0</v>
      </c>
      <c r="CZ9" s="43" t="n">
        <f aca="false">Calendario!CZ$18</f>
        <v>0</v>
      </c>
      <c r="DA9" s="43" t="n">
        <f aca="false">Calendario!DA$18</f>
        <v>0</v>
      </c>
      <c r="DB9" s="43" t="n">
        <f aca="false">Calendario!DB$18</f>
        <v>0</v>
      </c>
      <c r="DC9" s="43" t="n">
        <f aca="false">Calendario!DC$18</f>
        <v>0</v>
      </c>
      <c r="DD9" s="43" t="n">
        <f aca="false">Calendario!DD$18</f>
        <v>0</v>
      </c>
      <c r="DE9" s="43" t="n">
        <f aca="false">Calendario!DE$18</f>
        <v>0</v>
      </c>
      <c r="DF9" s="43" t="n">
        <f aca="false">Calendario!DF$18</f>
        <v>0</v>
      </c>
      <c r="DG9" s="43" t="n">
        <f aca="false">Calendario!DG$18</f>
        <v>0</v>
      </c>
      <c r="DH9" s="43" t="n">
        <f aca="false">Calendario!DH$18</f>
        <v>0</v>
      </c>
      <c r="DI9" s="43" t="n">
        <f aca="false">Calendario!DI$18</f>
        <v>0</v>
      </c>
      <c r="DJ9" s="43" t="n">
        <f aca="false">Calendario!DJ$18</f>
        <v>0</v>
      </c>
      <c r="DK9" s="43" t="n">
        <f aca="false">Calendario!DK$18</f>
        <v>0</v>
      </c>
      <c r="DL9" s="43" t="n">
        <f aca="false">Calendario!DL$18</f>
        <v>0</v>
      </c>
      <c r="DM9" s="43" t="n">
        <f aca="false">Calendario!DM$18</f>
        <v>0</v>
      </c>
      <c r="DN9" s="43" t="n">
        <f aca="false">Calendario!DN$18</f>
        <v>0</v>
      </c>
      <c r="DO9" s="43" t="n">
        <f aca="false">Calendario!DO$18</f>
        <v>0</v>
      </c>
      <c r="DP9" s="43" t="n">
        <f aca="false">Calendario!DP$18</f>
        <v>0</v>
      </c>
      <c r="DQ9" s="43" t="n">
        <f aca="false">Calendario!DQ$18</f>
        <v>0</v>
      </c>
      <c r="DR9" s="43" t="n">
        <f aca="false">Calendario!DR$18</f>
        <v>0</v>
      </c>
      <c r="DS9" s="43" t="n">
        <f aca="false">Calendario!DS$18</f>
        <v>0</v>
      </c>
      <c r="DT9" s="43" t="n">
        <f aca="false">Calendario!DT$18</f>
        <v>0</v>
      </c>
      <c r="DU9" s="43" t="n">
        <f aca="false">Calendario!DU$18</f>
        <v>0</v>
      </c>
      <c r="DV9" s="43" t="n">
        <f aca="false">Calendario!DV$18</f>
        <v>0</v>
      </c>
      <c r="DW9" s="43" t="n">
        <f aca="false">Calendario!DW$18</f>
        <v>0</v>
      </c>
      <c r="DX9" s="43" t="n">
        <f aca="false">Calendario!DX$18</f>
        <v>0</v>
      </c>
      <c r="DY9" s="43" t="n">
        <f aca="false">Calendario!DY$18</f>
        <v>0</v>
      </c>
      <c r="DZ9" s="43" t="n">
        <f aca="false">Calendario!DZ$18</f>
        <v>0</v>
      </c>
      <c r="EA9" s="43" t="n">
        <f aca="false">Calendario!EA$18</f>
        <v>0</v>
      </c>
      <c r="EB9" s="43" t="n">
        <f aca="false">Calendario!EB$18</f>
        <v>0</v>
      </c>
      <c r="EC9" s="43" t="n">
        <f aca="false">Calendario!EC$18</f>
        <v>0</v>
      </c>
      <c r="ED9" s="43" t="n">
        <f aca="false">Calendario!ED$18</f>
        <v>0</v>
      </c>
      <c r="EE9" s="43" t="n">
        <f aca="false">Calendario!EE$18</f>
        <v>0</v>
      </c>
      <c r="EF9" s="43" t="n">
        <f aca="false">Calendario!EF$18</f>
        <v>0</v>
      </c>
      <c r="EG9" s="43" t="n">
        <f aca="false">Calendario!EG$18</f>
        <v>0</v>
      </c>
      <c r="EH9" s="43" t="n">
        <f aca="false">Calendario!EH$18</f>
        <v>0</v>
      </c>
      <c r="EI9" s="43" t="n">
        <f aca="false">Calendario!EI$18</f>
        <v>0</v>
      </c>
      <c r="EJ9" s="43" t="n">
        <f aca="false">Calendario!EJ$18</f>
        <v>0</v>
      </c>
      <c r="EK9" s="43" t="n">
        <f aca="false">Calendario!EK$18</f>
        <v>0</v>
      </c>
      <c r="EL9" s="43" t="n">
        <f aca="false">Calendario!EL$18</f>
        <v>0</v>
      </c>
      <c r="EM9" s="43" t="n">
        <f aca="false">Calendario!EM$18</f>
        <v>0</v>
      </c>
      <c r="EN9" s="43" t="n">
        <f aca="false">Calendario!EN$18</f>
        <v>0</v>
      </c>
      <c r="EO9" s="43" t="n">
        <f aca="false">Calendario!EO$18</f>
        <v>0</v>
      </c>
      <c r="EP9" s="43" t="n">
        <f aca="false">Calendario!EP$18</f>
        <v>0</v>
      </c>
      <c r="EQ9" s="43" t="n">
        <f aca="false">Calendario!EQ$18</f>
        <v>0</v>
      </c>
      <c r="ER9" s="43" t="n">
        <f aca="false">Calendario!ER$18</f>
        <v>0</v>
      </c>
      <c r="ES9" s="43" t="n">
        <f aca="false">Calendario!ES$18</f>
        <v>0</v>
      </c>
      <c r="ET9" s="43" t="n">
        <f aca="false">Calendario!ET$18</f>
        <v>0</v>
      </c>
      <c r="EU9" s="43" t="n">
        <f aca="false">Calendario!EU$18</f>
        <v>0</v>
      </c>
      <c r="EV9" s="43" t="n">
        <f aca="false">Calendario!EV$18</f>
        <v>0</v>
      </c>
      <c r="EW9" s="43" t="n">
        <f aca="false">Calendario!EW$18</f>
        <v>0</v>
      </c>
      <c r="EX9" s="43" t="n">
        <f aca="false">Calendario!EX$18</f>
        <v>0</v>
      </c>
      <c r="EY9" s="43" t="n">
        <f aca="false">Calendario!EY$18</f>
        <v>0</v>
      </c>
      <c r="EZ9" s="43" t="n">
        <f aca="false">Calendario!EZ$18</f>
        <v>0</v>
      </c>
      <c r="FA9" s="43" t="n">
        <f aca="false">Calendario!FA$18</f>
        <v>0</v>
      </c>
      <c r="FB9" s="43" t="n">
        <f aca="false">Calendario!FB$18</f>
        <v>0</v>
      </c>
      <c r="FC9" s="43" t="n">
        <f aca="false">Calendario!FC$18</f>
        <v>0</v>
      </c>
      <c r="FD9" s="43" t="n">
        <f aca="false">Calendario!FD$18</f>
        <v>0</v>
      </c>
      <c r="FE9" s="43" t="n">
        <f aca="false">Calendario!FE$18</f>
        <v>0</v>
      </c>
      <c r="FF9" s="43" t="n">
        <f aca="false">Calendario!FF$18</f>
        <v>0</v>
      </c>
    </row>
    <row r="10" customFormat="false" ht="15" hidden="false" customHeight="false" outlineLevel="0" collapsed="false">
      <c r="A10" s="4"/>
      <c r="B10" s="3" t="s">
        <v>819</v>
      </c>
      <c r="C10" s="4"/>
      <c r="D10" s="4"/>
      <c r="E10" s="4"/>
    </row>
    <row r="11" customFormat="false" ht="15" hidden="false" customHeight="false" outlineLevel="0" collapsed="false">
      <c r="A11" s="2" t="s">
        <v>820</v>
      </c>
      <c r="B11" s="8" t="s">
        <v>821</v>
      </c>
      <c r="C11" s="8" t="s">
        <v>201</v>
      </c>
      <c r="F11" s="48" t="n">
        <f aca="false">IF(F$8=0,0,IF(e_Rampa&lt;=0,1,MIN(1,e_Eff0+(1-e_Eff0)*(Calendario!F$10-1)/e_Rampa)))</f>
        <v>0</v>
      </c>
      <c r="G11" s="48" t="n">
        <f aca="false">IF(G$8=0,0,IF(e_Rampa&lt;=0,1,MIN(1,e_Eff0+(1-e_Eff0)*(Calendario!G$10-1)/e_Rampa)))</f>
        <v>1</v>
      </c>
      <c r="H11" s="48" t="n">
        <f aca="false">IF(H$8=0,0,IF(e_Rampa&lt;=0,1,MIN(1,e_Eff0+(1-e_Eff0)*(Calendario!H$10-1)/e_Rampa)))</f>
        <v>1</v>
      </c>
      <c r="I11" s="48" t="n">
        <f aca="false">IF(I$8=0,0,IF(e_Rampa&lt;=0,1,MIN(1,e_Eff0+(1-e_Eff0)*(Calendario!I$10-1)/e_Rampa)))</f>
        <v>1</v>
      </c>
      <c r="J11" s="48" t="n">
        <f aca="false">IF(J$8=0,0,IF(e_Rampa&lt;=0,1,MIN(1,e_Eff0+(1-e_Eff0)*(Calendario!J$10-1)/e_Rampa)))</f>
        <v>1</v>
      </c>
      <c r="K11" s="48" t="n">
        <f aca="false">IF(K$8=0,0,IF(e_Rampa&lt;=0,1,MIN(1,e_Eff0+(1-e_Eff0)*(Calendario!K$10-1)/e_Rampa)))</f>
        <v>1</v>
      </c>
      <c r="L11" s="48" t="n">
        <f aca="false">IF(L$8=0,0,IF(e_Rampa&lt;=0,1,MIN(1,e_Eff0+(1-e_Eff0)*(Calendario!L$10-1)/e_Rampa)))</f>
        <v>1</v>
      </c>
      <c r="M11" s="48" t="n">
        <f aca="false">IF(M$8=0,0,IF(e_Rampa&lt;=0,1,MIN(1,e_Eff0+(1-e_Eff0)*(Calendario!M$10-1)/e_Rampa)))</f>
        <v>1</v>
      </c>
      <c r="N11" s="48" t="n">
        <f aca="false">IF(N$8=0,0,IF(e_Rampa&lt;=0,1,MIN(1,e_Eff0+(1-e_Eff0)*(Calendario!N$10-1)/e_Rampa)))</f>
        <v>1</v>
      </c>
      <c r="O11" s="48" t="n">
        <f aca="false">IF(O$8=0,0,IF(e_Rampa&lt;=0,1,MIN(1,e_Eff0+(1-e_Eff0)*(Calendario!O$10-1)/e_Rampa)))</f>
        <v>1</v>
      </c>
      <c r="P11" s="48" t="n">
        <f aca="false">IF(P$8=0,0,IF(e_Rampa&lt;=0,1,MIN(1,e_Eff0+(1-e_Eff0)*(Calendario!P$10-1)/e_Rampa)))</f>
        <v>1</v>
      </c>
      <c r="Q11" s="48" t="n">
        <f aca="false">IF(Q$8=0,0,IF(e_Rampa&lt;=0,1,MIN(1,e_Eff0+(1-e_Eff0)*(Calendario!Q$10-1)/e_Rampa)))</f>
        <v>1</v>
      </c>
      <c r="R11" s="48" t="n">
        <f aca="false">IF(R$8=0,0,IF(e_Rampa&lt;=0,1,MIN(1,e_Eff0+(1-e_Eff0)*(Calendario!R$10-1)/e_Rampa)))</f>
        <v>1</v>
      </c>
      <c r="S11" s="48" t="n">
        <f aca="false">IF(S$8=0,0,IF(e_Rampa&lt;=0,1,MIN(1,e_Eff0+(1-e_Eff0)*(Calendario!S$10-1)/e_Rampa)))</f>
        <v>1</v>
      </c>
      <c r="T11" s="48" t="n">
        <f aca="false">IF(T$8=0,0,IF(e_Rampa&lt;=0,1,MIN(1,e_Eff0+(1-e_Eff0)*(Calendario!T$10-1)/e_Rampa)))</f>
        <v>1</v>
      </c>
      <c r="U11" s="48" t="n">
        <f aca="false">IF(U$8=0,0,IF(e_Rampa&lt;=0,1,MIN(1,e_Eff0+(1-e_Eff0)*(Calendario!U$10-1)/e_Rampa)))</f>
        <v>1</v>
      </c>
      <c r="V11" s="48" t="n">
        <f aca="false">IF(V$8=0,0,IF(e_Rampa&lt;=0,1,MIN(1,e_Eff0+(1-e_Eff0)*(Calendario!V$10-1)/e_Rampa)))</f>
        <v>1</v>
      </c>
      <c r="W11" s="48" t="n">
        <f aca="false">IF(W$8=0,0,IF(e_Rampa&lt;=0,1,MIN(1,e_Eff0+(1-e_Eff0)*(Calendario!W$10-1)/e_Rampa)))</f>
        <v>1</v>
      </c>
      <c r="X11" s="48" t="n">
        <f aca="false">IF(X$8=0,0,IF(e_Rampa&lt;=0,1,MIN(1,e_Eff0+(1-e_Eff0)*(Calendario!X$10-1)/e_Rampa)))</f>
        <v>1</v>
      </c>
      <c r="Y11" s="48" t="n">
        <f aca="false">IF(Y$8=0,0,IF(e_Rampa&lt;=0,1,MIN(1,e_Eff0+(1-e_Eff0)*(Calendario!Y$10-1)/e_Rampa)))</f>
        <v>1</v>
      </c>
      <c r="Z11" s="48" t="n">
        <f aca="false">IF(Z$8=0,0,IF(e_Rampa&lt;=0,1,MIN(1,e_Eff0+(1-e_Eff0)*(Calendario!Z$10-1)/e_Rampa)))</f>
        <v>1</v>
      </c>
      <c r="AA11" s="48" t="n">
        <f aca="false">IF(AA$8=0,0,IF(e_Rampa&lt;=0,1,MIN(1,e_Eff0+(1-e_Eff0)*(Calendario!AA$10-1)/e_Rampa)))</f>
        <v>1</v>
      </c>
      <c r="AB11" s="48" t="n">
        <f aca="false">IF(AB$8=0,0,IF(e_Rampa&lt;=0,1,MIN(1,e_Eff0+(1-e_Eff0)*(Calendario!AB$10-1)/e_Rampa)))</f>
        <v>1</v>
      </c>
      <c r="AC11" s="48" t="n">
        <f aca="false">IF(AC$8=0,0,IF(e_Rampa&lt;=0,1,MIN(1,e_Eff0+(1-e_Eff0)*(Calendario!AC$10-1)/e_Rampa)))</f>
        <v>1</v>
      </c>
      <c r="AD11" s="48" t="n">
        <f aca="false">IF(AD$8=0,0,IF(e_Rampa&lt;=0,1,MIN(1,e_Eff0+(1-e_Eff0)*(Calendario!AD$10-1)/e_Rampa)))</f>
        <v>1</v>
      </c>
      <c r="AE11" s="48" t="n">
        <f aca="false">IF(AE$8=0,0,IF(e_Rampa&lt;=0,1,MIN(1,e_Eff0+(1-e_Eff0)*(Calendario!AE$10-1)/e_Rampa)))</f>
        <v>1</v>
      </c>
      <c r="AF11" s="48" t="n">
        <f aca="false">IF(AF$8=0,0,IF(e_Rampa&lt;=0,1,MIN(1,e_Eff0+(1-e_Eff0)*(Calendario!AF$10-1)/e_Rampa)))</f>
        <v>1</v>
      </c>
      <c r="AG11" s="48" t="n">
        <f aca="false">IF(AG$8=0,0,IF(e_Rampa&lt;=0,1,MIN(1,e_Eff0+(1-e_Eff0)*(Calendario!AG$10-1)/e_Rampa)))</f>
        <v>1</v>
      </c>
      <c r="AH11" s="48" t="n">
        <f aca="false">IF(AH$8=0,0,IF(e_Rampa&lt;=0,1,MIN(1,e_Eff0+(1-e_Eff0)*(Calendario!AH$10-1)/e_Rampa)))</f>
        <v>1</v>
      </c>
      <c r="AI11" s="48" t="n">
        <f aca="false">IF(AI$8=0,0,IF(e_Rampa&lt;=0,1,MIN(1,e_Eff0+(1-e_Eff0)*(Calendario!AI$10-1)/e_Rampa)))</f>
        <v>1</v>
      </c>
      <c r="AJ11" s="48" t="n">
        <f aca="false">IF(AJ$8=0,0,IF(e_Rampa&lt;=0,1,MIN(1,e_Eff0+(1-e_Eff0)*(Calendario!AJ$10-1)/e_Rampa)))</f>
        <v>1</v>
      </c>
      <c r="AK11" s="48" t="n">
        <f aca="false">IF(AK$8=0,0,IF(e_Rampa&lt;=0,1,MIN(1,e_Eff0+(1-e_Eff0)*(Calendario!AK$10-1)/e_Rampa)))</f>
        <v>1</v>
      </c>
      <c r="AL11" s="48" t="n">
        <f aca="false">IF(AL$8=0,0,IF(e_Rampa&lt;=0,1,MIN(1,e_Eff0+(1-e_Eff0)*(Calendario!AL$10-1)/e_Rampa)))</f>
        <v>1</v>
      </c>
      <c r="AM11" s="48" t="n">
        <f aca="false">IF(AM$8=0,0,IF(e_Rampa&lt;=0,1,MIN(1,e_Eff0+(1-e_Eff0)*(Calendario!AM$10-1)/e_Rampa)))</f>
        <v>1</v>
      </c>
      <c r="AN11" s="48" t="n">
        <f aca="false">IF(AN$8=0,0,IF(e_Rampa&lt;=0,1,MIN(1,e_Eff0+(1-e_Eff0)*(Calendario!AN$10-1)/e_Rampa)))</f>
        <v>1</v>
      </c>
      <c r="AO11" s="48" t="n">
        <f aca="false">IF(AO$8=0,0,IF(e_Rampa&lt;=0,1,MIN(1,e_Eff0+(1-e_Eff0)*(Calendario!AO$10-1)/e_Rampa)))</f>
        <v>1</v>
      </c>
      <c r="AP11" s="48" t="n">
        <f aca="false">IF(AP$8=0,0,IF(e_Rampa&lt;=0,1,MIN(1,e_Eff0+(1-e_Eff0)*(Calendario!AP$10-1)/e_Rampa)))</f>
        <v>1</v>
      </c>
      <c r="AQ11" s="48" t="n">
        <f aca="false">IF(AQ$8=0,0,IF(e_Rampa&lt;=0,1,MIN(1,e_Eff0+(1-e_Eff0)*(Calendario!AQ$10-1)/e_Rampa)))</f>
        <v>1</v>
      </c>
      <c r="AR11" s="48" t="n">
        <f aca="false">IF(AR$8=0,0,IF(e_Rampa&lt;=0,1,MIN(1,e_Eff0+(1-e_Eff0)*(Calendario!AR$10-1)/e_Rampa)))</f>
        <v>1</v>
      </c>
      <c r="AS11" s="48" t="n">
        <f aca="false">IF(AS$8=0,0,IF(e_Rampa&lt;=0,1,MIN(1,e_Eff0+(1-e_Eff0)*(Calendario!AS$10-1)/e_Rampa)))</f>
        <v>1</v>
      </c>
      <c r="AT11" s="48" t="n">
        <f aca="false">IF(AT$8=0,0,IF(e_Rampa&lt;=0,1,MIN(1,e_Eff0+(1-e_Eff0)*(Calendario!AT$10-1)/e_Rampa)))</f>
        <v>1</v>
      </c>
      <c r="AU11" s="48" t="n">
        <f aca="false">IF(AU$8=0,0,IF(e_Rampa&lt;=0,1,MIN(1,e_Eff0+(1-e_Eff0)*(Calendario!AU$10-1)/e_Rampa)))</f>
        <v>1</v>
      </c>
      <c r="AV11" s="48" t="n">
        <f aca="false">IF(AV$8=0,0,IF(e_Rampa&lt;=0,1,MIN(1,e_Eff0+(1-e_Eff0)*(Calendario!AV$10-1)/e_Rampa)))</f>
        <v>1</v>
      </c>
      <c r="AW11" s="48" t="n">
        <f aca="false">IF(AW$8=0,0,IF(e_Rampa&lt;=0,1,MIN(1,e_Eff0+(1-e_Eff0)*(Calendario!AW$10-1)/e_Rampa)))</f>
        <v>1</v>
      </c>
      <c r="AX11" s="48" t="n">
        <f aca="false">IF(AX$8=0,0,IF(e_Rampa&lt;=0,1,MIN(1,e_Eff0+(1-e_Eff0)*(Calendario!AX$10-1)/e_Rampa)))</f>
        <v>1</v>
      </c>
      <c r="AY11" s="48" t="n">
        <f aca="false">IF(AY$8=0,0,IF(e_Rampa&lt;=0,1,MIN(1,e_Eff0+(1-e_Eff0)*(Calendario!AY$10-1)/e_Rampa)))</f>
        <v>1</v>
      </c>
      <c r="AZ11" s="48" t="n">
        <f aca="false">IF(AZ$8=0,0,IF(e_Rampa&lt;=0,1,MIN(1,e_Eff0+(1-e_Eff0)*(Calendario!AZ$10-1)/e_Rampa)))</f>
        <v>1</v>
      </c>
      <c r="BA11" s="48" t="n">
        <f aca="false">IF(BA$8=0,0,IF(e_Rampa&lt;=0,1,MIN(1,e_Eff0+(1-e_Eff0)*(Calendario!BA$10-1)/e_Rampa)))</f>
        <v>1</v>
      </c>
      <c r="BB11" s="48" t="n">
        <f aca="false">IF(BB$8=0,0,IF(e_Rampa&lt;=0,1,MIN(1,e_Eff0+(1-e_Eff0)*(Calendario!BB$10-1)/e_Rampa)))</f>
        <v>1</v>
      </c>
      <c r="BC11" s="48" t="n">
        <f aca="false">IF(BC$8=0,0,IF(e_Rampa&lt;=0,1,MIN(1,e_Eff0+(1-e_Eff0)*(Calendario!BC$10-1)/e_Rampa)))</f>
        <v>1</v>
      </c>
      <c r="BD11" s="48" t="n">
        <f aca="false">IF(BD$8=0,0,IF(e_Rampa&lt;=0,1,MIN(1,e_Eff0+(1-e_Eff0)*(Calendario!BD$10-1)/e_Rampa)))</f>
        <v>1</v>
      </c>
      <c r="BE11" s="48" t="n">
        <f aca="false">IF(BE$8=0,0,IF(e_Rampa&lt;=0,1,MIN(1,e_Eff0+(1-e_Eff0)*(Calendario!BE$10-1)/e_Rampa)))</f>
        <v>1</v>
      </c>
      <c r="BF11" s="48" t="n">
        <f aca="false">IF(BF$8=0,0,IF(e_Rampa&lt;=0,1,MIN(1,e_Eff0+(1-e_Eff0)*(Calendario!BF$10-1)/e_Rampa)))</f>
        <v>1</v>
      </c>
      <c r="BG11" s="48" t="n">
        <f aca="false">IF(BG$8=0,0,IF(e_Rampa&lt;=0,1,MIN(1,e_Eff0+(1-e_Eff0)*(Calendario!BG$10-1)/e_Rampa)))</f>
        <v>1</v>
      </c>
      <c r="BH11" s="48" t="n">
        <f aca="false">IF(BH$8=0,0,IF(e_Rampa&lt;=0,1,MIN(1,e_Eff0+(1-e_Eff0)*(Calendario!BH$10-1)/e_Rampa)))</f>
        <v>1</v>
      </c>
      <c r="BI11" s="48" t="n">
        <f aca="false">IF(BI$8=0,0,IF(e_Rampa&lt;=0,1,MIN(1,e_Eff0+(1-e_Eff0)*(Calendario!BI$10-1)/e_Rampa)))</f>
        <v>1</v>
      </c>
      <c r="BJ11" s="48" t="n">
        <f aca="false">IF(BJ$8=0,0,IF(e_Rampa&lt;=0,1,MIN(1,e_Eff0+(1-e_Eff0)*(Calendario!BJ$10-1)/e_Rampa)))</f>
        <v>1</v>
      </c>
      <c r="BK11" s="48" t="n">
        <f aca="false">IF(BK$8=0,0,IF(e_Rampa&lt;=0,1,MIN(1,e_Eff0+(1-e_Eff0)*(Calendario!BK$10-1)/e_Rampa)))</f>
        <v>1</v>
      </c>
      <c r="BL11" s="48" t="n">
        <f aca="false">IF(BL$8=0,0,IF(e_Rampa&lt;=0,1,MIN(1,e_Eff0+(1-e_Eff0)*(Calendario!BL$10-1)/e_Rampa)))</f>
        <v>1</v>
      </c>
      <c r="BM11" s="48" t="n">
        <f aca="false">IF(BM$8=0,0,IF(e_Rampa&lt;=0,1,MIN(1,e_Eff0+(1-e_Eff0)*(Calendario!BM$10-1)/e_Rampa)))</f>
        <v>1</v>
      </c>
      <c r="BN11" s="48" t="n">
        <f aca="false">IF(BN$8=0,0,IF(e_Rampa&lt;=0,1,MIN(1,e_Eff0+(1-e_Eff0)*(Calendario!BN$10-1)/e_Rampa)))</f>
        <v>1</v>
      </c>
      <c r="BO11" s="48" t="n">
        <f aca="false">IF(BO$8=0,0,IF(e_Rampa&lt;=0,1,MIN(1,e_Eff0+(1-e_Eff0)*(Calendario!BO$10-1)/e_Rampa)))</f>
        <v>1</v>
      </c>
      <c r="BP11" s="48" t="n">
        <f aca="false">IF(BP$8=0,0,IF(e_Rampa&lt;=0,1,MIN(1,e_Eff0+(1-e_Eff0)*(Calendario!BP$10-1)/e_Rampa)))</f>
        <v>1</v>
      </c>
      <c r="BQ11" s="48" t="n">
        <f aca="false">IF(BQ$8=0,0,IF(e_Rampa&lt;=0,1,MIN(1,e_Eff0+(1-e_Eff0)*(Calendario!BQ$10-1)/e_Rampa)))</f>
        <v>1</v>
      </c>
      <c r="BR11" s="48" t="n">
        <f aca="false">IF(BR$8=0,0,IF(e_Rampa&lt;=0,1,MIN(1,e_Eff0+(1-e_Eff0)*(Calendario!BR$10-1)/e_Rampa)))</f>
        <v>1</v>
      </c>
      <c r="BS11" s="48" t="n">
        <f aca="false">IF(BS$8=0,0,IF(e_Rampa&lt;=0,1,MIN(1,e_Eff0+(1-e_Eff0)*(Calendario!BS$10-1)/e_Rampa)))</f>
        <v>1</v>
      </c>
      <c r="BT11" s="48" t="n">
        <f aca="false">IF(BT$8=0,0,IF(e_Rampa&lt;=0,1,MIN(1,e_Eff0+(1-e_Eff0)*(Calendario!BT$10-1)/e_Rampa)))</f>
        <v>1</v>
      </c>
      <c r="BU11" s="48" t="n">
        <f aca="false">IF(BU$8=0,0,IF(e_Rampa&lt;=0,1,MIN(1,e_Eff0+(1-e_Eff0)*(Calendario!BU$10-1)/e_Rampa)))</f>
        <v>1</v>
      </c>
      <c r="BV11" s="48" t="n">
        <f aca="false">IF(BV$8=0,0,IF(e_Rampa&lt;=0,1,MIN(1,e_Eff0+(1-e_Eff0)*(Calendario!BV$10-1)/e_Rampa)))</f>
        <v>1</v>
      </c>
      <c r="BW11" s="48" t="n">
        <f aca="false">IF(BW$8=0,0,IF(e_Rampa&lt;=0,1,MIN(1,e_Eff0+(1-e_Eff0)*(Calendario!BW$10-1)/e_Rampa)))</f>
        <v>1</v>
      </c>
      <c r="BX11" s="48" t="n">
        <f aca="false">IF(BX$8=0,0,IF(e_Rampa&lt;=0,1,MIN(1,e_Eff0+(1-e_Eff0)*(Calendario!BX$10-1)/e_Rampa)))</f>
        <v>1</v>
      </c>
      <c r="BY11" s="48" t="n">
        <f aca="false">IF(BY$8=0,0,IF(e_Rampa&lt;=0,1,MIN(1,e_Eff0+(1-e_Eff0)*(Calendario!BY$10-1)/e_Rampa)))</f>
        <v>1</v>
      </c>
      <c r="BZ11" s="48" t="n">
        <f aca="false">IF(BZ$8=0,0,IF(e_Rampa&lt;=0,1,MIN(1,e_Eff0+(1-e_Eff0)*(Calendario!BZ$10-1)/e_Rampa)))</f>
        <v>1</v>
      </c>
      <c r="CA11" s="48" t="n">
        <f aca="false">IF(CA$8=0,0,IF(e_Rampa&lt;=0,1,MIN(1,e_Eff0+(1-e_Eff0)*(Calendario!CA$10-1)/e_Rampa)))</f>
        <v>1</v>
      </c>
      <c r="CB11" s="48" t="n">
        <f aca="false">IF(CB$8=0,0,IF(e_Rampa&lt;=0,1,MIN(1,e_Eff0+(1-e_Eff0)*(Calendario!CB$10-1)/e_Rampa)))</f>
        <v>1</v>
      </c>
      <c r="CC11" s="48" t="n">
        <f aca="false">IF(CC$8=0,0,IF(e_Rampa&lt;=0,1,MIN(1,e_Eff0+(1-e_Eff0)*(Calendario!CC$10-1)/e_Rampa)))</f>
        <v>1</v>
      </c>
      <c r="CD11" s="48" t="n">
        <f aca="false">IF(CD$8=0,0,IF(e_Rampa&lt;=0,1,MIN(1,e_Eff0+(1-e_Eff0)*(Calendario!CD$10-1)/e_Rampa)))</f>
        <v>1</v>
      </c>
      <c r="CE11" s="48" t="n">
        <f aca="false">IF(CE$8=0,0,IF(e_Rampa&lt;=0,1,MIN(1,e_Eff0+(1-e_Eff0)*(Calendario!CE$10-1)/e_Rampa)))</f>
        <v>1</v>
      </c>
      <c r="CF11" s="48" t="n">
        <f aca="false">IF(CF$8=0,0,IF(e_Rampa&lt;=0,1,MIN(1,e_Eff0+(1-e_Eff0)*(Calendario!CF$10-1)/e_Rampa)))</f>
        <v>1</v>
      </c>
      <c r="CG11" s="48" t="n">
        <f aca="false">IF(CG$8=0,0,IF(e_Rampa&lt;=0,1,MIN(1,e_Eff0+(1-e_Eff0)*(Calendario!CG$10-1)/e_Rampa)))</f>
        <v>1</v>
      </c>
      <c r="CH11" s="48" t="n">
        <f aca="false">IF(CH$8=0,0,IF(e_Rampa&lt;=0,1,MIN(1,e_Eff0+(1-e_Eff0)*(Calendario!CH$10-1)/e_Rampa)))</f>
        <v>1</v>
      </c>
      <c r="CI11" s="48" t="n">
        <f aca="false">IF(CI$8=0,0,IF(e_Rampa&lt;=0,1,MIN(1,e_Eff0+(1-e_Eff0)*(Calendario!CI$10-1)/e_Rampa)))</f>
        <v>1</v>
      </c>
      <c r="CJ11" s="48" t="n">
        <f aca="false">IF(CJ$8=0,0,IF(e_Rampa&lt;=0,1,MIN(1,e_Eff0+(1-e_Eff0)*(Calendario!CJ$10-1)/e_Rampa)))</f>
        <v>1</v>
      </c>
      <c r="CK11" s="48" t="n">
        <f aca="false">IF(CK$8=0,0,IF(e_Rampa&lt;=0,1,MIN(1,e_Eff0+(1-e_Eff0)*(Calendario!CK$10-1)/e_Rampa)))</f>
        <v>1</v>
      </c>
      <c r="CL11" s="48" t="n">
        <f aca="false">IF(CL$8=0,0,IF(e_Rampa&lt;=0,1,MIN(1,e_Eff0+(1-e_Eff0)*(Calendario!CL$10-1)/e_Rampa)))</f>
        <v>1</v>
      </c>
      <c r="CM11" s="48" t="n">
        <f aca="false">IF(CM$8=0,0,IF(e_Rampa&lt;=0,1,MIN(1,e_Eff0+(1-e_Eff0)*(Calendario!CM$10-1)/e_Rampa)))</f>
        <v>1</v>
      </c>
      <c r="CN11" s="48" t="n">
        <f aca="false">IF(CN$8=0,0,IF(e_Rampa&lt;=0,1,MIN(1,e_Eff0+(1-e_Eff0)*(Calendario!CN$10-1)/e_Rampa)))</f>
        <v>1</v>
      </c>
      <c r="CO11" s="48" t="n">
        <f aca="false">IF(CO$8=0,0,IF(e_Rampa&lt;=0,1,MIN(1,e_Eff0+(1-e_Eff0)*(Calendario!CO$10-1)/e_Rampa)))</f>
        <v>1</v>
      </c>
      <c r="CP11" s="48" t="n">
        <f aca="false">IF(CP$8=0,0,IF(e_Rampa&lt;=0,1,MIN(1,e_Eff0+(1-e_Eff0)*(Calendario!CP$10-1)/e_Rampa)))</f>
        <v>1</v>
      </c>
      <c r="CQ11" s="48" t="n">
        <f aca="false">IF(CQ$8=0,0,IF(e_Rampa&lt;=0,1,MIN(1,e_Eff0+(1-e_Eff0)*(Calendario!CQ$10-1)/e_Rampa)))</f>
        <v>1</v>
      </c>
      <c r="CR11" s="48" t="n">
        <f aca="false">IF(CR$8=0,0,IF(e_Rampa&lt;=0,1,MIN(1,e_Eff0+(1-e_Eff0)*(Calendario!CR$10-1)/e_Rampa)))</f>
        <v>1</v>
      </c>
      <c r="CS11" s="48" t="n">
        <f aca="false">IF(CS$8=0,0,IF(e_Rampa&lt;=0,1,MIN(1,e_Eff0+(1-e_Eff0)*(Calendario!CS$10-1)/e_Rampa)))</f>
        <v>1</v>
      </c>
      <c r="CT11" s="48" t="n">
        <f aca="false">IF(CT$8=0,0,IF(e_Rampa&lt;=0,1,MIN(1,e_Eff0+(1-e_Eff0)*(Calendario!CT$10-1)/e_Rampa)))</f>
        <v>1</v>
      </c>
      <c r="CU11" s="48" t="n">
        <f aca="false">IF(CU$8=0,0,IF(e_Rampa&lt;=0,1,MIN(1,e_Eff0+(1-e_Eff0)*(Calendario!CU$10-1)/e_Rampa)))</f>
        <v>1</v>
      </c>
      <c r="CV11" s="48" t="n">
        <f aca="false">IF(CV$8=0,0,IF(e_Rampa&lt;=0,1,MIN(1,e_Eff0+(1-e_Eff0)*(Calendario!CV$10-1)/e_Rampa)))</f>
        <v>1</v>
      </c>
      <c r="CW11" s="48" t="n">
        <f aca="false">IF(CW$8=0,0,IF(e_Rampa&lt;=0,1,MIN(1,e_Eff0+(1-e_Eff0)*(Calendario!CW$10-1)/e_Rampa)))</f>
        <v>1</v>
      </c>
      <c r="CX11" s="48" t="n">
        <f aca="false">IF(CX$8=0,0,IF(e_Rampa&lt;=0,1,MIN(1,e_Eff0+(1-e_Eff0)*(Calendario!CX$10-1)/e_Rampa)))</f>
        <v>1</v>
      </c>
      <c r="CY11" s="48" t="n">
        <f aca="false">IF(CY$8=0,0,IF(e_Rampa&lt;=0,1,MIN(1,e_Eff0+(1-e_Eff0)*(Calendario!CY$10-1)/e_Rampa)))</f>
        <v>1</v>
      </c>
      <c r="CZ11" s="48" t="n">
        <f aca="false">IF(CZ$8=0,0,IF(e_Rampa&lt;=0,1,MIN(1,e_Eff0+(1-e_Eff0)*(Calendario!CZ$10-1)/e_Rampa)))</f>
        <v>1</v>
      </c>
      <c r="DA11" s="48" t="n">
        <f aca="false">IF(DA$8=0,0,IF(e_Rampa&lt;=0,1,MIN(1,e_Eff0+(1-e_Eff0)*(Calendario!DA$10-1)/e_Rampa)))</f>
        <v>1</v>
      </c>
      <c r="DB11" s="48" t="n">
        <f aca="false">IF(DB$8=0,0,IF(e_Rampa&lt;=0,1,MIN(1,e_Eff0+(1-e_Eff0)*(Calendario!DB$10-1)/e_Rampa)))</f>
        <v>1</v>
      </c>
      <c r="DC11" s="48" t="n">
        <f aca="false">IF(DC$8=0,0,IF(e_Rampa&lt;=0,1,MIN(1,e_Eff0+(1-e_Eff0)*(Calendario!DC$10-1)/e_Rampa)))</f>
        <v>1</v>
      </c>
      <c r="DD11" s="48" t="n">
        <f aca="false">IF(DD$8=0,0,IF(e_Rampa&lt;=0,1,MIN(1,e_Eff0+(1-e_Eff0)*(Calendario!DD$10-1)/e_Rampa)))</f>
        <v>1</v>
      </c>
      <c r="DE11" s="48" t="n">
        <f aca="false">IF(DE$8=0,0,IF(e_Rampa&lt;=0,1,MIN(1,e_Eff0+(1-e_Eff0)*(Calendario!DE$10-1)/e_Rampa)))</f>
        <v>1</v>
      </c>
      <c r="DF11" s="48" t="n">
        <f aca="false">IF(DF$8=0,0,IF(e_Rampa&lt;=0,1,MIN(1,e_Eff0+(1-e_Eff0)*(Calendario!DF$10-1)/e_Rampa)))</f>
        <v>1</v>
      </c>
      <c r="DG11" s="48" t="n">
        <f aca="false">IF(DG$8=0,0,IF(e_Rampa&lt;=0,1,MIN(1,e_Eff0+(1-e_Eff0)*(Calendario!DG$10-1)/e_Rampa)))</f>
        <v>1</v>
      </c>
      <c r="DH11" s="48" t="n">
        <f aca="false">IF(DH$8=0,0,IF(e_Rampa&lt;=0,1,MIN(1,e_Eff0+(1-e_Eff0)*(Calendario!DH$10-1)/e_Rampa)))</f>
        <v>1</v>
      </c>
      <c r="DI11" s="48" t="n">
        <f aca="false">IF(DI$8=0,0,IF(e_Rampa&lt;=0,1,MIN(1,e_Eff0+(1-e_Eff0)*(Calendario!DI$10-1)/e_Rampa)))</f>
        <v>1</v>
      </c>
      <c r="DJ11" s="48" t="n">
        <f aca="false">IF(DJ$8=0,0,IF(e_Rampa&lt;=0,1,MIN(1,e_Eff0+(1-e_Eff0)*(Calendario!DJ$10-1)/e_Rampa)))</f>
        <v>1</v>
      </c>
      <c r="DK11" s="48" t="n">
        <f aca="false">IF(DK$8=0,0,IF(e_Rampa&lt;=0,1,MIN(1,e_Eff0+(1-e_Eff0)*(Calendario!DK$10-1)/e_Rampa)))</f>
        <v>1</v>
      </c>
      <c r="DL11" s="48" t="n">
        <f aca="false">IF(DL$8=0,0,IF(e_Rampa&lt;=0,1,MIN(1,e_Eff0+(1-e_Eff0)*(Calendario!DL$10-1)/e_Rampa)))</f>
        <v>1</v>
      </c>
      <c r="DM11" s="48" t="n">
        <f aca="false">IF(DM$8=0,0,IF(e_Rampa&lt;=0,1,MIN(1,e_Eff0+(1-e_Eff0)*(Calendario!DM$10-1)/e_Rampa)))</f>
        <v>1</v>
      </c>
      <c r="DN11" s="48" t="n">
        <f aca="false">IF(DN$8=0,0,IF(e_Rampa&lt;=0,1,MIN(1,e_Eff0+(1-e_Eff0)*(Calendario!DN$10-1)/e_Rampa)))</f>
        <v>1</v>
      </c>
      <c r="DO11" s="48" t="n">
        <f aca="false">IF(DO$8=0,0,IF(e_Rampa&lt;=0,1,MIN(1,e_Eff0+(1-e_Eff0)*(Calendario!DO$10-1)/e_Rampa)))</f>
        <v>1</v>
      </c>
      <c r="DP11" s="48" t="n">
        <f aca="false">IF(DP$8=0,0,IF(e_Rampa&lt;=0,1,MIN(1,e_Eff0+(1-e_Eff0)*(Calendario!DP$10-1)/e_Rampa)))</f>
        <v>1</v>
      </c>
      <c r="DQ11" s="48" t="n">
        <f aca="false">IF(DQ$8=0,0,IF(e_Rampa&lt;=0,1,MIN(1,e_Eff0+(1-e_Eff0)*(Calendario!DQ$10-1)/e_Rampa)))</f>
        <v>1</v>
      </c>
      <c r="DR11" s="48" t="n">
        <f aca="false">IF(DR$8=0,0,IF(e_Rampa&lt;=0,1,MIN(1,e_Eff0+(1-e_Eff0)*(Calendario!DR$10-1)/e_Rampa)))</f>
        <v>1</v>
      </c>
      <c r="DS11" s="48" t="n">
        <f aca="false">IF(DS$8=0,0,IF(e_Rampa&lt;=0,1,MIN(1,e_Eff0+(1-e_Eff0)*(Calendario!DS$10-1)/e_Rampa)))</f>
        <v>1</v>
      </c>
      <c r="DT11" s="48" t="n">
        <f aca="false">IF(DT$8=0,0,IF(e_Rampa&lt;=0,1,MIN(1,e_Eff0+(1-e_Eff0)*(Calendario!DT$10-1)/e_Rampa)))</f>
        <v>1</v>
      </c>
      <c r="DU11" s="48" t="n">
        <f aca="false">IF(DU$8=0,0,IF(e_Rampa&lt;=0,1,MIN(1,e_Eff0+(1-e_Eff0)*(Calendario!DU$10-1)/e_Rampa)))</f>
        <v>1</v>
      </c>
      <c r="DV11" s="48" t="n">
        <f aca="false">IF(DV$8=0,0,IF(e_Rampa&lt;=0,1,MIN(1,e_Eff0+(1-e_Eff0)*(Calendario!DV$10-1)/e_Rampa)))</f>
        <v>1</v>
      </c>
      <c r="DW11" s="48" t="n">
        <f aca="false">IF(DW$8=0,0,IF(e_Rampa&lt;=0,1,MIN(1,e_Eff0+(1-e_Eff0)*(Calendario!DW$10-1)/e_Rampa)))</f>
        <v>0</v>
      </c>
      <c r="DX11" s="48" t="n">
        <f aca="false">IF(DX$8=0,0,IF(e_Rampa&lt;=0,1,MIN(1,e_Eff0+(1-e_Eff0)*(Calendario!DX$10-1)/e_Rampa)))</f>
        <v>0</v>
      </c>
      <c r="DY11" s="48" t="n">
        <f aca="false">IF(DY$8=0,0,IF(e_Rampa&lt;=0,1,MIN(1,e_Eff0+(1-e_Eff0)*(Calendario!DY$10-1)/e_Rampa)))</f>
        <v>0</v>
      </c>
      <c r="DZ11" s="48" t="n">
        <f aca="false">IF(DZ$8=0,0,IF(e_Rampa&lt;=0,1,MIN(1,e_Eff0+(1-e_Eff0)*(Calendario!DZ$10-1)/e_Rampa)))</f>
        <v>0</v>
      </c>
      <c r="EA11" s="48" t="n">
        <f aca="false">IF(EA$8=0,0,IF(e_Rampa&lt;=0,1,MIN(1,e_Eff0+(1-e_Eff0)*(Calendario!EA$10-1)/e_Rampa)))</f>
        <v>0</v>
      </c>
      <c r="EB11" s="48" t="n">
        <f aca="false">IF(EB$8=0,0,IF(e_Rampa&lt;=0,1,MIN(1,e_Eff0+(1-e_Eff0)*(Calendario!EB$10-1)/e_Rampa)))</f>
        <v>0</v>
      </c>
      <c r="EC11" s="48" t="n">
        <f aca="false">IF(EC$8=0,0,IF(e_Rampa&lt;=0,1,MIN(1,e_Eff0+(1-e_Eff0)*(Calendario!EC$10-1)/e_Rampa)))</f>
        <v>0</v>
      </c>
      <c r="ED11" s="48" t="n">
        <f aca="false">IF(ED$8=0,0,IF(e_Rampa&lt;=0,1,MIN(1,e_Eff0+(1-e_Eff0)*(Calendario!ED$10-1)/e_Rampa)))</f>
        <v>0</v>
      </c>
      <c r="EE11" s="48" t="n">
        <f aca="false">IF(EE$8=0,0,IF(e_Rampa&lt;=0,1,MIN(1,e_Eff0+(1-e_Eff0)*(Calendario!EE$10-1)/e_Rampa)))</f>
        <v>0</v>
      </c>
      <c r="EF11" s="48" t="n">
        <f aca="false">IF(EF$8=0,0,IF(e_Rampa&lt;=0,1,MIN(1,e_Eff0+(1-e_Eff0)*(Calendario!EF$10-1)/e_Rampa)))</f>
        <v>0</v>
      </c>
      <c r="EG11" s="48" t="n">
        <f aca="false">IF(EG$8=0,0,IF(e_Rampa&lt;=0,1,MIN(1,e_Eff0+(1-e_Eff0)*(Calendario!EG$10-1)/e_Rampa)))</f>
        <v>0</v>
      </c>
      <c r="EH11" s="48" t="n">
        <f aca="false">IF(EH$8=0,0,IF(e_Rampa&lt;=0,1,MIN(1,e_Eff0+(1-e_Eff0)*(Calendario!EH$10-1)/e_Rampa)))</f>
        <v>0</v>
      </c>
      <c r="EI11" s="48" t="n">
        <f aca="false">IF(EI$8=0,0,IF(e_Rampa&lt;=0,1,MIN(1,e_Eff0+(1-e_Eff0)*(Calendario!EI$10-1)/e_Rampa)))</f>
        <v>0</v>
      </c>
      <c r="EJ11" s="48" t="n">
        <f aca="false">IF(EJ$8=0,0,IF(e_Rampa&lt;=0,1,MIN(1,e_Eff0+(1-e_Eff0)*(Calendario!EJ$10-1)/e_Rampa)))</f>
        <v>0</v>
      </c>
      <c r="EK11" s="48" t="n">
        <f aca="false">IF(EK$8=0,0,IF(e_Rampa&lt;=0,1,MIN(1,e_Eff0+(1-e_Eff0)*(Calendario!EK$10-1)/e_Rampa)))</f>
        <v>0</v>
      </c>
      <c r="EL11" s="48" t="n">
        <f aca="false">IF(EL$8=0,0,IF(e_Rampa&lt;=0,1,MIN(1,e_Eff0+(1-e_Eff0)*(Calendario!EL$10-1)/e_Rampa)))</f>
        <v>0</v>
      </c>
      <c r="EM11" s="48" t="n">
        <f aca="false">IF(EM$8=0,0,IF(e_Rampa&lt;=0,1,MIN(1,e_Eff0+(1-e_Eff0)*(Calendario!EM$10-1)/e_Rampa)))</f>
        <v>0</v>
      </c>
      <c r="EN11" s="48" t="n">
        <f aca="false">IF(EN$8=0,0,IF(e_Rampa&lt;=0,1,MIN(1,e_Eff0+(1-e_Eff0)*(Calendario!EN$10-1)/e_Rampa)))</f>
        <v>0</v>
      </c>
      <c r="EO11" s="48" t="n">
        <f aca="false">IF(EO$8=0,0,IF(e_Rampa&lt;=0,1,MIN(1,e_Eff0+(1-e_Eff0)*(Calendario!EO$10-1)/e_Rampa)))</f>
        <v>0</v>
      </c>
      <c r="EP11" s="48" t="n">
        <f aca="false">IF(EP$8=0,0,IF(e_Rampa&lt;=0,1,MIN(1,e_Eff0+(1-e_Eff0)*(Calendario!EP$10-1)/e_Rampa)))</f>
        <v>0</v>
      </c>
      <c r="EQ11" s="48" t="n">
        <f aca="false">IF(EQ$8=0,0,IF(e_Rampa&lt;=0,1,MIN(1,e_Eff0+(1-e_Eff0)*(Calendario!EQ$10-1)/e_Rampa)))</f>
        <v>0</v>
      </c>
      <c r="ER11" s="48" t="n">
        <f aca="false">IF(ER$8=0,0,IF(e_Rampa&lt;=0,1,MIN(1,e_Eff0+(1-e_Eff0)*(Calendario!ER$10-1)/e_Rampa)))</f>
        <v>0</v>
      </c>
      <c r="ES11" s="48" t="n">
        <f aca="false">IF(ES$8=0,0,IF(e_Rampa&lt;=0,1,MIN(1,e_Eff0+(1-e_Eff0)*(Calendario!ES$10-1)/e_Rampa)))</f>
        <v>0</v>
      </c>
      <c r="ET11" s="48" t="n">
        <f aca="false">IF(ET$8=0,0,IF(e_Rampa&lt;=0,1,MIN(1,e_Eff0+(1-e_Eff0)*(Calendario!ET$10-1)/e_Rampa)))</f>
        <v>0</v>
      </c>
      <c r="EU11" s="48" t="n">
        <f aca="false">IF(EU$8=0,0,IF(e_Rampa&lt;=0,1,MIN(1,e_Eff0+(1-e_Eff0)*(Calendario!EU$10-1)/e_Rampa)))</f>
        <v>0</v>
      </c>
      <c r="EV11" s="48" t="n">
        <f aca="false">IF(EV$8=0,0,IF(e_Rampa&lt;=0,1,MIN(1,e_Eff0+(1-e_Eff0)*(Calendario!EV$10-1)/e_Rampa)))</f>
        <v>0</v>
      </c>
      <c r="EW11" s="48" t="n">
        <f aca="false">IF(EW$8=0,0,IF(e_Rampa&lt;=0,1,MIN(1,e_Eff0+(1-e_Eff0)*(Calendario!EW$10-1)/e_Rampa)))</f>
        <v>0</v>
      </c>
      <c r="EX11" s="48" t="n">
        <f aca="false">IF(EX$8=0,0,IF(e_Rampa&lt;=0,1,MIN(1,e_Eff0+(1-e_Eff0)*(Calendario!EX$10-1)/e_Rampa)))</f>
        <v>0</v>
      </c>
      <c r="EY11" s="48" t="n">
        <f aca="false">IF(EY$8=0,0,IF(e_Rampa&lt;=0,1,MIN(1,e_Eff0+(1-e_Eff0)*(Calendario!EY$10-1)/e_Rampa)))</f>
        <v>0</v>
      </c>
      <c r="EZ11" s="48" t="n">
        <f aca="false">IF(EZ$8=0,0,IF(e_Rampa&lt;=0,1,MIN(1,e_Eff0+(1-e_Eff0)*(Calendario!EZ$10-1)/e_Rampa)))</f>
        <v>0</v>
      </c>
      <c r="FA11" s="48" t="n">
        <f aca="false">IF(FA$8=0,0,IF(e_Rampa&lt;=0,1,MIN(1,e_Eff0+(1-e_Eff0)*(Calendario!FA$10-1)/e_Rampa)))</f>
        <v>0</v>
      </c>
      <c r="FB11" s="48" t="n">
        <f aca="false">IF(FB$8=0,0,IF(e_Rampa&lt;=0,1,MIN(1,e_Eff0+(1-e_Eff0)*(Calendario!FB$10-1)/e_Rampa)))</f>
        <v>0</v>
      </c>
      <c r="FC11" s="48" t="n">
        <f aca="false">IF(FC$8=0,0,IF(e_Rampa&lt;=0,1,MIN(1,e_Eff0+(1-e_Eff0)*(Calendario!FC$10-1)/e_Rampa)))</f>
        <v>0</v>
      </c>
      <c r="FD11" s="48" t="n">
        <f aca="false">IF(FD$8=0,0,IF(e_Rampa&lt;=0,1,MIN(1,e_Eff0+(1-e_Eff0)*(Calendario!FD$10-1)/e_Rampa)))</f>
        <v>0</v>
      </c>
      <c r="FE11" s="48" t="n">
        <f aca="false">IF(FE$8=0,0,IF(e_Rampa&lt;=0,1,MIN(1,e_Eff0+(1-e_Eff0)*(Calendario!FE$10-1)/e_Rampa)))</f>
        <v>0</v>
      </c>
      <c r="FF11" s="48" t="n">
        <f aca="false">IF(FF$8=0,0,IF(e_Rampa&lt;=0,1,MIN(1,e_Eff0+(1-e_Eff0)*(Calendario!FF$10-1)/e_Rampa)))</f>
        <v>0</v>
      </c>
    </row>
    <row r="12" customFormat="false" ht="15" hidden="false" customHeight="false" outlineLevel="0" collapsed="false">
      <c r="A12" s="4"/>
      <c r="B12" s="3" t="s">
        <v>822</v>
      </c>
      <c r="C12" s="4"/>
      <c r="D12" s="4"/>
      <c r="E12" s="4"/>
    </row>
    <row r="13" customFormat="false" ht="15" hidden="false" customHeight="false" outlineLevel="0" collapsed="false">
      <c r="A13" s="2" t="s">
        <v>823</v>
      </c>
      <c r="B13" s="8" t="s">
        <v>824</v>
      </c>
      <c r="C13" s="8" t="s">
        <v>825</v>
      </c>
      <c r="E13" s="65" t="n">
        <f aca="false">SUM($F13:$FF13)</f>
        <v>206000</v>
      </c>
      <c r="F13" s="13" t="n">
        <f aca="false">IF(F$8=1,INDEX(Base_PDF!$F$86:$O$86,1,F$7)/12*(1+e_CapAdic),0)</f>
        <v>0</v>
      </c>
      <c r="G13" s="13" t="n">
        <f aca="false">IF(G$8=1,INDEX(Base_PDF!$F$86:$O$86,1,G$7)/12*(1+e_CapAdic),0)</f>
        <v>1250</v>
      </c>
      <c r="H13" s="13" t="n">
        <f aca="false">IF(H$8=1,INDEX(Base_PDF!$F$86:$O$86,1,H$7)/12*(1+e_CapAdic),0)</f>
        <v>1250</v>
      </c>
      <c r="I13" s="13" t="n">
        <f aca="false">IF(I$8=1,INDEX(Base_PDF!$F$86:$O$86,1,I$7)/12*(1+e_CapAdic),0)</f>
        <v>1250</v>
      </c>
      <c r="J13" s="13" t="n">
        <f aca="false">IF(J$8=1,INDEX(Base_PDF!$F$86:$O$86,1,J$7)/12*(1+e_CapAdic),0)</f>
        <v>1250</v>
      </c>
      <c r="K13" s="13" t="n">
        <f aca="false">IF(K$8=1,INDEX(Base_PDF!$F$86:$O$86,1,K$7)/12*(1+e_CapAdic),0)</f>
        <v>1250</v>
      </c>
      <c r="L13" s="13" t="n">
        <f aca="false">IF(L$8=1,INDEX(Base_PDF!$F$86:$O$86,1,L$7)/12*(1+e_CapAdic),0)</f>
        <v>1250</v>
      </c>
      <c r="M13" s="13" t="n">
        <f aca="false">IF(M$8=1,INDEX(Base_PDF!$F$86:$O$86,1,M$7)/12*(1+e_CapAdic),0)</f>
        <v>1250</v>
      </c>
      <c r="N13" s="13" t="n">
        <f aca="false">IF(N$8=1,INDEX(Base_PDF!$F$86:$O$86,1,N$7)/12*(1+e_CapAdic),0)</f>
        <v>1250</v>
      </c>
      <c r="O13" s="13" t="n">
        <f aca="false">IF(O$8=1,INDEX(Base_PDF!$F$86:$O$86,1,O$7)/12*(1+e_CapAdic),0)</f>
        <v>1250</v>
      </c>
      <c r="P13" s="13" t="n">
        <f aca="false">IF(P$8=1,INDEX(Base_PDF!$F$86:$O$86,1,P$7)/12*(1+e_CapAdic),0)</f>
        <v>1250</v>
      </c>
      <c r="Q13" s="13" t="n">
        <f aca="false">IF(Q$8=1,INDEX(Base_PDF!$F$86:$O$86,1,Q$7)/12*(1+e_CapAdic),0)</f>
        <v>1250</v>
      </c>
      <c r="R13" s="13" t="n">
        <f aca="false">IF(R$8=1,INDEX(Base_PDF!$F$86:$O$86,1,R$7)/12*(1+e_CapAdic),0)</f>
        <v>1250</v>
      </c>
      <c r="S13" s="13" t="n">
        <f aca="false">IF(S$8=1,INDEX(Base_PDF!$F$86:$O$86,1,S$7)/12*(1+e_CapAdic),0)</f>
        <v>1250</v>
      </c>
      <c r="T13" s="13" t="n">
        <f aca="false">IF(T$8=1,INDEX(Base_PDF!$F$86:$O$86,1,T$7)/12*(1+e_CapAdic),0)</f>
        <v>1250</v>
      </c>
      <c r="U13" s="13" t="n">
        <f aca="false">IF(U$8=1,INDEX(Base_PDF!$F$86:$O$86,1,U$7)/12*(1+e_CapAdic),0)</f>
        <v>1250</v>
      </c>
      <c r="V13" s="13" t="n">
        <f aca="false">IF(V$8=1,INDEX(Base_PDF!$F$86:$O$86,1,V$7)/12*(1+e_CapAdic),0)</f>
        <v>1250</v>
      </c>
      <c r="W13" s="13" t="n">
        <f aca="false">IF(W$8=1,INDEX(Base_PDF!$F$86:$O$86,1,W$7)/12*(1+e_CapAdic),0)</f>
        <v>1250</v>
      </c>
      <c r="X13" s="13" t="n">
        <f aca="false">IF(X$8=1,INDEX(Base_PDF!$F$86:$O$86,1,X$7)/12*(1+e_CapAdic),0)</f>
        <v>1250</v>
      </c>
      <c r="Y13" s="13" t="n">
        <f aca="false">IF(Y$8=1,INDEX(Base_PDF!$F$86:$O$86,1,Y$7)/12*(1+e_CapAdic),0)</f>
        <v>1250</v>
      </c>
      <c r="Z13" s="13" t="n">
        <f aca="false">IF(Z$8=1,INDEX(Base_PDF!$F$86:$O$86,1,Z$7)/12*(1+e_CapAdic),0)</f>
        <v>1250</v>
      </c>
      <c r="AA13" s="13" t="n">
        <f aca="false">IF(AA$8=1,INDEX(Base_PDF!$F$86:$O$86,1,AA$7)/12*(1+e_CapAdic),0)</f>
        <v>1250</v>
      </c>
      <c r="AB13" s="13" t="n">
        <f aca="false">IF(AB$8=1,INDEX(Base_PDF!$F$86:$O$86,1,AB$7)/12*(1+e_CapAdic),0)</f>
        <v>1250</v>
      </c>
      <c r="AC13" s="13" t="n">
        <f aca="false">IF(AC$8=1,INDEX(Base_PDF!$F$86:$O$86,1,AC$7)/12*(1+e_CapAdic),0)</f>
        <v>1250</v>
      </c>
      <c r="AD13" s="13" t="n">
        <f aca="false">IF(AD$8=1,INDEX(Base_PDF!$F$86:$O$86,1,AD$7)/12*(1+e_CapAdic),0)</f>
        <v>1250</v>
      </c>
      <c r="AE13" s="13" t="n">
        <f aca="false">IF(AE$8=1,INDEX(Base_PDF!$F$86:$O$86,1,AE$7)/12*(1+e_CapAdic),0)</f>
        <v>1833.33333333333</v>
      </c>
      <c r="AF13" s="13" t="n">
        <f aca="false">IF(AF$8=1,INDEX(Base_PDF!$F$86:$O$86,1,AF$7)/12*(1+e_CapAdic),0)</f>
        <v>1833.33333333333</v>
      </c>
      <c r="AG13" s="13" t="n">
        <f aca="false">IF(AG$8=1,INDEX(Base_PDF!$F$86:$O$86,1,AG$7)/12*(1+e_CapAdic),0)</f>
        <v>1833.33333333333</v>
      </c>
      <c r="AH13" s="13" t="n">
        <f aca="false">IF(AH$8=1,INDEX(Base_PDF!$F$86:$O$86,1,AH$7)/12*(1+e_CapAdic),0)</f>
        <v>1833.33333333333</v>
      </c>
      <c r="AI13" s="13" t="n">
        <f aca="false">IF(AI$8=1,INDEX(Base_PDF!$F$86:$O$86,1,AI$7)/12*(1+e_CapAdic),0)</f>
        <v>1833.33333333333</v>
      </c>
      <c r="AJ13" s="13" t="n">
        <f aca="false">IF(AJ$8=1,INDEX(Base_PDF!$F$86:$O$86,1,AJ$7)/12*(1+e_CapAdic),0)</f>
        <v>1833.33333333333</v>
      </c>
      <c r="AK13" s="13" t="n">
        <f aca="false">IF(AK$8=1,INDEX(Base_PDF!$F$86:$O$86,1,AK$7)/12*(1+e_CapAdic),0)</f>
        <v>1833.33333333333</v>
      </c>
      <c r="AL13" s="13" t="n">
        <f aca="false">IF(AL$8=1,INDEX(Base_PDF!$F$86:$O$86,1,AL$7)/12*(1+e_CapAdic),0)</f>
        <v>1833.33333333333</v>
      </c>
      <c r="AM13" s="13" t="n">
        <f aca="false">IF(AM$8=1,INDEX(Base_PDF!$F$86:$O$86,1,AM$7)/12*(1+e_CapAdic),0)</f>
        <v>1833.33333333333</v>
      </c>
      <c r="AN13" s="13" t="n">
        <f aca="false">IF(AN$8=1,INDEX(Base_PDF!$F$86:$O$86,1,AN$7)/12*(1+e_CapAdic),0)</f>
        <v>1833.33333333333</v>
      </c>
      <c r="AO13" s="13" t="n">
        <f aca="false">IF(AO$8=1,INDEX(Base_PDF!$F$86:$O$86,1,AO$7)/12*(1+e_CapAdic),0)</f>
        <v>1833.33333333333</v>
      </c>
      <c r="AP13" s="13" t="n">
        <f aca="false">IF(AP$8=1,INDEX(Base_PDF!$F$86:$O$86,1,AP$7)/12*(1+e_CapAdic),0)</f>
        <v>1833.33333333333</v>
      </c>
      <c r="AQ13" s="13" t="n">
        <f aca="false">IF(AQ$8=1,INDEX(Base_PDF!$F$86:$O$86,1,AQ$7)/12*(1+e_CapAdic),0)</f>
        <v>1833.33333333333</v>
      </c>
      <c r="AR13" s="13" t="n">
        <f aca="false">IF(AR$8=1,INDEX(Base_PDF!$F$86:$O$86,1,AR$7)/12*(1+e_CapAdic),0)</f>
        <v>1833.33333333333</v>
      </c>
      <c r="AS13" s="13" t="n">
        <f aca="false">IF(AS$8=1,INDEX(Base_PDF!$F$86:$O$86,1,AS$7)/12*(1+e_CapAdic),0)</f>
        <v>1833.33333333333</v>
      </c>
      <c r="AT13" s="13" t="n">
        <f aca="false">IF(AT$8=1,INDEX(Base_PDF!$F$86:$O$86,1,AT$7)/12*(1+e_CapAdic),0)</f>
        <v>1833.33333333333</v>
      </c>
      <c r="AU13" s="13" t="n">
        <f aca="false">IF(AU$8=1,INDEX(Base_PDF!$F$86:$O$86,1,AU$7)/12*(1+e_CapAdic),0)</f>
        <v>1833.33333333333</v>
      </c>
      <c r="AV13" s="13" t="n">
        <f aca="false">IF(AV$8=1,INDEX(Base_PDF!$F$86:$O$86,1,AV$7)/12*(1+e_CapAdic),0)</f>
        <v>1833.33333333333</v>
      </c>
      <c r="AW13" s="13" t="n">
        <f aca="false">IF(AW$8=1,INDEX(Base_PDF!$F$86:$O$86,1,AW$7)/12*(1+e_CapAdic),0)</f>
        <v>1833.33333333333</v>
      </c>
      <c r="AX13" s="13" t="n">
        <f aca="false">IF(AX$8=1,INDEX(Base_PDF!$F$86:$O$86,1,AX$7)/12*(1+e_CapAdic),0)</f>
        <v>1833.33333333333</v>
      </c>
      <c r="AY13" s="13" t="n">
        <f aca="false">IF(AY$8=1,INDEX(Base_PDF!$F$86:$O$86,1,AY$7)/12*(1+e_CapAdic),0)</f>
        <v>1833.33333333333</v>
      </c>
      <c r="AZ13" s="13" t="n">
        <f aca="false">IF(AZ$8=1,INDEX(Base_PDF!$F$86:$O$86,1,AZ$7)/12*(1+e_CapAdic),0)</f>
        <v>1833.33333333333</v>
      </c>
      <c r="BA13" s="13" t="n">
        <f aca="false">IF(BA$8=1,INDEX(Base_PDF!$F$86:$O$86,1,BA$7)/12*(1+e_CapAdic),0)</f>
        <v>1833.33333333333</v>
      </c>
      <c r="BB13" s="13" t="n">
        <f aca="false">IF(BB$8=1,INDEX(Base_PDF!$F$86:$O$86,1,BB$7)/12*(1+e_CapAdic),0)</f>
        <v>1833.33333333333</v>
      </c>
      <c r="BC13" s="13" t="n">
        <f aca="false">IF(BC$8=1,INDEX(Base_PDF!$F$86:$O$86,1,BC$7)/12*(1+e_CapAdic),0)</f>
        <v>1833.33333333333</v>
      </c>
      <c r="BD13" s="13" t="n">
        <f aca="false">IF(BD$8=1,INDEX(Base_PDF!$F$86:$O$86,1,BD$7)/12*(1+e_CapAdic),0)</f>
        <v>1833.33333333333</v>
      </c>
      <c r="BE13" s="13" t="n">
        <f aca="false">IF(BE$8=1,INDEX(Base_PDF!$F$86:$O$86,1,BE$7)/12*(1+e_CapAdic),0)</f>
        <v>1833.33333333333</v>
      </c>
      <c r="BF13" s="13" t="n">
        <f aca="false">IF(BF$8=1,INDEX(Base_PDF!$F$86:$O$86,1,BF$7)/12*(1+e_CapAdic),0)</f>
        <v>1833.33333333333</v>
      </c>
      <c r="BG13" s="13" t="n">
        <f aca="false">IF(BG$8=1,INDEX(Base_PDF!$F$86:$O$86,1,BG$7)/12*(1+e_CapAdic),0)</f>
        <v>1833.33333333333</v>
      </c>
      <c r="BH13" s="13" t="n">
        <f aca="false">IF(BH$8=1,INDEX(Base_PDF!$F$86:$O$86,1,BH$7)/12*(1+e_CapAdic),0)</f>
        <v>1833.33333333333</v>
      </c>
      <c r="BI13" s="13" t="n">
        <f aca="false">IF(BI$8=1,INDEX(Base_PDF!$F$86:$O$86,1,BI$7)/12*(1+e_CapAdic),0)</f>
        <v>1833.33333333333</v>
      </c>
      <c r="BJ13" s="13" t="n">
        <f aca="false">IF(BJ$8=1,INDEX(Base_PDF!$F$86:$O$86,1,BJ$7)/12*(1+e_CapAdic),0)</f>
        <v>1833.33333333333</v>
      </c>
      <c r="BK13" s="13" t="n">
        <f aca="false">IF(BK$8=1,INDEX(Base_PDF!$F$86:$O$86,1,BK$7)/12*(1+e_CapAdic),0)</f>
        <v>1833.33333333333</v>
      </c>
      <c r="BL13" s="13" t="n">
        <f aca="false">IF(BL$8=1,INDEX(Base_PDF!$F$86:$O$86,1,BL$7)/12*(1+e_CapAdic),0)</f>
        <v>1833.33333333333</v>
      </c>
      <c r="BM13" s="13" t="n">
        <f aca="false">IF(BM$8=1,INDEX(Base_PDF!$F$86:$O$86,1,BM$7)/12*(1+e_CapAdic),0)</f>
        <v>1833.33333333333</v>
      </c>
      <c r="BN13" s="13" t="n">
        <f aca="false">IF(BN$8=1,INDEX(Base_PDF!$F$86:$O$86,1,BN$7)/12*(1+e_CapAdic),0)</f>
        <v>1833.33333333333</v>
      </c>
      <c r="BO13" s="13" t="n">
        <f aca="false">IF(BO$8=1,INDEX(Base_PDF!$F$86:$O$86,1,BO$7)/12*(1+e_CapAdic),0)</f>
        <v>1833.33333333333</v>
      </c>
      <c r="BP13" s="13" t="n">
        <f aca="false">IF(BP$8=1,INDEX(Base_PDF!$F$86:$O$86,1,BP$7)/12*(1+e_CapAdic),0)</f>
        <v>1833.33333333333</v>
      </c>
      <c r="BQ13" s="13" t="n">
        <f aca="false">IF(BQ$8=1,INDEX(Base_PDF!$F$86:$O$86,1,BQ$7)/12*(1+e_CapAdic),0)</f>
        <v>1833.33333333333</v>
      </c>
      <c r="BR13" s="13" t="n">
        <f aca="false">IF(BR$8=1,INDEX(Base_PDF!$F$86:$O$86,1,BR$7)/12*(1+e_CapAdic),0)</f>
        <v>1833.33333333333</v>
      </c>
      <c r="BS13" s="13" t="n">
        <f aca="false">IF(BS$8=1,INDEX(Base_PDF!$F$86:$O$86,1,BS$7)/12*(1+e_CapAdic),0)</f>
        <v>1833.33333333333</v>
      </c>
      <c r="BT13" s="13" t="n">
        <f aca="false">IF(BT$8=1,INDEX(Base_PDF!$F$86:$O$86,1,BT$7)/12*(1+e_CapAdic),0)</f>
        <v>1833.33333333333</v>
      </c>
      <c r="BU13" s="13" t="n">
        <f aca="false">IF(BU$8=1,INDEX(Base_PDF!$F$86:$O$86,1,BU$7)/12*(1+e_CapAdic),0)</f>
        <v>1833.33333333333</v>
      </c>
      <c r="BV13" s="13" t="n">
        <f aca="false">IF(BV$8=1,INDEX(Base_PDF!$F$86:$O$86,1,BV$7)/12*(1+e_CapAdic),0)</f>
        <v>1833.33333333333</v>
      </c>
      <c r="BW13" s="13" t="n">
        <f aca="false">IF(BW$8=1,INDEX(Base_PDF!$F$86:$O$86,1,BW$7)/12*(1+e_CapAdic),0)</f>
        <v>1833.33333333333</v>
      </c>
      <c r="BX13" s="13" t="n">
        <f aca="false">IF(BX$8=1,INDEX(Base_PDF!$F$86:$O$86,1,BX$7)/12*(1+e_CapAdic),0)</f>
        <v>1833.33333333333</v>
      </c>
      <c r="BY13" s="13" t="n">
        <f aca="false">IF(BY$8=1,INDEX(Base_PDF!$F$86:$O$86,1,BY$7)/12*(1+e_CapAdic),0)</f>
        <v>1833.33333333333</v>
      </c>
      <c r="BZ13" s="13" t="n">
        <f aca="false">IF(BZ$8=1,INDEX(Base_PDF!$F$86:$O$86,1,BZ$7)/12*(1+e_CapAdic),0)</f>
        <v>1833.33333333333</v>
      </c>
      <c r="CA13" s="13" t="n">
        <f aca="false">IF(CA$8=1,INDEX(Base_PDF!$F$86:$O$86,1,CA$7)/12*(1+e_CapAdic),0)</f>
        <v>1833.33333333333</v>
      </c>
      <c r="CB13" s="13" t="n">
        <f aca="false">IF(CB$8=1,INDEX(Base_PDF!$F$86:$O$86,1,CB$7)/12*(1+e_CapAdic),0)</f>
        <v>1833.33333333333</v>
      </c>
      <c r="CC13" s="13" t="n">
        <f aca="false">IF(CC$8=1,INDEX(Base_PDF!$F$86:$O$86,1,CC$7)/12*(1+e_CapAdic),0)</f>
        <v>1833.33333333333</v>
      </c>
      <c r="CD13" s="13" t="n">
        <f aca="false">IF(CD$8=1,INDEX(Base_PDF!$F$86:$O$86,1,CD$7)/12*(1+e_CapAdic),0)</f>
        <v>1833.33333333333</v>
      </c>
      <c r="CE13" s="13" t="n">
        <f aca="false">IF(CE$8=1,INDEX(Base_PDF!$F$86:$O$86,1,CE$7)/12*(1+e_CapAdic),0)</f>
        <v>1833.33333333333</v>
      </c>
      <c r="CF13" s="13" t="n">
        <f aca="false">IF(CF$8=1,INDEX(Base_PDF!$F$86:$O$86,1,CF$7)/12*(1+e_CapAdic),0)</f>
        <v>1833.33333333333</v>
      </c>
      <c r="CG13" s="13" t="n">
        <f aca="false">IF(CG$8=1,INDEX(Base_PDF!$F$86:$O$86,1,CG$7)/12*(1+e_CapAdic),0)</f>
        <v>1833.33333333333</v>
      </c>
      <c r="CH13" s="13" t="n">
        <f aca="false">IF(CH$8=1,INDEX(Base_PDF!$F$86:$O$86,1,CH$7)/12*(1+e_CapAdic),0)</f>
        <v>1833.33333333333</v>
      </c>
      <c r="CI13" s="13" t="n">
        <f aca="false">IF(CI$8=1,INDEX(Base_PDF!$F$86:$O$86,1,CI$7)/12*(1+e_CapAdic),0)</f>
        <v>1833.33333333333</v>
      </c>
      <c r="CJ13" s="13" t="n">
        <f aca="false">IF(CJ$8=1,INDEX(Base_PDF!$F$86:$O$86,1,CJ$7)/12*(1+e_CapAdic),0)</f>
        <v>1833.33333333333</v>
      </c>
      <c r="CK13" s="13" t="n">
        <f aca="false">IF(CK$8=1,INDEX(Base_PDF!$F$86:$O$86,1,CK$7)/12*(1+e_CapAdic),0)</f>
        <v>1833.33333333333</v>
      </c>
      <c r="CL13" s="13" t="n">
        <f aca="false">IF(CL$8=1,INDEX(Base_PDF!$F$86:$O$86,1,CL$7)/12*(1+e_CapAdic),0)</f>
        <v>1833.33333333333</v>
      </c>
      <c r="CM13" s="13" t="n">
        <f aca="false">IF(CM$8=1,INDEX(Base_PDF!$F$86:$O$86,1,CM$7)/12*(1+e_CapAdic),0)</f>
        <v>1833.33333333333</v>
      </c>
      <c r="CN13" s="13" t="n">
        <f aca="false">IF(CN$8=1,INDEX(Base_PDF!$F$86:$O$86,1,CN$7)/12*(1+e_CapAdic),0)</f>
        <v>1833.33333333333</v>
      </c>
      <c r="CO13" s="13" t="n">
        <f aca="false">IF(CO$8=1,INDEX(Base_PDF!$F$86:$O$86,1,CO$7)/12*(1+e_CapAdic),0)</f>
        <v>1833.33333333333</v>
      </c>
      <c r="CP13" s="13" t="n">
        <f aca="false">IF(CP$8=1,INDEX(Base_PDF!$F$86:$O$86,1,CP$7)/12*(1+e_CapAdic),0)</f>
        <v>1833.33333333333</v>
      </c>
      <c r="CQ13" s="13" t="n">
        <f aca="false">IF(CQ$8=1,INDEX(Base_PDF!$F$86:$O$86,1,CQ$7)/12*(1+e_CapAdic),0)</f>
        <v>1833.33333333333</v>
      </c>
      <c r="CR13" s="13" t="n">
        <f aca="false">IF(CR$8=1,INDEX(Base_PDF!$F$86:$O$86,1,CR$7)/12*(1+e_CapAdic),0)</f>
        <v>1833.33333333333</v>
      </c>
      <c r="CS13" s="13" t="n">
        <f aca="false">IF(CS$8=1,INDEX(Base_PDF!$F$86:$O$86,1,CS$7)/12*(1+e_CapAdic),0)</f>
        <v>1833.33333333333</v>
      </c>
      <c r="CT13" s="13" t="n">
        <f aca="false">IF(CT$8=1,INDEX(Base_PDF!$F$86:$O$86,1,CT$7)/12*(1+e_CapAdic),0)</f>
        <v>1833.33333333333</v>
      </c>
      <c r="CU13" s="13" t="n">
        <f aca="false">IF(CU$8=1,INDEX(Base_PDF!$F$86:$O$86,1,CU$7)/12*(1+e_CapAdic),0)</f>
        <v>1833.33333333333</v>
      </c>
      <c r="CV13" s="13" t="n">
        <f aca="false">IF(CV$8=1,INDEX(Base_PDF!$F$86:$O$86,1,CV$7)/12*(1+e_CapAdic),0)</f>
        <v>1833.33333333333</v>
      </c>
      <c r="CW13" s="13" t="n">
        <f aca="false">IF(CW$8=1,INDEX(Base_PDF!$F$86:$O$86,1,CW$7)/12*(1+e_CapAdic),0)</f>
        <v>1833.33333333333</v>
      </c>
      <c r="CX13" s="13" t="n">
        <f aca="false">IF(CX$8=1,INDEX(Base_PDF!$F$86:$O$86,1,CX$7)/12*(1+e_CapAdic),0)</f>
        <v>1833.33333333333</v>
      </c>
      <c r="CY13" s="13" t="n">
        <f aca="false">IF(CY$8=1,INDEX(Base_PDF!$F$86:$O$86,1,CY$7)/12*(1+e_CapAdic),0)</f>
        <v>1833.33333333333</v>
      </c>
      <c r="CZ13" s="13" t="n">
        <f aca="false">IF(CZ$8=1,INDEX(Base_PDF!$F$86:$O$86,1,CZ$7)/12*(1+e_CapAdic),0)</f>
        <v>1833.33333333333</v>
      </c>
      <c r="DA13" s="13" t="n">
        <f aca="false">IF(DA$8=1,INDEX(Base_PDF!$F$86:$O$86,1,DA$7)/12*(1+e_CapAdic),0)</f>
        <v>1833.33333333333</v>
      </c>
      <c r="DB13" s="13" t="n">
        <f aca="false">IF(DB$8=1,INDEX(Base_PDF!$F$86:$O$86,1,DB$7)/12*(1+e_CapAdic),0)</f>
        <v>1833.33333333333</v>
      </c>
      <c r="DC13" s="13" t="n">
        <f aca="false">IF(DC$8=1,INDEX(Base_PDF!$F$86:$O$86,1,DC$7)/12*(1+e_CapAdic),0)</f>
        <v>1833.33333333333</v>
      </c>
      <c r="DD13" s="13" t="n">
        <f aca="false">IF(DD$8=1,INDEX(Base_PDF!$F$86:$O$86,1,DD$7)/12*(1+e_CapAdic),0)</f>
        <v>1833.33333333333</v>
      </c>
      <c r="DE13" s="13" t="n">
        <f aca="false">IF(DE$8=1,INDEX(Base_PDF!$F$86:$O$86,1,DE$7)/12*(1+e_CapAdic),0)</f>
        <v>1833.33333333333</v>
      </c>
      <c r="DF13" s="13" t="n">
        <f aca="false">IF(DF$8=1,INDEX(Base_PDF!$F$86:$O$86,1,DF$7)/12*(1+e_CapAdic),0)</f>
        <v>1833.33333333333</v>
      </c>
      <c r="DG13" s="13" t="n">
        <f aca="false">IF(DG$8=1,INDEX(Base_PDF!$F$86:$O$86,1,DG$7)/12*(1+e_CapAdic),0)</f>
        <v>1833.33333333333</v>
      </c>
      <c r="DH13" s="13" t="n">
        <f aca="false">IF(DH$8=1,INDEX(Base_PDF!$F$86:$O$86,1,DH$7)/12*(1+e_CapAdic),0)</f>
        <v>1833.33333333333</v>
      </c>
      <c r="DI13" s="13" t="n">
        <f aca="false">IF(DI$8=1,INDEX(Base_PDF!$F$86:$O$86,1,DI$7)/12*(1+e_CapAdic),0)</f>
        <v>1833.33333333333</v>
      </c>
      <c r="DJ13" s="13" t="n">
        <f aca="false">IF(DJ$8=1,INDEX(Base_PDF!$F$86:$O$86,1,DJ$7)/12*(1+e_CapAdic),0)</f>
        <v>1833.33333333333</v>
      </c>
      <c r="DK13" s="13" t="n">
        <f aca="false">IF(DK$8=1,INDEX(Base_PDF!$F$86:$O$86,1,DK$7)/12*(1+e_CapAdic),0)</f>
        <v>1833.33333333333</v>
      </c>
      <c r="DL13" s="13" t="n">
        <f aca="false">IF(DL$8=1,INDEX(Base_PDF!$F$86:$O$86,1,DL$7)/12*(1+e_CapAdic),0)</f>
        <v>1833.33333333333</v>
      </c>
      <c r="DM13" s="13" t="n">
        <f aca="false">IF(DM$8=1,INDEX(Base_PDF!$F$86:$O$86,1,DM$7)/12*(1+e_CapAdic),0)</f>
        <v>1833.33333333333</v>
      </c>
      <c r="DN13" s="13" t="n">
        <f aca="false">IF(DN$8=1,INDEX(Base_PDF!$F$86:$O$86,1,DN$7)/12*(1+e_CapAdic),0)</f>
        <v>1833.33333333333</v>
      </c>
      <c r="DO13" s="13" t="n">
        <f aca="false">IF(DO$8=1,INDEX(Base_PDF!$F$86:$O$86,1,DO$7)/12*(1+e_CapAdic),0)</f>
        <v>1833.33333333333</v>
      </c>
      <c r="DP13" s="13" t="n">
        <f aca="false">IF(DP$8=1,INDEX(Base_PDF!$F$86:$O$86,1,DP$7)/12*(1+e_CapAdic),0)</f>
        <v>1833.33333333333</v>
      </c>
      <c r="DQ13" s="13" t="n">
        <f aca="false">IF(DQ$8=1,INDEX(Base_PDF!$F$86:$O$86,1,DQ$7)/12*(1+e_CapAdic),0)</f>
        <v>1833.33333333333</v>
      </c>
      <c r="DR13" s="13" t="n">
        <f aca="false">IF(DR$8=1,INDEX(Base_PDF!$F$86:$O$86,1,DR$7)/12*(1+e_CapAdic),0)</f>
        <v>1833.33333333333</v>
      </c>
      <c r="DS13" s="13" t="n">
        <f aca="false">IF(DS$8=1,INDEX(Base_PDF!$F$86:$O$86,1,DS$7)/12*(1+e_CapAdic),0)</f>
        <v>1833.33333333333</v>
      </c>
      <c r="DT13" s="13" t="n">
        <f aca="false">IF(DT$8=1,INDEX(Base_PDF!$F$86:$O$86,1,DT$7)/12*(1+e_CapAdic),0)</f>
        <v>1833.33333333333</v>
      </c>
      <c r="DU13" s="13" t="n">
        <f aca="false">IF(DU$8=1,INDEX(Base_PDF!$F$86:$O$86,1,DU$7)/12*(1+e_CapAdic),0)</f>
        <v>1833.33333333333</v>
      </c>
      <c r="DV13" s="13" t="n">
        <f aca="false">IF(DV$8=1,INDEX(Base_PDF!$F$86:$O$86,1,DV$7)/12*(1+e_CapAdic),0)</f>
        <v>1833.33333333333</v>
      </c>
      <c r="DW13" s="13" t="n">
        <f aca="false">IF(DW$8=1,INDEX(Base_PDF!$F$86:$O$86,1,DW$7)/12*(1+e_CapAdic),0)</f>
        <v>0</v>
      </c>
      <c r="DX13" s="13" t="n">
        <f aca="false">IF(DX$8=1,INDEX(Base_PDF!$F$86:$O$86,1,DX$7)/12*(1+e_CapAdic),0)</f>
        <v>0</v>
      </c>
      <c r="DY13" s="13" t="n">
        <f aca="false">IF(DY$8=1,INDEX(Base_PDF!$F$86:$O$86,1,DY$7)/12*(1+e_CapAdic),0)</f>
        <v>0</v>
      </c>
      <c r="DZ13" s="13" t="n">
        <f aca="false">IF(DZ$8=1,INDEX(Base_PDF!$F$86:$O$86,1,DZ$7)/12*(1+e_CapAdic),0)</f>
        <v>0</v>
      </c>
      <c r="EA13" s="13" t="n">
        <f aca="false">IF(EA$8=1,INDEX(Base_PDF!$F$86:$O$86,1,EA$7)/12*(1+e_CapAdic),0)</f>
        <v>0</v>
      </c>
      <c r="EB13" s="13" t="n">
        <f aca="false">IF(EB$8=1,INDEX(Base_PDF!$F$86:$O$86,1,EB$7)/12*(1+e_CapAdic),0)</f>
        <v>0</v>
      </c>
      <c r="EC13" s="13" t="n">
        <f aca="false">IF(EC$8=1,INDEX(Base_PDF!$F$86:$O$86,1,EC$7)/12*(1+e_CapAdic),0)</f>
        <v>0</v>
      </c>
      <c r="ED13" s="13" t="n">
        <f aca="false">IF(ED$8=1,INDEX(Base_PDF!$F$86:$O$86,1,ED$7)/12*(1+e_CapAdic),0)</f>
        <v>0</v>
      </c>
      <c r="EE13" s="13" t="n">
        <f aca="false">IF(EE$8=1,INDEX(Base_PDF!$F$86:$O$86,1,EE$7)/12*(1+e_CapAdic),0)</f>
        <v>0</v>
      </c>
      <c r="EF13" s="13" t="n">
        <f aca="false">IF(EF$8=1,INDEX(Base_PDF!$F$86:$O$86,1,EF$7)/12*(1+e_CapAdic),0)</f>
        <v>0</v>
      </c>
      <c r="EG13" s="13" t="n">
        <f aca="false">IF(EG$8=1,INDEX(Base_PDF!$F$86:$O$86,1,EG$7)/12*(1+e_CapAdic),0)</f>
        <v>0</v>
      </c>
      <c r="EH13" s="13" t="n">
        <f aca="false">IF(EH$8=1,INDEX(Base_PDF!$F$86:$O$86,1,EH$7)/12*(1+e_CapAdic),0)</f>
        <v>0</v>
      </c>
      <c r="EI13" s="13" t="n">
        <f aca="false">IF(EI$8=1,INDEX(Base_PDF!$F$86:$O$86,1,EI$7)/12*(1+e_CapAdic),0)</f>
        <v>0</v>
      </c>
      <c r="EJ13" s="13" t="n">
        <f aca="false">IF(EJ$8=1,INDEX(Base_PDF!$F$86:$O$86,1,EJ$7)/12*(1+e_CapAdic),0)</f>
        <v>0</v>
      </c>
      <c r="EK13" s="13" t="n">
        <f aca="false">IF(EK$8=1,INDEX(Base_PDF!$F$86:$O$86,1,EK$7)/12*(1+e_CapAdic),0)</f>
        <v>0</v>
      </c>
      <c r="EL13" s="13" t="n">
        <f aca="false">IF(EL$8=1,INDEX(Base_PDF!$F$86:$O$86,1,EL$7)/12*(1+e_CapAdic),0)</f>
        <v>0</v>
      </c>
      <c r="EM13" s="13" t="n">
        <f aca="false">IF(EM$8=1,INDEX(Base_PDF!$F$86:$O$86,1,EM$7)/12*(1+e_CapAdic),0)</f>
        <v>0</v>
      </c>
      <c r="EN13" s="13" t="n">
        <f aca="false">IF(EN$8=1,INDEX(Base_PDF!$F$86:$O$86,1,EN$7)/12*(1+e_CapAdic),0)</f>
        <v>0</v>
      </c>
      <c r="EO13" s="13" t="n">
        <f aca="false">IF(EO$8=1,INDEX(Base_PDF!$F$86:$O$86,1,EO$7)/12*(1+e_CapAdic),0)</f>
        <v>0</v>
      </c>
      <c r="EP13" s="13" t="n">
        <f aca="false">IF(EP$8=1,INDEX(Base_PDF!$F$86:$O$86,1,EP$7)/12*(1+e_CapAdic),0)</f>
        <v>0</v>
      </c>
      <c r="EQ13" s="13" t="n">
        <f aca="false">IF(EQ$8=1,INDEX(Base_PDF!$F$86:$O$86,1,EQ$7)/12*(1+e_CapAdic),0)</f>
        <v>0</v>
      </c>
      <c r="ER13" s="13" t="n">
        <f aca="false">IF(ER$8=1,INDEX(Base_PDF!$F$86:$O$86,1,ER$7)/12*(1+e_CapAdic),0)</f>
        <v>0</v>
      </c>
      <c r="ES13" s="13" t="n">
        <f aca="false">IF(ES$8=1,INDEX(Base_PDF!$F$86:$O$86,1,ES$7)/12*(1+e_CapAdic),0)</f>
        <v>0</v>
      </c>
      <c r="ET13" s="13" t="n">
        <f aca="false">IF(ET$8=1,INDEX(Base_PDF!$F$86:$O$86,1,ET$7)/12*(1+e_CapAdic),0)</f>
        <v>0</v>
      </c>
      <c r="EU13" s="13" t="n">
        <f aca="false">IF(EU$8=1,INDEX(Base_PDF!$F$86:$O$86,1,EU$7)/12*(1+e_CapAdic),0)</f>
        <v>0</v>
      </c>
      <c r="EV13" s="13" t="n">
        <f aca="false">IF(EV$8=1,INDEX(Base_PDF!$F$86:$O$86,1,EV$7)/12*(1+e_CapAdic),0)</f>
        <v>0</v>
      </c>
      <c r="EW13" s="13" t="n">
        <f aca="false">IF(EW$8=1,INDEX(Base_PDF!$F$86:$O$86,1,EW$7)/12*(1+e_CapAdic),0)</f>
        <v>0</v>
      </c>
      <c r="EX13" s="13" t="n">
        <f aca="false">IF(EX$8=1,INDEX(Base_PDF!$F$86:$O$86,1,EX$7)/12*(1+e_CapAdic),0)</f>
        <v>0</v>
      </c>
      <c r="EY13" s="13" t="n">
        <f aca="false">IF(EY$8=1,INDEX(Base_PDF!$F$86:$O$86,1,EY$7)/12*(1+e_CapAdic),0)</f>
        <v>0</v>
      </c>
      <c r="EZ13" s="13" t="n">
        <f aca="false">IF(EZ$8=1,INDEX(Base_PDF!$F$86:$O$86,1,EZ$7)/12*(1+e_CapAdic),0)</f>
        <v>0</v>
      </c>
      <c r="FA13" s="13" t="n">
        <f aca="false">IF(FA$8=1,INDEX(Base_PDF!$F$86:$O$86,1,FA$7)/12*(1+e_CapAdic),0)</f>
        <v>0</v>
      </c>
      <c r="FB13" s="13" t="n">
        <f aca="false">IF(FB$8=1,INDEX(Base_PDF!$F$86:$O$86,1,FB$7)/12*(1+e_CapAdic),0)</f>
        <v>0</v>
      </c>
      <c r="FC13" s="13" t="n">
        <f aca="false">IF(FC$8=1,INDEX(Base_PDF!$F$86:$O$86,1,FC$7)/12*(1+e_CapAdic),0)</f>
        <v>0</v>
      </c>
      <c r="FD13" s="13" t="n">
        <f aca="false">IF(FD$8=1,INDEX(Base_PDF!$F$86:$O$86,1,FD$7)/12*(1+e_CapAdic),0)</f>
        <v>0</v>
      </c>
      <c r="FE13" s="13" t="n">
        <f aca="false">IF(FE$8=1,INDEX(Base_PDF!$F$86:$O$86,1,FE$7)/12*(1+e_CapAdic),0)</f>
        <v>0</v>
      </c>
      <c r="FF13" s="13" t="n">
        <f aca="false">IF(FF$8=1,INDEX(Base_PDF!$F$86:$O$86,1,FF$7)/12*(1+e_CapAdic),0)</f>
        <v>0</v>
      </c>
    </row>
    <row r="14" customFormat="false" ht="15" hidden="false" customHeight="false" outlineLevel="0" collapsed="false">
      <c r="A14" s="2" t="s">
        <v>826</v>
      </c>
      <c r="B14" s="8" t="s">
        <v>827</v>
      </c>
      <c r="C14" s="8" t="s">
        <v>825</v>
      </c>
      <c r="E14" s="65" t="n">
        <f aca="false">SUM($F14:$FF14)</f>
        <v>192000</v>
      </c>
      <c r="F14" s="13" t="n">
        <f aca="false">IF(F$8=1,INDEX(Base_PDF!$F$88:$O$88,1,F$7)/12,0)</f>
        <v>0</v>
      </c>
      <c r="G14" s="13" t="n">
        <f aca="false">IF(G$8=1,INDEX(Base_PDF!$F$88:$O$88,1,G$7)/12,0)</f>
        <v>1000</v>
      </c>
      <c r="H14" s="13" t="n">
        <f aca="false">IF(H$8=1,INDEX(Base_PDF!$F$88:$O$88,1,H$7)/12,0)</f>
        <v>1000</v>
      </c>
      <c r="I14" s="13" t="n">
        <f aca="false">IF(I$8=1,INDEX(Base_PDF!$F$88:$O$88,1,I$7)/12,0)</f>
        <v>1000</v>
      </c>
      <c r="J14" s="13" t="n">
        <f aca="false">IF(J$8=1,INDEX(Base_PDF!$F$88:$O$88,1,J$7)/12,0)</f>
        <v>1000</v>
      </c>
      <c r="K14" s="13" t="n">
        <f aca="false">IF(K$8=1,INDEX(Base_PDF!$F$88:$O$88,1,K$7)/12,0)</f>
        <v>1000</v>
      </c>
      <c r="L14" s="13" t="n">
        <f aca="false">IF(L$8=1,INDEX(Base_PDF!$F$88:$O$88,1,L$7)/12,0)</f>
        <v>1000</v>
      </c>
      <c r="M14" s="13" t="n">
        <f aca="false">IF(M$8=1,INDEX(Base_PDF!$F$88:$O$88,1,M$7)/12,0)</f>
        <v>1000</v>
      </c>
      <c r="N14" s="13" t="n">
        <f aca="false">IF(N$8=1,INDEX(Base_PDF!$F$88:$O$88,1,N$7)/12,0)</f>
        <v>1000</v>
      </c>
      <c r="O14" s="13" t="n">
        <f aca="false">IF(O$8=1,INDEX(Base_PDF!$F$88:$O$88,1,O$7)/12,0)</f>
        <v>1000</v>
      </c>
      <c r="P14" s="13" t="n">
        <f aca="false">IF(P$8=1,INDEX(Base_PDF!$F$88:$O$88,1,P$7)/12,0)</f>
        <v>1000</v>
      </c>
      <c r="Q14" s="13" t="n">
        <f aca="false">IF(Q$8=1,INDEX(Base_PDF!$F$88:$O$88,1,Q$7)/12,0)</f>
        <v>1000</v>
      </c>
      <c r="R14" s="13" t="n">
        <f aca="false">IF(R$8=1,INDEX(Base_PDF!$F$88:$O$88,1,R$7)/12,0)</f>
        <v>1000</v>
      </c>
      <c r="S14" s="13" t="n">
        <f aca="false">IF(S$8=1,INDEX(Base_PDF!$F$88:$O$88,1,S$7)/12,0)</f>
        <v>1250</v>
      </c>
      <c r="T14" s="13" t="n">
        <f aca="false">IF(T$8=1,INDEX(Base_PDF!$F$88:$O$88,1,T$7)/12,0)</f>
        <v>1250</v>
      </c>
      <c r="U14" s="13" t="n">
        <f aca="false">IF(U$8=1,INDEX(Base_PDF!$F$88:$O$88,1,U$7)/12,0)</f>
        <v>1250</v>
      </c>
      <c r="V14" s="13" t="n">
        <f aca="false">IF(V$8=1,INDEX(Base_PDF!$F$88:$O$88,1,V$7)/12,0)</f>
        <v>1250</v>
      </c>
      <c r="W14" s="13" t="n">
        <f aca="false">IF(W$8=1,INDEX(Base_PDF!$F$88:$O$88,1,W$7)/12,0)</f>
        <v>1250</v>
      </c>
      <c r="X14" s="13" t="n">
        <f aca="false">IF(X$8=1,INDEX(Base_PDF!$F$88:$O$88,1,X$7)/12,0)</f>
        <v>1250</v>
      </c>
      <c r="Y14" s="13" t="n">
        <f aca="false">IF(Y$8=1,INDEX(Base_PDF!$F$88:$O$88,1,Y$7)/12,0)</f>
        <v>1250</v>
      </c>
      <c r="Z14" s="13" t="n">
        <f aca="false">IF(Z$8=1,INDEX(Base_PDF!$F$88:$O$88,1,Z$7)/12,0)</f>
        <v>1250</v>
      </c>
      <c r="AA14" s="13" t="n">
        <f aca="false">IF(AA$8=1,INDEX(Base_PDF!$F$88:$O$88,1,AA$7)/12,0)</f>
        <v>1250</v>
      </c>
      <c r="AB14" s="13" t="n">
        <f aca="false">IF(AB$8=1,INDEX(Base_PDF!$F$88:$O$88,1,AB$7)/12,0)</f>
        <v>1250</v>
      </c>
      <c r="AC14" s="13" t="n">
        <f aca="false">IF(AC$8=1,INDEX(Base_PDF!$F$88:$O$88,1,AC$7)/12,0)</f>
        <v>1250</v>
      </c>
      <c r="AD14" s="13" t="n">
        <f aca="false">IF(AD$8=1,INDEX(Base_PDF!$F$88:$O$88,1,AD$7)/12,0)</f>
        <v>1250</v>
      </c>
      <c r="AE14" s="13" t="n">
        <f aca="false">IF(AE$8=1,INDEX(Base_PDF!$F$88:$O$88,1,AE$7)/12,0)</f>
        <v>1500</v>
      </c>
      <c r="AF14" s="13" t="n">
        <f aca="false">IF(AF$8=1,INDEX(Base_PDF!$F$88:$O$88,1,AF$7)/12,0)</f>
        <v>1500</v>
      </c>
      <c r="AG14" s="13" t="n">
        <f aca="false">IF(AG$8=1,INDEX(Base_PDF!$F$88:$O$88,1,AG$7)/12,0)</f>
        <v>1500</v>
      </c>
      <c r="AH14" s="13" t="n">
        <f aca="false">IF(AH$8=1,INDEX(Base_PDF!$F$88:$O$88,1,AH$7)/12,0)</f>
        <v>1500</v>
      </c>
      <c r="AI14" s="13" t="n">
        <f aca="false">IF(AI$8=1,INDEX(Base_PDF!$F$88:$O$88,1,AI$7)/12,0)</f>
        <v>1500</v>
      </c>
      <c r="AJ14" s="13" t="n">
        <f aca="false">IF(AJ$8=1,INDEX(Base_PDF!$F$88:$O$88,1,AJ$7)/12,0)</f>
        <v>1500</v>
      </c>
      <c r="AK14" s="13" t="n">
        <f aca="false">IF(AK$8=1,INDEX(Base_PDF!$F$88:$O$88,1,AK$7)/12,0)</f>
        <v>1500</v>
      </c>
      <c r="AL14" s="13" t="n">
        <f aca="false">IF(AL$8=1,INDEX(Base_PDF!$F$88:$O$88,1,AL$7)/12,0)</f>
        <v>1500</v>
      </c>
      <c r="AM14" s="13" t="n">
        <f aca="false">IF(AM$8=1,INDEX(Base_PDF!$F$88:$O$88,1,AM$7)/12,0)</f>
        <v>1500</v>
      </c>
      <c r="AN14" s="13" t="n">
        <f aca="false">IF(AN$8=1,INDEX(Base_PDF!$F$88:$O$88,1,AN$7)/12,0)</f>
        <v>1500</v>
      </c>
      <c r="AO14" s="13" t="n">
        <f aca="false">IF(AO$8=1,INDEX(Base_PDF!$F$88:$O$88,1,AO$7)/12,0)</f>
        <v>1500</v>
      </c>
      <c r="AP14" s="13" t="n">
        <f aca="false">IF(AP$8=1,INDEX(Base_PDF!$F$88:$O$88,1,AP$7)/12,0)</f>
        <v>1500</v>
      </c>
      <c r="AQ14" s="13" t="n">
        <f aca="false">IF(AQ$8=1,INDEX(Base_PDF!$F$88:$O$88,1,AQ$7)/12,0)</f>
        <v>1750</v>
      </c>
      <c r="AR14" s="13" t="n">
        <f aca="false">IF(AR$8=1,INDEX(Base_PDF!$F$88:$O$88,1,AR$7)/12,0)</f>
        <v>1750</v>
      </c>
      <c r="AS14" s="13" t="n">
        <f aca="false">IF(AS$8=1,INDEX(Base_PDF!$F$88:$O$88,1,AS$7)/12,0)</f>
        <v>1750</v>
      </c>
      <c r="AT14" s="13" t="n">
        <f aca="false">IF(AT$8=1,INDEX(Base_PDF!$F$88:$O$88,1,AT$7)/12,0)</f>
        <v>1750</v>
      </c>
      <c r="AU14" s="13" t="n">
        <f aca="false">IF(AU$8=1,INDEX(Base_PDF!$F$88:$O$88,1,AU$7)/12,0)</f>
        <v>1750</v>
      </c>
      <c r="AV14" s="13" t="n">
        <f aca="false">IF(AV$8=1,INDEX(Base_PDF!$F$88:$O$88,1,AV$7)/12,0)</f>
        <v>1750</v>
      </c>
      <c r="AW14" s="13" t="n">
        <f aca="false">IF(AW$8=1,INDEX(Base_PDF!$F$88:$O$88,1,AW$7)/12,0)</f>
        <v>1750</v>
      </c>
      <c r="AX14" s="13" t="n">
        <f aca="false">IF(AX$8=1,INDEX(Base_PDF!$F$88:$O$88,1,AX$7)/12,0)</f>
        <v>1750</v>
      </c>
      <c r="AY14" s="13" t="n">
        <f aca="false">IF(AY$8=1,INDEX(Base_PDF!$F$88:$O$88,1,AY$7)/12,0)</f>
        <v>1750</v>
      </c>
      <c r="AZ14" s="13" t="n">
        <f aca="false">IF(AZ$8=1,INDEX(Base_PDF!$F$88:$O$88,1,AZ$7)/12,0)</f>
        <v>1750</v>
      </c>
      <c r="BA14" s="13" t="n">
        <f aca="false">IF(BA$8=1,INDEX(Base_PDF!$F$88:$O$88,1,BA$7)/12,0)</f>
        <v>1750</v>
      </c>
      <c r="BB14" s="13" t="n">
        <f aca="false">IF(BB$8=1,INDEX(Base_PDF!$F$88:$O$88,1,BB$7)/12,0)</f>
        <v>1750</v>
      </c>
      <c r="BC14" s="13" t="n">
        <f aca="false">IF(BC$8=1,INDEX(Base_PDF!$F$88:$O$88,1,BC$7)/12,0)</f>
        <v>1750</v>
      </c>
      <c r="BD14" s="13" t="n">
        <f aca="false">IF(BD$8=1,INDEX(Base_PDF!$F$88:$O$88,1,BD$7)/12,0)</f>
        <v>1750</v>
      </c>
      <c r="BE14" s="13" t="n">
        <f aca="false">IF(BE$8=1,INDEX(Base_PDF!$F$88:$O$88,1,BE$7)/12,0)</f>
        <v>1750</v>
      </c>
      <c r="BF14" s="13" t="n">
        <f aca="false">IF(BF$8=1,INDEX(Base_PDF!$F$88:$O$88,1,BF$7)/12,0)</f>
        <v>1750</v>
      </c>
      <c r="BG14" s="13" t="n">
        <f aca="false">IF(BG$8=1,INDEX(Base_PDF!$F$88:$O$88,1,BG$7)/12,0)</f>
        <v>1750</v>
      </c>
      <c r="BH14" s="13" t="n">
        <f aca="false">IF(BH$8=1,INDEX(Base_PDF!$F$88:$O$88,1,BH$7)/12,0)</f>
        <v>1750</v>
      </c>
      <c r="BI14" s="13" t="n">
        <f aca="false">IF(BI$8=1,INDEX(Base_PDF!$F$88:$O$88,1,BI$7)/12,0)</f>
        <v>1750</v>
      </c>
      <c r="BJ14" s="13" t="n">
        <f aca="false">IF(BJ$8=1,INDEX(Base_PDF!$F$88:$O$88,1,BJ$7)/12,0)</f>
        <v>1750</v>
      </c>
      <c r="BK14" s="13" t="n">
        <f aca="false">IF(BK$8=1,INDEX(Base_PDF!$F$88:$O$88,1,BK$7)/12,0)</f>
        <v>1750</v>
      </c>
      <c r="BL14" s="13" t="n">
        <f aca="false">IF(BL$8=1,INDEX(Base_PDF!$F$88:$O$88,1,BL$7)/12,0)</f>
        <v>1750</v>
      </c>
      <c r="BM14" s="13" t="n">
        <f aca="false">IF(BM$8=1,INDEX(Base_PDF!$F$88:$O$88,1,BM$7)/12,0)</f>
        <v>1750</v>
      </c>
      <c r="BN14" s="13" t="n">
        <f aca="false">IF(BN$8=1,INDEX(Base_PDF!$F$88:$O$88,1,BN$7)/12,0)</f>
        <v>1750</v>
      </c>
      <c r="BO14" s="13" t="n">
        <f aca="false">IF(BO$8=1,INDEX(Base_PDF!$F$88:$O$88,1,BO$7)/12,0)</f>
        <v>1750</v>
      </c>
      <c r="BP14" s="13" t="n">
        <f aca="false">IF(BP$8=1,INDEX(Base_PDF!$F$88:$O$88,1,BP$7)/12,0)</f>
        <v>1750</v>
      </c>
      <c r="BQ14" s="13" t="n">
        <f aca="false">IF(BQ$8=1,INDEX(Base_PDF!$F$88:$O$88,1,BQ$7)/12,0)</f>
        <v>1750</v>
      </c>
      <c r="BR14" s="13" t="n">
        <f aca="false">IF(BR$8=1,INDEX(Base_PDF!$F$88:$O$88,1,BR$7)/12,0)</f>
        <v>1750</v>
      </c>
      <c r="BS14" s="13" t="n">
        <f aca="false">IF(BS$8=1,INDEX(Base_PDF!$F$88:$O$88,1,BS$7)/12,0)</f>
        <v>1750</v>
      </c>
      <c r="BT14" s="13" t="n">
        <f aca="false">IF(BT$8=1,INDEX(Base_PDF!$F$88:$O$88,1,BT$7)/12,0)</f>
        <v>1750</v>
      </c>
      <c r="BU14" s="13" t="n">
        <f aca="false">IF(BU$8=1,INDEX(Base_PDF!$F$88:$O$88,1,BU$7)/12,0)</f>
        <v>1750</v>
      </c>
      <c r="BV14" s="13" t="n">
        <f aca="false">IF(BV$8=1,INDEX(Base_PDF!$F$88:$O$88,1,BV$7)/12,0)</f>
        <v>1750</v>
      </c>
      <c r="BW14" s="13" t="n">
        <f aca="false">IF(BW$8=1,INDEX(Base_PDF!$F$88:$O$88,1,BW$7)/12,0)</f>
        <v>1750</v>
      </c>
      <c r="BX14" s="13" t="n">
        <f aca="false">IF(BX$8=1,INDEX(Base_PDF!$F$88:$O$88,1,BX$7)/12,0)</f>
        <v>1750</v>
      </c>
      <c r="BY14" s="13" t="n">
        <f aca="false">IF(BY$8=1,INDEX(Base_PDF!$F$88:$O$88,1,BY$7)/12,0)</f>
        <v>1750</v>
      </c>
      <c r="BZ14" s="13" t="n">
        <f aca="false">IF(BZ$8=1,INDEX(Base_PDF!$F$88:$O$88,1,BZ$7)/12,0)</f>
        <v>1750</v>
      </c>
      <c r="CA14" s="13" t="n">
        <f aca="false">IF(CA$8=1,INDEX(Base_PDF!$F$88:$O$88,1,CA$7)/12,0)</f>
        <v>1750</v>
      </c>
      <c r="CB14" s="13" t="n">
        <f aca="false">IF(CB$8=1,INDEX(Base_PDF!$F$88:$O$88,1,CB$7)/12,0)</f>
        <v>1750</v>
      </c>
      <c r="CC14" s="13" t="n">
        <f aca="false">IF(CC$8=1,INDEX(Base_PDF!$F$88:$O$88,1,CC$7)/12,0)</f>
        <v>1750</v>
      </c>
      <c r="CD14" s="13" t="n">
        <f aca="false">IF(CD$8=1,INDEX(Base_PDF!$F$88:$O$88,1,CD$7)/12,0)</f>
        <v>1750</v>
      </c>
      <c r="CE14" s="13" t="n">
        <f aca="false">IF(CE$8=1,INDEX(Base_PDF!$F$88:$O$88,1,CE$7)/12,0)</f>
        <v>1750</v>
      </c>
      <c r="CF14" s="13" t="n">
        <f aca="false">IF(CF$8=1,INDEX(Base_PDF!$F$88:$O$88,1,CF$7)/12,0)</f>
        <v>1750</v>
      </c>
      <c r="CG14" s="13" t="n">
        <f aca="false">IF(CG$8=1,INDEX(Base_PDF!$F$88:$O$88,1,CG$7)/12,0)</f>
        <v>1750</v>
      </c>
      <c r="CH14" s="13" t="n">
        <f aca="false">IF(CH$8=1,INDEX(Base_PDF!$F$88:$O$88,1,CH$7)/12,0)</f>
        <v>1750</v>
      </c>
      <c r="CI14" s="13" t="n">
        <f aca="false">IF(CI$8=1,INDEX(Base_PDF!$F$88:$O$88,1,CI$7)/12,0)</f>
        <v>1750</v>
      </c>
      <c r="CJ14" s="13" t="n">
        <f aca="false">IF(CJ$8=1,INDEX(Base_PDF!$F$88:$O$88,1,CJ$7)/12,0)</f>
        <v>1750</v>
      </c>
      <c r="CK14" s="13" t="n">
        <f aca="false">IF(CK$8=1,INDEX(Base_PDF!$F$88:$O$88,1,CK$7)/12,0)</f>
        <v>1750</v>
      </c>
      <c r="CL14" s="13" t="n">
        <f aca="false">IF(CL$8=1,INDEX(Base_PDF!$F$88:$O$88,1,CL$7)/12,0)</f>
        <v>1750</v>
      </c>
      <c r="CM14" s="13" t="n">
        <f aca="false">IF(CM$8=1,INDEX(Base_PDF!$F$88:$O$88,1,CM$7)/12,0)</f>
        <v>1750</v>
      </c>
      <c r="CN14" s="13" t="n">
        <f aca="false">IF(CN$8=1,INDEX(Base_PDF!$F$88:$O$88,1,CN$7)/12,0)</f>
        <v>1750</v>
      </c>
      <c r="CO14" s="13" t="n">
        <f aca="false">IF(CO$8=1,INDEX(Base_PDF!$F$88:$O$88,1,CO$7)/12,0)</f>
        <v>1750</v>
      </c>
      <c r="CP14" s="13" t="n">
        <f aca="false">IF(CP$8=1,INDEX(Base_PDF!$F$88:$O$88,1,CP$7)/12,0)</f>
        <v>1750</v>
      </c>
      <c r="CQ14" s="13" t="n">
        <f aca="false">IF(CQ$8=1,INDEX(Base_PDF!$F$88:$O$88,1,CQ$7)/12,0)</f>
        <v>1750</v>
      </c>
      <c r="CR14" s="13" t="n">
        <f aca="false">IF(CR$8=1,INDEX(Base_PDF!$F$88:$O$88,1,CR$7)/12,0)</f>
        <v>1750</v>
      </c>
      <c r="CS14" s="13" t="n">
        <f aca="false">IF(CS$8=1,INDEX(Base_PDF!$F$88:$O$88,1,CS$7)/12,0)</f>
        <v>1750</v>
      </c>
      <c r="CT14" s="13" t="n">
        <f aca="false">IF(CT$8=1,INDEX(Base_PDF!$F$88:$O$88,1,CT$7)/12,0)</f>
        <v>1750</v>
      </c>
      <c r="CU14" s="13" t="n">
        <f aca="false">IF(CU$8=1,INDEX(Base_PDF!$F$88:$O$88,1,CU$7)/12,0)</f>
        <v>1750</v>
      </c>
      <c r="CV14" s="13" t="n">
        <f aca="false">IF(CV$8=1,INDEX(Base_PDF!$F$88:$O$88,1,CV$7)/12,0)</f>
        <v>1750</v>
      </c>
      <c r="CW14" s="13" t="n">
        <f aca="false">IF(CW$8=1,INDEX(Base_PDF!$F$88:$O$88,1,CW$7)/12,0)</f>
        <v>1750</v>
      </c>
      <c r="CX14" s="13" t="n">
        <f aca="false">IF(CX$8=1,INDEX(Base_PDF!$F$88:$O$88,1,CX$7)/12,0)</f>
        <v>1750</v>
      </c>
      <c r="CY14" s="13" t="n">
        <f aca="false">IF(CY$8=1,INDEX(Base_PDF!$F$88:$O$88,1,CY$7)/12,0)</f>
        <v>1750</v>
      </c>
      <c r="CZ14" s="13" t="n">
        <f aca="false">IF(CZ$8=1,INDEX(Base_PDF!$F$88:$O$88,1,CZ$7)/12,0)</f>
        <v>1750</v>
      </c>
      <c r="DA14" s="13" t="n">
        <f aca="false">IF(DA$8=1,INDEX(Base_PDF!$F$88:$O$88,1,DA$7)/12,0)</f>
        <v>1750</v>
      </c>
      <c r="DB14" s="13" t="n">
        <f aca="false">IF(DB$8=1,INDEX(Base_PDF!$F$88:$O$88,1,DB$7)/12,0)</f>
        <v>1750</v>
      </c>
      <c r="DC14" s="13" t="n">
        <f aca="false">IF(DC$8=1,INDEX(Base_PDF!$F$88:$O$88,1,DC$7)/12,0)</f>
        <v>1750</v>
      </c>
      <c r="DD14" s="13" t="n">
        <f aca="false">IF(DD$8=1,INDEX(Base_PDF!$F$88:$O$88,1,DD$7)/12,0)</f>
        <v>1750</v>
      </c>
      <c r="DE14" s="13" t="n">
        <f aca="false">IF(DE$8=1,INDEX(Base_PDF!$F$88:$O$88,1,DE$7)/12,0)</f>
        <v>1750</v>
      </c>
      <c r="DF14" s="13" t="n">
        <f aca="false">IF(DF$8=1,INDEX(Base_PDF!$F$88:$O$88,1,DF$7)/12,0)</f>
        <v>1750</v>
      </c>
      <c r="DG14" s="13" t="n">
        <f aca="false">IF(DG$8=1,INDEX(Base_PDF!$F$88:$O$88,1,DG$7)/12,0)</f>
        <v>1750</v>
      </c>
      <c r="DH14" s="13" t="n">
        <f aca="false">IF(DH$8=1,INDEX(Base_PDF!$F$88:$O$88,1,DH$7)/12,0)</f>
        <v>1750</v>
      </c>
      <c r="DI14" s="13" t="n">
        <f aca="false">IF(DI$8=1,INDEX(Base_PDF!$F$88:$O$88,1,DI$7)/12,0)</f>
        <v>1750</v>
      </c>
      <c r="DJ14" s="13" t="n">
        <f aca="false">IF(DJ$8=1,INDEX(Base_PDF!$F$88:$O$88,1,DJ$7)/12,0)</f>
        <v>1750</v>
      </c>
      <c r="DK14" s="13" t="n">
        <f aca="false">IF(DK$8=1,INDEX(Base_PDF!$F$88:$O$88,1,DK$7)/12,0)</f>
        <v>1750</v>
      </c>
      <c r="DL14" s="13" t="n">
        <f aca="false">IF(DL$8=1,INDEX(Base_PDF!$F$88:$O$88,1,DL$7)/12,0)</f>
        <v>1750</v>
      </c>
      <c r="DM14" s="13" t="n">
        <f aca="false">IF(DM$8=1,INDEX(Base_PDF!$F$88:$O$88,1,DM$7)/12,0)</f>
        <v>1750</v>
      </c>
      <c r="DN14" s="13" t="n">
        <f aca="false">IF(DN$8=1,INDEX(Base_PDF!$F$88:$O$88,1,DN$7)/12,0)</f>
        <v>1750</v>
      </c>
      <c r="DO14" s="13" t="n">
        <f aca="false">IF(DO$8=1,INDEX(Base_PDF!$F$88:$O$88,1,DO$7)/12,0)</f>
        <v>1750</v>
      </c>
      <c r="DP14" s="13" t="n">
        <f aca="false">IF(DP$8=1,INDEX(Base_PDF!$F$88:$O$88,1,DP$7)/12,0)</f>
        <v>1750</v>
      </c>
      <c r="DQ14" s="13" t="n">
        <f aca="false">IF(DQ$8=1,INDEX(Base_PDF!$F$88:$O$88,1,DQ$7)/12,0)</f>
        <v>1750</v>
      </c>
      <c r="DR14" s="13" t="n">
        <f aca="false">IF(DR$8=1,INDEX(Base_PDF!$F$88:$O$88,1,DR$7)/12,0)</f>
        <v>1750</v>
      </c>
      <c r="DS14" s="13" t="n">
        <f aca="false">IF(DS$8=1,INDEX(Base_PDF!$F$88:$O$88,1,DS$7)/12,0)</f>
        <v>1750</v>
      </c>
      <c r="DT14" s="13" t="n">
        <f aca="false">IF(DT$8=1,INDEX(Base_PDF!$F$88:$O$88,1,DT$7)/12,0)</f>
        <v>1750</v>
      </c>
      <c r="DU14" s="13" t="n">
        <f aca="false">IF(DU$8=1,INDEX(Base_PDF!$F$88:$O$88,1,DU$7)/12,0)</f>
        <v>1750</v>
      </c>
      <c r="DV14" s="13" t="n">
        <f aca="false">IF(DV$8=1,INDEX(Base_PDF!$F$88:$O$88,1,DV$7)/12,0)</f>
        <v>1750</v>
      </c>
      <c r="DW14" s="13" t="n">
        <f aca="false">IF(DW$8=1,INDEX(Base_PDF!$F$88:$O$88,1,DW$7)/12,0)</f>
        <v>0</v>
      </c>
      <c r="DX14" s="13" t="n">
        <f aca="false">IF(DX$8=1,INDEX(Base_PDF!$F$88:$O$88,1,DX$7)/12,0)</f>
        <v>0</v>
      </c>
      <c r="DY14" s="13" t="n">
        <f aca="false">IF(DY$8=1,INDEX(Base_PDF!$F$88:$O$88,1,DY$7)/12,0)</f>
        <v>0</v>
      </c>
      <c r="DZ14" s="13" t="n">
        <f aca="false">IF(DZ$8=1,INDEX(Base_PDF!$F$88:$O$88,1,DZ$7)/12,0)</f>
        <v>0</v>
      </c>
      <c r="EA14" s="13" t="n">
        <f aca="false">IF(EA$8=1,INDEX(Base_PDF!$F$88:$O$88,1,EA$7)/12,0)</f>
        <v>0</v>
      </c>
      <c r="EB14" s="13" t="n">
        <f aca="false">IF(EB$8=1,INDEX(Base_PDF!$F$88:$O$88,1,EB$7)/12,0)</f>
        <v>0</v>
      </c>
      <c r="EC14" s="13" t="n">
        <f aca="false">IF(EC$8=1,INDEX(Base_PDF!$F$88:$O$88,1,EC$7)/12,0)</f>
        <v>0</v>
      </c>
      <c r="ED14" s="13" t="n">
        <f aca="false">IF(ED$8=1,INDEX(Base_PDF!$F$88:$O$88,1,ED$7)/12,0)</f>
        <v>0</v>
      </c>
      <c r="EE14" s="13" t="n">
        <f aca="false">IF(EE$8=1,INDEX(Base_PDF!$F$88:$O$88,1,EE$7)/12,0)</f>
        <v>0</v>
      </c>
      <c r="EF14" s="13" t="n">
        <f aca="false">IF(EF$8=1,INDEX(Base_PDF!$F$88:$O$88,1,EF$7)/12,0)</f>
        <v>0</v>
      </c>
      <c r="EG14" s="13" t="n">
        <f aca="false">IF(EG$8=1,INDEX(Base_PDF!$F$88:$O$88,1,EG$7)/12,0)</f>
        <v>0</v>
      </c>
      <c r="EH14" s="13" t="n">
        <f aca="false">IF(EH$8=1,INDEX(Base_PDF!$F$88:$O$88,1,EH$7)/12,0)</f>
        <v>0</v>
      </c>
      <c r="EI14" s="13" t="n">
        <f aca="false">IF(EI$8=1,INDEX(Base_PDF!$F$88:$O$88,1,EI$7)/12,0)</f>
        <v>0</v>
      </c>
      <c r="EJ14" s="13" t="n">
        <f aca="false">IF(EJ$8=1,INDEX(Base_PDF!$F$88:$O$88,1,EJ$7)/12,0)</f>
        <v>0</v>
      </c>
      <c r="EK14" s="13" t="n">
        <f aca="false">IF(EK$8=1,INDEX(Base_PDF!$F$88:$O$88,1,EK$7)/12,0)</f>
        <v>0</v>
      </c>
      <c r="EL14" s="13" t="n">
        <f aca="false">IF(EL$8=1,INDEX(Base_PDF!$F$88:$O$88,1,EL$7)/12,0)</f>
        <v>0</v>
      </c>
      <c r="EM14" s="13" t="n">
        <f aca="false">IF(EM$8=1,INDEX(Base_PDF!$F$88:$O$88,1,EM$7)/12,0)</f>
        <v>0</v>
      </c>
      <c r="EN14" s="13" t="n">
        <f aca="false">IF(EN$8=1,INDEX(Base_PDF!$F$88:$O$88,1,EN$7)/12,0)</f>
        <v>0</v>
      </c>
      <c r="EO14" s="13" t="n">
        <f aca="false">IF(EO$8=1,INDEX(Base_PDF!$F$88:$O$88,1,EO$7)/12,0)</f>
        <v>0</v>
      </c>
      <c r="EP14" s="13" t="n">
        <f aca="false">IF(EP$8=1,INDEX(Base_PDF!$F$88:$O$88,1,EP$7)/12,0)</f>
        <v>0</v>
      </c>
      <c r="EQ14" s="13" t="n">
        <f aca="false">IF(EQ$8=1,INDEX(Base_PDF!$F$88:$O$88,1,EQ$7)/12,0)</f>
        <v>0</v>
      </c>
      <c r="ER14" s="13" t="n">
        <f aca="false">IF(ER$8=1,INDEX(Base_PDF!$F$88:$O$88,1,ER$7)/12,0)</f>
        <v>0</v>
      </c>
      <c r="ES14" s="13" t="n">
        <f aca="false">IF(ES$8=1,INDEX(Base_PDF!$F$88:$O$88,1,ES$7)/12,0)</f>
        <v>0</v>
      </c>
      <c r="ET14" s="13" t="n">
        <f aca="false">IF(ET$8=1,INDEX(Base_PDF!$F$88:$O$88,1,ET$7)/12,0)</f>
        <v>0</v>
      </c>
      <c r="EU14" s="13" t="n">
        <f aca="false">IF(EU$8=1,INDEX(Base_PDF!$F$88:$O$88,1,EU$7)/12,0)</f>
        <v>0</v>
      </c>
      <c r="EV14" s="13" t="n">
        <f aca="false">IF(EV$8=1,INDEX(Base_PDF!$F$88:$O$88,1,EV$7)/12,0)</f>
        <v>0</v>
      </c>
      <c r="EW14" s="13" t="n">
        <f aca="false">IF(EW$8=1,INDEX(Base_PDF!$F$88:$O$88,1,EW$7)/12,0)</f>
        <v>0</v>
      </c>
      <c r="EX14" s="13" t="n">
        <f aca="false">IF(EX$8=1,INDEX(Base_PDF!$F$88:$O$88,1,EX$7)/12,0)</f>
        <v>0</v>
      </c>
      <c r="EY14" s="13" t="n">
        <f aca="false">IF(EY$8=1,INDEX(Base_PDF!$F$88:$O$88,1,EY$7)/12,0)</f>
        <v>0</v>
      </c>
      <c r="EZ14" s="13" t="n">
        <f aca="false">IF(EZ$8=1,INDEX(Base_PDF!$F$88:$O$88,1,EZ$7)/12,0)</f>
        <v>0</v>
      </c>
      <c r="FA14" s="13" t="n">
        <f aca="false">IF(FA$8=1,INDEX(Base_PDF!$F$88:$O$88,1,FA$7)/12,0)</f>
        <v>0</v>
      </c>
      <c r="FB14" s="13" t="n">
        <f aca="false">IF(FB$8=1,INDEX(Base_PDF!$F$88:$O$88,1,FB$7)/12,0)</f>
        <v>0</v>
      </c>
      <c r="FC14" s="13" t="n">
        <f aca="false">IF(FC$8=1,INDEX(Base_PDF!$F$88:$O$88,1,FC$7)/12,0)</f>
        <v>0</v>
      </c>
      <c r="FD14" s="13" t="n">
        <f aca="false">IF(FD$8=1,INDEX(Base_PDF!$F$88:$O$88,1,FD$7)/12,0)</f>
        <v>0</v>
      </c>
      <c r="FE14" s="13" t="n">
        <f aca="false">IF(FE$8=1,INDEX(Base_PDF!$F$88:$O$88,1,FE$7)/12,0)</f>
        <v>0</v>
      </c>
      <c r="FF14" s="13" t="n">
        <f aca="false">IF(FF$8=1,INDEX(Base_PDF!$F$88:$O$88,1,FF$7)/12,0)</f>
        <v>0</v>
      </c>
    </row>
    <row r="15" customFormat="false" ht="15" hidden="false" customHeight="false" outlineLevel="0" collapsed="false">
      <c r="A15" s="2" t="s">
        <v>828</v>
      </c>
      <c r="B15" s="8" t="s">
        <v>829</v>
      </c>
      <c r="C15" s="8" t="s">
        <v>201</v>
      </c>
      <c r="F15" s="48" t="n">
        <f aca="false">IF(F$8=1,INDEX(e_VolG,F$7),0)</f>
        <v>0</v>
      </c>
      <c r="G15" s="48" t="n">
        <f aca="false">IF(G$8=1,INDEX(e_VolG,G$7),0)</f>
        <v>1</v>
      </c>
      <c r="H15" s="48" t="n">
        <f aca="false">IF(H$8=1,INDEX(e_VolG,H$7),0)</f>
        <v>1</v>
      </c>
      <c r="I15" s="48" t="n">
        <f aca="false">IF(I$8=1,INDEX(e_VolG,I$7),0)</f>
        <v>1</v>
      </c>
      <c r="J15" s="48" t="n">
        <f aca="false">IF(J$8=1,INDEX(e_VolG,J$7),0)</f>
        <v>1</v>
      </c>
      <c r="K15" s="48" t="n">
        <f aca="false">IF(K$8=1,INDEX(e_VolG,K$7),0)</f>
        <v>1</v>
      </c>
      <c r="L15" s="48" t="n">
        <f aca="false">IF(L$8=1,INDEX(e_VolG,L$7),0)</f>
        <v>1</v>
      </c>
      <c r="M15" s="48" t="n">
        <f aca="false">IF(M$8=1,INDEX(e_VolG,M$7),0)</f>
        <v>1</v>
      </c>
      <c r="N15" s="48" t="n">
        <f aca="false">IF(N$8=1,INDEX(e_VolG,N$7),0)</f>
        <v>1</v>
      </c>
      <c r="O15" s="48" t="n">
        <f aca="false">IF(O$8=1,INDEX(e_VolG,O$7),0)</f>
        <v>1</v>
      </c>
      <c r="P15" s="48" t="n">
        <f aca="false">IF(P$8=1,INDEX(e_VolG,P$7),0)</f>
        <v>1</v>
      </c>
      <c r="Q15" s="48" t="n">
        <f aca="false">IF(Q$8=1,INDEX(e_VolG,Q$7),0)</f>
        <v>1</v>
      </c>
      <c r="R15" s="48" t="n">
        <f aca="false">IF(R$8=1,INDEX(e_VolG,R$7),0)</f>
        <v>1</v>
      </c>
      <c r="S15" s="48" t="n">
        <f aca="false">IF(S$8=1,INDEX(e_VolG,S$7),0)</f>
        <v>1</v>
      </c>
      <c r="T15" s="48" t="n">
        <f aca="false">IF(T$8=1,INDEX(e_VolG,T$7),0)</f>
        <v>1</v>
      </c>
      <c r="U15" s="48" t="n">
        <f aca="false">IF(U$8=1,INDEX(e_VolG,U$7),0)</f>
        <v>1</v>
      </c>
      <c r="V15" s="48" t="n">
        <f aca="false">IF(V$8=1,INDEX(e_VolG,V$7),0)</f>
        <v>1</v>
      </c>
      <c r="W15" s="48" t="n">
        <f aca="false">IF(W$8=1,INDEX(e_VolG,W$7),0)</f>
        <v>1</v>
      </c>
      <c r="X15" s="48" t="n">
        <f aca="false">IF(X$8=1,INDEX(e_VolG,X$7),0)</f>
        <v>1</v>
      </c>
      <c r="Y15" s="48" t="n">
        <f aca="false">IF(Y$8=1,INDEX(e_VolG,Y$7),0)</f>
        <v>1</v>
      </c>
      <c r="Z15" s="48" t="n">
        <f aca="false">IF(Z$8=1,INDEX(e_VolG,Z$7),0)</f>
        <v>1</v>
      </c>
      <c r="AA15" s="48" t="n">
        <f aca="false">IF(AA$8=1,INDEX(e_VolG,AA$7),0)</f>
        <v>1</v>
      </c>
      <c r="AB15" s="48" t="n">
        <f aca="false">IF(AB$8=1,INDEX(e_VolG,AB$7),0)</f>
        <v>1</v>
      </c>
      <c r="AC15" s="48" t="n">
        <f aca="false">IF(AC$8=1,INDEX(e_VolG,AC$7),0)</f>
        <v>1</v>
      </c>
      <c r="AD15" s="48" t="n">
        <f aca="false">IF(AD$8=1,INDEX(e_VolG,AD$7),0)</f>
        <v>1</v>
      </c>
      <c r="AE15" s="48" t="n">
        <f aca="false">IF(AE$8=1,INDEX(e_VolG,AE$7),0)</f>
        <v>1</v>
      </c>
      <c r="AF15" s="48" t="n">
        <f aca="false">IF(AF$8=1,INDEX(e_VolG,AF$7),0)</f>
        <v>1</v>
      </c>
      <c r="AG15" s="48" t="n">
        <f aca="false">IF(AG$8=1,INDEX(e_VolG,AG$7),0)</f>
        <v>1</v>
      </c>
      <c r="AH15" s="48" t="n">
        <f aca="false">IF(AH$8=1,INDEX(e_VolG,AH$7),0)</f>
        <v>1</v>
      </c>
      <c r="AI15" s="48" t="n">
        <f aca="false">IF(AI$8=1,INDEX(e_VolG,AI$7),0)</f>
        <v>1</v>
      </c>
      <c r="AJ15" s="48" t="n">
        <f aca="false">IF(AJ$8=1,INDEX(e_VolG,AJ$7),0)</f>
        <v>1</v>
      </c>
      <c r="AK15" s="48" t="n">
        <f aca="false">IF(AK$8=1,INDEX(e_VolG,AK$7),0)</f>
        <v>1</v>
      </c>
      <c r="AL15" s="48" t="n">
        <f aca="false">IF(AL$8=1,INDEX(e_VolG,AL$7),0)</f>
        <v>1</v>
      </c>
      <c r="AM15" s="48" t="n">
        <f aca="false">IF(AM$8=1,INDEX(e_VolG,AM$7),0)</f>
        <v>1</v>
      </c>
      <c r="AN15" s="48" t="n">
        <f aca="false">IF(AN$8=1,INDEX(e_VolG,AN$7),0)</f>
        <v>1</v>
      </c>
      <c r="AO15" s="48" t="n">
        <f aca="false">IF(AO$8=1,INDEX(e_VolG,AO$7),0)</f>
        <v>1</v>
      </c>
      <c r="AP15" s="48" t="n">
        <f aca="false">IF(AP$8=1,INDEX(e_VolG,AP$7),0)</f>
        <v>1</v>
      </c>
      <c r="AQ15" s="48" t="n">
        <f aca="false">IF(AQ$8=1,INDEX(e_VolG,AQ$7),0)</f>
        <v>1</v>
      </c>
      <c r="AR15" s="48" t="n">
        <f aca="false">IF(AR$8=1,INDEX(e_VolG,AR$7),0)</f>
        <v>1</v>
      </c>
      <c r="AS15" s="48" t="n">
        <f aca="false">IF(AS$8=1,INDEX(e_VolG,AS$7),0)</f>
        <v>1</v>
      </c>
      <c r="AT15" s="48" t="n">
        <f aca="false">IF(AT$8=1,INDEX(e_VolG,AT$7),0)</f>
        <v>1</v>
      </c>
      <c r="AU15" s="48" t="n">
        <f aca="false">IF(AU$8=1,INDEX(e_VolG,AU$7),0)</f>
        <v>1</v>
      </c>
      <c r="AV15" s="48" t="n">
        <f aca="false">IF(AV$8=1,INDEX(e_VolG,AV$7),0)</f>
        <v>1</v>
      </c>
      <c r="AW15" s="48" t="n">
        <f aca="false">IF(AW$8=1,INDEX(e_VolG,AW$7),0)</f>
        <v>1</v>
      </c>
      <c r="AX15" s="48" t="n">
        <f aca="false">IF(AX$8=1,INDEX(e_VolG,AX$7),0)</f>
        <v>1</v>
      </c>
      <c r="AY15" s="48" t="n">
        <f aca="false">IF(AY$8=1,INDEX(e_VolG,AY$7),0)</f>
        <v>1</v>
      </c>
      <c r="AZ15" s="48" t="n">
        <f aca="false">IF(AZ$8=1,INDEX(e_VolG,AZ$7),0)</f>
        <v>1</v>
      </c>
      <c r="BA15" s="48" t="n">
        <f aca="false">IF(BA$8=1,INDEX(e_VolG,BA$7),0)</f>
        <v>1</v>
      </c>
      <c r="BB15" s="48" t="n">
        <f aca="false">IF(BB$8=1,INDEX(e_VolG,BB$7),0)</f>
        <v>1</v>
      </c>
      <c r="BC15" s="48" t="n">
        <f aca="false">IF(BC$8=1,INDEX(e_VolG,BC$7),0)</f>
        <v>1</v>
      </c>
      <c r="BD15" s="48" t="n">
        <f aca="false">IF(BD$8=1,INDEX(e_VolG,BD$7),0)</f>
        <v>1</v>
      </c>
      <c r="BE15" s="48" t="n">
        <f aca="false">IF(BE$8=1,INDEX(e_VolG,BE$7),0)</f>
        <v>1</v>
      </c>
      <c r="BF15" s="48" t="n">
        <f aca="false">IF(BF$8=1,INDEX(e_VolG,BF$7),0)</f>
        <v>1</v>
      </c>
      <c r="BG15" s="48" t="n">
        <f aca="false">IF(BG$8=1,INDEX(e_VolG,BG$7),0)</f>
        <v>1</v>
      </c>
      <c r="BH15" s="48" t="n">
        <f aca="false">IF(BH$8=1,INDEX(e_VolG,BH$7),0)</f>
        <v>1</v>
      </c>
      <c r="BI15" s="48" t="n">
        <f aca="false">IF(BI$8=1,INDEX(e_VolG,BI$7),0)</f>
        <v>1</v>
      </c>
      <c r="BJ15" s="48" t="n">
        <f aca="false">IF(BJ$8=1,INDEX(e_VolG,BJ$7),0)</f>
        <v>1</v>
      </c>
      <c r="BK15" s="48" t="n">
        <f aca="false">IF(BK$8=1,INDEX(e_VolG,BK$7),0)</f>
        <v>1</v>
      </c>
      <c r="BL15" s="48" t="n">
        <f aca="false">IF(BL$8=1,INDEX(e_VolG,BL$7),0)</f>
        <v>1</v>
      </c>
      <c r="BM15" s="48" t="n">
        <f aca="false">IF(BM$8=1,INDEX(e_VolG,BM$7),0)</f>
        <v>1</v>
      </c>
      <c r="BN15" s="48" t="n">
        <f aca="false">IF(BN$8=1,INDEX(e_VolG,BN$7),0)</f>
        <v>1</v>
      </c>
      <c r="BO15" s="48" t="n">
        <f aca="false">IF(BO$8=1,INDEX(e_VolG,BO$7),0)</f>
        <v>1</v>
      </c>
      <c r="BP15" s="48" t="n">
        <f aca="false">IF(BP$8=1,INDEX(e_VolG,BP$7),0)</f>
        <v>1</v>
      </c>
      <c r="BQ15" s="48" t="n">
        <f aca="false">IF(BQ$8=1,INDEX(e_VolG,BQ$7),0)</f>
        <v>1</v>
      </c>
      <c r="BR15" s="48" t="n">
        <f aca="false">IF(BR$8=1,INDEX(e_VolG,BR$7),0)</f>
        <v>1</v>
      </c>
      <c r="BS15" s="48" t="n">
        <f aca="false">IF(BS$8=1,INDEX(e_VolG,BS$7),0)</f>
        <v>1</v>
      </c>
      <c r="BT15" s="48" t="n">
        <f aca="false">IF(BT$8=1,INDEX(e_VolG,BT$7),0)</f>
        <v>1</v>
      </c>
      <c r="BU15" s="48" t="n">
        <f aca="false">IF(BU$8=1,INDEX(e_VolG,BU$7),0)</f>
        <v>1</v>
      </c>
      <c r="BV15" s="48" t="n">
        <f aca="false">IF(BV$8=1,INDEX(e_VolG,BV$7),0)</f>
        <v>1</v>
      </c>
      <c r="BW15" s="48" t="n">
        <f aca="false">IF(BW$8=1,INDEX(e_VolG,BW$7),0)</f>
        <v>1</v>
      </c>
      <c r="BX15" s="48" t="n">
        <f aca="false">IF(BX$8=1,INDEX(e_VolG,BX$7),0)</f>
        <v>1</v>
      </c>
      <c r="BY15" s="48" t="n">
        <f aca="false">IF(BY$8=1,INDEX(e_VolG,BY$7),0)</f>
        <v>1</v>
      </c>
      <c r="BZ15" s="48" t="n">
        <f aca="false">IF(BZ$8=1,INDEX(e_VolG,BZ$7),0)</f>
        <v>1</v>
      </c>
      <c r="CA15" s="48" t="n">
        <f aca="false">IF(CA$8=1,INDEX(e_VolG,CA$7),0)</f>
        <v>1</v>
      </c>
      <c r="CB15" s="48" t="n">
        <f aca="false">IF(CB$8=1,INDEX(e_VolG,CB$7),0)</f>
        <v>1</v>
      </c>
      <c r="CC15" s="48" t="n">
        <f aca="false">IF(CC$8=1,INDEX(e_VolG,CC$7),0)</f>
        <v>1</v>
      </c>
      <c r="CD15" s="48" t="n">
        <f aca="false">IF(CD$8=1,INDEX(e_VolG,CD$7),0)</f>
        <v>1</v>
      </c>
      <c r="CE15" s="48" t="n">
        <f aca="false">IF(CE$8=1,INDEX(e_VolG,CE$7),0)</f>
        <v>1</v>
      </c>
      <c r="CF15" s="48" t="n">
        <f aca="false">IF(CF$8=1,INDEX(e_VolG,CF$7),0)</f>
        <v>1</v>
      </c>
      <c r="CG15" s="48" t="n">
        <f aca="false">IF(CG$8=1,INDEX(e_VolG,CG$7),0)</f>
        <v>1</v>
      </c>
      <c r="CH15" s="48" t="n">
        <f aca="false">IF(CH$8=1,INDEX(e_VolG,CH$7),0)</f>
        <v>1</v>
      </c>
      <c r="CI15" s="48" t="n">
        <f aca="false">IF(CI$8=1,INDEX(e_VolG,CI$7),0)</f>
        <v>1</v>
      </c>
      <c r="CJ15" s="48" t="n">
        <f aca="false">IF(CJ$8=1,INDEX(e_VolG,CJ$7),0)</f>
        <v>1</v>
      </c>
      <c r="CK15" s="48" t="n">
        <f aca="false">IF(CK$8=1,INDEX(e_VolG,CK$7),0)</f>
        <v>1</v>
      </c>
      <c r="CL15" s="48" t="n">
        <f aca="false">IF(CL$8=1,INDEX(e_VolG,CL$7),0)</f>
        <v>1</v>
      </c>
      <c r="CM15" s="48" t="n">
        <f aca="false">IF(CM$8=1,INDEX(e_VolG,CM$7),0)</f>
        <v>1</v>
      </c>
      <c r="CN15" s="48" t="n">
        <f aca="false">IF(CN$8=1,INDEX(e_VolG,CN$7),0)</f>
        <v>1</v>
      </c>
      <c r="CO15" s="48" t="n">
        <f aca="false">IF(CO$8=1,INDEX(e_VolG,CO$7),0)</f>
        <v>1</v>
      </c>
      <c r="CP15" s="48" t="n">
        <f aca="false">IF(CP$8=1,INDEX(e_VolG,CP$7),0)</f>
        <v>1</v>
      </c>
      <c r="CQ15" s="48" t="n">
        <f aca="false">IF(CQ$8=1,INDEX(e_VolG,CQ$7),0)</f>
        <v>1</v>
      </c>
      <c r="CR15" s="48" t="n">
        <f aca="false">IF(CR$8=1,INDEX(e_VolG,CR$7),0)</f>
        <v>1</v>
      </c>
      <c r="CS15" s="48" t="n">
        <f aca="false">IF(CS$8=1,INDEX(e_VolG,CS$7),0)</f>
        <v>1</v>
      </c>
      <c r="CT15" s="48" t="n">
        <f aca="false">IF(CT$8=1,INDEX(e_VolG,CT$7),0)</f>
        <v>1</v>
      </c>
      <c r="CU15" s="48" t="n">
        <f aca="false">IF(CU$8=1,INDEX(e_VolG,CU$7),0)</f>
        <v>1</v>
      </c>
      <c r="CV15" s="48" t="n">
        <f aca="false">IF(CV$8=1,INDEX(e_VolG,CV$7),0)</f>
        <v>1</v>
      </c>
      <c r="CW15" s="48" t="n">
        <f aca="false">IF(CW$8=1,INDEX(e_VolG,CW$7),0)</f>
        <v>1</v>
      </c>
      <c r="CX15" s="48" t="n">
        <f aca="false">IF(CX$8=1,INDEX(e_VolG,CX$7),0)</f>
        <v>1</v>
      </c>
      <c r="CY15" s="48" t="n">
        <f aca="false">IF(CY$8=1,INDEX(e_VolG,CY$7),0)</f>
        <v>1</v>
      </c>
      <c r="CZ15" s="48" t="n">
        <f aca="false">IF(CZ$8=1,INDEX(e_VolG,CZ$7),0)</f>
        <v>1</v>
      </c>
      <c r="DA15" s="48" t="n">
        <f aca="false">IF(DA$8=1,INDEX(e_VolG,DA$7),0)</f>
        <v>1</v>
      </c>
      <c r="DB15" s="48" t="n">
        <f aca="false">IF(DB$8=1,INDEX(e_VolG,DB$7),0)</f>
        <v>1</v>
      </c>
      <c r="DC15" s="48" t="n">
        <f aca="false">IF(DC$8=1,INDEX(e_VolG,DC$7),0)</f>
        <v>1</v>
      </c>
      <c r="DD15" s="48" t="n">
        <f aca="false">IF(DD$8=1,INDEX(e_VolG,DD$7),0)</f>
        <v>1</v>
      </c>
      <c r="DE15" s="48" t="n">
        <f aca="false">IF(DE$8=1,INDEX(e_VolG,DE$7),0)</f>
        <v>1</v>
      </c>
      <c r="DF15" s="48" t="n">
        <f aca="false">IF(DF$8=1,INDEX(e_VolG,DF$7),0)</f>
        <v>1</v>
      </c>
      <c r="DG15" s="48" t="n">
        <f aca="false">IF(DG$8=1,INDEX(e_VolG,DG$7),0)</f>
        <v>1</v>
      </c>
      <c r="DH15" s="48" t="n">
        <f aca="false">IF(DH$8=1,INDEX(e_VolG,DH$7),0)</f>
        <v>1</v>
      </c>
      <c r="DI15" s="48" t="n">
        <f aca="false">IF(DI$8=1,INDEX(e_VolG,DI$7),0)</f>
        <v>1</v>
      </c>
      <c r="DJ15" s="48" t="n">
        <f aca="false">IF(DJ$8=1,INDEX(e_VolG,DJ$7),0)</f>
        <v>1</v>
      </c>
      <c r="DK15" s="48" t="n">
        <f aca="false">IF(DK$8=1,INDEX(e_VolG,DK$7),0)</f>
        <v>1</v>
      </c>
      <c r="DL15" s="48" t="n">
        <f aca="false">IF(DL$8=1,INDEX(e_VolG,DL$7),0)</f>
        <v>1</v>
      </c>
      <c r="DM15" s="48" t="n">
        <f aca="false">IF(DM$8=1,INDEX(e_VolG,DM$7),0)</f>
        <v>1</v>
      </c>
      <c r="DN15" s="48" t="n">
        <f aca="false">IF(DN$8=1,INDEX(e_VolG,DN$7),0)</f>
        <v>1</v>
      </c>
      <c r="DO15" s="48" t="n">
        <f aca="false">IF(DO$8=1,INDEX(e_VolG,DO$7),0)</f>
        <v>1</v>
      </c>
      <c r="DP15" s="48" t="n">
        <f aca="false">IF(DP$8=1,INDEX(e_VolG,DP$7),0)</f>
        <v>1</v>
      </c>
      <c r="DQ15" s="48" t="n">
        <f aca="false">IF(DQ$8=1,INDEX(e_VolG,DQ$7),0)</f>
        <v>1</v>
      </c>
      <c r="DR15" s="48" t="n">
        <f aca="false">IF(DR$8=1,INDEX(e_VolG,DR$7),0)</f>
        <v>1</v>
      </c>
      <c r="DS15" s="48" t="n">
        <f aca="false">IF(DS$8=1,INDEX(e_VolG,DS$7),0)</f>
        <v>1</v>
      </c>
      <c r="DT15" s="48" t="n">
        <f aca="false">IF(DT$8=1,INDEX(e_VolG,DT$7),0)</f>
        <v>1</v>
      </c>
      <c r="DU15" s="48" t="n">
        <f aca="false">IF(DU$8=1,INDEX(e_VolG,DU$7),0)</f>
        <v>1</v>
      </c>
      <c r="DV15" s="48" t="n">
        <f aca="false">IF(DV$8=1,INDEX(e_VolG,DV$7),0)</f>
        <v>1</v>
      </c>
      <c r="DW15" s="48" t="n">
        <f aca="false">IF(DW$8=1,INDEX(e_VolG,DW$7),0)</f>
        <v>0</v>
      </c>
      <c r="DX15" s="48" t="n">
        <f aca="false">IF(DX$8=1,INDEX(e_VolG,DX$7),0)</f>
        <v>0</v>
      </c>
      <c r="DY15" s="48" t="n">
        <f aca="false">IF(DY$8=1,INDEX(e_VolG,DY$7),0)</f>
        <v>0</v>
      </c>
      <c r="DZ15" s="48" t="n">
        <f aca="false">IF(DZ$8=1,INDEX(e_VolG,DZ$7),0)</f>
        <v>0</v>
      </c>
      <c r="EA15" s="48" t="n">
        <f aca="false">IF(EA$8=1,INDEX(e_VolG,EA$7),0)</f>
        <v>0</v>
      </c>
      <c r="EB15" s="48" t="n">
        <f aca="false">IF(EB$8=1,INDEX(e_VolG,EB$7),0)</f>
        <v>0</v>
      </c>
      <c r="EC15" s="48" t="n">
        <f aca="false">IF(EC$8=1,INDEX(e_VolG,EC$7),0)</f>
        <v>0</v>
      </c>
      <c r="ED15" s="48" t="n">
        <f aca="false">IF(ED$8=1,INDEX(e_VolG,ED$7),0)</f>
        <v>0</v>
      </c>
      <c r="EE15" s="48" t="n">
        <f aca="false">IF(EE$8=1,INDEX(e_VolG,EE$7),0)</f>
        <v>0</v>
      </c>
      <c r="EF15" s="48" t="n">
        <f aca="false">IF(EF$8=1,INDEX(e_VolG,EF$7),0)</f>
        <v>0</v>
      </c>
      <c r="EG15" s="48" t="n">
        <f aca="false">IF(EG$8=1,INDEX(e_VolG,EG$7),0)</f>
        <v>0</v>
      </c>
      <c r="EH15" s="48" t="n">
        <f aca="false">IF(EH$8=1,INDEX(e_VolG,EH$7),0)</f>
        <v>0</v>
      </c>
      <c r="EI15" s="48" t="n">
        <f aca="false">IF(EI$8=1,INDEX(e_VolG,EI$7),0)</f>
        <v>0</v>
      </c>
      <c r="EJ15" s="48" t="n">
        <f aca="false">IF(EJ$8=1,INDEX(e_VolG,EJ$7),0)</f>
        <v>0</v>
      </c>
      <c r="EK15" s="48" t="n">
        <f aca="false">IF(EK$8=1,INDEX(e_VolG,EK$7),0)</f>
        <v>0</v>
      </c>
      <c r="EL15" s="48" t="n">
        <f aca="false">IF(EL$8=1,INDEX(e_VolG,EL$7),0)</f>
        <v>0</v>
      </c>
      <c r="EM15" s="48" t="n">
        <f aca="false">IF(EM$8=1,INDEX(e_VolG,EM$7),0)</f>
        <v>0</v>
      </c>
      <c r="EN15" s="48" t="n">
        <f aca="false">IF(EN$8=1,INDEX(e_VolG,EN$7),0)</f>
        <v>0</v>
      </c>
      <c r="EO15" s="48" t="n">
        <f aca="false">IF(EO$8=1,INDEX(e_VolG,EO$7),0)</f>
        <v>0</v>
      </c>
      <c r="EP15" s="48" t="n">
        <f aca="false">IF(EP$8=1,INDEX(e_VolG,EP$7),0)</f>
        <v>0</v>
      </c>
      <c r="EQ15" s="48" t="n">
        <f aca="false">IF(EQ$8=1,INDEX(e_VolG,EQ$7),0)</f>
        <v>0</v>
      </c>
      <c r="ER15" s="48" t="n">
        <f aca="false">IF(ER$8=1,INDEX(e_VolG,ER$7),0)</f>
        <v>0</v>
      </c>
      <c r="ES15" s="48" t="n">
        <f aca="false">IF(ES$8=1,INDEX(e_VolG,ES$7),0)</f>
        <v>0</v>
      </c>
      <c r="ET15" s="48" t="n">
        <f aca="false">IF(ET$8=1,INDEX(e_VolG,ET$7),0)</f>
        <v>0</v>
      </c>
      <c r="EU15" s="48" t="n">
        <f aca="false">IF(EU$8=1,INDEX(e_VolG,EU$7),0)</f>
        <v>0</v>
      </c>
      <c r="EV15" s="48" t="n">
        <f aca="false">IF(EV$8=1,INDEX(e_VolG,EV$7),0)</f>
        <v>0</v>
      </c>
      <c r="EW15" s="48" t="n">
        <f aca="false">IF(EW$8=1,INDEX(e_VolG,EW$7),0)</f>
        <v>0</v>
      </c>
      <c r="EX15" s="48" t="n">
        <f aca="false">IF(EX$8=1,INDEX(e_VolG,EX$7),0)</f>
        <v>0</v>
      </c>
      <c r="EY15" s="48" t="n">
        <f aca="false">IF(EY$8=1,INDEX(e_VolG,EY$7),0)</f>
        <v>0</v>
      </c>
      <c r="EZ15" s="48" t="n">
        <f aca="false">IF(EZ$8=1,INDEX(e_VolG,EZ$7),0)</f>
        <v>0</v>
      </c>
      <c r="FA15" s="48" t="n">
        <f aca="false">IF(FA$8=1,INDEX(e_VolG,FA$7),0)</f>
        <v>0</v>
      </c>
      <c r="FB15" s="48" t="n">
        <f aca="false">IF(FB$8=1,INDEX(e_VolG,FB$7),0)</f>
        <v>0</v>
      </c>
      <c r="FC15" s="48" t="n">
        <f aca="false">IF(FC$8=1,INDEX(e_VolG,FC$7),0)</f>
        <v>0</v>
      </c>
      <c r="FD15" s="48" t="n">
        <f aca="false">IF(FD$8=1,INDEX(e_VolG,FD$7),0)</f>
        <v>0</v>
      </c>
      <c r="FE15" s="48" t="n">
        <f aca="false">IF(FE$8=1,INDEX(e_VolG,FE$7),0)</f>
        <v>0</v>
      </c>
      <c r="FF15" s="48" t="n">
        <f aca="false">IF(FF$8=1,INDEX(e_VolG,FF$7),0)</f>
        <v>0</v>
      </c>
    </row>
    <row r="16" customFormat="false" ht="15" hidden="false" customHeight="false" outlineLevel="0" collapsed="false">
      <c r="A16" s="2" t="s">
        <v>830</v>
      </c>
      <c r="B16" s="8" t="s">
        <v>831</v>
      </c>
      <c r="C16" s="8" t="s">
        <v>825</v>
      </c>
      <c r="E16" s="65" t="n">
        <f aca="false">SUM($F16:$FF16)</f>
        <v>192000</v>
      </c>
      <c r="F16" s="13" t="n">
        <f aca="false">F$14*F$15</f>
        <v>0</v>
      </c>
      <c r="G16" s="13" t="n">
        <f aca="false">G$14*G$15</f>
        <v>1000</v>
      </c>
      <c r="H16" s="13" t="n">
        <f aca="false">H$14*H$15</f>
        <v>1000</v>
      </c>
      <c r="I16" s="13" t="n">
        <f aca="false">I$14*I$15</f>
        <v>1000</v>
      </c>
      <c r="J16" s="13" t="n">
        <f aca="false">J$14*J$15</f>
        <v>1000</v>
      </c>
      <c r="K16" s="13" t="n">
        <f aca="false">K$14*K$15</f>
        <v>1000</v>
      </c>
      <c r="L16" s="13" t="n">
        <f aca="false">L$14*L$15</f>
        <v>1000</v>
      </c>
      <c r="M16" s="13" t="n">
        <f aca="false">M$14*M$15</f>
        <v>1000</v>
      </c>
      <c r="N16" s="13" t="n">
        <f aca="false">N$14*N$15</f>
        <v>1000</v>
      </c>
      <c r="O16" s="13" t="n">
        <f aca="false">O$14*O$15</f>
        <v>1000</v>
      </c>
      <c r="P16" s="13" t="n">
        <f aca="false">P$14*P$15</f>
        <v>1000</v>
      </c>
      <c r="Q16" s="13" t="n">
        <f aca="false">Q$14*Q$15</f>
        <v>1000</v>
      </c>
      <c r="R16" s="13" t="n">
        <f aca="false">R$14*R$15</f>
        <v>1000</v>
      </c>
      <c r="S16" s="13" t="n">
        <f aca="false">S$14*S$15</f>
        <v>1250</v>
      </c>
      <c r="T16" s="13" t="n">
        <f aca="false">T$14*T$15</f>
        <v>1250</v>
      </c>
      <c r="U16" s="13" t="n">
        <f aca="false">U$14*U$15</f>
        <v>1250</v>
      </c>
      <c r="V16" s="13" t="n">
        <f aca="false">V$14*V$15</f>
        <v>1250</v>
      </c>
      <c r="W16" s="13" t="n">
        <f aca="false">W$14*W$15</f>
        <v>1250</v>
      </c>
      <c r="X16" s="13" t="n">
        <f aca="false">X$14*X$15</f>
        <v>1250</v>
      </c>
      <c r="Y16" s="13" t="n">
        <f aca="false">Y$14*Y$15</f>
        <v>1250</v>
      </c>
      <c r="Z16" s="13" t="n">
        <f aca="false">Z$14*Z$15</f>
        <v>1250</v>
      </c>
      <c r="AA16" s="13" t="n">
        <f aca="false">AA$14*AA$15</f>
        <v>1250</v>
      </c>
      <c r="AB16" s="13" t="n">
        <f aca="false">AB$14*AB$15</f>
        <v>1250</v>
      </c>
      <c r="AC16" s="13" t="n">
        <f aca="false">AC$14*AC$15</f>
        <v>1250</v>
      </c>
      <c r="AD16" s="13" t="n">
        <f aca="false">AD$14*AD$15</f>
        <v>1250</v>
      </c>
      <c r="AE16" s="13" t="n">
        <f aca="false">AE$14*AE$15</f>
        <v>1500</v>
      </c>
      <c r="AF16" s="13" t="n">
        <f aca="false">AF$14*AF$15</f>
        <v>1500</v>
      </c>
      <c r="AG16" s="13" t="n">
        <f aca="false">AG$14*AG$15</f>
        <v>1500</v>
      </c>
      <c r="AH16" s="13" t="n">
        <f aca="false">AH$14*AH$15</f>
        <v>1500</v>
      </c>
      <c r="AI16" s="13" t="n">
        <f aca="false">AI$14*AI$15</f>
        <v>1500</v>
      </c>
      <c r="AJ16" s="13" t="n">
        <f aca="false">AJ$14*AJ$15</f>
        <v>1500</v>
      </c>
      <c r="AK16" s="13" t="n">
        <f aca="false">AK$14*AK$15</f>
        <v>1500</v>
      </c>
      <c r="AL16" s="13" t="n">
        <f aca="false">AL$14*AL$15</f>
        <v>1500</v>
      </c>
      <c r="AM16" s="13" t="n">
        <f aca="false">AM$14*AM$15</f>
        <v>1500</v>
      </c>
      <c r="AN16" s="13" t="n">
        <f aca="false">AN$14*AN$15</f>
        <v>1500</v>
      </c>
      <c r="AO16" s="13" t="n">
        <f aca="false">AO$14*AO$15</f>
        <v>1500</v>
      </c>
      <c r="AP16" s="13" t="n">
        <f aca="false">AP$14*AP$15</f>
        <v>1500</v>
      </c>
      <c r="AQ16" s="13" t="n">
        <f aca="false">AQ$14*AQ$15</f>
        <v>1750</v>
      </c>
      <c r="AR16" s="13" t="n">
        <f aca="false">AR$14*AR$15</f>
        <v>1750</v>
      </c>
      <c r="AS16" s="13" t="n">
        <f aca="false">AS$14*AS$15</f>
        <v>1750</v>
      </c>
      <c r="AT16" s="13" t="n">
        <f aca="false">AT$14*AT$15</f>
        <v>1750</v>
      </c>
      <c r="AU16" s="13" t="n">
        <f aca="false">AU$14*AU$15</f>
        <v>1750</v>
      </c>
      <c r="AV16" s="13" t="n">
        <f aca="false">AV$14*AV$15</f>
        <v>1750</v>
      </c>
      <c r="AW16" s="13" t="n">
        <f aca="false">AW$14*AW$15</f>
        <v>1750</v>
      </c>
      <c r="AX16" s="13" t="n">
        <f aca="false">AX$14*AX$15</f>
        <v>1750</v>
      </c>
      <c r="AY16" s="13" t="n">
        <f aca="false">AY$14*AY$15</f>
        <v>1750</v>
      </c>
      <c r="AZ16" s="13" t="n">
        <f aca="false">AZ$14*AZ$15</f>
        <v>1750</v>
      </c>
      <c r="BA16" s="13" t="n">
        <f aca="false">BA$14*BA$15</f>
        <v>1750</v>
      </c>
      <c r="BB16" s="13" t="n">
        <f aca="false">BB$14*BB$15</f>
        <v>1750</v>
      </c>
      <c r="BC16" s="13" t="n">
        <f aca="false">BC$14*BC$15</f>
        <v>1750</v>
      </c>
      <c r="BD16" s="13" t="n">
        <f aca="false">BD$14*BD$15</f>
        <v>1750</v>
      </c>
      <c r="BE16" s="13" t="n">
        <f aca="false">BE$14*BE$15</f>
        <v>1750</v>
      </c>
      <c r="BF16" s="13" t="n">
        <f aca="false">BF$14*BF$15</f>
        <v>1750</v>
      </c>
      <c r="BG16" s="13" t="n">
        <f aca="false">BG$14*BG$15</f>
        <v>1750</v>
      </c>
      <c r="BH16" s="13" t="n">
        <f aca="false">BH$14*BH$15</f>
        <v>1750</v>
      </c>
      <c r="BI16" s="13" t="n">
        <f aca="false">BI$14*BI$15</f>
        <v>1750</v>
      </c>
      <c r="BJ16" s="13" t="n">
        <f aca="false">BJ$14*BJ$15</f>
        <v>1750</v>
      </c>
      <c r="BK16" s="13" t="n">
        <f aca="false">BK$14*BK$15</f>
        <v>1750</v>
      </c>
      <c r="BL16" s="13" t="n">
        <f aca="false">BL$14*BL$15</f>
        <v>1750</v>
      </c>
      <c r="BM16" s="13" t="n">
        <f aca="false">BM$14*BM$15</f>
        <v>1750</v>
      </c>
      <c r="BN16" s="13" t="n">
        <f aca="false">BN$14*BN$15</f>
        <v>1750</v>
      </c>
      <c r="BO16" s="13" t="n">
        <f aca="false">BO$14*BO$15</f>
        <v>1750</v>
      </c>
      <c r="BP16" s="13" t="n">
        <f aca="false">BP$14*BP$15</f>
        <v>1750</v>
      </c>
      <c r="BQ16" s="13" t="n">
        <f aca="false">BQ$14*BQ$15</f>
        <v>1750</v>
      </c>
      <c r="BR16" s="13" t="n">
        <f aca="false">BR$14*BR$15</f>
        <v>1750</v>
      </c>
      <c r="BS16" s="13" t="n">
        <f aca="false">BS$14*BS$15</f>
        <v>1750</v>
      </c>
      <c r="BT16" s="13" t="n">
        <f aca="false">BT$14*BT$15</f>
        <v>1750</v>
      </c>
      <c r="BU16" s="13" t="n">
        <f aca="false">BU$14*BU$15</f>
        <v>1750</v>
      </c>
      <c r="BV16" s="13" t="n">
        <f aca="false">BV$14*BV$15</f>
        <v>1750</v>
      </c>
      <c r="BW16" s="13" t="n">
        <f aca="false">BW$14*BW$15</f>
        <v>1750</v>
      </c>
      <c r="BX16" s="13" t="n">
        <f aca="false">BX$14*BX$15</f>
        <v>1750</v>
      </c>
      <c r="BY16" s="13" t="n">
        <f aca="false">BY$14*BY$15</f>
        <v>1750</v>
      </c>
      <c r="BZ16" s="13" t="n">
        <f aca="false">BZ$14*BZ$15</f>
        <v>1750</v>
      </c>
      <c r="CA16" s="13" t="n">
        <f aca="false">CA$14*CA$15</f>
        <v>1750</v>
      </c>
      <c r="CB16" s="13" t="n">
        <f aca="false">CB$14*CB$15</f>
        <v>1750</v>
      </c>
      <c r="CC16" s="13" t="n">
        <f aca="false">CC$14*CC$15</f>
        <v>1750</v>
      </c>
      <c r="CD16" s="13" t="n">
        <f aca="false">CD$14*CD$15</f>
        <v>1750</v>
      </c>
      <c r="CE16" s="13" t="n">
        <f aca="false">CE$14*CE$15</f>
        <v>1750</v>
      </c>
      <c r="CF16" s="13" t="n">
        <f aca="false">CF$14*CF$15</f>
        <v>1750</v>
      </c>
      <c r="CG16" s="13" t="n">
        <f aca="false">CG$14*CG$15</f>
        <v>1750</v>
      </c>
      <c r="CH16" s="13" t="n">
        <f aca="false">CH$14*CH$15</f>
        <v>1750</v>
      </c>
      <c r="CI16" s="13" t="n">
        <f aca="false">CI$14*CI$15</f>
        <v>1750</v>
      </c>
      <c r="CJ16" s="13" t="n">
        <f aca="false">CJ$14*CJ$15</f>
        <v>1750</v>
      </c>
      <c r="CK16" s="13" t="n">
        <f aca="false">CK$14*CK$15</f>
        <v>1750</v>
      </c>
      <c r="CL16" s="13" t="n">
        <f aca="false">CL$14*CL$15</f>
        <v>1750</v>
      </c>
      <c r="CM16" s="13" t="n">
        <f aca="false">CM$14*CM$15</f>
        <v>1750</v>
      </c>
      <c r="CN16" s="13" t="n">
        <f aca="false">CN$14*CN$15</f>
        <v>1750</v>
      </c>
      <c r="CO16" s="13" t="n">
        <f aca="false">CO$14*CO$15</f>
        <v>1750</v>
      </c>
      <c r="CP16" s="13" t="n">
        <f aca="false">CP$14*CP$15</f>
        <v>1750</v>
      </c>
      <c r="CQ16" s="13" t="n">
        <f aca="false">CQ$14*CQ$15</f>
        <v>1750</v>
      </c>
      <c r="CR16" s="13" t="n">
        <f aca="false">CR$14*CR$15</f>
        <v>1750</v>
      </c>
      <c r="CS16" s="13" t="n">
        <f aca="false">CS$14*CS$15</f>
        <v>1750</v>
      </c>
      <c r="CT16" s="13" t="n">
        <f aca="false">CT$14*CT$15</f>
        <v>1750</v>
      </c>
      <c r="CU16" s="13" t="n">
        <f aca="false">CU$14*CU$15</f>
        <v>1750</v>
      </c>
      <c r="CV16" s="13" t="n">
        <f aca="false">CV$14*CV$15</f>
        <v>1750</v>
      </c>
      <c r="CW16" s="13" t="n">
        <f aca="false">CW$14*CW$15</f>
        <v>1750</v>
      </c>
      <c r="CX16" s="13" t="n">
        <f aca="false">CX$14*CX$15</f>
        <v>1750</v>
      </c>
      <c r="CY16" s="13" t="n">
        <f aca="false">CY$14*CY$15</f>
        <v>1750</v>
      </c>
      <c r="CZ16" s="13" t="n">
        <f aca="false">CZ$14*CZ$15</f>
        <v>1750</v>
      </c>
      <c r="DA16" s="13" t="n">
        <f aca="false">DA$14*DA$15</f>
        <v>1750</v>
      </c>
      <c r="DB16" s="13" t="n">
        <f aca="false">DB$14*DB$15</f>
        <v>1750</v>
      </c>
      <c r="DC16" s="13" t="n">
        <f aca="false">DC$14*DC$15</f>
        <v>1750</v>
      </c>
      <c r="DD16" s="13" t="n">
        <f aca="false">DD$14*DD$15</f>
        <v>1750</v>
      </c>
      <c r="DE16" s="13" t="n">
        <f aca="false">DE$14*DE$15</f>
        <v>1750</v>
      </c>
      <c r="DF16" s="13" t="n">
        <f aca="false">DF$14*DF$15</f>
        <v>1750</v>
      </c>
      <c r="DG16" s="13" t="n">
        <f aca="false">DG$14*DG$15</f>
        <v>1750</v>
      </c>
      <c r="DH16" s="13" t="n">
        <f aca="false">DH$14*DH$15</f>
        <v>1750</v>
      </c>
      <c r="DI16" s="13" t="n">
        <f aca="false">DI$14*DI$15</f>
        <v>1750</v>
      </c>
      <c r="DJ16" s="13" t="n">
        <f aca="false">DJ$14*DJ$15</f>
        <v>1750</v>
      </c>
      <c r="DK16" s="13" t="n">
        <f aca="false">DK$14*DK$15</f>
        <v>1750</v>
      </c>
      <c r="DL16" s="13" t="n">
        <f aca="false">DL$14*DL$15</f>
        <v>1750</v>
      </c>
      <c r="DM16" s="13" t="n">
        <f aca="false">DM$14*DM$15</f>
        <v>1750</v>
      </c>
      <c r="DN16" s="13" t="n">
        <f aca="false">DN$14*DN$15</f>
        <v>1750</v>
      </c>
      <c r="DO16" s="13" t="n">
        <f aca="false">DO$14*DO$15</f>
        <v>1750</v>
      </c>
      <c r="DP16" s="13" t="n">
        <f aca="false">DP$14*DP$15</f>
        <v>1750</v>
      </c>
      <c r="DQ16" s="13" t="n">
        <f aca="false">DQ$14*DQ$15</f>
        <v>1750</v>
      </c>
      <c r="DR16" s="13" t="n">
        <f aca="false">DR$14*DR$15</f>
        <v>1750</v>
      </c>
      <c r="DS16" s="13" t="n">
        <f aca="false">DS$14*DS$15</f>
        <v>1750</v>
      </c>
      <c r="DT16" s="13" t="n">
        <f aca="false">DT$14*DT$15</f>
        <v>1750</v>
      </c>
      <c r="DU16" s="13" t="n">
        <f aca="false">DU$14*DU$15</f>
        <v>1750</v>
      </c>
      <c r="DV16" s="13" t="n">
        <f aca="false">DV$14*DV$15</f>
        <v>1750</v>
      </c>
      <c r="DW16" s="13" t="n">
        <f aca="false">DW$14*DW$15</f>
        <v>0</v>
      </c>
      <c r="DX16" s="13" t="n">
        <f aca="false">DX$14*DX$15</f>
        <v>0</v>
      </c>
      <c r="DY16" s="13" t="n">
        <f aca="false">DY$14*DY$15</f>
        <v>0</v>
      </c>
      <c r="DZ16" s="13" t="n">
        <f aca="false">DZ$14*DZ$15</f>
        <v>0</v>
      </c>
      <c r="EA16" s="13" t="n">
        <f aca="false">EA$14*EA$15</f>
        <v>0</v>
      </c>
      <c r="EB16" s="13" t="n">
        <f aca="false">EB$14*EB$15</f>
        <v>0</v>
      </c>
      <c r="EC16" s="13" t="n">
        <f aca="false">EC$14*EC$15</f>
        <v>0</v>
      </c>
      <c r="ED16" s="13" t="n">
        <f aca="false">ED$14*ED$15</f>
        <v>0</v>
      </c>
      <c r="EE16" s="13" t="n">
        <f aca="false">EE$14*EE$15</f>
        <v>0</v>
      </c>
      <c r="EF16" s="13" t="n">
        <f aca="false">EF$14*EF$15</f>
        <v>0</v>
      </c>
      <c r="EG16" s="13" t="n">
        <f aca="false">EG$14*EG$15</f>
        <v>0</v>
      </c>
      <c r="EH16" s="13" t="n">
        <f aca="false">EH$14*EH$15</f>
        <v>0</v>
      </c>
      <c r="EI16" s="13" t="n">
        <f aca="false">EI$14*EI$15</f>
        <v>0</v>
      </c>
      <c r="EJ16" s="13" t="n">
        <f aca="false">EJ$14*EJ$15</f>
        <v>0</v>
      </c>
      <c r="EK16" s="13" t="n">
        <f aca="false">EK$14*EK$15</f>
        <v>0</v>
      </c>
      <c r="EL16" s="13" t="n">
        <f aca="false">EL$14*EL$15</f>
        <v>0</v>
      </c>
      <c r="EM16" s="13" t="n">
        <f aca="false">EM$14*EM$15</f>
        <v>0</v>
      </c>
      <c r="EN16" s="13" t="n">
        <f aca="false">EN$14*EN$15</f>
        <v>0</v>
      </c>
      <c r="EO16" s="13" t="n">
        <f aca="false">EO$14*EO$15</f>
        <v>0</v>
      </c>
      <c r="EP16" s="13" t="n">
        <f aca="false">EP$14*EP$15</f>
        <v>0</v>
      </c>
      <c r="EQ16" s="13" t="n">
        <f aca="false">EQ$14*EQ$15</f>
        <v>0</v>
      </c>
      <c r="ER16" s="13" t="n">
        <f aca="false">ER$14*ER$15</f>
        <v>0</v>
      </c>
      <c r="ES16" s="13" t="n">
        <f aca="false">ES$14*ES$15</f>
        <v>0</v>
      </c>
      <c r="ET16" s="13" t="n">
        <f aca="false">ET$14*ET$15</f>
        <v>0</v>
      </c>
      <c r="EU16" s="13" t="n">
        <f aca="false">EU$14*EU$15</f>
        <v>0</v>
      </c>
      <c r="EV16" s="13" t="n">
        <f aca="false">EV$14*EV$15</f>
        <v>0</v>
      </c>
      <c r="EW16" s="13" t="n">
        <f aca="false">EW$14*EW$15</f>
        <v>0</v>
      </c>
      <c r="EX16" s="13" t="n">
        <f aca="false">EX$14*EX$15</f>
        <v>0</v>
      </c>
      <c r="EY16" s="13" t="n">
        <f aca="false">EY$14*EY$15</f>
        <v>0</v>
      </c>
      <c r="EZ16" s="13" t="n">
        <f aca="false">EZ$14*EZ$15</f>
        <v>0</v>
      </c>
      <c r="FA16" s="13" t="n">
        <f aca="false">FA$14*FA$15</f>
        <v>0</v>
      </c>
      <c r="FB16" s="13" t="n">
        <f aca="false">FB$14*FB$15</f>
        <v>0</v>
      </c>
      <c r="FC16" s="13" t="n">
        <f aca="false">FC$14*FC$15</f>
        <v>0</v>
      </c>
      <c r="FD16" s="13" t="n">
        <f aca="false">FD$14*FD$15</f>
        <v>0</v>
      </c>
      <c r="FE16" s="13" t="n">
        <f aca="false">FE$14*FE$15</f>
        <v>0</v>
      </c>
      <c r="FF16" s="13" t="n">
        <f aca="false">FF$14*FF$15</f>
        <v>0</v>
      </c>
    </row>
    <row r="17" customFormat="false" ht="15" hidden="false" customHeight="false" outlineLevel="0" collapsed="false">
      <c r="A17" s="2" t="s">
        <v>832</v>
      </c>
      <c r="B17" s="8" t="s">
        <v>833</v>
      </c>
      <c r="C17" s="8" t="s">
        <v>825</v>
      </c>
      <c r="E17" s="65" t="n">
        <f aca="false">SUM($F17:$FF17)</f>
        <v>192000</v>
      </c>
      <c r="F17" s="13" t="n">
        <f aca="false">F$16*F$11</f>
        <v>0</v>
      </c>
      <c r="G17" s="13" t="n">
        <f aca="false">G$16*G$11</f>
        <v>1000</v>
      </c>
      <c r="H17" s="13" t="n">
        <f aca="false">H$16*H$11</f>
        <v>1000</v>
      </c>
      <c r="I17" s="13" t="n">
        <f aca="false">I$16*I$11</f>
        <v>1000</v>
      </c>
      <c r="J17" s="13" t="n">
        <f aca="false">J$16*J$11</f>
        <v>1000</v>
      </c>
      <c r="K17" s="13" t="n">
        <f aca="false">K$16*K$11</f>
        <v>1000</v>
      </c>
      <c r="L17" s="13" t="n">
        <f aca="false">L$16*L$11</f>
        <v>1000</v>
      </c>
      <c r="M17" s="13" t="n">
        <f aca="false">M$16*M$11</f>
        <v>1000</v>
      </c>
      <c r="N17" s="13" t="n">
        <f aca="false">N$16*N$11</f>
        <v>1000</v>
      </c>
      <c r="O17" s="13" t="n">
        <f aca="false">O$16*O$11</f>
        <v>1000</v>
      </c>
      <c r="P17" s="13" t="n">
        <f aca="false">P$16*P$11</f>
        <v>1000</v>
      </c>
      <c r="Q17" s="13" t="n">
        <f aca="false">Q$16*Q$11</f>
        <v>1000</v>
      </c>
      <c r="R17" s="13" t="n">
        <f aca="false">R$16*R$11</f>
        <v>1000</v>
      </c>
      <c r="S17" s="13" t="n">
        <f aca="false">S$16*S$11</f>
        <v>1250</v>
      </c>
      <c r="T17" s="13" t="n">
        <f aca="false">T$16*T$11</f>
        <v>1250</v>
      </c>
      <c r="U17" s="13" t="n">
        <f aca="false">U$16*U$11</f>
        <v>1250</v>
      </c>
      <c r="V17" s="13" t="n">
        <f aca="false">V$16*V$11</f>
        <v>1250</v>
      </c>
      <c r="W17" s="13" t="n">
        <f aca="false">W$16*W$11</f>
        <v>1250</v>
      </c>
      <c r="X17" s="13" t="n">
        <f aca="false">X$16*X$11</f>
        <v>1250</v>
      </c>
      <c r="Y17" s="13" t="n">
        <f aca="false">Y$16*Y$11</f>
        <v>1250</v>
      </c>
      <c r="Z17" s="13" t="n">
        <f aca="false">Z$16*Z$11</f>
        <v>1250</v>
      </c>
      <c r="AA17" s="13" t="n">
        <f aca="false">AA$16*AA$11</f>
        <v>1250</v>
      </c>
      <c r="AB17" s="13" t="n">
        <f aca="false">AB$16*AB$11</f>
        <v>1250</v>
      </c>
      <c r="AC17" s="13" t="n">
        <f aca="false">AC$16*AC$11</f>
        <v>1250</v>
      </c>
      <c r="AD17" s="13" t="n">
        <f aca="false">AD$16*AD$11</f>
        <v>1250</v>
      </c>
      <c r="AE17" s="13" t="n">
        <f aca="false">AE$16*AE$11</f>
        <v>1500</v>
      </c>
      <c r="AF17" s="13" t="n">
        <f aca="false">AF$16*AF$11</f>
        <v>1500</v>
      </c>
      <c r="AG17" s="13" t="n">
        <f aca="false">AG$16*AG$11</f>
        <v>1500</v>
      </c>
      <c r="AH17" s="13" t="n">
        <f aca="false">AH$16*AH$11</f>
        <v>1500</v>
      </c>
      <c r="AI17" s="13" t="n">
        <f aca="false">AI$16*AI$11</f>
        <v>1500</v>
      </c>
      <c r="AJ17" s="13" t="n">
        <f aca="false">AJ$16*AJ$11</f>
        <v>1500</v>
      </c>
      <c r="AK17" s="13" t="n">
        <f aca="false">AK$16*AK$11</f>
        <v>1500</v>
      </c>
      <c r="AL17" s="13" t="n">
        <f aca="false">AL$16*AL$11</f>
        <v>1500</v>
      </c>
      <c r="AM17" s="13" t="n">
        <f aca="false">AM$16*AM$11</f>
        <v>1500</v>
      </c>
      <c r="AN17" s="13" t="n">
        <f aca="false">AN$16*AN$11</f>
        <v>1500</v>
      </c>
      <c r="AO17" s="13" t="n">
        <f aca="false">AO$16*AO$11</f>
        <v>1500</v>
      </c>
      <c r="AP17" s="13" t="n">
        <f aca="false">AP$16*AP$11</f>
        <v>1500</v>
      </c>
      <c r="AQ17" s="13" t="n">
        <f aca="false">AQ$16*AQ$11</f>
        <v>1750</v>
      </c>
      <c r="AR17" s="13" t="n">
        <f aca="false">AR$16*AR$11</f>
        <v>1750</v>
      </c>
      <c r="AS17" s="13" t="n">
        <f aca="false">AS$16*AS$11</f>
        <v>1750</v>
      </c>
      <c r="AT17" s="13" t="n">
        <f aca="false">AT$16*AT$11</f>
        <v>1750</v>
      </c>
      <c r="AU17" s="13" t="n">
        <f aca="false">AU$16*AU$11</f>
        <v>1750</v>
      </c>
      <c r="AV17" s="13" t="n">
        <f aca="false">AV$16*AV$11</f>
        <v>1750</v>
      </c>
      <c r="AW17" s="13" t="n">
        <f aca="false">AW$16*AW$11</f>
        <v>1750</v>
      </c>
      <c r="AX17" s="13" t="n">
        <f aca="false">AX$16*AX$11</f>
        <v>1750</v>
      </c>
      <c r="AY17" s="13" t="n">
        <f aca="false">AY$16*AY$11</f>
        <v>1750</v>
      </c>
      <c r="AZ17" s="13" t="n">
        <f aca="false">AZ$16*AZ$11</f>
        <v>1750</v>
      </c>
      <c r="BA17" s="13" t="n">
        <f aca="false">BA$16*BA$11</f>
        <v>1750</v>
      </c>
      <c r="BB17" s="13" t="n">
        <f aca="false">BB$16*BB$11</f>
        <v>1750</v>
      </c>
      <c r="BC17" s="13" t="n">
        <f aca="false">BC$16*BC$11</f>
        <v>1750</v>
      </c>
      <c r="BD17" s="13" t="n">
        <f aca="false">BD$16*BD$11</f>
        <v>1750</v>
      </c>
      <c r="BE17" s="13" t="n">
        <f aca="false">BE$16*BE$11</f>
        <v>1750</v>
      </c>
      <c r="BF17" s="13" t="n">
        <f aca="false">BF$16*BF$11</f>
        <v>1750</v>
      </c>
      <c r="BG17" s="13" t="n">
        <f aca="false">BG$16*BG$11</f>
        <v>1750</v>
      </c>
      <c r="BH17" s="13" t="n">
        <f aca="false">BH$16*BH$11</f>
        <v>1750</v>
      </c>
      <c r="BI17" s="13" t="n">
        <f aca="false">BI$16*BI$11</f>
        <v>1750</v>
      </c>
      <c r="BJ17" s="13" t="n">
        <f aca="false">BJ$16*BJ$11</f>
        <v>1750</v>
      </c>
      <c r="BK17" s="13" t="n">
        <f aca="false">BK$16*BK$11</f>
        <v>1750</v>
      </c>
      <c r="BL17" s="13" t="n">
        <f aca="false">BL$16*BL$11</f>
        <v>1750</v>
      </c>
      <c r="BM17" s="13" t="n">
        <f aca="false">BM$16*BM$11</f>
        <v>1750</v>
      </c>
      <c r="BN17" s="13" t="n">
        <f aca="false">BN$16*BN$11</f>
        <v>1750</v>
      </c>
      <c r="BO17" s="13" t="n">
        <f aca="false">BO$16*BO$11</f>
        <v>1750</v>
      </c>
      <c r="BP17" s="13" t="n">
        <f aca="false">BP$16*BP$11</f>
        <v>1750</v>
      </c>
      <c r="BQ17" s="13" t="n">
        <f aca="false">BQ$16*BQ$11</f>
        <v>1750</v>
      </c>
      <c r="BR17" s="13" t="n">
        <f aca="false">BR$16*BR$11</f>
        <v>1750</v>
      </c>
      <c r="BS17" s="13" t="n">
        <f aca="false">BS$16*BS$11</f>
        <v>1750</v>
      </c>
      <c r="BT17" s="13" t="n">
        <f aca="false">BT$16*BT$11</f>
        <v>1750</v>
      </c>
      <c r="BU17" s="13" t="n">
        <f aca="false">BU$16*BU$11</f>
        <v>1750</v>
      </c>
      <c r="BV17" s="13" t="n">
        <f aca="false">BV$16*BV$11</f>
        <v>1750</v>
      </c>
      <c r="BW17" s="13" t="n">
        <f aca="false">BW$16*BW$11</f>
        <v>1750</v>
      </c>
      <c r="BX17" s="13" t="n">
        <f aca="false">BX$16*BX$11</f>
        <v>1750</v>
      </c>
      <c r="BY17" s="13" t="n">
        <f aca="false">BY$16*BY$11</f>
        <v>1750</v>
      </c>
      <c r="BZ17" s="13" t="n">
        <f aca="false">BZ$16*BZ$11</f>
        <v>1750</v>
      </c>
      <c r="CA17" s="13" t="n">
        <f aca="false">CA$16*CA$11</f>
        <v>1750</v>
      </c>
      <c r="CB17" s="13" t="n">
        <f aca="false">CB$16*CB$11</f>
        <v>1750</v>
      </c>
      <c r="CC17" s="13" t="n">
        <f aca="false">CC$16*CC$11</f>
        <v>1750</v>
      </c>
      <c r="CD17" s="13" t="n">
        <f aca="false">CD$16*CD$11</f>
        <v>1750</v>
      </c>
      <c r="CE17" s="13" t="n">
        <f aca="false">CE$16*CE$11</f>
        <v>1750</v>
      </c>
      <c r="CF17" s="13" t="n">
        <f aca="false">CF$16*CF$11</f>
        <v>1750</v>
      </c>
      <c r="CG17" s="13" t="n">
        <f aca="false">CG$16*CG$11</f>
        <v>1750</v>
      </c>
      <c r="CH17" s="13" t="n">
        <f aca="false">CH$16*CH$11</f>
        <v>1750</v>
      </c>
      <c r="CI17" s="13" t="n">
        <f aca="false">CI$16*CI$11</f>
        <v>1750</v>
      </c>
      <c r="CJ17" s="13" t="n">
        <f aca="false">CJ$16*CJ$11</f>
        <v>1750</v>
      </c>
      <c r="CK17" s="13" t="n">
        <f aca="false">CK$16*CK$11</f>
        <v>1750</v>
      </c>
      <c r="CL17" s="13" t="n">
        <f aca="false">CL$16*CL$11</f>
        <v>1750</v>
      </c>
      <c r="CM17" s="13" t="n">
        <f aca="false">CM$16*CM$11</f>
        <v>1750</v>
      </c>
      <c r="CN17" s="13" t="n">
        <f aca="false">CN$16*CN$11</f>
        <v>1750</v>
      </c>
      <c r="CO17" s="13" t="n">
        <f aca="false">CO$16*CO$11</f>
        <v>1750</v>
      </c>
      <c r="CP17" s="13" t="n">
        <f aca="false">CP$16*CP$11</f>
        <v>1750</v>
      </c>
      <c r="CQ17" s="13" t="n">
        <f aca="false">CQ$16*CQ$11</f>
        <v>1750</v>
      </c>
      <c r="CR17" s="13" t="n">
        <f aca="false">CR$16*CR$11</f>
        <v>1750</v>
      </c>
      <c r="CS17" s="13" t="n">
        <f aca="false">CS$16*CS$11</f>
        <v>1750</v>
      </c>
      <c r="CT17" s="13" t="n">
        <f aca="false">CT$16*CT$11</f>
        <v>1750</v>
      </c>
      <c r="CU17" s="13" t="n">
        <f aca="false">CU$16*CU$11</f>
        <v>1750</v>
      </c>
      <c r="CV17" s="13" t="n">
        <f aca="false">CV$16*CV$11</f>
        <v>1750</v>
      </c>
      <c r="CW17" s="13" t="n">
        <f aca="false">CW$16*CW$11</f>
        <v>1750</v>
      </c>
      <c r="CX17" s="13" t="n">
        <f aca="false">CX$16*CX$11</f>
        <v>1750</v>
      </c>
      <c r="CY17" s="13" t="n">
        <f aca="false">CY$16*CY$11</f>
        <v>1750</v>
      </c>
      <c r="CZ17" s="13" t="n">
        <f aca="false">CZ$16*CZ$11</f>
        <v>1750</v>
      </c>
      <c r="DA17" s="13" t="n">
        <f aca="false">DA$16*DA$11</f>
        <v>1750</v>
      </c>
      <c r="DB17" s="13" t="n">
        <f aca="false">DB$16*DB$11</f>
        <v>1750</v>
      </c>
      <c r="DC17" s="13" t="n">
        <f aca="false">DC$16*DC$11</f>
        <v>1750</v>
      </c>
      <c r="DD17" s="13" t="n">
        <f aca="false">DD$16*DD$11</f>
        <v>1750</v>
      </c>
      <c r="DE17" s="13" t="n">
        <f aca="false">DE$16*DE$11</f>
        <v>1750</v>
      </c>
      <c r="DF17" s="13" t="n">
        <f aca="false">DF$16*DF$11</f>
        <v>1750</v>
      </c>
      <c r="DG17" s="13" t="n">
        <f aca="false">DG$16*DG$11</f>
        <v>1750</v>
      </c>
      <c r="DH17" s="13" t="n">
        <f aca="false">DH$16*DH$11</f>
        <v>1750</v>
      </c>
      <c r="DI17" s="13" t="n">
        <f aca="false">DI$16*DI$11</f>
        <v>1750</v>
      </c>
      <c r="DJ17" s="13" t="n">
        <f aca="false">DJ$16*DJ$11</f>
        <v>1750</v>
      </c>
      <c r="DK17" s="13" t="n">
        <f aca="false">DK$16*DK$11</f>
        <v>1750</v>
      </c>
      <c r="DL17" s="13" t="n">
        <f aca="false">DL$16*DL$11</f>
        <v>1750</v>
      </c>
      <c r="DM17" s="13" t="n">
        <f aca="false">DM$16*DM$11</f>
        <v>1750</v>
      </c>
      <c r="DN17" s="13" t="n">
        <f aca="false">DN$16*DN$11</f>
        <v>1750</v>
      </c>
      <c r="DO17" s="13" t="n">
        <f aca="false">DO$16*DO$11</f>
        <v>1750</v>
      </c>
      <c r="DP17" s="13" t="n">
        <f aca="false">DP$16*DP$11</f>
        <v>1750</v>
      </c>
      <c r="DQ17" s="13" t="n">
        <f aca="false">DQ$16*DQ$11</f>
        <v>1750</v>
      </c>
      <c r="DR17" s="13" t="n">
        <f aca="false">DR$16*DR$11</f>
        <v>1750</v>
      </c>
      <c r="DS17" s="13" t="n">
        <f aca="false">DS$16*DS$11</f>
        <v>1750</v>
      </c>
      <c r="DT17" s="13" t="n">
        <f aca="false">DT$16*DT$11</f>
        <v>1750</v>
      </c>
      <c r="DU17" s="13" t="n">
        <f aca="false">DU$16*DU$11</f>
        <v>1750</v>
      </c>
      <c r="DV17" s="13" t="n">
        <f aca="false">DV$16*DV$11</f>
        <v>1750</v>
      </c>
      <c r="DW17" s="13" t="n">
        <f aca="false">DW$16*DW$11</f>
        <v>0</v>
      </c>
      <c r="DX17" s="13" t="n">
        <f aca="false">DX$16*DX$11</f>
        <v>0</v>
      </c>
      <c r="DY17" s="13" t="n">
        <f aca="false">DY$16*DY$11</f>
        <v>0</v>
      </c>
      <c r="DZ17" s="13" t="n">
        <f aca="false">DZ$16*DZ$11</f>
        <v>0</v>
      </c>
      <c r="EA17" s="13" t="n">
        <f aca="false">EA$16*EA$11</f>
        <v>0</v>
      </c>
      <c r="EB17" s="13" t="n">
        <f aca="false">EB$16*EB$11</f>
        <v>0</v>
      </c>
      <c r="EC17" s="13" t="n">
        <f aca="false">EC$16*EC$11</f>
        <v>0</v>
      </c>
      <c r="ED17" s="13" t="n">
        <f aca="false">ED$16*ED$11</f>
        <v>0</v>
      </c>
      <c r="EE17" s="13" t="n">
        <f aca="false">EE$16*EE$11</f>
        <v>0</v>
      </c>
      <c r="EF17" s="13" t="n">
        <f aca="false">EF$16*EF$11</f>
        <v>0</v>
      </c>
      <c r="EG17" s="13" t="n">
        <f aca="false">EG$16*EG$11</f>
        <v>0</v>
      </c>
      <c r="EH17" s="13" t="n">
        <f aca="false">EH$16*EH$11</f>
        <v>0</v>
      </c>
      <c r="EI17" s="13" t="n">
        <f aca="false">EI$16*EI$11</f>
        <v>0</v>
      </c>
      <c r="EJ17" s="13" t="n">
        <f aca="false">EJ$16*EJ$11</f>
        <v>0</v>
      </c>
      <c r="EK17" s="13" t="n">
        <f aca="false">EK$16*EK$11</f>
        <v>0</v>
      </c>
      <c r="EL17" s="13" t="n">
        <f aca="false">EL$16*EL$11</f>
        <v>0</v>
      </c>
      <c r="EM17" s="13" t="n">
        <f aca="false">EM$16*EM$11</f>
        <v>0</v>
      </c>
      <c r="EN17" s="13" t="n">
        <f aca="false">EN$16*EN$11</f>
        <v>0</v>
      </c>
      <c r="EO17" s="13" t="n">
        <f aca="false">EO$16*EO$11</f>
        <v>0</v>
      </c>
      <c r="EP17" s="13" t="n">
        <f aca="false">EP$16*EP$11</f>
        <v>0</v>
      </c>
      <c r="EQ17" s="13" t="n">
        <f aca="false">EQ$16*EQ$11</f>
        <v>0</v>
      </c>
      <c r="ER17" s="13" t="n">
        <f aca="false">ER$16*ER$11</f>
        <v>0</v>
      </c>
      <c r="ES17" s="13" t="n">
        <f aca="false">ES$16*ES$11</f>
        <v>0</v>
      </c>
      <c r="ET17" s="13" t="n">
        <f aca="false">ET$16*ET$11</f>
        <v>0</v>
      </c>
      <c r="EU17" s="13" t="n">
        <f aca="false">EU$16*EU$11</f>
        <v>0</v>
      </c>
      <c r="EV17" s="13" t="n">
        <f aca="false">EV$16*EV$11</f>
        <v>0</v>
      </c>
      <c r="EW17" s="13" t="n">
        <f aca="false">EW$16*EW$11</f>
        <v>0</v>
      </c>
      <c r="EX17" s="13" t="n">
        <f aca="false">EX$16*EX$11</f>
        <v>0</v>
      </c>
      <c r="EY17" s="13" t="n">
        <f aca="false">EY$16*EY$11</f>
        <v>0</v>
      </c>
      <c r="EZ17" s="13" t="n">
        <f aca="false">EZ$16*EZ$11</f>
        <v>0</v>
      </c>
      <c r="FA17" s="13" t="n">
        <f aca="false">FA$16*FA$11</f>
        <v>0</v>
      </c>
      <c r="FB17" s="13" t="n">
        <f aca="false">FB$16*FB$11</f>
        <v>0</v>
      </c>
      <c r="FC17" s="13" t="n">
        <f aca="false">FC$16*FC$11</f>
        <v>0</v>
      </c>
      <c r="FD17" s="13" t="n">
        <f aca="false">FD$16*FD$11</f>
        <v>0</v>
      </c>
      <c r="FE17" s="13" t="n">
        <f aca="false">FE$16*FE$11</f>
        <v>0</v>
      </c>
      <c r="FF17" s="13" t="n">
        <f aca="false">FF$16*FF$11</f>
        <v>0</v>
      </c>
    </row>
    <row r="18" customFormat="false" ht="15" hidden="false" customHeight="false" outlineLevel="0" collapsed="false">
      <c r="A18" s="2" t="s">
        <v>834</v>
      </c>
      <c r="B18" s="8" t="s">
        <v>835</v>
      </c>
      <c r="C18" s="8" t="s">
        <v>825</v>
      </c>
      <c r="E18" s="65" t="n">
        <f aca="false">SUM($F18:$FF18)</f>
        <v>0</v>
      </c>
      <c r="F18" s="13" t="n">
        <f aca="false">F$16-F$17</f>
        <v>0</v>
      </c>
      <c r="G18" s="13" t="n">
        <f aca="false">G$16-G$17</f>
        <v>0</v>
      </c>
      <c r="H18" s="13" t="n">
        <f aca="false">H$16-H$17</f>
        <v>0</v>
      </c>
      <c r="I18" s="13" t="n">
        <f aca="false">I$16-I$17</f>
        <v>0</v>
      </c>
      <c r="J18" s="13" t="n">
        <f aca="false">J$16-J$17</f>
        <v>0</v>
      </c>
      <c r="K18" s="13" t="n">
        <f aca="false">K$16-K$17</f>
        <v>0</v>
      </c>
      <c r="L18" s="13" t="n">
        <f aca="false">L$16-L$17</f>
        <v>0</v>
      </c>
      <c r="M18" s="13" t="n">
        <f aca="false">M$16-M$17</f>
        <v>0</v>
      </c>
      <c r="N18" s="13" t="n">
        <f aca="false">N$16-N$17</f>
        <v>0</v>
      </c>
      <c r="O18" s="13" t="n">
        <f aca="false">O$16-O$17</f>
        <v>0</v>
      </c>
      <c r="P18" s="13" t="n">
        <f aca="false">P$16-P$17</f>
        <v>0</v>
      </c>
      <c r="Q18" s="13" t="n">
        <f aca="false">Q$16-Q$17</f>
        <v>0</v>
      </c>
      <c r="R18" s="13" t="n">
        <f aca="false">R$16-R$17</f>
        <v>0</v>
      </c>
      <c r="S18" s="13" t="n">
        <f aca="false">S$16-S$17</f>
        <v>0</v>
      </c>
      <c r="T18" s="13" t="n">
        <f aca="false">T$16-T$17</f>
        <v>0</v>
      </c>
      <c r="U18" s="13" t="n">
        <f aca="false">U$16-U$17</f>
        <v>0</v>
      </c>
      <c r="V18" s="13" t="n">
        <f aca="false">V$16-V$17</f>
        <v>0</v>
      </c>
      <c r="W18" s="13" t="n">
        <f aca="false">W$16-W$17</f>
        <v>0</v>
      </c>
      <c r="X18" s="13" t="n">
        <f aca="false">X$16-X$17</f>
        <v>0</v>
      </c>
      <c r="Y18" s="13" t="n">
        <f aca="false">Y$16-Y$17</f>
        <v>0</v>
      </c>
      <c r="Z18" s="13" t="n">
        <f aca="false">Z$16-Z$17</f>
        <v>0</v>
      </c>
      <c r="AA18" s="13" t="n">
        <f aca="false">AA$16-AA$17</f>
        <v>0</v>
      </c>
      <c r="AB18" s="13" t="n">
        <f aca="false">AB$16-AB$17</f>
        <v>0</v>
      </c>
      <c r="AC18" s="13" t="n">
        <f aca="false">AC$16-AC$17</f>
        <v>0</v>
      </c>
      <c r="AD18" s="13" t="n">
        <f aca="false">AD$16-AD$17</f>
        <v>0</v>
      </c>
      <c r="AE18" s="13" t="n">
        <f aca="false">AE$16-AE$17</f>
        <v>0</v>
      </c>
      <c r="AF18" s="13" t="n">
        <f aca="false">AF$16-AF$17</f>
        <v>0</v>
      </c>
      <c r="AG18" s="13" t="n">
        <f aca="false">AG$16-AG$17</f>
        <v>0</v>
      </c>
      <c r="AH18" s="13" t="n">
        <f aca="false">AH$16-AH$17</f>
        <v>0</v>
      </c>
      <c r="AI18" s="13" t="n">
        <f aca="false">AI$16-AI$17</f>
        <v>0</v>
      </c>
      <c r="AJ18" s="13" t="n">
        <f aca="false">AJ$16-AJ$17</f>
        <v>0</v>
      </c>
      <c r="AK18" s="13" t="n">
        <f aca="false">AK$16-AK$17</f>
        <v>0</v>
      </c>
      <c r="AL18" s="13" t="n">
        <f aca="false">AL$16-AL$17</f>
        <v>0</v>
      </c>
      <c r="AM18" s="13" t="n">
        <f aca="false">AM$16-AM$17</f>
        <v>0</v>
      </c>
      <c r="AN18" s="13" t="n">
        <f aca="false">AN$16-AN$17</f>
        <v>0</v>
      </c>
      <c r="AO18" s="13" t="n">
        <f aca="false">AO$16-AO$17</f>
        <v>0</v>
      </c>
      <c r="AP18" s="13" t="n">
        <f aca="false">AP$16-AP$17</f>
        <v>0</v>
      </c>
      <c r="AQ18" s="13" t="n">
        <f aca="false">AQ$16-AQ$17</f>
        <v>0</v>
      </c>
      <c r="AR18" s="13" t="n">
        <f aca="false">AR$16-AR$17</f>
        <v>0</v>
      </c>
      <c r="AS18" s="13" t="n">
        <f aca="false">AS$16-AS$17</f>
        <v>0</v>
      </c>
      <c r="AT18" s="13" t="n">
        <f aca="false">AT$16-AT$17</f>
        <v>0</v>
      </c>
      <c r="AU18" s="13" t="n">
        <f aca="false">AU$16-AU$17</f>
        <v>0</v>
      </c>
      <c r="AV18" s="13" t="n">
        <f aca="false">AV$16-AV$17</f>
        <v>0</v>
      </c>
      <c r="AW18" s="13" t="n">
        <f aca="false">AW$16-AW$17</f>
        <v>0</v>
      </c>
      <c r="AX18" s="13" t="n">
        <f aca="false">AX$16-AX$17</f>
        <v>0</v>
      </c>
      <c r="AY18" s="13" t="n">
        <f aca="false">AY$16-AY$17</f>
        <v>0</v>
      </c>
      <c r="AZ18" s="13" t="n">
        <f aca="false">AZ$16-AZ$17</f>
        <v>0</v>
      </c>
      <c r="BA18" s="13" t="n">
        <f aca="false">BA$16-BA$17</f>
        <v>0</v>
      </c>
      <c r="BB18" s="13" t="n">
        <f aca="false">BB$16-BB$17</f>
        <v>0</v>
      </c>
      <c r="BC18" s="13" t="n">
        <f aca="false">BC$16-BC$17</f>
        <v>0</v>
      </c>
      <c r="BD18" s="13" t="n">
        <f aca="false">BD$16-BD$17</f>
        <v>0</v>
      </c>
      <c r="BE18" s="13" t="n">
        <f aca="false">BE$16-BE$17</f>
        <v>0</v>
      </c>
      <c r="BF18" s="13" t="n">
        <f aca="false">BF$16-BF$17</f>
        <v>0</v>
      </c>
      <c r="BG18" s="13" t="n">
        <f aca="false">BG$16-BG$17</f>
        <v>0</v>
      </c>
      <c r="BH18" s="13" t="n">
        <f aca="false">BH$16-BH$17</f>
        <v>0</v>
      </c>
      <c r="BI18" s="13" t="n">
        <f aca="false">BI$16-BI$17</f>
        <v>0</v>
      </c>
      <c r="BJ18" s="13" t="n">
        <f aca="false">BJ$16-BJ$17</f>
        <v>0</v>
      </c>
      <c r="BK18" s="13" t="n">
        <f aca="false">BK$16-BK$17</f>
        <v>0</v>
      </c>
      <c r="BL18" s="13" t="n">
        <f aca="false">BL$16-BL$17</f>
        <v>0</v>
      </c>
      <c r="BM18" s="13" t="n">
        <f aca="false">BM$16-BM$17</f>
        <v>0</v>
      </c>
      <c r="BN18" s="13" t="n">
        <f aca="false">BN$16-BN$17</f>
        <v>0</v>
      </c>
      <c r="BO18" s="13" t="n">
        <f aca="false">BO$16-BO$17</f>
        <v>0</v>
      </c>
      <c r="BP18" s="13" t="n">
        <f aca="false">BP$16-BP$17</f>
        <v>0</v>
      </c>
      <c r="BQ18" s="13" t="n">
        <f aca="false">BQ$16-BQ$17</f>
        <v>0</v>
      </c>
      <c r="BR18" s="13" t="n">
        <f aca="false">BR$16-BR$17</f>
        <v>0</v>
      </c>
      <c r="BS18" s="13" t="n">
        <f aca="false">BS$16-BS$17</f>
        <v>0</v>
      </c>
      <c r="BT18" s="13" t="n">
        <f aca="false">BT$16-BT$17</f>
        <v>0</v>
      </c>
      <c r="BU18" s="13" t="n">
        <f aca="false">BU$16-BU$17</f>
        <v>0</v>
      </c>
      <c r="BV18" s="13" t="n">
        <f aca="false">BV$16-BV$17</f>
        <v>0</v>
      </c>
      <c r="BW18" s="13" t="n">
        <f aca="false">BW$16-BW$17</f>
        <v>0</v>
      </c>
      <c r="BX18" s="13" t="n">
        <f aca="false">BX$16-BX$17</f>
        <v>0</v>
      </c>
      <c r="BY18" s="13" t="n">
        <f aca="false">BY$16-BY$17</f>
        <v>0</v>
      </c>
      <c r="BZ18" s="13" t="n">
        <f aca="false">BZ$16-BZ$17</f>
        <v>0</v>
      </c>
      <c r="CA18" s="13" t="n">
        <f aca="false">CA$16-CA$17</f>
        <v>0</v>
      </c>
      <c r="CB18" s="13" t="n">
        <f aca="false">CB$16-CB$17</f>
        <v>0</v>
      </c>
      <c r="CC18" s="13" t="n">
        <f aca="false">CC$16-CC$17</f>
        <v>0</v>
      </c>
      <c r="CD18" s="13" t="n">
        <f aca="false">CD$16-CD$17</f>
        <v>0</v>
      </c>
      <c r="CE18" s="13" t="n">
        <f aca="false">CE$16-CE$17</f>
        <v>0</v>
      </c>
      <c r="CF18" s="13" t="n">
        <f aca="false">CF$16-CF$17</f>
        <v>0</v>
      </c>
      <c r="CG18" s="13" t="n">
        <f aca="false">CG$16-CG$17</f>
        <v>0</v>
      </c>
      <c r="CH18" s="13" t="n">
        <f aca="false">CH$16-CH$17</f>
        <v>0</v>
      </c>
      <c r="CI18" s="13" t="n">
        <f aca="false">CI$16-CI$17</f>
        <v>0</v>
      </c>
      <c r="CJ18" s="13" t="n">
        <f aca="false">CJ$16-CJ$17</f>
        <v>0</v>
      </c>
      <c r="CK18" s="13" t="n">
        <f aca="false">CK$16-CK$17</f>
        <v>0</v>
      </c>
      <c r="CL18" s="13" t="n">
        <f aca="false">CL$16-CL$17</f>
        <v>0</v>
      </c>
      <c r="CM18" s="13" t="n">
        <f aca="false">CM$16-CM$17</f>
        <v>0</v>
      </c>
      <c r="CN18" s="13" t="n">
        <f aca="false">CN$16-CN$17</f>
        <v>0</v>
      </c>
      <c r="CO18" s="13" t="n">
        <f aca="false">CO$16-CO$17</f>
        <v>0</v>
      </c>
      <c r="CP18" s="13" t="n">
        <f aca="false">CP$16-CP$17</f>
        <v>0</v>
      </c>
      <c r="CQ18" s="13" t="n">
        <f aca="false">CQ$16-CQ$17</f>
        <v>0</v>
      </c>
      <c r="CR18" s="13" t="n">
        <f aca="false">CR$16-CR$17</f>
        <v>0</v>
      </c>
      <c r="CS18" s="13" t="n">
        <f aca="false">CS$16-CS$17</f>
        <v>0</v>
      </c>
      <c r="CT18" s="13" t="n">
        <f aca="false">CT$16-CT$17</f>
        <v>0</v>
      </c>
      <c r="CU18" s="13" t="n">
        <f aca="false">CU$16-CU$17</f>
        <v>0</v>
      </c>
      <c r="CV18" s="13" t="n">
        <f aca="false">CV$16-CV$17</f>
        <v>0</v>
      </c>
      <c r="CW18" s="13" t="n">
        <f aca="false">CW$16-CW$17</f>
        <v>0</v>
      </c>
      <c r="CX18" s="13" t="n">
        <f aca="false">CX$16-CX$17</f>
        <v>0</v>
      </c>
      <c r="CY18" s="13" t="n">
        <f aca="false">CY$16-CY$17</f>
        <v>0</v>
      </c>
      <c r="CZ18" s="13" t="n">
        <f aca="false">CZ$16-CZ$17</f>
        <v>0</v>
      </c>
      <c r="DA18" s="13" t="n">
        <f aca="false">DA$16-DA$17</f>
        <v>0</v>
      </c>
      <c r="DB18" s="13" t="n">
        <f aca="false">DB$16-DB$17</f>
        <v>0</v>
      </c>
      <c r="DC18" s="13" t="n">
        <f aca="false">DC$16-DC$17</f>
        <v>0</v>
      </c>
      <c r="DD18" s="13" t="n">
        <f aca="false">DD$16-DD$17</f>
        <v>0</v>
      </c>
      <c r="DE18" s="13" t="n">
        <f aca="false">DE$16-DE$17</f>
        <v>0</v>
      </c>
      <c r="DF18" s="13" t="n">
        <f aca="false">DF$16-DF$17</f>
        <v>0</v>
      </c>
      <c r="DG18" s="13" t="n">
        <f aca="false">DG$16-DG$17</f>
        <v>0</v>
      </c>
      <c r="DH18" s="13" t="n">
        <f aca="false">DH$16-DH$17</f>
        <v>0</v>
      </c>
      <c r="DI18" s="13" t="n">
        <f aca="false">DI$16-DI$17</f>
        <v>0</v>
      </c>
      <c r="DJ18" s="13" t="n">
        <f aca="false">DJ$16-DJ$17</f>
        <v>0</v>
      </c>
      <c r="DK18" s="13" t="n">
        <f aca="false">DK$16-DK$17</f>
        <v>0</v>
      </c>
      <c r="DL18" s="13" t="n">
        <f aca="false">DL$16-DL$17</f>
        <v>0</v>
      </c>
      <c r="DM18" s="13" t="n">
        <f aca="false">DM$16-DM$17</f>
        <v>0</v>
      </c>
      <c r="DN18" s="13" t="n">
        <f aca="false">DN$16-DN$17</f>
        <v>0</v>
      </c>
      <c r="DO18" s="13" t="n">
        <f aca="false">DO$16-DO$17</f>
        <v>0</v>
      </c>
      <c r="DP18" s="13" t="n">
        <f aca="false">DP$16-DP$17</f>
        <v>0</v>
      </c>
      <c r="DQ18" s="13" t="n">
        <f aca="false">DQ$16-DQ$17</f>
        <v>0</v>
      </c>
      <c r="DR18" s="13" t="n">
        <f aca="false">DR$16-DR$17</f>
        <v>0</v>
      </c>
      <c r="DS18" s="13" t="n">
        <f aca="false">DS$16-DS$17</f>
        <v>0</v>
      </c>
      <c r="DT18" s="13" t="n">
        <f aca="false">DT$16-DT$17</f>
        <v>0</v>
      </c>
      <c r="DU18" s="13" t="n">
        <f aca="false">DU$16-DU$17</f>
        <v>0</v>
      </c>
      <c r="DV18" s="13" t="n">
        <f aca="false">DV$16-DV$17</f>
        <v>0</v>
      </c>
      <c r="DW18" s="13" t="n">
        <f aca="false">DW$16-DW$17</f>
        <v>0</v>
      </c>
      <c r="DX18" s="13" t="n">
        <f aca="false">DX$16-DX$17</f>
        <v>0</v>
      </c>
      <c r="DY18" s="13" t="n">
        <f aca="false">DY$16-DY$17</f>
        <v>0</v>
      </c>
      <c r="DZ18" s="13" t="n">
        <f aca="false">DZ$16-DZ$17</f>
        <v>0</v>
      </c>
      <c r="EA18" s="13" t="n">
        <f aca="false">EA$16-EA$17</f>
        <v>0</v>
      </c>
      <c r="EB18" s="13" t="n">
        <f aca="false">EB$16-EB$17</f>
        <v>0</v>
      </c>
      <c r="EC18" s="13" t="n">
        <f aca="false">EC$16-EC$17</f>
        <v>0</v>
      </c>
      <c r="ED18" s="13" t="n">
        <f aca="false">ED$16-ED$17</f>
        <v>0</v>
      </c>
      <c r="EE18" s="13" t="n">
        <f aca="false">EE$16-EE$17</f>
        <v>0</v>
      </c>
      <c r="EF18" s="13" t="n">
        <f aca="false">EF$16-EF$17</f>
        <v>0</v>
      </c>
      <c r="EG18" s="13" t="n">
        <f aca="false">EG$16-EG$17</f>
        <v>0</v>
      </c>
      <c r="EH18" s="13" t="n">
        <f aca="false">EH$16-EH$17</f>
        <v>0</v>
      </c>
      <c r="EI18" s="13" t="n">
        <f aca="false">EI$16-EI$17</f>
        <v>0</v>
      </c>
      <c r="EJ18" s="13" t="n">
        <f aca="false">EJ$16-EJ$17</f>
        <v>0</v>
      </c>
      <c r="EK18" s="13" t="n">
        <f aca="false">EK$16-EK$17</f>
        <v>0</v>
      </c>
      <c r="EL18" s="13" t="n">
        <f aca="false">EL$16-EL$17</f>
        <v>0</v>
      </c>
      <c r="EM18" s="13" t="n">
        <f aca="false">EM$16-EM$17</f>
        <v>0</v>
      </c>
      <c r="EN18" s="13" t="n">
        <f aca="false">EN$16-EN$17</f>
        <v>0</v>
      </c>
      <c r="EO18" s="13" t="n">
        <f aca="false">EO$16-EO$17</f>
        <v>0</v>
      </c>
      <c r="EP18" s="13" t="n">
        <f aca="false">EP$16-EP$17</f>
        <v>0</v>
      </c>
      <c r="EQ18" s="13" t="n">
        <f aca="false">EQ$16-EQ$17</f>
        <v>0</v>
      </c>
      <c r="ER18" s="13" t="n">
        <f aca="false">ER$16-ER$17</f>
        <v>0</v>
      </c>
      <c r="ES18" s="13" t="n">
        <f aca="false">ES$16-ES$17</f>
        <v>0</v>
      </c>
      <c r="ET18" s="13" t="n">
        <f aca="false">ET$16-ET$17</f>
        <v>0</v>
      </c>
      <c r="EU18" s="13" t="n">
        <f aca="false">EU$16-EU$17</f>
        <v>0</v>
      </c>
      <c r="EV18" s="13" t="n">
        <f aca="false">EV$16-EV$17</f>
        <v>0</v>
      </c>
      <c r="EW18" s="13" t="n">
        <f aca="false">EW$16-EW$17</f>
        <v>0</v>
      </c>
      <c r="EX18" s="13" t="n">
        <f aca="false">EX$16-EX$17</f>
        <v>0</v>
      </c>
      <c r="EY18" s="13" t="n">
        <f aca="false">EY$16-EY$17</f>
        <v>0</v>
      </c>
      <c r="EZ18" s="13" t="n">
        <f aca="false">EZ$16-EZ$17</f>
        <v>0</v>
      </c>
      <c r="FA18" s="13" t="n">
        <f aca="false">FA$16-FA$17</f>
        <v>0</v>
      </c>
      <c r="FB18" s="13" t="n">
        <f aca="false">FB$16-FB$17</f>
        <v>0</v>
      </c>
      <c r="FC18" s="13" t="n">
        <f aca="false">FC$16-FC$17</f>
        <v>0</v>
      </c>
      <c r="FD18" s="13" t="n">
        <f aca="false">FD$16-FD$17</f>
        <v>0</v>
      </c>
      <c r="FE18" s="13" t="n">
        <f aca="false">FE$16-FE$17</f>
        <v>0</v>
      </c>
      <c r="FF18" s="13" t="n">
        <f aca="false">FF$16-FF$17</f>
        <v>0</v>
      </c>
    </row>
    <row r="19" customFormat="false" ht="15" hidden="false" customHeight="false" outlineLevel="0" collapsed="false">
      <c r="A19" s="2" t="s">
        <v>836</v>
      </c>
      <c r="B19" s="8" t="s">
        <v>837</v>
      </c>
      <c r="C19" s="8" t="s">
        <v>825</v>
      </c>
      <c r="E19" s="65" t="n">
        <f aca="false">SUM($F19:$FF19)</f>
        <v>0</v>
      </c>
      <c r="F19" s="13" t="n">
        <f aca="false">IF(AND(Calendario!F$16&gt;0,0&lt;p_MesArranque),INDEX(Base_PDF!$F$88:$O$88,1,Calendario!F$17)/12*INDEX(e_VolG,Calendario!F$17),0)</f>
        <v>0</v>
      </c>
      <c r="G19" s="13" t="n">
        <f aca="false">IF(AND(Calendario!G$16&gt;0,1&lt;p_MesArranque),INDEX(Base_PDF!$F$88:$O$88,1,Calendario!G$17)/12*INDEX(e_VolG,Calendario!G$17),0)</f>
        <v>0</v>
      </c>
      <c r="H19" s="13" t="n">
        <f aca="false">IF(AND(Calendario!H$16&gt;0,2&lt;p_MesArranque),INDEX(Base_PDF!$F$88:$O$88,1,Calendario!H$17)/12*INDEX(e_VolG,Calendario!H$17),0)</f>
        <v>0</v>
      </c>
      <c r="I19" s="13" t="n">
        <f aca="false">IF(AND(Calendario!I$16&gt;0,3&lt;p_MesArranque),INDEX(Base_PDF!$F$88:$O$88,1,Calendario!I$17)/12*INDEX(e_VolG,Calendario!I$17),0)</f>
        <v>0</v>
      </c>
      <c r="J19" s="13" t="n">
        <f aca="false">IF(AND(Calendario!J$16&gt;0,4&lt;p_MesArranque),INDEX(Base_PDF!$F$88:$O$88,1,Calendario!J$17)/12*INDEX(e_VolG,Calendario!J$17),0)</f>
        <v>0</v>
      </c>
      <c r="K19" s="13" t="n">
        <f aca="false">IF(AND(Calendario!K$16&gt;0,5&lt;p_MesArranque),INDEX(Base_PDF!$F$88:$O$88,1,Calendario!K$17)/12*INDEX(e_VolG,Calendario!K$17),0)</f>
        <v>0</v>
      </c>
      <c r="L19" s="13" t="n">
        <f aca="false">IF(AND(Calendario!L$16&gt;0,6&lt;p_MesArranque),INDEX(Base_PDF!$F$88:$O$88,1,Calendario!L$17)/12*INDEX(e_VolG,Calendario!L$17),0)</f>
        <v>0</v>
      </c>
      <c r="M19" s="13" t="n">
        <f aca="false">IF(AND(Calendario!M$16&gt;0,7&lt;p_MesArranque),INDEX(Base_PDF!$F$88:$O$88,1,Calendario!M$17)/12*INDEX(e_VolG,Calendario!M$17),0)</f>
        <v>0</v>
      </c>
      <c r="N19" s="13" t="n">
        <f aca="false">IF(AND(Calendario!N$16&gt;0,8&lt;p_MesArranque),INDEX(Base_PDF!$F$88:$O$88,1,Calendario!N$17)/12*INDEX(e_VolG,Calendario!N$17),0)</f>
        <v>0</v>
      </c>
      <c r="O19" s="13" t="n">
        <f aca="false">IF(AND(Calendario!O$16&gt;0,9&lt;p_MesArranque),INDEX(Base_PDF!$F$88:$O$88,1,Calendario!O$17)/12*INDEX(e_VolG,Calendario!O$17),0)</f>
        <v>0</v>
      </c>
      <c r="P19" s="13" t="n">
        <f aca="false">IF(AND(Calendario!P$16&gt;0,10&lt;p_MesArranque),INDEX(Base_PDF!$F$88:$O$88,1,Calendario!P$17)/12*INDEX(e_VolG,Calendario!P$17),0)</f>
        <v>0</v>
      </c>
      <c r="Q19" s="13" t="n">
        <f aca="false">IF(AND(Calendario!Q$16&gt;0,11&lt;p_MesArranque),INDEX(Base_PDF!$F$88:$O$88,1,Calendario!Q$17)/12*INDEX(e_VolG,Calendario!Q$17),0)</f>
        <v>0</v>
      </c>
      <c r="R19" s="13" t="n">
        <f aca="false">IF(AND(Calendario!R$16&gt;0,12&lt;p_MesArranque),INDEX(Base_PDF!$F$88:$O$88,1,Calendario!R$17)/12*INDEX(e_VolG,Calendario!R$17),0)</f>
        <v>0</v>
      </c>
      <c r="S19" s="13" t="n">
        <f aca="false">IF(AND(Calendario!S$16&gt;0,13&lt;p_MesArranque),INDEX(Base_PDF!$F$88:$O$88,1,Calendario!S$17)/12*INDEX(e_VolG,Calendario!S$17),0)</f>
        <v>0</v>
      </c>
      <c r="T19" s="13" t="n">
        <f aca="false">IF(AND(Calendario!T$16&gt;0,14&lt;p_MesArranque),INDEX(Base_PDF!$F$88:$O$88,1,Calendario!T$17)/12*INDEX(e_VolG,Calendario!T$17),0)</f>
        <v>0</v>
      </c>
      <c r="U19" s="13" t="n">
        <f aca="false">IF(AND(Calendario!U$16&gt;0,15&lt;p_MesArranque),INDEX(Base_PDF!$F$88:$O$88,1,Calendario!U$17)/12*INDEX(e_VolG,Calendario!U$17),0)</f>
        <v>0</v>
      </c>
      <c r="V19" s="13" t="n">
        <f aca="false">IF(AND(Calendario!V$16&gt;0,16&lt;p_MesArranque),INDEX(Base_PDF!$F$88:$O$88,1,Calendario!V$17)/12*INDEX(e_VolG,Calendario!V$17),0)</f>
        <v>0</v>
      </c>
      <c r="W19" s="13" t="n">
        <f aca="false">IF(AND(Calendario!W$16&gt;0,17&lt;p_MesArranque),INDEX(Base_PDF!$F$88:$O$88,1,Calendario!W$17)/12*INDEX(e_VolG,Calendario!W$17),0)</f>
        <v>0</v>
      </c>
      <c r="X19" s="13" t="n">
        <f aca="false">IF(AND(Calendario!X$16&gt;0,18&lt;p_MesArranque),INDEX(Base_PDF!$F$88:$O$88,1,Calendario!X$17)/12*INDEX(e_VolG,Calendario!X$17),0)</f>
        <v>0</v>
      </c>
      <c r="Y19" s="13" t="n">
        <f aca="false">IF(AND(Calendario!Y$16&gt;0,19&lt;p_MesArranque),INDEX(Base_PDF!$F$88:$O$88,1,Calendario!Y$17)/12*INDEX(e_VolG,Calendario!Y$17),0)</f>
        <v>0</v>
      </c>
      <c r="Z19" s="13" t="n">
        <f aca="false">IF(AND(Calendario!Z$16&gt;0,20&lt;p_MesArranque),INDEX(Base_PDF!$F$88:$O$88,1,Calendario!Z$17)/12*INDEX(e_VolG,Calendario!Z$17),0)</f>
        <v>0</v>
      </c>
      <c r="AA19" s="13" t="n">
        <f aca="false">IF(AND(Calendario!AA$16&gt;0,21&lt;p_MesArranque),INDEX(Base_PDF!$F$88:$O$88,1,Calendario!AA$17)/12*INDEX(e_VolG,Calendario!AA$17),0)</f>
        <v>0</v>
      </c>
      <c r="AB19" s="13" t="n">
        <f aca="false">IF(AND(Calendario!AB$16&gt;0,22&lt;p_MesArranque),INDEX(Base_PDF!$F$88:$O$88,1,Calendario!AB$17)/12*INDEX(e_VolG,Calendario!AB$17),0)</f>
        <v>0</v>
      </c>
      <c r="AC19" s="13" t="n">
        <f aca="false">IF(AND(Calendario!AC$16&gt;0,23&lt;p_MesArranque),INDEX(Base_PDF!$F$88:$O$88,1,Calendario!AC$17)/12*INDEX(e_VolG,Calendario!AC$17),0)</f>
        <v>0</v>
      </c>
      <c r="AD19" s="13" t="n">
        <f aca="false">IF(AND(Calendario!AD$16&gt;0,24&lt;p_MesArranque),INDEX(Base_PDF!$F$88:$O$88,1,Calendario!AD$17)/12*INDEX(e_VolG,Calendario!AD$17),0)</f>
        <v>0</v>
      </c>
      <c r="AE19" s="13" t="n">
        <f aca="false">IF(AND(Calendario!AE$16&gt;0,25&lt;p_MesArranque),INDEX(Base_PDF!$F$88:$O$88,1,Calendario!AE$17)/12*INDEX(e_VolG,Calendario!AE$17),0)</f>
        <v>0</v>
      </c>
      <c r="AF19" s="13" t="n">
        <f aca="false">IF(AND(Calendario!AF$16&gt;0,26&lt;p_MesArranque),INDEX(Base_PDF!$F$88:$O$88,1,Calendario!AF$17)/12*INDEX(e_VolG,Calendario!AF$17),0)</f>
        <v>0</v>
      </c>
      <c r="AG19" s="13" t="n">
        <f aca="false">IF(AND(Calendario!AG$16&gt;0,27&lt;p_MesArranque),INDEX(Base_PDF!$F$88:$O$88,1,Calendario!AG$17)/12*INDEX(e_VolG,Calendario!AG$17),0)</f>
        <v>0</v>
      </c>
      <c r="AH19" s="13" t="n">
        <f aca="false">IF(AND(Calendario!AH$16&gt;0,28&lt;p_MesArranque),INDEX(Base_PDF!$F$88:$O$88,1,Calendario!AH$17)/12*INDEX(e_VolG,Calendario!AH$17),0)</f>
        <v>0</v>
      </c>
      <c r="AI19" s="13" t="n">
        <f aca="false">IF(AND(Calendario!AI$16&gt;0,29&lt;p_MesArranque),INDEX(Base_PDF!$F$88:$O$88,1,Calendario!AI$17)/12*INDEX(e_VolG,Calendario!AI$17),0)</f>
        <v>0</v>
      </c>
      <c r="AJ19" s="13" t="n">
        <f aca="false">IF(AND(Calendario!AJ$16&gt;0,30&lt;p_MesArranque),INDEX(Base_PDF!$F$88:$O$88,1,Calendario!AJ$17)/12*INDEX(e_VolG,Calendario!AJ$17),0)</f>
        <v>0</v>
      </c>
      <c r="AK19" s="13" t="n">
        <f aca="false">IF(AND(Calendario!AK$16&gt;0,31&lt;p_MesArranque),INDEX(Base_PDF!$F$88:$O$88,1,Calendario!AK$17)/12*INDEX(e_VolG,Calendario!AK$17),0)</f>
        <v>0</v>
      </c>
      <c r="AL19" s="13" t="n">
        <f aca="false">IF(AND(Calendario!AL$16&gt;0,32&lt;p_MesArranque),INDEX(Base_PDF!$F$88:$O$88,1,Calendario!AL$17)/12*INDEX(e_VolG,Calendario!AL$17),0)</f>
        <v>0</v>
      </c>
      <c r="AM19" s="13" t="n">
        <f aca="false">IF(AND(Calendario!AM$16&gt;0,33&lt;p_MesArranque),INDEX(Base_PDF!$F$88:$O$88,1,Calendario!AM$17)/12*INDEX(e_VolG,Calendario!AM$17),0)</f>
        <v>0</v>
      </c>
      <c r="AN19" s="13" t="n">
        <f aca="false">IF(AND(Calendario!AN$16&gt;0,34&lt;p_MesArranque),INDEX(Base_PDF!$F$88:$O$88,1,Calendario!AN$17)/12*INDEX(e_VolG,Calendario!AN$17),0)</f>
        <v>0</v>
      </c>
      <c r="AO19" s="13" t="n">
        <f aca="false">IF(AND(Calendario!AO$16&gt;0,35&lt;p_MesArranque),INDEX(Base_PDF!$F$88:$O$88,1,Calendario!AO$17)/12*INDEX(e_VolG,Calendario!AO$17),0)</f>
        <v>0</v>
      </c>
      <c r="AP19" s="13" t="n">
        <f aca="false">IF(AND(Calendario!AP$16&gt;0,36&lt;p_MesArranque),INDEX(Base_PDF!$F$88:$O$88,1,Calendario!AP$17)/12*INDEX(e_VolG,Calendario!AP$17),0)</f>
        <v>0</v>
      </c>
      <c r="AQ19" s="13" t="n">
        <f aca="false">IF(AND(Calendario!AQ$16&gt;0,37&lt;p_MesArranque),INDEX(Base_PDF!$F$88:$O$88,1,Calendario!AQ$17)/12*INDEX(e_VolG,Calendario!AQ$17),0)</f>
        <v>0</v>
      </c>
      <c r="AR19" s="13" t="n">
        <f aca="false">IF(AND(Calendario!AR$16&gt;0,38&lt;p_MesArranque),INDEX(Base_PDF!$F$88:$O$88,1,Calendario!AR$17)/12*INDEX(e_VolG,Calendario!AR$17),0)</f>
        <v>0</v>
      </c>
      <c r="AS19" s="13" t="n">
        <f aca="false">IF(AND(Calendario!AS$16&gt;0,39&lt;p_MesArranque),INDEX(Base_PDF!$F$88:$O$88,1,Calendario!AS$17)/12*INDEX(e_VolG,Calendario!AS$17),0)</f>
        <v>0</v>
      </c>
      <c r="AT19" s="13" t="n">
        <f aca="false">IF(AND(Calendario!AT$16&gt;0,40&lt;p_MesArranque),INDEX(Base_PDF!$F$88:$O$88,1,Calendario!AT$17)/12*INDEX(e_VolG,Calendario!AT$17),0)</f>
        <v>0</v>
      </c>
      <c r="AU19" s="13" t="n">
        <f aca="false">IF(AND(Calendario!AU$16&gt;0,41&lt;p_MesArranque),INDEX(Base_PDF!$F$88:$O$88,1,Calendario!AU$17)/12*INDEX(e_VolG,Calendario!AU$17),0)</f>
        <v>0</v>
      </c>
      <c r="AV19" s="13" t="n">
        <f aca="false">IF(AND(Calendario!AV$16&gt;0,42&lt;p_MesArranque),INDEX(Base_PDF!$F$88:$O$88,1,Calendario!AV$17)/12*INDEX(e_VolG,Calendario!AV$17),0)</f>
        <v>0</v>
      </c>
      <c r="AW19" s="13" t="n">
        <f aca="false">IF(AND(Calendario!AW$16&gt;0,43&lt;p_MesArranque),INDEX(Base_PDF!$F$88:$O$88,1,Calendario!AW$17)/12*INDEX(e_VolG,Calendario!AW$17),0)</f>
        <v>0</v>
      </c>
      <c r="AX19" s="13" t="n">
        <f aca="false">IF(AND(Calendario!AX$16&gt;0,44&lt;p_MesArranque),INDEX(Base_PDF!$F$88:$O$88,1,Calendario!AX$17)/12*INDEX(e_VolG,Calendario!AX$17),0)</f>
        <v>0</v>
      </c>
      <c r="AY19" s="13" t="n">
        <f aca="false">IF(AND(Calendario!AY$16&gt;0,45&lt;p_MesArranque),INDEX(Base_PDF!$F$88:$O$88,1,Calendario!AY$17)/12*INDEX(e_VolG,Calendario!AY$17),0)</f>
        <v>0</v>
      </c>
      <c r="AZ19" s="13" t="n">
        <f aca="false">IF(AND(Calendario!AZ$16&gt;0,46&lt;p_MesArranque),INDEX(Base_PDF!$F$88:$O$88,1,Calendario!AZ$17)/12*INDEX(e_VolG,Calendario!AZ$17),0)</f>
        <v>0</v>
      </c>
      <c r="BA19" s="13" t="n">
        <f aca="false">IF(AND(Calendario!BA$16&gt;0,47&lt;p_MesArranque),INDEX(Base_PDF!$F$88:$O$88,1,Calendario!BA$17)/12*INDEX(e_VolG,Calendario!BA$17),0)</f>
        <v>0</v>
      </c>
      <c r="BB19" s="13" t="n">
        <f aca="false">IF(AND(Calendario!BB$16&gt;0,48&lt;p_MesArranque),INDEX(Base_PDF!$F$88:$O$88,1,Calendario!BB$17)/12*INDEX(e_VolG,Calendario!BB$17),0)</f>
        <v>0</v>
      </c>
      <c r="BC19" s="13" t="n">
        <f aca="false">IF(AND(Calendario!BC$16&gt;0,49&lt;p_MesArranque),INDEX(Base_PDF!$F$88:$O$88,1,Calendario!BC$17)/12*INDEX(e_VolG,Calendario!BC$17),0)</f>
        <v>0</v>
      </c>
      <c r="BD19" s="13" t="n">
        <f aca="false">IF(AND(Calendario!BD$16&gt;0,50&lt;p_MesArranque),INDEX(Base_PDF!$F$88:$O$88,1,Calendario!BD$17)/12*INDEX(e_VolG,Calendario!BD$17),0)</f>
        <v>0</v>
      </c>
      <c r="BE19" s="13" t="n">
        <f aca="false">IF(AND(Calendario!BE$16&gt;0,51&lt;p_MesArranque),INDEX(Base_PDF!$F$88:$O$88,1,Calendario!BE$17)/12*INDEX(e_VolG,Calendario!BE$17),0)</f>
        <v>0</v>
      </c>
      <c r="BF19" s="13" t="n">
        <f aca="false">IF(AND(Calendario!BF$16&gt;0,52&lt;p_MesArranque),INDEX(Base_PDF!$F$88:$O$88,1,Calendario!BF$17)/12*INDEX(e_VolG,Calendario!BF$17),0)</f>
        <v>0</v>
      </c>
      <c r="BG19" s="13" t="n">
        <f aca="false">IF(AND(Calendario!BG$16&gt;0,53&lt;p_MesArranque),INDEX(Base_PDF!$F$88:$O$88,1,Calendario!BG$17)/12*INDEX(e_VolG,Calendario!BG$17),0)</f>
        <v>0</v>
      </c>
      <c r="BH19" s="13" t="n">
        <f aca="false">IF(AND(Calendario!BH$16&gt;0,54&lt;p_MesArranque),INDEX(Base_PDF!$F$88:$O$88,1,Calendario!BH$17)/12*INDEX(e_VolG,Calendario!BH$17),0)</f>
        <v>0</v>
      </c>
      <c r="BI19" s="13" t="n">
        <f aca="false">IF(AND(Calendario!BI$16&gt;0,55&lt;p_MesArranque),INDEX(Base_PDF!$F$88:$O$88,1,Calendario!BI$17)/12*INDEX(e_VolG,Calendario!BI$17),0)</f>
        <v>0</v>
      </c>
      <c r="BJ19" s="13" t="n">
        <f aca="false">IF(AND(Calendario!BJ$16&gt;0,56&lt;p_MesArranque),INDEX(Base_PDF!$F$88:$O$88,1,Calendario!BJ$17)/12*INDEX(e_VolG,Calendario!BJ$17),0)</f>
        <v>0</v>
      </c>
      <c r="BK19" s="13" t="n">
        <f aca="false">IF(AND(Calendario!BK$16&gt;0,57&lt;p_MesArranque),INDEX(Base_PDF!$F$88:$O$88,1,Calendario!BK$17)/12*INDEX(e_VolG,Calendario!BK$17),0)</f>
        <v>0</v>
      </c>
      <c r="BL19" s="13" t="n">
        <f aca="false">IF(AND(Calendario!BL$16&gt;0,58&lt;p_MesArranque),INDEX(Base_PDF!$F$88:$O$88,1,Calendario!BL$17)/12*INDEX(e_VolG,Calendario!BL$17),0)</f>
        <v>0</v>
      </c>
      <c r="BM19" s="13" t="n">
        <f aca="false">IF(AND(Calendario!BM$16&gt;0,59&lt;p_MesArranque),INDEX(Base_PDF!$F$88:$O$88,1,Calendario!BM$17)/12*INDEX(e_VolG,Calendario!BM$17),0)</f>
        <v>0</v>
      </c>
      <c r="BN19" s="13" t="n">
        <f aca="false">IF(AND(Calendario!BN$16&gt;0,60&lt;p_MesArranque),INDEX(Base_PDF!$F$88:$O$88,1,Calendario!BN$17)/12*INDEX(e_VolG,Calendario!BN$17),0)</f>
        <v>0</v>
      </c>
      <c r="BO19" s="13" t="n">
        <f aca="false">IF(AND(Calendario!BO$16&gt;0,61&lt;p_MesArranque),INDEX(Base_PDF!$F$88:$O$88,1,Calendario!BO$17)/12*INDEX(e_VolG,Calendario!BO$17),0)</f>
        <v>0</v>
      </c>
      <c r="BP19" s="13" t="n">
        <f aca="false">IF(AND(Calendario!BP$16&gt;0,62&lt;p_MesArranque),INDEX(Base_PDF!$F$88:$O$88,1,Calendario!BP$17)/12*INDEX(e_VolG,Calendario!BP$17),0)</f>
        <v>0</v>
      </c>
      <c r="BQ19" s="13" t="n">
        <f aca="false">IF(AND(Calendario!BQ$16&gt;0,63&lt;p_MesArranque),INDEX(Base_PDF!$F$88:$O$88,1,Calendario!BQ$17)/12*INDEX(e_VolG,Calendario!BQ$17),0)</f>
        <v>0</v>
      </c>
      <c r="BR19" s="13" t="n">
        <f aca="false">IF(AND(Calendario!BR$16&gt;0,64&lt;p_MesArranque),INDEX(Base_PDF!$F$88:$O$88,1,Calendario!BR$17)/12*INDEX(e_VolG,Calendario!BR$17),0)</f>
        <v>0</v>
      </c>
      <c r="BS19" s="13" t="n">
        <f aca="false">IF(AND(Calendario!BS$16&gt;0,65&lt;p_MesArranque),INDEX(Base_PDF!$F$88:$O$88,1,Calendario!BS$17)/12*INDEX(e_VolG,Calendario!BS$17),0)</f>
        <v>0</v>
      </c>
      <c r="BT19" s="13" t="n">
        <f aca="false">IF(AND(Calendario!BT$16&gt;0,66&lt;p_MesArranque),INDEX(Base_PDF!$F$88:$O$88,1,Calendario!BT$17)/12*INDEX(e_VolG,Calendario!BT$17),0)</f>
        <v>0</v>
      </c>
      <c r="BU19" s="13" t="n">
        <f aca="false">IF(AND(Calendario!BU$16&gt;0,67&lt;p_MesArranque),INDEX(Base_PDF!$F$88:$O$88,1,Calendario!BU$17)/12*INDEX(e_VolG,Calendario!BU$17),0)</f>
        <v>0</v>
      </c>
      <c r="BV19" s="13" t="n">
        <f aca="false">IF(AND(Calendario!BV$16&gt;0,68&lt;p_MesArranque),INDEX(Base_PDF!$F$88:$O$88,1,Calendario!BV$17)/12*INDEX(e_VolG,Calendario!BV$17),0)</f>
        <v>0</v>
      </c>
      <c r="BW19" s="13" t="n">
        <f aca="false">IF(AND(Calendario!BW$16&gt;0,69&lt;p_MesArranque),INDEX(Base_PDF!$F$88:$O$88,1,Calendario!BW$17)/12*INDEX(e_VolG,Calendario!BW$17),0)</f>
        <v>0</v>
      </c>
      <c r="BX19" s="13" t="n">
        <f aca="false">IF(AND(Calendario!BX$16&gt;0,70&lt;p_MesArranque),INDEX(Base_PDF!$F$88:$O$88,1,Calendario!BX$17)/12*INDEX(e_VolG,Calendario!BX$17),0)</f>
        <v>0</v>
      </c>
      <c r="BY19" s="13" t="n">
        <f aca="false">IF(AND(Calendario!BY$16&gt;0,71&lt;p_MesArranque),INDEX(Base_PDF!$F$88:$O$88,1,Calendario!BY$17)/12*INDEX(e_VolG,Calendario!BY$17),0)</f>
        <v>0</v>
      </c>
      <c r="BZ19" s="13" t="n">
        <f aca="false">IF(AND(Calendario!BZ$16&gt;0,72&lt;p_MesArranque),INDEX(Base_PDF!$F$88:$O$88,1,Calendario!BZ$17)/12*INDEX(e_VolG,Calendario!BZ$17),0)</f>
        <v>0</v>
      </c>
      <c r="CA19" s="13" t="n">
        <f aca="false">IF(AND(Calendario!CA$16&gt;0,73&lt;p_MesArranque),INDEX(Base_PDF!$F$88:$O$88,1,Calendario!CA$17)/12*INDEX(e_VolG,Calendario!CA$17),0)</f>
        <v>0</v>
      </c>
      <c r="CB19" s="13" t="n">
        <f aca="false">IF(AND(Calendario!CB$16&gt;0,74&lt;p_MesArranque),INDEX(Base_PDF!$F$88:$O$88,1,Calendario!CB$17)/12*INDEX(e_VolG,Calendario!CB$17),0)</f>
        <v>0</v>
      </c>
      <c r="CC19" s="13" t="n">
        <f aca="false">IF(AND(Calendario!CC$16&gt;0,75&lt;p_MesArranque),INDEX(Base_PDF!$F$88:$O$88,1,Calendario!CC$17)/12*INDEX(e_VolG,Calendario!CC$17),0)</f>
        <v>0</v>
      </c>
      <c r="CD19" s="13" t="n">
        <f aca="false">IF(AND(Calendario!CD$16&gt;0,76&lt;p_MesArranque),INDEX(Base_PDF!$F$88:$O$88,1,Calendario!CD$17)/12*INDEX(e_VolG,Calendario!CD$17),0)</f>
        <v>0</v>
      </c>
      <c r="CE19" s="13" t="n">
        <f aca="false">IF(AND(Calendario!CE$16&gt;0,77&lt;p_MesArranque),INDEX(Base_PDF!$F$88:$O$88,1,Calendario!CE$17)/12*INDEX(e_VolG,Calendario!CE$17),0)</f>
        <v>0</v>
      </c>
      <c r="CF19" s="13" t="n">
        <f aca="false">IF(AND(Calendario!CF$16&gt;0,78&lt;p_MesArranque),INDEX(Base_PDF!$F$88:$O$88,1,Calendario!CF$17)/12*INDEX(e_VolG,Calendario!CF$17),0)</f>
        <v>0</v>
      </c>
      <c r="CG19" s="13" t="n">
        <f aca="false">IF(AND(Calendario!CG$16&gt;0,79&lt;p_MesArranque),INDEX(Base_PDF!$F$88:$O$88,1,Calendario!CG$17)/12*INDEX(e_VolG,Calendario!CG$17),0)</f>
        <v>0</v>
      </c>
      <c r="CH19" s="13" t="n">
        <f aca="false">IF(AND(Calendario!CH$16&gt;0,80&lt;p_MesArranque),INDEX(Base_PDF!$F$88:$O$88,1,Calendario!CH$17)/12*INDEX(e_VolG,Calendario!CH$17),0)</f>
        <v>0</v>
      </c>
      <c r="CI19" s="13" t="n">
        <f aca="false">IF(AND(Calendario!CI$16&gt;0,81&lt;p_MesArranque),INDEX(Base_PDF!$F$88:$O$88,1,Calendario!CI$17)/12*INDEX(e_VolG,Calendario!CI$17),0)</f>
        <v>0</v>
      </c>
      <c r="CJ19" s="13" t="n">
        <f aca="false">IF(AND(Calendario!CJ$16&gt;0,82&lt;p_MesArranque),INDEX(Base_PDF!$F$88:$O$88,1,Calendario!CJ$17)/12*INDEX(e_VolG,Calendario!CJ$17),0)</f>
        <v>0</v>
      </c>
      <c r="CK19" s="13" t="n">
        <f aca="false">IF(AND(Calendario!CK$16&gt;0,83&lt;p_MesArranque),INDEX(Base_PDF!$F$88:$O$88,1,Calendario!CK$17)/12*INDEX(e_VolG,Calendario!CK$17),0)</f>
        <v>0</v>
      </c>
      <c r="CL19" s="13" t="n">
        <f aca="false">IF(AND(Calendario!CL$16&gt;0,84&lt;p_MesArranque),INDEX(Base_PDF!$F$88:$O$88,1,Calendario!CL$17)/12*INDEX(e_VolG,Calendario!CL$17),0)</f>
        <v>0</v>
      </c>
      <c r="CM19" s="13" t="n">
        <f aca="false">IF(AND(Calendario!CM$16&gt;0,85&lt;p_MesArranque),INDEX(Base_PDF!$F$88:$O$88,1,Calendario!CM$17)/12*INDEX(e_VolG,Calendario!CM$17),0)</f>
        <v>0</v>
      </c>
      <c r="CN19" s="13" t="n">
        <f aca="false">IF(AND(Calendario!CN$16&gt;0,86&lt;p_MesArranque),INDEX(Base_PDF!$F$88:$O$88,1,Calendario!CN$17)/12*INDEX(e_VolG,Calendario!CN$17),0)</f>
        <v>0</v>
      </c>
      <c r="CO19" s="13" t="n">
        <f aca="false">IF(AND(Calendario!CO$16&gt;0,87&lt;p_MesArranque),INDEX(Base_PDF!$F$88:$O$88,1,Calendario!CO$17)/12*INDEX(e_VolG,Calendario!CO$17),0)</f>
        <v>0</v>
      </c>
      <c r="CP19" s="13" t="n">
        <f aca="false">IF(AND(Calendario!CP$16&gt;0,88&lt;p_MesArranque),INDEX(Base_PDF!$F$88:$O$88,1,Calendario!CP$17)/12*INDEX(e_VolG,Calendario!CP$17),0)</f>
        <v>0</v>
      </c>
      <c r="CQ19" s="13" t="n">
        <f aca="false">IF(AND(Calendario!CQ$16&gt;0,89&lt;p_MesArranque),INDEX(Base_PDF!$F$88:$O$88,1,Calendario!CQ$17)/12*INDEX(e_VolG,Calendario!CQ$17),0)</f>
        <v>0</v>
      </c>
      <c r="CR19" s="13" t="n">
        <f aca="false">IF(AND(Calendario!CR$16&gt;0,90&lt;p_MesArranque),INDEX(Base_PDF!$F$88:$O$88,1,Calendario!CR$17)/12*INDEX(e_VolG,Calendario!CR$17),0)</f>
        <v>0</v>
      </c>
      <c r="CS19" s="13" t="n">
        <f aca="false">IF(AND(Calendario!CS$16&gt;0,91&lt;p_MesArranque),INDEX(Base_PDF!$F$88:$O$88,1,Calendario!CS$17)/12*INDEX(e_VolG,Calendario!CS$17),0)</f>
        <v>0</v>
      </c>
      <c r="CT19" s="13" t="n">
        <f aca="false">IF(AND(Calendario!CT$16&gt;0,92&lt;p_MesArranque),INDEX(Base_PDF!$F$88:$O$88,1,Calendario!CT$17)/12*INDEX(e_VolG,Calendario!CT$17),0)</f>
        <v>0</v>
      </c>
      <c r="CU19" s="13" t="n">
        <f aca="false">IF(AND(Calendario!CU$16&gt;0,93&lt;p_MesArranque),INDEX(Base_PDF!$F$88:$O$88,1,Calendario!CU$17)/12*INDEX(e_VolG,Calendario!CU$17),0)</f>
        <v>0</v>
      </c>
      <c r="CV19" s="13" t="n">
        <f aca="false">IF(AND(Calendario!CV$16&gt;0,94&lt;p_MesArranque),INDEX(Base_PDF!$F$88:$O$88,1,Calendario!CV$17)/12*INDEX(e_VolG,Calendario!CV$17),0)</f>
        <v>0</v>
      </c>
      <c r="CW19" s="13" t="n">
        <f aca="false">IF(AND(Calendario!CW$16&gt;0,95&lt;p_MesArranque),INDEX(Base_PDF!$F$88:$O$88,1,Calendario!CW$17)/12*INDEX(e_VolG,Calendario!CW$17),0)</f>
        <v>0</v>
      </c>
      <c r="CX19" s="13" t="n">
        <f aca="false">IF(AND(Calendario!CX$16&gt;0,96&lt;p_MesArranque),INDEX(Base_PDF!$F$88:$O$88,1,Calendario!CX$17)/12*INDEX(e_VolG,Calendario!CX$17),0)</f>
        <v>0</v>
      </c>
      <c r="CY19" s="13" t="n">
        <f aca="false">IF(AND(Calendario!CY$16&gt;0,97&lt;p_MesArranque),INDEX(Base_PDF!$F$88:$O$88,1,Calendario!CY$17)/12*INDEX(e_VolG,Calendario!CY$17),0)</f>
        <v>0</v>
      </c>
      <c r="CZ19" s="13" t="n">
        <f aca="false">IF(AND(Calendario!CZ$16&gt;0,98&lt;p_MesArranque),INDEX(Base_PDF!$F$88:$O$88,1,Calendario!CZ$17)/12*INDEX(e_VolG,Calendario!CZ$17),0)</f>
        <v>0</v>
      </c>
      <c r="DA19" s="13" t="n">
        <f aca="false">IF(AND(Calendario!DA$16&gt;0,99&lt;p_MesArranque),INDEX(Base_PDF!$F$88:$O$88,1,Calendario!DA$17)/12*INDEX(e_VolG,Calendario!DA$17),0)</f>
        <v>0</v>
      </c>
      <c r="DB19" s="13" t="n">
        <f aca="false">IF(AND(Calendario!DB$16&gt;0,100&lt;p_MesArranque),INDEX(Base_PDF!$F$88:$O$88,1,Calendario!DB$17)/12*INDEX(e_VolG,Calendario!DB$17),0)</f>
        <v>0</v>
      </c>
      <c r="DC19" s="13" t="n">
        <f aca="false">IF(AND(Calendario!DC$16&gt;0,101&lt;p_MesArranque),INDEX(Base_PDF!$F$88:$O$88,1,Calendario!DC$17)/12*INDEX(e_VolG,Calendario!DC$17),0)</f>
        <v>0</v>
      </c>
      <c r="DD19" s="13" t="n">
        <f aca="false">IF(AND(Calendario!DD$16&gt;0,102&lt;p_MesArranque),INDEX(Base_PDF!$F$88:$O$88,1,Calendario!DD$17)/12*INDEX(e_VolG,Calendario!DD$17),0)</f>
        <v>0</v>
      </c>
      <c r="DE19" s="13" t="n">
        <f aca="false">IF(AND(Calendario!DE$16&gt;0,103&lt;p_MesArranque),INDEX(Base_PDF!$F$88:$O$88,1,Calendario!DE$17)/12*INDEX(e_VolG,Calendario!DE$17),0)</f>
        <v>0</v>
      </c>
      <c r="DF19" s="13" t="n">
        <f aca="false">IF(AND(Calendario!DF$16&gt;0,104&lt;p_MesArranque),INDEX(Base_PDF!$F$88:$O$88,1,Calendario!DF$17)/12*INDEX(e_VolG,Calendario!DF$17),0)</f>
        <v>0</v>
      </c>
      <c r="DG19" s="13" t="n">
        <f aca="false">IF(AND(Calendario!DG$16&gt;0,105&lt;p_MesArranque),INDEX(Base_PDF!$F$88:$O$88,1,Calendario!DG$17)/12*INDEX(e_VolG,Calendario!DG$17),0)</f>
        <v>0</v>
      </c>
      <c r="DH19" s="13" t="n">
        <f aca="false">IF(AND(Calendario!DH$16&gt;0,106&lt;p_MesArranque),INDEX(Base_PDF!$F$88:$O$88,1,Calendario!DH$17)/12*INDEX(e_VolG,Calendario!DH$17),0)</f>
        <v>0</v>
      </c>
      <c r="DI19" s="13" t="n">
        <f aca="false">IF(AND(Calendario!DI$16&gt;0,107&lt;p_MesArranque),INDEX(Base_PDF!$F$88:$O$88,1,Calendario!DI$17)/12*INDEX(e_VolG,Calendario!DI$17),0)</f>
        <v>0</v>
      </c>
      <c r="DJ19" s="13" t="n">
        <f aca="false">IF(AND(Calendario!DJ$16&gt;0,108&lt;p_MesArranque),INDEX(Base_PDF!$F$88:$O$88,1,Calendario!DJ$17)/12*INDEX(e_VolG,Calendario!DJ$17),0)</f>
        <v>0</v>
      </c>
      <c r="DK19" s="13" t="n">
        <f aca="false">IF(AND(Calendario!DK$16&gt;0,109&lt;p_MesArranque),INDEX(Base_PDF!$F$88:$O$88,1,Calendario!DK$17)/12*INDEX(e_VolG,Calendario!DK$17),0)</f>
        <v>0</v>
      </c>
      <c r="DL19" s="13" t="n">
        <f aca="false">IF(AND(Calendario!DL$16&gt;0,110&lt;p_MesArranque),INDEX(Base_PDF!$F$88:$O$88,1,Calendario!DL$17)/12*INDEX(e_VolG,Calendario!DL$17),0)</f>
        <v>0</v>
      </c>
      <c r="DM19" s="13" t="n">
        <f aca="false">IF(AND(Calendario!DM$16&gt;0,111&lt;p_MesArranque),INDEX(Base_PDF!$F$88:$O$88,1,Calendario!DM$17)/12*INDEX(e_VolG,Calendario!DM$17),0)</f>
        <v>0</v>
      </c>
      <c r="DN19" s="13" t="n">
        <f aca="false">IF(AND(Calendario!DN$16&gt;0,112&lt;p_MesArranque),INDEX(Base_PDF!$F$88:$O$88,1,Calendario!DN$17)/12*INDEX(e_VolG,Calendario!DN$17),0)</f>
        <v>0</v>
      </c>
      <c r="DO19" s="13" t="n">
        <f aca="false">IF(AND(Calendario!DO$16&gt;0,113&lt;p_MesArranque),INDEX(Base_PDF!$F$88:$O$88,1,Calendario!DO$17)/12*INDEX(e_VolG,Calendario!DO$17),0)</f>
        <v>0</v>
      </c>
      <c r="DP19" s="13" t="n">
        <f aca="false">IF(AND(Calendario!DP$16&gt;0,114&lt;p_MesArranque),INDEX(Base_PDF!$F$88:$O$88,1,Calendario!DP$17)/12*INDEX(e_VolG,Calendario!DP$17),0)</f>
        <v>0</v>
      </c>
      <c r="DQ19" s="13" t="n">
        <f aca="false">IF(AND(Calendario!DQ$16&gt;0,115&lt;p_MesArranque),INDEX(Base_PDF!$F$88:$O$88,1,Calendario!DQ$17)/12*INDEX(e_VolG,Calendario!DQ$17),0)</f>
        <v>0</v>
      </c>
      <c r="DR19" s="13" t="n">
        <f aca="false">IF(AND(Calendario!DR$16&gt;0,116&lt;p_MesArranque),INDEX(Base_PDF!$F$88:$O$88,1,Calendario!DR$17)/12*INDEX(e_VolG,Calendario!DR$17),0)</f>
        <v>0</v>
      </c>
      <c r="DS19" s="13" t="n">
        <f aca="false">IF(AND(Calendario!DS$16&gt;0,117&lt;p_MesArranque),INDEX(Base_PDF!$F$88:$O$88,1,Calendario!DS$17)/12*INDEX(e_VolG,Calendario!DS$17),0)</f>
        <v>0</v>
      </c>
      <c r="DT19" s="13" t="n">
        <f aca="false">IF(AND(Calendario!DT$16&gt;0,118&lt;p_MesArranque),INDEX(Base_PDF!$F$88:$O$88,1,Calendario!DT$17)/12*INDEX(e_VolG,Calendario!DT$17),0)</f>
        <v>0</v>
      </c>
      <c r="DU19" s="13" t="n">
        <f aca="false">IF(AND(Calendario!DU$16&gt;0,119&lt;p_MesArranque),INDEX(Base_PDF!$F$88:$O$88,1,Calendario!DU$17)/12*INDEX(e_VolG,Calendario!DU$17),0)</f>
        <v>0</v>
      </c>
      <c r="DV19" s="13" t="n">
        <f aca="false">IF(AND(Calendario!DV$16&gt;0,120&lt;p_MesArranque),INDEX(Base_PDF!$F$88:$O$88,1,Calendario!DV$17)/12*INDEX(e_VolG,Calendario!DV$17),0)</f>
        <v>0</v>
      </c>
      <c r="DW19" s="13" t="n">
        <f aca="false">IF(AND(Calendario!DW$16&gt;0,121&lt;p_MesArranque),INDEX(Base_PDF!$F$88:$O$88,1,Calendario!DW$17)/12*INDEX(e_VolG,Calendario!DW$17),0)</f>
        <v>0</v>
      </c>
      <c r="DX19" s="13" t="n">
        <f aca="false">IF(AND(Calendario!DX$16&gt;0,122&lt;p_MesArranque),INDEX(Base_PDF!$F$88:$O$88,1,Calendario!DX$17)/12*INDEX(e_VolG,Calendario!DX$17),0)</f>
        <v>0</v>
      </c>
      <c r="DY19" s="13" t="n">
        <f aca="false">IF(AND(Calendario!DY$16&gt;0,123&lt;p_MesArranque),INDEX(Base_PDF!$F$88:$O$88,1,Calendario!DY$17)/12*INDEX(e_VolG,Calendario!DY$17),0)</f>
        <v>0</v>
      </c>
      <c r="DZ19" s="13" t="n">
        <f aca="false">IF(AND(Calendario!DZ$16&gt;0,124&lt;p_MesArranque),INDEX(Base_PDF!$F$88:$O$88,1,Calendario!DZ$17)/12*INDEX(e_VolG,Calendario!DZ$17),0)</f>
        <v>0</v>
      </c>
      <c r="EA19" s="13" t="n">
        <f aca="false">IF(AND(Calendario!EA$16&gt;0,125&lt;p_MesArranque),INDEX(Base_PDF!$F$88:$O$88,1,Calendario!EA$17)/12*INDEX(e_VolG,Calendario!EA$17),0)</f>
        <v>0</v>
      </c>
      <c r="EB19" s="13" t="n">
        <f aca="false">IF(AND(Calendario!EB$16&gt;0,126&lt;p_MesArranque),INDEX(Base_PDF!$F$88:$O$88,1,Calendario!EB$17)/12*INDEX(e_VolG,Calendario!EB$17),0)</f>
        <v>0</v>
      </c>
      <c r="EC19" s="13" t="n">
        <f aca="false">IF(AND(Calendario!EC$16&gt;0,127&lt;p_MesArranque),INDEX(Base_PDF!$F$88:$O$88,1,Calendario!EC$17)/12*INDEX(e_VolG,Calendario!EC$17),0)</f>
        <v>0</v>
      </c>
      <c r="ED19" s="13" t="n">
        <f aca="false">IF(AND(Calendario!ED$16&gt;0,128&lt;p_MesArranque),INDEX(Base_PDF!$F$88:$O$88,1,Calendario!ED$17)/12*INDEX(e_VolG,Calendario!ED$17),0)</f>
        <v>0</v>
      </c>
      <c r="EE19" s="13" t="n">
        <f aca="false">IF(AND(Calendario!EE$16&gt;0,129&lt;p_MesArranque),INDEX(Base_PDF!$F$88:$O$88,1,Calendario!EE$17)/12*INDEX(e_VolG,Calendario!EE$17),0)</f>
        <v>0</v>
      </c>
      <c r="EF19" s="13" t="n">
        <f aca="false">IF(AND(Calendario!EF$16&gt;0,130&lt;p_MesArranque),INDEX(Base_PDF!$F$88:$O$88,1,Calendario!EF$17)/12*INDEX(e_VolG,Calendario!EF$17),0)</f>
        <v>0</v>
      </c>
      <c r="EG19" s="13" t="n">
        <f aca="false">IF(AND(Calendario!EG$16&gt;0,131&lt;p_MesArranque),INDEX(Base_PDF!$F$88:$O$88,1,Calendario!EG$17)/12*INDEX(e_VolG,Calendario!EG$17),0)</f>
        <v>0</v>
      </c>
      <c r="EH19" s="13" t="n">
        <f aca="false">IF(AND(Calendario!EH$16&gt;0,132&lt;p_MesArranque),INDEX(Base_PDF!$F$88:$O$88,1,Calendario!EH$17)/12*INDEX(e_VolG,Calendario!EH$17),0)</f>
        <v>0</v>
      </c>
      <c r="EI19" s="13" t="n">
        <f aca="false">IF(AND(Calendario!EI$16&gt;0,133&lt;p_MesArranque),INDEX(Base_PDF!$F$88:$O$88,1,Calendario!EI$17)/12*INDEX(e_VolG,Calendario!EI$17),0)</f>
        <v>0</v>
      </c>
      <c r="EJ19" s="13" t="n">
        <f aca="false">IF(AND(Calendario!EJ$16&gt;0,134&lt;p_MesArranque),INDEX(Base_PDF!$F$88:$O$88,1,Calendario!EJ$17)/12*INDEX(e_VolG,Calendario!EJ$17),0)</f>
        <v>0</v>
      </c>
      <c r="EK19" s="13" t="n">
        <f aca="false">IF(AND(Calendario!EK$16&gt;0,135&lt;p_MesArranque),INDEX(Base_PDF!$F$88:$O$88,1,Calendario!EK$17)/12*INDEX(e_VolG,Calendario!EK$17),0)</f>
        <v>0</v>
      </c>
      <c r="EL19" s="13" t="n">
        <f aca="false">IF(AND(Calendario!EL$16&gt;0,136&lt;p_MesArranque),INDEX(Base_PDF!$F$88:$O$88,1,Calendario!EL$17)/12*INDEX(e_VolG,Calendario!EL$17),0)</f>
        <v>0</v>
      </c>
      <c r="EM19" s="13" t="n">
        <f aca="false">IF(AND(Calendario!EM$16&gt;0,137&lt;p_MesArranque),INDEX(Base_PDF!$F$88:$O$88,1,Calendario!EM$17)/12*INDEX(e_VolG,Calendario!EM$17),0)</f>
        <v>0</v>
      </c>
      <c r="EN19" s="13" t="n">
        <f aca="false">IF(AND(Calendario!EN$16&gt;0,138&lt;p_MesArranque),INDEX(Base_PDF!$F$88:$O$88,1,Calendario!EN$17)/12*INDEX(e_VolG,Calendario!EN$17),0)</f>
        <v>0</v>
      </c>
      <c r="EO19" s="13" t="n">
        <f aca="false">IF(AND(Calendario!EO$16&gt;0,139&lt;p_MesArranque),INDEX(Base_PDF!$F$88:$O$88,1,Calendario!EO$17)/12*INDEX(e_VolG,Calendario!EO$17),0)</f>
        <v>0</v>
      </c>
      <c r="EP19" s="13" t="n">
        <f aca="false">IF(AND(Calendario!EP$16&gt;0,140&lt;p_MesArranque),INDEX(Base_PDF!$F$88:$O$88,1,Calendario!EP$17)/12*INDEX(e_VolG,Calendario!EP$17),0)</f>
        <v>0</v>
      </c>
      <c r="EQ19" s="13" t="n">
        <f aca="false">IF(AND(Calendario!EQ$16&gt;0,141&lt;p_MesArranque),INDEX(Base_PDF!$F$88:$O$88,1,Calendario!EQ$17)/12*INDEX(e_VolG,Calendario!EQ$17),0)</f>
        <v>0</v>
      </c>
      <c r="ER19" s="13" t="n">
        <f aca="false">IF(AND(Calendario!ER$16&gt;0,142&lt;p_MesArranque),INDEX(Base_PDF!$F$88:$O$88,1,Calendario!ER$17)/12*INDEX(e_VolG,Calendario!ER$17),0)</f>
        <v>0</v>
      </c>
      <c r="ES19" s="13" t="n">
        <f aca="false">IF(AND(Calendario!ES$16&gt;0,143&lt;p_MesArranque),INDEX(Base_PDF!$F$88:$O$88,1,Calendario!ES$17)/12*INDEX(e_VolG,Calendario!ES$17),0)</f>
        <v>0</v>
      </c>
      <c r="ET19" s="13" t="n">
        <f aca="false">IF(AND(Calendario!ET$16&gt;0,144&lt;p_MesArranque),INDEX(Base_PDF!$F$88:$O$88,1,Calendario!ET$17)/12*INDEX(e_VolG,Calendario!ET$17),0)</f>
        <v>0</v>
      </c>
      <c r="EU19" s="13" t="n">
        <f aca="false">IF(AND(Calendario!EU$16&gt;0,145&lt;p_MesArranque),INDEX(Base_PDF!$F$88:$O$88,1,Calendario!EU$17)/12*INDEX(e_VolG,Calendario!EU$17),0)</f>
        <v>0</v>
      </c>
      <c r="EV19" s="13" t="n">
        <f aca="false">IF(AND(Calendario!EV$16&gt;0,146&lt;p_MesArranque),INDEX(Base_PDF!$F$88:$O$88,1,Calendario!EV$17)/12*INDEX(e_VolG,Calendario!EV$17),0)</f>
        <v>0</v>
      </c>
      <c r="EW19" s="13" t="n">
        <f aca="false">IF(AND(Calendario!EW$16&gt;0,147&lt;p_MesArranque),INDEX(Base_PDF!$F$88:$O$88,1,Calendario!EW$17)/12*INDEX(e_VolG,Calendario!EW$17),0)</f>
        <v>0</v>
      </c>
      <c r="EX19" s="13" t="n">
        <f aca="false">IF(AND(Calendario!EX$16&gt;0,148&lt;p_MesArranque),INDEX(Base_PDF!$F$88:$O$88,1,Calendario!EX$17)/12*INDEX(e_VolG,Calendario!EX$17),0)</f>
        <v>0</v>
      </c>
      <c r="EY19" s="13" t="n">
        <f aca="false">IF(AND(Calendario!EY$16&gt;0,149&lt;p_MesArranque),INDEX(Base_PDF!$F$88:$O$88,1,Calendario!EY$17)/12*INDEX(e_VolG,Calendario!EY$17),0)</f>
        <v>0</v>
      </c>
      <c r="EZ19" s="13" t="n">
        <f aca="false">IF(AND(Calendario!EZ$16&gt;0,150&lt;p_MesArranque),INDEX(Base_PDF!$F$88:$O$88,1,Calendario!EZ$17)/12*INDEX(e_VolG,Calendario!EZ$17),0)</f>
        <v>0</v>
      </c>
      <c r="FA19" s="13" t="n">
        <f aca="false">IF(AND(Calendario!FA$16&gt;0,151&lt;p_MesArranque),INDEX(Base_PDF!$F$88:$O$88,1,Calendario!FA$17)/12*INDEX(e_VolG,Calendario!FA$17),0)</f>
        <v>0</v>
      </c>
      <c r="FB19" s="13" t="n">
        <f aca="false">IF(AND(Calendario!FB$16&gt;0,152&lt;p_MesArranque),INDEX(Base_PDF!$F$88:$O$88,1,Calendario!FB$17)/12*INDEX(e_VolG,Calendario!FB$17),0)</f>
        <v>0</v>
      </c>
      <c r="FC19" s="13" t="n">
        <f aca="false">IF(AND(Calendario!FC$16&gt;0,153&lt;p_MesArranque),INDEX(Base_PDF!$F$88:$O$88,1,Calendario!FC$17)/12*INDEX(e_VolG,Calendario!FC$17),0)</f>
        <v>0</v>
      </c>
      <c r="FD19" s="13" t="n">
        <f aca="false">IF(AND(Calendario!FD$16&gt;0,154&lt;p_MesArranque),INDEX(Base_PDF!$F$88:$O$88,1,Calendario!FD$17)/12*INDEX(e_VolG,Calendario!FD$17),0)</f>
        <v>0</v>
      </c>
      <c r="FE19" s="13" t="n">
        <f aca="false">IF(AND(Calendario!FE$16&gt;0,155&lt;p_MesArranque),INDEX(Base_PDF!$F$88:$O$88,1,Calendario!FE$17)/12*INDEX(e_VolG,Calendario!FE$17),0)</f>
        <v>0</v>
      </c>
      <c r="FF19" s="13" t="n">
        <f aca="false">IF(AND(Calendario!FF$16&gt;0,156&lt;p_MesArranque),INDEX(Base_PDF!$F$88:$O$88,1,Calendario!FF$17)/12*INDEX(e_VolG,Calendario!FF$17),0)</f>
        <v>0</v>
      </c>
    </row>
    <row r="20" customFormat="false" ht="15" hidden="false" customHeight="false" outlineLevel="0" collapsed="false">
      <c r="A20" s="2" t="s">
        <v>838</v>
      </c>
      <c r="B20" s="8" t="s">
        <v>839</v>
      </c>
      <c r="C20" s="8" t="s">
        <v>825</v>
      </c>
      <c r="E20" s="65" t="n">
        <f aca="false">SUM($F20:$FF20)</f>
        <v>14000</v>
      </c>
      <c r="F20" s="13" t="n">
        <f aca="false">IF(F$8=1,MAX(0,F$13*F$11*(1-e_Rech)-F$17),0)</f>
        <v>0</v>
      </c>
      <c r="G20" s="13" t="n">
        <f aca="false">IF(G$8=1,MAX(0,G$13*G$11*(1-e_Rech)-G$17),0)</f>
        <v>250</v>
      </c>
      <c r="H20" s="13" t="n">
        <f aca="false">IF(H$8=1,MAX(0,H$13*H$11*(1-e_Rech)-H$17),0)</f>
        <v>250</v>
      </c>
      <c r="I20" s="13" t="n">
        <f aca="false">IF(I$8=1,MAX(0,I$13*I$11*(1-e_Rech)-I$17),0)</f>
        <v>250</v>
      </c>
      <c r="J20" s="13" t="n">
        <f aca="false">IF(J$8=1,MAX(0,J$13*J$11*(1-e_Rech)-J$17),0)</f>
        <v>250</v>
      </c>
      <c r="K20" s="13" t="n">
        <f aca="false">IF(K$8=1,MAX(0,K$13*K$11*(1-e_Rech)-K$17),0)</f>
        <v>250</v>
      </c>
      <c r="L20" s="13" t="n">
        <f aca="false">IF(L$8=1,MAX(0,L$13*L$11*(1-e_Rech)-L$17),0)</f>
        <v>250</v>
      </c>
      <c r="M20" s="13" t="n">
        <f aca="false">IF(M$8=1,MAX(0,M$13*M$11*(1-e_Rech)-M$17),0)</f>
        <v>250</v>
      </c>
      <c r="N20" s="13" t="n">
        <f aca="false">IF(N$8=1,MAX(0,N$13*N$11*(1-e_Rech)-N$17),0)</f>
        <v>250</v>
      </c>
      <c r="O20" s="13" t="n">
        <f aca="false">IF(O$8=1,MAX(0,O$13*O$11*(1-e_Rech)-O$17),0)</f>
        <v>250</v>
      </c>
      <c r="P20" s="13" t="n">
        <f aca="false">IF(P$8=1,MAX(0,P$13*P$11*(1-e_Rech)-P$17),0)</f>
        <v>250</v>
      </c>
      <c r="Q20" s="13" t="n">
        <f aca="false">IF(Q$8=1,MAX(0,Q$13*Q$11*(1-e_Rech)-Q$17),0)</f>
        <v>250</v>
      </c>
      <c r="R20" s="13" t="n">
        <f aca="false">IF(R$8=1,MAX(0,R$13*R$11*(1-e_Rech)-R$17),0)</f>
        <v>250</v>
      </c>
      <c r="S20" s="13" t="n">
        <f aca="false">IF(S$8=1,MAX(0,S$13*S$11*(1-e_Rech)-S$17),0)</f>
        <v>0</v>
      </c>
      <c r="T20" s="13" t="n">
        <f aca="false">IF(T$8=1,MAX(0,T$13*T$11*(1-e_Rech)-T$17),0)</f>
        <v>0</v>
      </c>
      <c r="U20" s="13" t="n">
        <f aca="false">IF(U$8=1,MAX(0,U$13*U$11*(1-e_Rech)-U$17),0)</f>
        <v>0</v>
      </c>
      <c r="V20" s="13" t="n">
        <f aca="false">IF(V$8=1,MAX(0,V$13*V$11*(1-e_Rech)-V$17),0)</f>
        <v>0</v>
      </c>
      <c r="W20" s="13" t="n">
        <f aca="false">IF(W$8=1,MAX(0,W$13*W$11*(1-e_Rech)-W$17),0)</f>
        <v>0</v>
      </c>
      <c r="X20" s="13" t="n">
        <f aca="false">IF(X$8=1,MAX(0,X$13*X$11*(1-e_Rech)-X$17),0)</f>
        <v>0</v>
      </c>
      <c r="Y20" s="13" t="n">
        <f aca="false">IF(Y$8=1,MAX(0,Y$13*Y$11*(1-e_Rech)-Y$17),0)</f>
        <v>0</v>
      </c>
      <c r="Z20" s="13" t="n">
        <f aca="false">IF(Z$8=1,MAX(0,Z$13*Z$11*(1-e_Rech)-Z$17),0)</f>
        <v>0</v>
      </c>
      <c r="AA20" s="13" t="n">
        <f aca="false">IF(AA$8=1,MAX(0,AA$13*AA$11*(1-e_Rech)-AA$17),0)</f>
        <v>0</v>
      </c>
      <c r="AB20" s="13" t="n">
        <f aca="false">IF(AB$8=1,MAX(0,AB$13*AB$11*(1-e_Rech)-AB$17),0)</f>
        <v>0</v>
      </c>
      <c r="AC20" s="13" t="n">
        <f aca="false">IF(AC$8=1,MAX(0,AC$13*AC$11*(1-e_Rech)-AC$17),0)</f>
        <v>0</v>
      </c>
      <c r="AD20" s="13" t="n">
        <f aca="false">IF(AD$8=1,MAX(0,AD$13*AD$11*(1-e_Rech)-AD$17),0)</f>
        <v>0</v>
      </c>
      <c r="AE20" s="13" t="n">
        <f aca="false">IF(AE$8=1,MAX(0,AE$13*AE$11*(1-e_Rech)-AE$17),0)</f>
        <v>333.333333333333</v>
      </c>
      <c r="AF20" s="13" t="n">
        <f aca="false">IF(AF$8=1,MAX(0,AF$13*AF$11*(1-e_Rech)-AF$17),0)</f>
        <v>333.333333333333</v>
      </c>
      <c r="AG20" s="13" t="n">
        <f aca="false">IF(AG$8=1,MAX(0,AG$13*AG$11*(1-e_Rech)-AG$17),0)</f>
        <v>333.333333333333</v>
      </c>
      <c r="AH20" s="13" t="n">
        <f aca="false">IF(AH$8=1,MAX(0,AH$13*AH$11*(1-e_Rech)-AH$17),0)</f>
        <v>333.333333333333</v>
      </c>
      <c r="AI20" s="13" t="n">
        <f aca="false">IF(AI$8=1,MAX(0,AI$13*AI$11*(1-e_Rech)-AI$17),0)</f>
        <v>333.333333333333</v>
      </c>
      <c r="AJ20" s="13" t="n">
        <f aca="false">IF(AJ$8=1,MAX(0,AJ$13*AJ$11*(1-e_Rech)-AJ$17),0)</f>
        <v>333.333333333333</v>
      </c>
      <c r="AK20" s="13" t="n">
        <f aca="false">IF(AK$8=1,MAX(0,AK$13*AK$11*(1-e_Rech)-AK$17),0)</f>
        <v>333.333333333333</v>
      </c>
      <c r="AL20" s="13" t="n">
        <f aca="false">IF(AL$8=1,MAX(0,AL$13*AL$11*(1-e_Rech)-AL$17),0)</f>
        <v>333.333333333333</v>
      </c>
      <c r="AM20" s="13" t="n">
        <f aca="false">IF(AM$8=1,MAX(0,AM$13*AM$11*(1-e_Rech)-AM$17),0)</f>
        <v>333.333333333333</v>
      </c>
      <c r="AN20" s="13" t="n">
        <f aca="false">IF(AN$8=1,MAX(0,AN$13*AN$11*(1-e_Rech)-AN$17),0)</f>
        <v>333.333333333333</v>
      </c>
      <c r="AO20" s="13" t="n">
        <f aca="false">IF(AO$8=1,MAX(0,AO$13*AO$11*(1-e_Rech)-AO$17),0)</f>
        <v>333.333333333333</v>
      </c>
      <c r="AP20" s="13" t="n">
        <f aca="false">IF(AP$8=1,MAX(0,AP$13*AP$11*(1-e_Rech)-AP$17),0)</f>
        <v>333.333333333333</v>
      </c>
      <c r="AQ20" s="13" t="n">
        <f aca="false">IF(AQ$8=1,MAX(0,AQ$13*AQ$11*(1-e_Rech)-AQ$17),0)</f>
        <v>83.3333333333333</v>
      </c>
      <c r="AR20" s="13" t="n">
        <f aca="false">IF(AR$8=1,MAX(0,AR$13*AR$11*(1-e_Rech)-AR$17),0)</f>
        <v>83.3333333333333</v>
      </c>
      <c r="AS20" s="13" t="n">
        <f aca="false">IF(AS$8=1,MAX(0,AS$13*AS$11*(1-e_Rech)-AS$17),0)</f>
        <v>83.3333333333333</v>
      </c>
      <c r="AT20" s="13" t="n">
        <f aca="false">IF(AT$8=1,MAX(0,AT$13*AT$11*(1-e_Rech)-AT$17),0)</f>
        <v>83.3333333333333</v>
      </c>
      <c r="AU20" s="13" t="n">
        <f aca="false">IF(AU$8=1,MAX(0,AU$13*AU$11*(1-e_Rech)-AU$17),0)</f>
        <v>83.3333333333333</v>
      </c>
      <c r="AV20" s="13" t="n">
        <f aca="false">IF(AV$8=1,MAX(0,AV$13*AV$11*(1-e_Rech)-AV$17),0)</f>
        <v>83.3333333333333</v>
      </c>
      <c r="AW20" s="13" t="n">
        <f aca="false">IF(AW$8=1,MAX(0,AW$13*AW$11*(1-e_Rech)-AW$17),0)</f>
        <v>83.3333333333333</v>
      </c>
      <c r="AX20" s="13" t="n">
        <f aca="false">IF(AX$8=1,MAX(0,AX$13*AX$11*(1-e_Rech)-AX$17),0)</f>
        <v>83.3333333333333</v>
      </c>
      <c r="AY20" s="13" t="n">
        <f aca="false">IF(AY$8=1,MAX(0,AY$13*AY$11*(1-e_Rech)-AY$17),0)</f>
        <v>83.3333333333333</v>
      </c>
      <c r="AZ20" s="13" t="n">
        <f aca="false">IF(AZ$8=1,MAX(0,AZ$13*AZ$11*(1-e_Rech)-AZ$17),0)</f>
        <v>83.3333333333333</v>
      </c>
      <c r="BA20" s="13" t="n">
        <f aca="false">IF(BA$8=1,MAX(0,BA$13*BA$11*(1-e_Rech)-BA$17),0)</f>
        <v>83.3333333333333</v>
      </c>
      <c r="BB20" s="13" t="n">
        <f aca="false">IF(BB$8=1,MAX(0,BB$13*BB$11*(1-e_Rech)-BB$17),0)</f>
        <v>83.3333333333333</v>
      </c>
      <c r="BC20" s="13" t="n">
        <f aca="false">IF(BC$8=1,MAX(0,BC$13*BC$11*(1-e_Rech)-BC$17),0)</f>
        <v>83.3333333333333</v>
      </c>
      <c r="BD20" s="13" t="n">
        <f aca="false">IF(BD$8=1,MAX(0,BD$13*BD$11*(1-e_Rech)-BD$17),0)</f>
        <v>83.3333333333333</v>
      </c>
      <c r="BE20" s="13" t="n">
        <f aca="false">IF(BE$8=1,MAX(0,BE$13*BE$11*(1-e_Rech)-BE$17),0)</f>
        <v>83.3333333333333</v>
      </c>
      <c r="BF20" s="13" t="n">
        <f aca="false">IF(BF$8=1,MAX(0,BF$13*BF$11*(1-e_Rech)-BF$17),0)</f>
        <v>83.3333333333333</v>
      </c>
      <c r="BG20" s="13" t="n">
        <f aca="false">IF(BG$8=1,MAX(0,BG$13*BG$11*(1-e_Rech)-BG$17),0)</f>
        <v>83.3333333333333</v>
      </c>
      <c r="BH20" s="13" t="n">
        <f aca="false">IF(BH$8=1,MAX(0,BH$13*BH$11*(1-e_Rech)-BH$17),0)</f>
        <v>83.3333333333333</v>
      </c>
      <c r="BI20" s="13" t="n">
        <f aca="false">IF(BI$8=1,MAX(0,BI$13*BI$11*(1-e_Rech)-BI$17),0)</f>
        <v>83.3333333333333</v>
      </c>
      <c r="BJ20" s="13" t="n">
        <f aca="false">IF(BJ$8=1,MAX(0,BJ$13*BJ$11*(1-e_Rech)-BJ$17),0)</f>
        <v>83.3333333333333</v>
      </c>
      <c r="BK20" s="13" t="n">
        <f aca="false">IF(BK$8=1,MAX(0,BK$13*BK$11*(1-e_Rech)-BK$17),0)</f>
        <v>83.3333333333333</v>
      </c>
      <c r="BL20" s="13" t="n">
        <f aca="false">IF(BL$8=1,MAX(0,BL$13*BL$11*(1-e_Rech)-BL$17),0)</f>
        <v>83.3333333333333</v>
      </c>
      <c r="BM20" s="13" t="n">
        <f aca="false">IF(BM$8=1,MAX(0,BM$13*BM$11*(1-e_Rech)-BM$17),0)</f>
        <v>83.3333333333333</v>
      </c>
      <c r="BN20" s="13" t="n">
        <f aca="false">IF(BN$8=1,MAX(0,BN$13*BN$11*(1-e_Rech)-BN$17),0)</f>
        <v>83.3333333333333</v>
      </c>
      <c r="BO20" s="13" t="n">
        <f aca="false">IF(BO$8=1,MAX(0,BO$13*BO$11*(1-e_Rech)-BO$17),0)</f>
        <v>83.3333333333333</v>
      </c>
      <c r="BP20" s="13" t="n">
        <f aca="false">IF(BP$8=1,MAX(0,BP$13*BP$11*(1-e_Rech)-BP$17),0)</f>
        <v>83.3333333333333</v>
      </c>
      <c r="BQ20" s="13" t="n">
        <f aca="false">IF(BQ$8=1,MAX(0,BQ$13*BQ$11*(1-e_Rech)-BQ$17),0)</f>
        <v>83.3333333333333</v>
      </c>
      <c r="BR20" s="13" t="n">
        <f aca="false">IF(BR$8=1,MAX(0,BR$13*BR$11*(1-e_Rech)-BR$17),0)</f>
        <v>83.3333333333333</v>
      </c>
      <c r="BS20" s="13" t="n">
        <f aca="false">IF(BS$8=1,MAX(0,BS$13*BS$11*(1-e_Rech)-BS$17),0)</f>
        <v>83.3333333333333</v>
      </c>
      <c r="BT20" s="13" t="n">
        <f aca="false">IF(BT$8=1,MAX(0,BT$13*BT$11*(1-e_Rech)-BT$17),0)</f>
        <v>83.3333333333333</v>
      </c>
      <c r="BU20" s="13" t="n">
        <f aca="false">IF(BU$8=1,MAX(0,BU$13*BU$11*(1-e_Rech)-BU$17),0)</f>
        <v>83.3333333333333</v>
      </c>
      <c r="BV20" s="13" t="n">
        <f aca="false">IF(BV$8=1,MAX(0,BV$13*BV$11*(1-e_Rech)-BV$17),0)</f>
        <v>83.3333333333333</v>
      </c>
      <c r="BW20" s="13" t="n">
        <f aca="false">IF(BW$8=1,MAX(0,BW$13*BW$11*(1-e_Rech)-BW$17),0)</f>
        <v>83.3333333333333</v>
      </c>
      <c r="BX20" s="13" t="n">
        <f aca="false">IF(BX$8=1,MAX(0,BX$13*BX$11*(1-e_Rech)-BX$17),0)</f>
        <v>83.3333333333333</v>
      </c>
      <c r="BY20" s="13" t="n">
        <f aca="false">IF(BY$8=1,MAX(0,BY$13*BY$11*(1-e_Rech)-BY$17),0)</f>
        <v>83.3333333333333</v>
      </c>
      <c r="BZ20" s="13" t="n">
        <f aca="false">IF(BZ$8=1,MAX(0,BZ$13*BZ$11*(1-e_Rech)-BZ$17),0)</f>
        <v>83.3333333333333</v>
      </c>
      <c r="CA20" s="13" t="n">
        <f aca="false">IF(CA$8=1,MAX(0,CA$13*CA$11*(1-e_Rech)-CA$17),0)</f>
        <v>83.3333333333333</v>
      </c>
      <c r="CB20" s="13" t="n">
        <f aca="false">IF(CB$8=1,MAX(0,CB$13*CB$11*(1-e_Rech)-CB$17),0)</f>
        <v>83.3333333333333</v>
      </c>
      <c r="CC20" s="13" t="n">
        <f aca="false">IF(CC$8=1,MAX(0,CC$13*CC$11*(1-e_Rech)-CC$17),0)</f>
        <v>83.3333333333333</v>
      </c>
      <c r="CD20" s="13" t="n">
        <f aca="false">IF(CD$8=1,MAX(0,CD$13*CD$11*(1-e_Rech)-CD$17),0)</f>
        <v>83.3333333333333</v>
      </c>
      <c r="CE20" s="13" t="n">
        <f aca="false">IF(CE$8=1,MAX(0,CE$13*CE$11*(1-e_Rech)-CE$17),0)</f>
        <v>83.3333333333333</v>
      </c>
      <c r="CF20" s="13" t="n">
        <f aca="false">IF(CF$8=1,MAX(0,CF$13*CF$11*(1-e_Rech)-CF$17),0)</f>
        <v>83.3333333333333</v>
      </c>
      <c r="CG20" s="13" t="n">
        <f aca="false">IF(CG$8=1,MAX(0,CG$13*CG$11*(1-e_Rech)-CG$17),0)</f>
        <v>83.3333333333333</v>
      </c>
      <c r="CH20" s="13" t="n">
        <f aca="false">IF(CH$8=1,MAX(0,CH$13*CH$11*(1-e_Rech)-CH$17),0)</f>
        <v>83.3333333333333</v>
      </c>
      <c r="CI20" s="13" t="n">
        <f aca="false">IF(CI$8=1,MAX(0,CI$13*CI$11*(1-e_Rech)-CI$17),0)</f>
        <v>83.3333333333333</v>
      </c>
      <c r="CJ20" s="13" t="n">
        <f aca="false">IF(CJ$8=1,MAX(0,CJ$13*CJ$11*(1-e_Rech)-CJ$17),0)</f>
        <v>83.3333333333333</v>
      </c>
      <c r="CK20" s="13" t="n">
        <f aca="false">IF(CK$8=1,MAX(0,CK$13*CK$11*(1-e_Rech)-CK$17),0)</f>
        <v>83.3333333333333</v>
      </c>
      <c r="CL20" s="13" t="n">
        <f aca="false">IF(CL$8=1,MAX(0,CL$13*CL$11*(1-e_Rech)-CL$17),0)</f>
        <v>83.3333333333333</v>
      </c>
      <c r="CM20" s="13" t="n">
        <f aca="false">IF(CM$8=1,MAX(0,CM$13*CM$11*(1-e_Rech)-CM$17),0)</f>
        <v>83.3333333333333</v>
      </c>
      <c r="CN20" s="13" t="n">
        <f aca="false">IF(CN$8=1,MAX(0,CN$13*CN$11*(1-e_Rech)-CN$17),0)</f>
        <v>83.3333333333333</v>
      </c>
      <c r="CO20" s="13" t="n">
        <f aca="false">IF(CO$8=1,MAX(0,CO$13*CO$11*(1-e_Rech)-CO$17),0)</f>
        <v>83.3333333333333</v>
      </c>
      <c r="CP20" s="13" t="n">
        <f aca="false">IF(CP$8=1,MAX(0,CP$13*CP$11*(1-e_Rech)-CP$17),0)</f>
        <v>83.3333333333333</v>
      </c>
      <c r="CQ20" s="13" t="n">
        <f aca="false">IF(CQ$8=1,MAX(0,CQ$13*CQ$11*(1-e_Rech)-CQ$17),0)</f>
        <v>83.3333333333333</v>
      </c>
      <c r="CR20" s="13" t="n">
        <f aca="false">IF(CR$8=1,MAX(0,CR$13*CR$11*(1-e_Rech)-CR$17),0)</f>
        <v>83.3333333333333</v>
      </c>
      <c r="CS20" s="13" t="n">
        <f aca="false">IF(CS$8=1,MAX(0,CS$13*CS$11*(1-e_Rech)-CS$17),0)</f>
        <v>83.3333333333333</v>
      </c>
      <c r="CT20" s="13" t="n">
        <f aca="false">IF(CT$8=1,MAX(0,CT$13*CT$11*(1-e_Rech)-CT$17),0)</f>
        <v>83.3333333333333</v>
      </c>
      <c r="CU20" s="13" t="n">
        <f aca="false">IF(CU$8=1,MAX(0,CU$13*CU$11*(1-e_Rech)-CU$17),0)</f>
        <v>83.3333333333333</v>
      </c>
      <c r="CV20" s="13" t="n">
        <f aca="false">IF(CV$8=1,MAX(0,CV$13*CV$11*(1-e_Rech)-CV$17),0)</f>
        <v>83.3333333333333</v>
      </c>
      <c r="CW20" s="13" t="n">
        <f aca="false">IF(CW$8=1,MAX(0,CW$13*CW$11*(1-e_Rech)-CW$17),0)</f>
        <v>83.3333333333333</v>
      </c>
      <c r="CX20" s="13" t="n">
        <f aca="false">IF(CX$8=1,MAX(0,CX$13*CX$11*(1-e_Rech)-CX$17),0)</f>
        <v>83.3333333333333</v>
      </c>
      <c r="CY20" s="13" t="n">
        <f aca="false">IF(CY$8=1,MAX(0,CY$13*CY$11*(1-e_Rech)-CY$17),0)</f>
        <v>83.3333333333333</v>
      </c>
      <c r="CZ20" s="13" t="n">
        <f aca="false">IF(CZ$8=1,MAX(0,CZ$13*CZ$11*(1-e_Rech)-CZ$17),0)</f>
        <v>83.3333333333333</v>
      </c>
      <c r="DA20" s="13" t="n">
        <f aca="false">IF(DA$8=1,MAX(0,DA$13*DA$11*(1-e_Rech)-DA$17),0)</f>
        <v>83.3333333333333</v>
      </c>
      <c r="DB20" s="13" t="n">
        <f aca="false">IF(DB$8=1,MAX(0,DB$13*DB$11*(1-e_Rech)-DB$17),0)</f>
        <v>83.3333333333333</v>
      </c>
      <c r="DC20" s="13" t="n">
        <f aca="false">IF(DC$8=1,MAX(0,DC$13*DC$11*(1-e_Rech)-DC$17),0)</f>
        <v>83.3333333333333</v>
      </c>
      <c r="DD20" s="13" t="n">
        <f aca="false">IF(DD$8=1,MAX(0,DD$13*DD$11*(1-e_Rech)-DD$17),0)</f>
        <v>83.3333333333333</v>
      </c>
      <c r="DE20" s="13" t="n">
        <f aca="false">IF(DE$8=1,MAX(0,DE$13*DE$11*(1-e_Rech)-DE$17),0)</f>
        <v>83.3333333333333</v>
      </c>
      <c r="DF20" s="13" t="n">
        <f aca="false">IF(DF$8=1,MAX(0,DF$13*DF$11*(1-e_Rech)-DF$17),0)</f>
        <v>83.3333333333333</v>
      </c>
      <c r="DG20" s="13" t="n">
        <f aca="false">IF(DG$8=1,MAX(0,DG$13*DG$11*(1-e_Rech)-DG$17),0)</f>
        <v>83.3333333333333</v>
      </c>
      <c r="DH20" s="13" t="n">
        <f aca="false">IF(DH$8=1,MAX(0,DH$13*DH$11*(1-e_Rech)-DH$17),0)</f>
        <v>83.3333333333333</v>
      </c>
      <c r="DI20" s="13" t="n">
        <f aca="false">IF(DI$8=1,MAX(0,DI$13*DI$11*(1-e_Rech)-DI$17),0)</f>
        <v>83.3333333333333</v>
      </c>
      <c r="DJ20" s="13" t="n">
        <f aca="false">IF(DJ$8=1,MAX(0,DJ$13*DJ$11*(1-e_Rech)-DJ$17),0)</f>
        <v>83.3333333333333</v>
      </c>
      <c r="DK20" s="13" t="n">
        <f aca="false">IF(DK$8=1,MAX(0,DK$13*DK$11*(1-e_Rech)-DK$17),0)</f>
        <v>83.3333333333333</v>
      </c>
      <c r="DL20" s="13" t="n">
        <f aca="false">IF(DL$8=1,MAX(0,DL$13*DL$11*(1-e_Rech)-DL$17),0)</f>
        <v>83.3333333333333</v>
      </c>
      <c r="DM20" s="13" t="n">
        <f aca="false">IF(DM$8=1,MAX(0,DM$13*DM$11*(1-e_Rech)-DM$17),0)</f>
        <v>83.3333333333333</v>
      </c>
      <c r="DN20" s="13" t="n">
        <f aca="false">IF(DN$8=1,MAX(0,DN$13*DN$11*(1-e_Rech)-DN$17),0)</f>
        <v>83.3333333333333</v>
      </c>
      <c r="DO20" s="13" t="n">
        <f aca="false">IF(DO$8=1,MAX(0,DO$13*DO$11*(1-e_Rech)-DO$17),0)</f>
        <v>83.3333333333333</v>
      </c>
      <c r="DP20" s="13" t="n">
        <f aca="false">IF(DP$8=1,MAX(0,DP$13*DP$11*(1-e_Rech)-DP$17),0)</f>
        <v>83.3333333333333</v>
      </c>
      <c r="DQ20" s="13" t="n">
        <f aca="false">IF(DQ$8=1,MAX(0,DQ$13*DQ$11*(1-e_Rech)-DQ$17),0)</f>
        <v>83.3333333333333</v>
      </c>
      <c r="DR20" s="13" t="n">
        <f aca="false">IF(DR$8=1,MAX(0,DR$13*DR$11*(1-e_Rech)-DR$17),0)</f>
        <v>83.3333333333333</v>
      </c>
      <c r="DS20" s="13" t="n">
        <f aca="false">IF(DS$8=1,MAX(0,DS$13*DS$11*(1-e_Rech)-DS$17),0)</f>
        <v>83.3333333333333</v>
      </c>
      <c r="DT20" s="13" t="n">
        <f aca="false">IF(DT$8=1,MAX(0,DT$13*DT$11*(1-e_Rech)-DT$17),0)</f>
        <v>83.3333333333333</v>
      </c>
      <c r="DU20" s="13" t="n">
        <f aca="false">IF(DU$8=1,MAX(0,DU$13*DU$11*(1-e_Rech)-DU$17),0)</f>
        <v>83.3333333333333</v>
      </c>
      <c r="DV20" s="13" t="n">
        <f aca="false">IF(DV$8=1,MAX(0,DV$13*DV$11*(1-e_Rech)-DV$17),0)</f>
        <v>83.3333333333333</v>
      </c>
      <c r="DW20" s="13" t="n">
        <f aca="false">IF(DW$8=1,MAX(0,DW$13*DW$11*(1-e_Rech)-DW$17),0)</f>
        <v>0</v>
      </c>
      <c r="DX20" s="13" t="n">
        <f aca="false">IF(DX$8=1,MAX(0,DX$13*DX$11*(1-e_Rech)-DX$17),0)</f>
        <v>0</v>
      </c>
      <c r="DY20" s="13" t="n">
        <f aca="false">IF(DY$8=1,MAX(0,DY$13*DY$11*(1-e_Rech)-DY$17),0)</f>
        <v>0</v>
      </c>
      <c r="DZ20" s="13" t="n">
        <f aca="false">IF(DZ$8=1,MAX(0,DZ$13*DZ$11*(1-e_Rech)-DZ$17),0)</f>
        <v>0</v>
      </c>
      <c r="EA20" s="13" t="n">
        <f aca="false">IF(EA$8=1,MAX(0,EA$13*EA$11*(1-e_Rech)-EA$17),0)</f>
        <v>0</v>
      </c>
      <c r="EB20" s="13" t="n">
        <f aca="false">IF(EB$8=1,MAX(0,EB$13*EB$11*(1-e_Rech)-EB$17),0)</f>
        <v>0</v>
      </c>
      <c r="EC20" s="13" t="n">
        <f aca="false">IF(EC$8=1,MAX(0,EC$13*EC$11*(1-e_Rech)-EC$17),0)</f>
        <v>0</v>
      </c>
      <c r="ED20" s="13" t="n">
        <f aca="false">IF(ED$8=1,MAX(0,ED$13*ED$11*(1-e_Rech)-ED$17),0)</f>
        <v>0</v>
      </c>
      <c r="EE20" s="13" t="n">
        <f aca="false">IF(EE$8=1,MAX(0,EE$13*EE$11*(1-e_Rech)-EE$17),0)</f>
        <v>0</v>
      </c>
      <c r="EF20" s="13" t="n">
        <f aca="false">IF(EF$8=1,MAX(0,EF$13*EF$11*(1-e_Rech)-EF$17),0)</f>
        <v>0</v>
      </c>
      <c r="EG20" s="13" t="n">
        <f aca="false">IF(EG$8=1,MAX(0,EG$13*EG$11*(1-e_Rech)-EG$17),0)</f>
        <v>0</v>
      </c>
      <c r="EH20" s="13" t="n">
        <f aca="false">IF(EH$8=1,MAX(0,EH$13*EH$11*(1-e_Rech)-EH$17),0)</f>
        <v>0</v>
      </c>
      <c r="EI20" s="13" t="n">
        <f aca="false">IF(EI$8=1,MAX(0,EI$13*EI$11*(1-e_Rech)-EI$17),0)</f>
        <v>0</v>
      </c>
      <c r="EJ20" s="13" t="n">
        <f aca="false">IF(EJ$8=1,MAX(0,EJ$13*EJ$11*(1-e_Rech)-EJ$17),0)</f>
        <v>0</v>
      </c>
      <c r="EK20" s="13" t="n">
        <f aca="false">IF(EK$8=1,MAX(0,EK$13*EK$11*(1-e_Rech)-EK$17),0)</f>
        <v>0</v>
      </c>
      <c r="EL20" s="13" t="n">
        <f aca="false">IF(EL$8=1,MAX(0,EL$13*EL$11*(1-e_Rech)-EL$17),0)</f>
        <v>0</v>
      </c>
      <c r="EM20" s="13" t="n">
        <f aca="false">IF(EM$8=1,MAX(0,EM$13*EM$11*(1-e_Rech)-EM$17),0)</f>
        <v>0</v>
      </c>
      <c r="EN20" s="13" t="n">
        <f aca="false">IF(EN$8=1,MAX(0,EN$13*EN$11*(1-e_Rech)-EN$17),0)</f>
        <v>0</v>
      </c>
      <c r="EO20" s="13" t="n">
        <f aca="false">IF(EO$8=1,MAX(0,EO$13*EO$11*(1-e_Rech)-EO$17),0)</f>
        <v>0</v>
      </c>
      <c r="EP20" s="13" t="n">
        <f aca="false">IF(EP$8=1,MAX(0,EP$13*EP$11*(1-e_Rech)-EP$17),0)</f>
        <v>0</v>
      </c>
      <c r="EQ20" s="13" t="n">
        <f aca="false">IF(EQ$8=1,MAX(0,EQ$13*EQ$11*(1-e_Rech)-EQ$17),0)</f>
        <v>0</v>
      </c>
      <c r="ER20" s="13" t="n">
        <f aca="false">IF(ER$8=1,MAX(0,ER$13*ER$11*(1-e_Rech)-ER$17),0)</f>
        <v>0</v>
      </c>
      <c r="ES20" s="13" t="n">
        <f aca="false">IF(ES$8=1,MAX(0,ES$13*ES$11*(1-e_Rech)-ES$17),0)</f>
        <v>0</v>
      </c>
      <c r="ET20" s="13" t="n">
        <f aca="false">IF(ET$8=1,MAX(0,ET$13*ET$11*(1-e_Rech)-ET$17),0)</f>
        <v>0</v>
      </c>
      <c r="EU20" s="13" t="n">
        <f aca="false">IF(EU$8=1,MAX(0,EU$13*EU$11*(1-e_Rech)-EU$17),0)</f>
        <v>0</v>
      </c>
      <c r="EV20" s="13" t="n">
        <f aca="false">IF(EV$8=1,MAX(0,EV$13*EV$11*(1-e_Rech)-EV$17),0)</f>
        <v>0</v>
      </c>
      <c r="EW20" s="13" t="n">
        <f aca="false">IF(EW$8=1,MAX(0,EW$13*EW$11*(1-e_Rech)-EW$17),0)</f>
        <v>0</v>
      </c>
      <c r="EX20" s="13" t="n">
        <f aca="false">IF(EX$8=1,MAX(0,EX$13*EX$11*(1-e_Rech)-EX$17),0)</f>
        <v>0</v>
      </c>
      <c r="EY20" s="13" t="n">
        <f aca="false">IF(EY$8=1,MAX(0,EY$13*EY$11*(1-e_Rech)-EY$17),0)</f>
        <v>0</v>
      </c>
      <c r="EZ20" s="13" t="n">
        <f aca="false">IF(EZ$8=1,MAX(0,EZ$13*EZ$11*(1-e_Rech)-EZ$17),0)</f>
        <v>0</v>
      </c>
      <c r="FA20" s="13" t="n">
        <f aca="false">IF(FA$8=1,MAX(0,FA$13*FA$11*(1-e_Rech)-FA$17),0)</f>
        <v>0</v>
      </c>
      <c r="FB20" s="13" t="n">
        <f aca="false">IF(FB$8=1,MAX(0,FB$13*FB$11*(1-e_Rech)-FB$17),0)</f>
        <v>0</v>
      </c>
      <c r="FC20" s="13" t="n">
        <f aca="false">IF(FC$8=1,MAX(0,FC$13*FC$11*(1-e_Rech)-FC$17),0)</f>
        <v>0</v>
      </c>
      <c r="FD20" s="13" t="n">
        <f aca="false">IF(FD$8=1,MAX(0,FD$13*FD$11*(1-e_Rech)-FD$17),0)</f>
        <v>0</v>
      </c>
      <c r="FE20" s="13" t="n">
        <f aca="false">IF(FE$8=1,MAX(0,FE$13*FE$11*(1-e_Rech)-FE$17),0)</f>
        <v>0</v>
      </c>
      <c r="FF20" s="13" t="n">
        <f aca="false">IF(FF$8=1,MAX(0,FF$13*FF$11*(1-e_Rech)-FF$17),0)</f>
        <v>0</v>
      </c>
    </row>
    <row r="21" customFormat="false" ht="15" hidden="false" customHeight="false" outlineLevel="0" collapsed="false">
      <c r="A21" s="2" t="s">
        <v>840</v>
      </c>
      <c r="B21" s="8" t="s">
        <v>841</v>
      </c>
      <c r="C21" s="8" t="s">
        <v>825</v>
      </c>
      <c r="E21" s="65" t="n">
        <f aca="false">SUM($F21:$FF21)</f>
        <v>0</v>
      </c>
      <c r="F21" s="13" t="n">
        <f aca="false">0</f>
        <v>0</v>
      </c>
      <c r="G21" s="13" t="n">
        <f aca="false">MIN(F$22,G$20)</f>
        <v>0</v>
      </c>
      <c r="H21" s="13" t="n">
        <f aca="false">MIN(G$22,H$20)</f>
        <v>0</v>
      </c>
      <c r="I21" s="13" t="n">
        <f aca="false">MIN(H$22,I$20)</f>
        <v>0</v>
      </c>
      <c r="J21" s="13" t="n">
        <f aca="false">MIN(I$22,J$20)</f>
        <v>0</v>
      </c>
      <c r="K21" s="13" t="n">
        <f aca="false">MIN(J$22,K$20)</f>
        <v>0</v>
      </c>
      <c r="L21" s="13" t="n">
        <f aca="false">MIN(K$22,L$20)</f>
        <v>0</v>
      </c>
      <c r="M21" s="13" t="n">
        <f aca="false">MIN(L$22,M$20)</f>
        <v>0</v>
      </c>
      <c r="N21" s="13" t="n">
        <f aca="false">MIN(M$22,N$20)</f>
        <v>0</v>
      </c>
      <c r="O21" s="13" t="n">
        <f aca="false">MIN(N$22,O$20)</f>
        <v>0</v>
      </c>
      <c r="P21" s="13" t="n">
        <f aca="false">MIN(O$22,P$20)</f>
        <v>0</v>
      </c>
      <c r="Q21" s="13" t="n">
        <f aca="false">MIN(P$22,Q$20)</f>
        <v>0</v>
      </c>
      <c r="R21" s="13" t="n">
        <f aca="false">MIN(Q$22,R$20)</f>
        <v>0</v>
      </c>
      <c r="S21" s="13" t="n">
        <f aca="false">MIN(R$22,S$20)</f>
        <v>0</v>
      </c>
      <c r="T21" s="13" t="n">
        <f aca="false">MIN(S$22,T$20)</f>
        <v>0</v>
      </c>
      <c r="U21" s="13" t="n">
        <f aca="false">MIN(T$22,U$20)</f>
        <v>0</v>
      </c>
      <c r="V21" s="13" t="n">
        <f aca="false">MIN(U$22,V$20)</f>
        <v>0</v>
      </c>
      <c r="W21" s="13" t="n">
        <f aca="false">MIN(V$22,W$20)</f>
        <v>0</v>
      </c>
      <c r="X21" s="13" t="n">
        <f aca="false">MIN(W$22,X$20)</f>
        <v>0</v>
      </c>
      <c r="Y21" s="13" t="n">
        <f aca="false">MIN(X$22,Y$20)</f>
        <v>0</v>
      </c>
      <c r="Z21" s="13" t="n">
        <f aca="false">MIN(Y$22,Z$20)</f>
        <v>0</v>
      </c>
      <c r="AA21" s="13" t="n">
        <f aca="false">MIN(Z$22,AA$20)</f>
        <v>0</v>
      </c>
      <c r="AB21" s="13" t="n">
        <f aca="false">MIN(AA$22,AB$20)</f>
        <v>0</v>
      </c>
      <c r="AC21" s="13" t="n">
        <f aca="false">MIN(AB$22,AC$20)</f>
        <v>0</v>
      </c>
      <c r="AD21" s="13" t="n">
        <f aca="false">MIN(AC$22,AD$20)</f>
        <v>0</v>
      </c>
      <c r="AE21" s="13" t="n">
        <f aca="false">MIN(AD$22,AE$20)</f>
        <v>0</v>
      </c>
      <c r="AF21" s="13" t="n">
        <f aca="false">MIN(AE$22,AF$20)</f>
        <v>0</v>
      </c>
      <c r="AG21" s="13" t="n">
        <f aca="false">MIN(AF$22,AG$20)</f>
        <v>0</v>
      </c>
      <c r="AH21" s="13" t="n">
        <f aca="false">MIN(AG$22,AH$20)</f>
        <v>0</v>
      </c>
      <c r="AI21" s="13" t="n">
        <f aca="false">MIN(AH$22,AI$20)</f>
        <v>0</v>
      </c>
      <c r="AJ21" s="13" t="n">
        <f aca="false">MIN(AI$22,AJ$20)</f>
        <v>0</v>
      </c>
      <c r="AK21" s="13" t="n">
        <f aca="false">MIN(AJ$22,AK$20)</f>
        <v>0</v>
      </c>
      <c r="AL21" s="13" t="n">
        <f aca="false">MIN(AK$22,AL$20)</f>
        <v>0</v>
      </c>
      <c r="AM21" s="13" t="n">
        <f aca="false">MIN(AL$22,AM$20)</f>
        <v>0</v>
      </c>
      <c r="AN21" s="13" t="n">
        <f aca="false">MIN(AM$22,AN$20)</f>
        <v>0</v>
      </c>
      <c r="AO21" s="13" t="n">
        <f aca="false">MIN(AN$22,AO$20)</f>
        <v>0</v>
      </c>
      <c r="AP21" s="13" t="n">
        <f aca="false">MIN(AO$22,AP$20)</f>
        <v>0</v>
      </c>
      <c r="AQ21" s="13" t="n">
        <f aca="false">MIN(AP$22,AQ$20)</f>
        <v>0</v>
      </c>
      <c r="AR21" s="13" t="n">
        <f aca="false">MIN(AQ$22,AR$20)</f>
        <v>0</v>
      </c>
      <c r="AS21" s="13" t="n">
        <f aca="false">MIN(AR$22,AS$20)</f>
        <v>0</v>
      </c>
      <c r="AT21" s="13" t="n">
        <f aca="false">MIN(AS$22,AT$20)</f>
        <v>0</v>
      </c>
      <c r="AU21" s="13" t="n">
        <f aca="false">MIN(AT$22,AU$20)</f>
        <v>0</v>
      </c>
      <c r="AV21" s="13" t="n">
        <f aca="false">MIN(AU$22,AV$20)</f>
        <v>0</v>
      </c>
      <c r="AW21" s="13" t="n">
        <f aca="false">MIN(AV$22,AW$20)</f>
        <v>0</v>
      </c>
      <c r="AX21" s="13" t="n">
        <f aca="false">MIN(AW$22,AX$20)</f>
        <v>0</v>
      </c>
      <c r="AY21" s="13" t="n">
        <f aca="false">MIN(AX$22,AY$20)</f>
        <v>0</v>
      </c>
      <c r="AZ21" s="13" t="n">
        <f aca="false">MIN(AY$22,AZ$20)</f>
        <v>0</v>
      </c>
      <c r="BA21" s="13" t="n">
        <f aca="false">MIN(AZ$22,BA$20)</f>
        <v>0</v>
      </c>
      <c r="BB21" s="13" t="n">
        <f aca="false">MIN(BA$22,BB$20)</f>
        <v>0</v>
      </c>
      <c r="BC21" s="13" t="n">
        <f aca="false">MIN(BB$22,BC$20)</f>
        <v>0</v>
      </c>
      <c r="BD21" s="13" t="n">
        <f aca="false">MIN(BC$22,BD$20)</f>
        <v>0</v>
      </c>
      <c r="BE21" s="13" t="n">
        <f aca="false">MIN(BD$22,BE$20)</f>
        <v>0</v>
      </c>
      <c r="BF21" s="13" t="n">
        <f aca="false">MIN(BE$22,BF$20)</f>
        <v>0</v>
      </c>
      <c r="BG21" s="13" t="n">
        <f aca="false">MIN(BF$22,BG$20)</f>
        <v>0</v>
      </c>
      <c r="BH21" s="13" t="n">
        <f aca="false">MIN(BG$22,BH$20)</f>
        <v>0</v>
      </c>
      <c r="BI21" s="13" t="n">
        <f aca="false">MIN(BH$22,BI$20)</f>
        <v>0</v>
      </c>
      <c r="BJ21" s="13" t="n">
        <f aca="false">MIN(BI$22,BJ$20)</f>
        <v>0</v>
      </c>
      <c r="BK21" s="13" t="n">
        <f aca="false">MIN(BJ$22,BK$20)</f>
        <v>0</v>
      </c>
      <c r="BL21" s="13" t="n">
        <f aca="false">MIN(BK$22,BL$20)</f>
        <v>0</v>
      </c>
      <c r="BM21" s="13" t="n">
        <f aca="false">MIN(BL$22,BM$20)</f>
        <v>0</v>
      </c>
      <c r="BN21" s="13" t="n">
        <f aca="false">MIN(BM$22,BN$20)</f>
        <v>0</v>
      </c>
      <c r="BO21" s="13" t="n">
        <f aca="false">MIN(BN$22,BO$20)</f>
        <v>0</v>
      </c>
      <c r="BP21" s="13" t="n">
        <f aca="false">MIN(BO$22,BP$20)</f>
        <v>0</v>
      </c>
      <c r="BQ21" s="13" t="n">
        <f aca="false">MIN(BP$22,BQ$20)</f>
        <v>0</v>
      </c>
      <c r="BR21" s="13" t="n">
        <f aca="false">MIN(BQ$22,BR$20)</f>
        <v>0</v>
      </c>
      <c r="BS21" s="13" t="n">
        <f aca="false">MIN(BR$22,BS$20)</f>
        <v>0</v>
      </c>
      <c r="BT21" s="13" t="n">
        <f aca="false">MIN(BS$22,BT$20)</f>
        <v>0</v>
      </c>
      <c r="BU21" s="13" t="n">
        <f aca="false">MIN(BT$22,BU$20)</f>
        <v>0</v>
      </c>
      <c r="BV21" s="13" t="n">
        <f aca="false">MIN(BU$22,BV$20)</f>
        <v>0</v>
      </c>
      <c r="BW21" s="13" t="n">
        <f aca="false">MIN(BV$22,BW$20)</f>
        <v>0</v>
      </c>
      <c r="BX21" s="13" t="n">
        <f aca="false">MIN(BW$22,BX$20)</f>
        <v>0</v>
      </c>
      <c r="BY21" s="13" t="n">
        <f aca="false">MIN(BX$22,BY$20)</f>
        <v>0</v>
      </c>
      <c r="BZ21" s="13" t="n">
        <f aca="false">MIN(BY$22,BZ$20)</f>
        <v>0</v>
      </c>
      <c r="CA21" s="13" t="n">
        <f aca="false">MIN(BZ$22,CA$20)</f>
        <v>0</v>
      </c>
      <c r="CB21" s="13" t="n">
        <f aca="false">MIN(CA$22,CB$20)</f>
        <v>0</v>
      </c>
      <c r="CC21" s="13" t="n">
        <f aca="false">MIN(CB$22,CC$20)</f>
        <v>0</v>
      </c>
      <c r="CD21" s="13" t="n">
        <f aca="false">MIN(CC$22,CD$20)</f>
        <v>0</v>
      </c>
      <c r="CE21" s="13" t="n">
        <f aca="false">MIN(CD$22,CE$20)</f>
        <v>0</v>
      </c>
      <c r="CF21" s="13" t="n">
        <f aca="false">MIN(CE$22,CF$20)</f>
        <v>0</v>
      </c>
      <c r="CG21" s="13" t="n">
        <f aca="false">MIN(CF$22,CG$20)</f>
        <v>0</v>
      </c>
      <c r="CH21" s="13" t="n">
        <f aca="false">MIN(CG$22,CH$20)</f>
        <v>0</v>
      </c>
      <c r="CI21" s="13" t="n">
        <f aca="false">MIN(CH$22,CI$20)</f>
        <v>0</v>
      </c>
      <c r="CJ21" s="13" t="n">
        <f aca="false">MIN(CI$22,CJ$20)</f>
        <v>0</v>
      </c>
      <c r="CK21" s="13" t="n">
        <f aca="false">MIN(CJ$22,CK$20)</f>
        <v>0</v>
      </c>
      <c r="CL21" s="13" t="n">
        <f aca="false">MIN(CK$22,CL$20)</f>
        <v>0</v>
      </c>
      <c r="CM21" s="13" t="n">
        <f aca="false">MIN(CL$22,CM$20)</f>
        <v>0</v>
      </c>
      <c r="CN21" s="13" t="n">
        <f aca="false">MIN(CM$22,CN$20)</f>
        <v>0</v>
      </c>
      <c r="CO21" s="13" t="n">
        <f aca="false">MIN(CN$22,CO$20)</f>
        <v>0</v>
      </c>
      <c r="CP21" s="13" t="n">
        <f aca="false">MIN(CO$22,CP$20)</f>
        <v>0</v>
      </c>
      <c r="CQ21" s="13" t="n">
        <f aca="false">MIN(CP$22,CQ$20)</f>
        <v>0</v>
      </c>
      <c r="CR21" s="13" t="n">
        <f aca="false">MIN(CQ$22,CR$20)</f>
        <v>0</v>
      </c>
      <c r="CS21" s="13" t="n">
        <f aca="false">MIN(CR$22,CS$20)</f>
        <v>0</v>
      </c>
      <c r="CT21" s="13" t="n">
        <f aca="false">MIN(CS$22,CT$20)</f>
        <v>0</v>
      </c>
      <c r="CU21" s="13" t="n">
        <f aca="false">MIN(CT$22,CU$20)</f>
        <v>0</v>
      </c>
      <c r="CV21" s="13" t="n">
        <f aca="false">MIN(CU$22,CV$20)</f>
        <v>0</v>
      </c>
      <c r="CW21" s="13" t="n">
        <f aca="false">MIN(CV$22,CW$20)</f>
        <v>0</v>
      </c>
      <c r="CX21" s="13" t="n">
        <f aca="false">MIN(CW$22,CX$20)</f>
        <v>0</v>
      </c>
      <c r="CY21" s="13" t="n">
        <f aca="false">MIN(CX$22,CY$20)</f>
        <v>0</v>
      </c>
      <c r="CZ21" s="13" t="n">
        <f aca="false">MIN(CY$22,CZ$20)</f>
        <v>0</v>
      </c>
      <c r="DA21" s="13" t="n">
        <f aca="false">MIN(CZ$22,DA$20)</f>
        <v>0</v>
      </c>
      <c r="DB21" s="13" t="n">
        <f aca="false">MIN(DA$22,DB$20)</f>
        <v>0</v>
      </c>
      <c r="DC21" s="13" t="n">
        <f aca="false">MIN(DB$22,DC$20)</f>
        <v>0</v>
      </c>
      <c r="DD21" s="13" t="n">
        <f aca="false">MIN(DC$22,DD$20)</f>
        <v>0</v>
      </c>
      <c r="DE21" s="13" t="n">
        <f aca="false">MIN(DD$22,DE$20)</f>
        <v>0</v>
      </c>
      <c r="DF21" s="13" t="n">
        <f aca="false">MIN(DE$22,DF$20)</f>
        <v>0</v>
      </c>
      <c r="DG21" s="13" t="n">
        <f aca="false">MIN(DF$22,DG$20)</f>
        <v>0</v>
      </c>
      <c r="DH21" s="13" t="n">
        <f aca="false">MIN(DG$22,DH$20)</f>
        <v>0</v>
      </c>
      <c r="DI21" s="13" t="n">
        <f aca="false">MIN(DH$22,DI$20)</f>
        <v>0</v>
      </c>
      <c r="DJ21" s="13" t="n">
        <f aca="false">MIN(DI$22,DJ$20)</f>
        <v>0</v>
      </c>
      <c r="DK21" s="13" t="n">
        <f aca="false">MIN(DJ$22,DK$20)</f>
        <v>0</v>
      </c>
      <c r="DL21" s="13" t="n">
        <f aca="false">MIN(DK$22,DL$20)</f>
        <v>0</v>
      </c>
      <c r="DM21" s="13" t="n">
        <f aca="false">MIN(DL$22,DM$20)</f>
        <v>0</v>
      </c>
      <c r="DN21" s="13" t="n">
        <f aca="false">MIN(DM$22,DN$20)</f>
        <v>0</v>
      </c>
      <c r="DO21" s="13" t="n">
        <f aca="false">MIN(DN$22,DO$20)</f>
        <v>0</v>
      </c>
      <c r="DP21" s="13" t="n">
        <f aca="false">MIN(DO$22,DP$20)</f>
        <v>0</v>
      </c>
      <c r="DQ21" s="13" t="n">
        <f aca="false">MIN(DP$22,DQ$20)</f>
        <v>0</v>
      </c>
      <c r="DR21" s="13" t="n">
        <f aca="false">MIN(DQ$22,DR$20)</f>
        <v>0</v>
      </c>
      <c r="DS21" s="13" t="n">
        <f aca="false">MIN(DR$22,DS$20)</f>
        <v>0</v>
      </c>
      <c r="DT21" s="13" t="n">
        <f aca="false">MIN(DS$22,DT$20)</f>
        <v>0</v>
      </c>
      <c r="DU21" s="13" t="n">
        <f aca="false">MIN(DT$22,DU$20)</f>
        <v>0</v>
      </c>
      <c r="DV21" s="13" t="n">
        <f aca="false">MIN(DU$22,DV$20)</f>
        <v>0</v>
      </c>
      <c r="DW21" s="13" t="n">
        <f aca="false">MIN(DV$22,DW$20)</f>
        <v>0</v>
      </c>
      <c r="DX21" s="13" t="n">
        <f aca="false">MIN(DW$22,DX$20)</f>
        <v>0</v>
      </c>
      <c r="DY21" s="13" t="n">
        <f aca="false">MIN(DX$22,DY$20)</f>
        <v>0</v>
      </c>
      <c r="DZ21" s="13" t="n">
        <f aca="false">MIN(DY$22,DZ$20)</f>
        <v>0</v>
      </c>
      <c r="EA21" s="13" t="n">
        <f aca="false">MIN(DZ$22,EA$20)</f>
        <v>0</v>
      </c>
      <c r="EB21" s="13" t="n">
        <f aca="false">MIN(EA$22,EB$20)</f>
        <v>0</v>
      </c>
      <c r="EC21" s="13" t="n">
        <f aca="false">MIN(EB$22,EC$20)</f>
        <v>0</v>
      </c>
      <c r="ED21" s="13" t="n">
        <f aca="false">MIN(EC$22,ED$20)</f>
        <v>0</v>
      </c>
      <c r="EE21" s="13" t="n">
        <f aca="false">MIN(ED$22,EE$20)</f>
        <v>0</v>
      </c>
      <c r="EF21" s="13" t="n">
        <f aca="false">MIN(EE$22,EF$20)</f>
        <v>0</v>
      </c>
      <c r="EG21" s="13" t="n">
        <f aca="false">MIN(EF$22,EG$20)</f>
        <v>0</v>
      </c>
      <c r="EH21" s="13" t="n">
        <f aca="false">MIN(EG$22,EH$20)</f>
        <v>0</v>
      </c>
      <c r="EI21" s="13" t="n">
        <f aca="false">MIN(EH$22,EI$20)</f>
        <v>0</v>
      </c>
      <c r="EJ21" s="13" t="n">
        <f aca="false">MIN(EI$22,EJ$20)</f>
        <v>0</v>
      </c>
      <c r="EK21" s="13" t="n">
        <f aca="false">MIN(EJ$22,EK$20)</f>
        <v>0</v>
      </c>
      <c r="EL21" s="13" t="n">
        <f aca="false">MIN(EK$22,EL$20)</f>
        <v>0</v>
      </c>
      <c r="EM21" s="13" t="n">
        <f aca="false">MIN(EL$22,EM$20)</f>
        <v>0</v>
      </c>
      <c r="EN21" s="13" t="n">
        <f aca="false">MIN(EM$22,EN$20)</f>
        <v>0</v>
      </c>
      <c r="EO21" s="13" t="n">
        <f aca="false">MIN(EN$22,EO$20)</f>
        <v>0</v>
      </c>
      <c r="EP21" s="13" t="n">
        <f aca="false">MIN(EO$22,EP$20)</f>
        <v>0</v>
      </c>
      <c r="EQ21" s="13" t="n">
        <f aca="false">MIN(EP$22,EQ$20)</f>
        <v>0</v>
      </c>
      <c r="ER21" s="13" t="n">
        <f aca="false">MIN(EQ$22,ER$20)</f>
        <v>0</v>
      </c>
      <c r="ES21" s="13" t="n">
        <f aca="false">MIN(ER$22,ES$20)</f>
        <v>0</v>
      </c>
      <c r="ET21" s="13" t="n">
        <f aca="false">MIN(ES$22,ET$20)</f>
        <v>0</v>
      </c>
      <c r="EU21" s="13" t="n">
        <f aca="false">MIN(ET$22,EU$20)</f>
        <v>0</v>
      </c>
      <c r="EV21" s="13" t="n">
        <f aca="false">MIN(EU$22,EV$20)</f>
        <v>0</v>
      </c>
      <c r="EW21" s="13" t="n">
        <f aca="false">MIN(EV$22,EW$20)</f>
        <v>0</v>
      </c>
      <c r="EX21" s="13" t="n">
        <f aca="false">MIN(EW$22,EX$20)</f>
        <v>0</v>
      </c>
      <c r="EY21" s="13" t="n">
        <f aca="false">MIN(EX$22,EY$20)</f>
        <v>0</v>
      </c>
      <c r="EZ21" s="13" t="n">
        <f aca="false">MIN(EY$22,EZ$20)</f>
        <v>0</v>
      </c>
      <c r="FA21" s="13" t="n">
        <f aca="false">MIN(EZ$22,FA$20)</f>
        <v>0</v>
      </c>
      <c r="FB21" s="13" t="n">
        <f aca="false">MIN(FA$22,FB$20)</f>
        <v>0</v>
      </c>
      <c r="FC21" s="13" t="n">
        <f aca="false">MIN(FB$22,FC$20)</f>
        <v>0</v>
      </c>
      <c r="FD21" s="13" t="n">
        <f aca="false">MIN(FC$22,FD$20)</f>
        <v>0</v>
      </c>
      <c r="FE21" s="13" t="n">
        <f aca="false">MIN(FD$22,FE$20)</f>
        <v>0</v>
      </c>
      <c r="FF21" s="13" t="n">
        <f aca="false">MIN(FE$22,FF$20)</f>
        <v>0</v>
      </c>
    </row>
    <row r="22" customFormat="false" ht="15" hidden="false" customHeight="false" outlineLevel="0" collapsed="false">
      <c r="A22" s="2" t="s">
        <v>842</v>
      </c>
      <c r="B22" s="8" t="s">
        <v>843</v>
      </c>
      <c r="C22" s="8" t="s">
        <v>825</v>
      </c>
      <c r="E22" s="65" t="n">
        <f aca="false">INDEX($F22:$FF22,1,p_MesFin+1)</f>
        <v>0</v>
      </c>
      <c r="F22" s="13" t="n">
        <f aca="false">0+(F$18+F$19)*e_Recup-F$21</f>
        <v>0</v>
      </c>
      <c r="G22" s="13" t="n">
        <f aca="false">F$22+(G$18+G$19)*e_Recup-G$21</f>
        <v>0</v>
      </c>
      <c r="H22" s="13" t="n">
        <f aca="false">G$22+(H$18+H$19)*e_Recup-H$21</f>
        <v>0</v>
      </c>
      <c r="I22" s="13" t="n">
        <f aca="false">H$22+(I$18+I$19)*e_Recup-I$21</f>
        <v>0</v>
      </c>
      <c r="J22" s="13" t="n">
        <f aca="false">I$22+(J$18+J$19)*e_Recup-J$21</f>
        <v>0</v>
      </c>
      <c r="K22" s="13" t="n">
        <f aca="false">J$22+(K$18+K$19)*e_Recup-K$21</f>
        <v>0</v>
      </c>
      <c r="L22" s="13" t="n">
        <f aca="false">K$22+(L$18+L$19)*e_Recup-L$21</f>
        <v>0</v>
      </c>
      <c r="M22" s="13" t="n">
        <f aca="false">L$22+(M$18+M$19)*e_Recup-M$21</f>
        <v>0</v>
      </c>
      <c r="N22" s="13" t="n">
        <f aca="false">M$22+(N$18+N$19)*e_Recup-N$21</f>
        <v>0</v>
      </c>
      <c r="O22" s="13" t="n">
        <f aca="false">N$22+(O$18+O$19)*e_Recup-O$21</f>
        <v>0</v>
      </c>
      <c r="P22" s="13" t="n">
        <f aca="false">O$22+(P$18+P$19)*e_Recup-P$21</f>
        <v>0</v>
      </c>
      <c r="Q22" s="13" t="n">
        <f aca="false">P$22+(Q$18+Q$19)*e_Recup-Q$21</f>
        <v>0</v>
      </c>
      <c r="R22" s="13" t="n">
        <f aca="false">Q$22+(R$18+R$19)*e_Recup-R$21</f>
        <v>0</v>
      </c>
      <c r="S22" s="13" t="n">
        <f aca="false">R$22+(S$18+S$19)*e_Recup-S$21</f>
        <v>0</v>
      </c>
      <c r="T22" s="13" t="n">
        <f aca="false">S$22+(T$18+T$19)*e_Recup-T$21</f>
        <v>0</v>
      </c>
      <c r="U22" s="13" t="n">
        <f aca="false">T$22+(U$18+U$19)*e_Recup-U$21</f>
        <v>0</v>
      </c>
      <c r="V22" s="13" t="n">
        <f aca="false">U$22+(V$18+V$19)*e_Recup-V$21</f>
        <v>0</v>
      </c>
      <c r="W22" s="13" t="n">
        <f aca="false">V$22+(W$18+W$19)*e_Recup-W$21</f>
        <v>0</v>
      </c>
      <c r="X22" s="13" t="n">
        <f aca="false">W$22+(X$18+X$19)*e_Recup-X$21</f>
        <v>0</v>
      </c>
      <c r="Y22" s="13" t="n">
        <f aca="false">X$22+(Y$18+Y$19)*e_Recup-Y$21</f>
        <v>0</v>
      </c>
      <c r="Z22" s="13" t="n">
        <f aca="false">Y$22+(Z$18+Z$19)*e_Recup-Z$21</f>
        <v>0</v>
      </c>
      <c r="AA22" s="13" t="n">
        <f aca="false">Z$22+(AA$18+AA$19)*e_Recup-AA$21</f>
        <v>0</v>
      </c>
      <c r="AB22" s="13" t="n">
        <f aca="false">AA$22+(AB$18+AB$19)*e_Recup-AB$21</f>
        <v>0</v>
      </c>
      <c r="AC22" s="13" t="n">
        <f aca="false">AB$22+(AC$18+AC$19)*e_Recup-AC$21</f>
        <v>0</v>
      </c>
      <c r="AD22" s="13" t="n">
        <f aca="false">AC$22+(AD$18+AD$19)*e_Recup-AD$21</f>
        <v>0</v>
      </c>
      <c r="AE22" s="13" t="n">
        <f aca="false">AD$22+(AE$18+AE$19)*e_Recup-AE$21</f>
        <v>0</v>
      </c>
      <c r="AF22" s="13" t="n">
        <f aca="false">AE$22+(AF$18+AF$19)*e_Recup-AF$21</f>
        <v>0</v>
      </c>
      <c r="AG22" s="13" t="n">
        <f aca="false">AF$22+(AG$18+AG$19)*e_Recup-AG$21</f>
        <v>0</v>
      </c>
      <c r="AH22" s="13" t="n">
        <f aca="false">AG$22+(AH$18+AH$19)*e_Recup-AH$21</f>
        <v>0</v>
      </c>
      <c r="AI22" s="13" t="n">
        <f aca="false">AH$22+(AI$18+AI$19)*e_Recup-AI$21</f>
        <v>0</v>
      </c>
      <c r="AJ22" s="13" t="n">
        <f aca="false">AI$22+(AJ$18+AJ$19)*e_Recup-AJ$21</f>
        <v>0</v>
      </c>
      <c r="AK22" s="13" t="n">
        <f aca="false">AJ$22+(AK$18+AK$19)*e_Recup-AK$21</f>
        <v>0</v>
      </c>
      <c r="AL22" s="13" t="n">
        <f aca="false">AK$22+(AL$18+AL$19)*e_Recup-AL$21</f>
        <v>0</v>
      </c>
      <c r="AM22" s="13" t="n">
        <f aca="false">AL$22+(AM$18+AM$19)*e_Recup-AM$21</f>
        <v>0</v>
      </c>
      <c r="AN22" s="13" t="n">
        <f aca="false">AM$22+(AN$18+AN$19)*e_Recup-AN$21</f>
        <v>0</v>
      </c>
      <c r="AO22" s="13" t="n">
        <f aca="false">AN$22+(AO$18+AO$19)*e_Recup-AO$21</f>
        <v>0</v>
      </c>
      <c r="AP22" s="13" t="n">
        <f aca="false">AO$22+(AP$18+AP$19)*e_Recup-AP$21</f>
        <v>0</v>
      </c>
      <c r="AQ22" s="13" t="n">
        <f aca="false">AP$22+(AQ$18+AQ$19)*e_Recup-AQ$21</f>
        <v>0</v>
      </c>
      <c r="AR22" s="13" t="n">
        <f aca="false">AQ$22+(AR$18+AR$19)*e_Recup-AR$21</f>
        <v>0</v>
      </c>
      <c r="AS22" s="13" t="n">
        <f aca="false">AR$22+(AS$18+AS$19)*e_Recup-AS$21</f>
        <v>0</v>
      </c>
      <c r="AT22" s="13" t="n">
        <f aca="false">AS$22+(AT$18+AT$19)*e_Recup-AT$21</f>
        <v>0</v>
      </c>
      <c r="AU22" s="13" t="n">
        <f aca="false">AT$22+(AU$18+AU$19)*e_Recup-AU$21</f>
        <v>0</v>
      </c>
      <c r="AV22" s="13" t="n">
        <f aca="false">AU$22+(AV$18+AV$19)*e_Recup-AV$21</f>
        <v>0</v>
      </c>
      <c r="AW22" s="13" t="n">
        <f aca="false">AV$22+(AW$18+AW$19)*e_Recup-AW$21</f>
        <v>0</v>
      </c>
      <c r="AX22" s="13" t="n">
        <f aca="false">AW$22+(AX$18+AX$19)*e_Recup-AX$21</f>
        <v>0</v>
      </c>
      <c r="AY22" s="13" t="n">
        <f aca="false">AX$22+(AY$18+AY$19)*e_Recup-AY$21</f>
        <v>0</v>
      </c>
      <c r="AZ22" s="13" t="n">
        <f aca="false">AY$22+(AZ$18+AZ$19)*e_Recup-AZ$21</f>
        <v>0</v>
      </c>
      <c r="BA22" s="13" t="n">
        <f aca="false">AZ$22+(BA$18+BA$19)*e_Recup-BA$21</f>
        <v>0</v>
      </c>
      <c r="BB22" s="13" t="n">
        <f aca="false">BA$22+(BB$18+BB$19)*e_Recup-BB$21</f>
        <v>0</v>
      </c>
      <c r="BC22" s="13" t="n">
        <f aca="false">BB$22+(BC$18+BC$19)*e_Recup-BC$21</f>
        <v>0</v>
      </c>
      <c r="BD22" s="13" t="n">
        <f aca="false">BC$22+(BD$18+BD$19)*e_Recup-BD$21</f>
        <v>0</v>
      </c>
      <c r="BE22" s="13" t="n">
        <f aca="false">BD$22+(BE$18+BE$19)*e_Recup-BE$21</f>
        <v>0</v>
      </c>
      <c r="BF22" s="13" t="n">
        <f aca="false">BE$22+(BF$18+BF$19)*e_Recup-BF$21</f>
        <v>0</v>
      </c>
      <c r="BG22" s="13" t="n">
        <f aca="false">BF$22+(BG$18+BG$19)*e_Recup-BG$21</f>
        <v>0</v>
      </c>
      <c r="BH22" s="13" t="n">
        <f aca="false">BG$22+(BH$18+BH$19)*e_Recup-BH$21</f>
        <v>0</v>
      </c>
      <c r="BI22" s="13" t="n">
        <f aca="false">BH$22+(BI$18+BI$19)*e_Recup-BI$21</f>
        <v>0</v>
      </c>
      <c r="BJ22" s="13" t="n">
        <f aca="false">BI$22+(BJ$18+BJ$19)*e_Recup-BJ$21</f>
        <v>0</v>
      </c>
      <c r="BK22" s="13" t="n">
        <f aca="false">BJ$22+(BK$18+BK$19)*e_Recup-BK$21</f>
        <v>0</v>
      </c>
      <c r="BL22" s="13" t="n">
        <f aca="false">BK$22+(BL$18+BL$19)*e_Recup-BL$21</f>
        <v>0</v>
      </c>
      <c r="BM22" s="13" t="n">
        <f aca="false">BL$22+(BM$18+BM$19)*e_Recup-BM$21</f>
        <v>0</v>
      </c>
      <c r="BN22" s="13" t="n">
        <f aca="false">BM$22+(BN$18+BN$19)*e_Recup-BN$21</f>
        <v>0</v>
      </c>
      <c r="BO22" s="13" t="n">
        <f aca="false">BN$22+(BO$18+BO$19)*e_Recup-BO$21</f>
        <v>0</v>
      </c>
      <c r="BP22" s="13" t="n">
        <f aca="false">BO$22+(BP$18+BP$19)*e_Recup-BP$21</f>
        <v>0</v>
      </c>
      <c r="BQ22" s="13" t="n">
        <f aca="false">BP$22+(BQ$18+BQ$19)*e_Recup-BQ$21</f>
        <v>0</v>
      </c>
      <c r="BR22" s="13" t="n">
        <f aca="false">BQ$22+(BR$18+BR$19)*e_Recup-BR$21</f>
        <v>0</v>
      </c>
      <c r="BS22" s="13" t="n">
        <f aca="false">BR$22+(BS$18+BS$19)*e_Recup-BS$21</f>
        <v>0</v>
      </c>
      <c r="BT22" s="13" t="n">
        <f aca="false">BS$22+(BT$18+BT$19)*e_Recup-BT$21</f>
        <v>0</v>
      </c>
      <c r="BU22" s="13" t="n">
        <f aca="false">BT$22+(BU$18+BU$19)*e_Recup-BU$21</f>
        <v>0</v>
      </c>
      <c r="BV22" s="13" t="n">
        <f aca="false">BU$22+(BV$18+BV$19)*e_Recup-BV$21</f>
        <v>0</v>
      </c>
      <c r="BW22" s="13" t="n">
        <f aca="false">BV$22+(BW$18+BW$19)*e_Recup-BW$21</f>
        <v>0</v>
      </c>
      <c r="BX22" s="13" t="n">
        <f aca="false">BW$22+(BX$18+BX$19)*e_Recup-BX$21</f>
        <v>0</v>
      </c>
      <c r="BY22" s="13" t="n">
        <f aca="false">BX$22+(BY$18+BY$19)*e_Recup-BY$21</f>
        <v>0</v>
      </c>
      <c r="BZ22" s="13" t="n">
        <f aca="false">BY$22+(BZ$18+BZ$19)*e_Recup-BZ$21</f>
        <v>0</v>
      </c>
      <c r="CA22" s="13" t="n">
        <f aca="false">BZ$22+(CA$18+CA$19)*e_Recup-CA$21</f>
        <v>0</v>
      </c>
      <c r="CB22" s="13" t="n">
        <f aca="false">CA$22+(CB$18+CB$19)*e_Recup-CB$21</f>
        <v>0</v>
      </c>
      <c r="CC22" s="13" t="n">
        <f aca="false">CB$22+(CC$18+CC$19)*e_Recup-CC$21</f>
        <v>0</v>
      </c>
      <c r="CD22" s="13" t="n">
        <f aca="false">CC$22+(CD$18+CD$19)*e_Recup-CD$21</f>
        <v>0</v>
      </c>
      <c r="CE22" s="13" t="n">
        <f aca="false">CD$22+(CE$18+CE$19)*e_Recup-CE$21</f>
        <v>0</v>
      </c>
      <c r="CF22" s="13" t="n">
        <f aca="false">CE$22+(CF$18+CF$19)*e_Recup-CF$21</f>
        <v>0</v>
      </c>
      <c r="CG22" s="13" t="n">
        <f aca="false">CF$22+(CG$18+CG$19)*e_Recup-CG$21</f>
        <v>0</v>
      </c>
      <c r="CH22" s="13" t="n">
        <f aca="false">CG$22+(CH$18+CH$19)*e_Recup-CH$21</f>
        <v>0</v>
      </c>
      <c r="CI22" s="13" t="n">
        <f aca="false">CH$22+(CI$18+CI$19)*e_Recup-CI$21</f>
        <v>0</v>
      </c>
      <c r="CJ22" s="13" t="n">
        <f aca="false">CI$22+(CJ$18+CJ$19)*e_Recup-CJ$21</f>
        <v>0</v>
      </c>
      <c r="CK22" s="13" t="n">
        <f aca="false">CJ$22+(CK$18+CK$19)*e_Recup-CK$21</f>
        <v>0</v>
      </c>
      <c r="CL22" s="13" t="n">
        <f aca="false">CK$22+(CL$18+CL$19)*e_Recup-CL$21</f>
        <v>0</v>
      </c>
      <c r="CM22" s="13" t="n">
        <f aca="false">CL$22+(CM$18+CM$19)*e_Recup-CM$21</f>
        <v>0</v>
      </c>
      <c r="CN22" s="13" t="n">
        <f aca="false">CM$22+(CN$18+CN$19)*e_Recup-CN$21</f>
        <v>0</v>
      </c>
      <c r="CO22" s="13" t="n">
        <f aca="false">CN$22+(CO$18+CO$19)*e_Recup-CO$21</f>
        <v>0</v>
      </c>
      <c r="CP22" s="13" t="n">
        <f aca="false">CO$22+(CP$18+CP$19)*e_Recup-CP$21</f>
        <v>0</v>
      </c>
      <c r="CQ22" s="13" t="n">
        <f aca="false">CP$22+(CQ$18+CQ$19)*e_Recup-CQ$21</f>
        <v>0</v>
      </c>
      <c r="CR22" s="13" t="n">
        <f aca="false">CQ$22+(CR$18+CR$19)*e_Recup-CR$21</f>
        <v>0</v>
      </c>
      <c r="CS22" s="13" t="n">
        <f aca="false">CR$22+(CS$18+CS$19)*e_Recup-CS$21</f>
        <v>0</v>
      </c>
      <c r="CT22" s="13" t="n">
        <f aca="false">CS$22+(CT$18+CT$19)*e_Recup-CT$21</f>
        <v>0</v>
      </c>
      <c r="CU22" s="13" t="n">
        <f aca="false">CT$22+(CU$18+CU$19)*e_Recup-CU$21</f>
        <v>0</v>
      </c>
      <c r="CV22" s="13" t="n">
        <f aca="false">CU$22+(CV$18+CV$19)*e_Recup-CV$21</f>
        <v>0</v>
      </c>
      <c r="CW22" s="13" t="n">
        <f aca="false">CV$22+(CW$18+CW$19)*e_Recup-CW$21</f>
        <v>0</v>
      </c>
      <c r="CX22" s="13" t="n">
        <f aca="false">CW$22+(CX$18+CX$19)*e_Recup-CX$21</f>
        <v>0</v>
      </c>
      <c r="CY22" s="13" t="n">
        <f aca="false">CX$22+(CY$18+CY$19)*e_Recup-CY$21</f>
        <v>0</v>
      </c>
      <c r="CZ22" s="13" t="n">
        <f aca="false">CY$22+(CZ$18+CZ$19)*e_Recup-CZ$21</f>
        <v>0</v>
      </c>
      <c r="DA22" s="13" t="n">
        <f aca="false">CZ$22+(DA$18+DA$19)*e_Recup-DA$21</f>
        <v>0</v>
      </c>
      <c r="DB22" s="13" t="n">
        <f aca="false">DA$22+(DB$18+DB$19)*e_Recup-DB$21</f>
        <v>0</v>
      </c>
      <c r="DC22" s="13" t="n">
        <f aca="false">DB$22+(DC$18+DC$19)*e_Recup-DC$21</f>
        <v>0</v>
      </c>
      <c r="DD22" s="13" t="n">
        <f aca="false">DC$22+(DD$18+DD$19)*e_Recup-DD$21</f>
        <v>0</v>
      </c>
      <c r="DE22" s="13" t="n">
        <f aca="false">DD$22+(DE$18+DE$19)*e_Recup-DE$21</f>
        <v>0</v>
      </c>
      <c r="DF22" s="13" t="n">
        <f aca="false">DE$22+(DF$18+DF$19)*e_Recup-DF$21</f>
        <v>0</v>
      </c>
      <c r="DG22" s="13" t="n">
        <f aca="false">DF$22+(DG$18+DG$19)*e_Recup-DG$21</f>
        <v>0</v>
      </c>
      <c r="DH22" s="13" t="n">
        <f aca="false">DG$22+(DH$18+DH$19)*e_Recup-DH$21</f>
        <v>0</v>
      </c>
      <c r="DI22" s="13" t="n">
        <f aca="false">DH$22+(DI$18+DI$19)*e_Recup-DI$21</f>
        <v>0</v>
      </c>
      <c r="DJ22" s="13" t="n">
        <f aca="false">DI$22+(DJ$18+DJ$19)*e_Recup-DJ$21</f>
        <v>0</v>
      </c>
      <c r="DK22" s="13" t="n">
        <f aca="false">DJ$22+(DK$18+DK$19)*e_Recup-DK$21</f>
        <v>0</v>
      </c>
      <c r="DL22" s="13" t="n">
        <f aca="false">DK$22+(DL$18+DL$19)*e_Recup-DL$21</f>
        <v>0</v>
      </c>
      <c r="DM22" s="13" t="n">
        <f aca="false">DL$22+(DM$18+DM$19)*e_Recup-DM$21</f>
        <v>0</v>
      </c>
      <c r="DN22" s="13" t="n">
        <f aca="false">DM$22+(DN$18+DN$19)*e_Recup-DN$21</f>
        <v>0</v>
      </c>
      <c r="DO22" s="13" t="n">
        <f aca="false">DN$22+(DO$18+DO$19)*e_Recup-DO$21</f>
        <v>0</v>
      </c>
      <c r="DP22" s="13" t="n">
        <f aca="false">DO$22+(DP$18+DP$19)*e_Recup-DP$21</f>
        <v>0</v>
      </c>
      <c r="DQ22" s="13" t="n">
        <f aca="false">DP$22+(DQ$18+DQ$19)*e_Recup-DQ$21</f>
        <v>0</v>
      </c>
      <c r="DR22" s="13" t="n">
        <f aca="false">DQ$22+(DR$18+DR$19)*e_Recup-DR$21</f>
        <v>0</v>
      </c>
      <c r="DS22" s="13" t="n">
        <f aca="false">DR$22+(DS$18+DS$19)*e_Recup-DS$21</f>
        <v>0</v>
      </c>
      <c r="DT22" s="13" t="n">
        <f aca="false">DS$22+(DT$18+DT$19)*e_Recup-DT$21</f>
        <v>0</v>
      </c>
      <c r="DU22" s="13" t="n">
        <f aca="false">DT$22+(DU$18+DU$19)*e_Recup-DU$21</f>
        <v>0</v>
      </c>
      <c r="DV22" s="13" t="n">
        <f aca="false">DU$22+(DV$18+DV$19)*e_Recup-DV$21</f>
        <v>0</v>
      </c>
      <c r="DW22" s="13" t="n">
        <f aca="false">DV$22+(DW$18+DW$19)*e_Recup-DW$21</f>
        <v>0</v>
      </c>
      <c r="DX22" s="13" t="n">
        <f aca="false">DW$22+(DX$18+DX$19)*e_Recup-DX$21</f>
        <v>0</v>
      </c>
      <c r="DY22" s="13" t="n">
        <f aca="false">DX$22+(DY$18+DY$19)*e_Recup-DY$21</f>
        <v>0</v>
      </c>
      <c r="DZ22" s="13" t="n">
        <f aca="false">DY$22+(DZ$18+DZ$19)*e_Recup-DZ$21</f>
        <v>0</v>
      </c>
      <c r="EA22" s="13" t="n">
        <f aca="false">DZ$22+(EA$18+EA$19)*e_Recup-EA$21</f>
        <v>0</v>
      </c>
      <c r="EB22" s="13" t="n">
        <f aca="false">EA$22+(EB$18+EB$19)*e_Recup-EB$21</f>
        <v>0</v>
      </c>
      <c r="EC22" s="13" t="n">
        <f aca="false">EB$22+(EC$18+EC$19)*e_Recup-EC$21</f>
        <v>0</v>
      </c>
      <c r="ED22" s="13" t="n">
        <f aca="false">EC$22+(ED$18+ED$19)*e_Recup-ED$21</f>
        <v>0</v>
      </c>
      <c r="EE22" s="13" t="n">
        <f aca="false">ED$22+(EE$18+EE$19)*e_Recup-EE$21</f>
        <v>0</v>
      </c>
      <c r="EF22" s="13" t="n">
        <f aca="false">EE$22+(EF$18+EF$19)*e_Recup-EF$21</f>
        <v>0</v>
      </c>
      <c r="EG22" s="13" t="n">
        <f aca="false">EF$22+(EG$18+EG$19)*e_Recup-EG$21</f>
        <v>0</v>
      </c>
      <c r="EH22" s="13" t="n">
        <f aca="false">EG$22+(EH$18+EH$19)*e_Recup-EH$21</f>
        <v>0</v>
      </c>
      <c r="EI22" s="13" t="n">
        <f aca="false">EH$22+(EI$18+EI$19)*e_Recup-EI$21</f>
        <v>0</v>
      </c>
      <c r="EJ22" s="13" t="n">
        <f aca="false">EI$22+(EJ$18+EJ$19)*e_Recup-EJ$21</f>
        <v>0</v>
      </c>
      <c r="EK22" s="13" t="n">
        <f aca="false">EJ$22+(EK$18+EK$19)*e_Recup-EK$21</f>
        <v>0</v>
      </c>
      <c r="EL22" s="13" t="n">
        <f aca="false">EK$22+(EL$18+EL$19)*e_Recup-EL$21</f>
        <v>0</v>
      </c>
      <c r="EM22" s="13" t="n">
        <f aca="false">EL$22+(EM$18+EM$19)*e_Recup-EM$21</f>
        <v>0</v>
      </c>
      <c r="EN22" s="13" t="n">
        <f aca="false">EM$22+(EN$18+EN$19)*e_Recup-EN$21</f>
        <v>0</v>
      </c>
      <c r="EO22" s="13" t="n">
        <f aca="false">EN$22+(EO$18+EO$19)*e_Recup-EO$21</f>
        <v>0</v>
      </c>
      <c r="EP22" s="13" t="n">
        <f aca="false">EO$22+(EP$18+EP$19)*e_Recup-EP$21</f>
        <v>0</v>
      </c>
      <c r="EQ22" s="13" t="n">
        <f aca="false">EP$22+(EQ$18+EQ$19)*e_Recup-EQ$21</f>
        <v>0</v>
      </c>
      <c r="ER22" s="13" t="n">
        <f aca="false">EQ$22+(ER$18+ER$19)*e_Recup-ER$21</f>
        <v>0</v>
      </c>
      <c r="ES22" s="13" t="n">
        <f aca="false">ER$22+(ES$18+ES$19)*e_Recup-ES$21</f>
        <v>0</v>
      </c>
      <c r="ET22" s="13" t="n">
        <f aca="false">ES$22+(ET$18+ET$19)*e_Recup-ET$21</f>
        <v>0</v>
      </c>
      <c r="EU22" s="13" t="n">
        <f aca="false">ET$22+(EU$18+EU$19)*e_Recup-EU$21</f>
        <v>0</v>
      </c>
      <c r="EV22" s="13" t="n">
        <f aca="false">EU$22+(EV$18+EV$19)*e_Recup-EV$21</f>
        <v>0</v>
      </c>
      <c r="EW22" s="13" t="n">
        <f aca="false">EV$22+(EW$18+EW$19)*e_Recup-EW$21</f>
        <v>0</v>
      </c>
      <c r="EX22" s="13" t="n">
        <f aca="false">EW$22+(EX$18+EX$19)*e_Recup-EX$21</f>
        <v>0</v>
      </c>
      <c r="EY22" s="13" t="n">
        <f aca="false">EX$22+(EY$18+EY$19)*e_Recup-EY$21</f>
        <v>0</v>
      </c>
      <c r="EZ22" s="13" t="n">
        <f aca="false">EY$22+(EZ$18+EZ$19)*e_Recup-EZ$21</f>
        <v>0</v>
      </c>
      <c r="FA22" s="13" t="n">
        <f aca="false">EZ$22+(FA$18+FA$19)*e_Recup-FA$21</f>
        <v>0</v>
      </c>
      <c r="FB22" s="13" t="n">
        <f aca="false">FA$22+(FB$18+FB$19)*e_Recup-FB$21</f>
        <v>0</v>
      </c>
      <c r="FC22" s="13" t="n">
        <f aca="false">FB$22+(FC$18+FC$19)*e_Recup-FC$21</f>
        <v>0</v>
      </c>
      <c r="FD22" s="13" t="n">
        <f aca="false">FC$22+(FD$18+FD$19)*e_Recup-FD$21</f>
        <v>0</v>
      </c>
      <c r="FE22" s="13" t="n">
        <f aca="false">FD$22+(FE$18+FE$19)*e_Recup-FE$21</f>
        <v>0</v>
      </c>
      <c r="FF22" s="13" t="n">
        <f aca="false">FE$22+(FF$18+FF$19)*e_Recup-FF$21</f>
        <v>0</v>
      </c>
    </row>
    <row r="23" customFormat="false" ht="15" hidden="false" customHeight="false" outlineLevel="0" collapsed="false">
      <c r="A23" s="2" t="s">
        <v>844</v>
      </c>
      <c r="B23" s="8" t="s">
        <v>845</v>
      </c>
      <c r="C23" s="8" t="s">
        <v>825</v>
      </c>
      <c r="E23" s="65" t="n">
        <f aca="false">SUM($F23:$FF23)</f>
        <v>0</v>
      </c>
      <c r="F23" s="13" t="n">
        <f aca="false">(F$18+F$19)*(1-e_Recup)</f>
        <v>0</v>
      </c>
      <c r="G23" s="13" t="n">
        <f aca="false">(G$18+G$19)*(1-e_Recup)</f>
        <v>0</v>
      </c>
      <c r="H23" s="13" t="n">
        <f aca="false">(H$18+H$19)*(1-e_Recup)</f>
        <v>0</v>
      </c>
      <c r="I23" s="13" t="n">
        <f aca="false">(I$18+I$19)*(1-e_Recup)</f>
        <v>0</v>
      </c>
      <c r="J23" s="13" t="n">
        <f aca="false">(J$18+J$19)*(1-e_Recup)</f>
        <v>0</v>
      </c>
      <c r="K23" s="13" t="n">
        <f aca="false">(K$18+K$19)*(1-e_Recup)</f>
        <v>0</v>
      </c>
      <c r="L23" s="13" t="n">
        <f aca="false">(L$18+L$19)*(1-e_Recup)</f>
        <v>0</v>
      </c>
      <c r="M23" s="13" t="n">
        <f aca="false">(M$18+M$19)*(1-e_Recup)</f>
        <v>0</v>
      </c>
      <c r="N23" s="13" t="n">
        <f aca="false">(N$18+N$19)*(1-e_Recup)</f>
        <v>0</v>
      </c>
      <c r="O23" s="13" t="n">
        <f aca="false">(O$18+O$19)*(1-e_Recup)</f>
        <v>0</v>
      </c>
      <c r="P23" s="13" t="n">
        <f aca="false">(P$18+P$19)*(1-e_Recup)</f>
        <v>0</v>
      </c>
      <c r="Q23" s="13" t="n">
        <f aca="false">(Q$18+Q$19)*(1-e_Recup)</f>
        <v>0</v>
      </c>
      <c r="R23" s="13" t="n">
        <f aca="false">(R$18+R$19)*(1-e_Recup)</f>
        <v>0</v>
      </c>
      <c r="S23" s="13" t="n">
        <f aca="false">(S$18+S$19)*(1-e_Recup)</f>
        <v>0</v>
      </c>
      <c r="T23" s="13" t="n">
        <f aca="false">(T$18+T$19)*(1-e_Recup)</f>
        <v>0</v>
      </c>
      <c r="U23" s="13" t="n">
        <f aca="false">(U$18+U$19)*(1-e_Recup)</f>
        <v>0</v>
      </c>
      <c r="V23" s="13" t="n">
        <f aca="false">(V$18+V$19)*(1-e_Recup)</f>
        <v>0</v>
      </c>
      <c r="W23" s="13" t="n">
        <f aca="false">(W$18+W$19)*(1-e_Recup)</f>
        <v>0</v>
      </c>
      <c r="X23" s="13" t="n">
        <f aca="false">(X$18+X$19)*(1-e_Recup)</f>
        <v>0</v>
      </c>
      <c r="Y23" s="13" t="n">
        <f aca="false">(Y$18+Y$19)*(1-e_Recup)</f>
        <v>0</v>
      </c>
      <c r="Z23" s="13" t="n">
        <f aca="false">(Z$18+Z$19)*(1-e_Recup)</f>
        <v>0</v>
      </c>
      <c r="AA23" s="13" t="n">
        <f aca="false">(AA$18+AA$19)*(1-e_Recup)</f>
        <v>0</v>
      </c>
      <c r="AB23" s="13" t="n">
        <f aca="false">(AB$18+AB$19)*(1-e_Recup)</f>
        <v>0</v>
      </c>
      <c r="AC23" s="13" t="n">
        <f aca="false">(AC$18+AC$19)*(1-e_Recup)</f>
        <v>0</v>
      </c>
      <c r="AD23" s="13" t="n">
        <f aca="false">(AD$18+AD$19)*(1-e_Recup)</f>
        <v>0</v>
      </c>
      <c r="AE23" s="13" t="n">
        <f aca="false">(AE$18+AE$19)*(1-e_Recup)</f>
        <v>0</v>
      </c>
      <c r="AF23" s="13" t="n">
        <f aca="false">(AF$18+AF$19)*(1-e_Recup)</f>
        <v>0</v>
      </c>
      <c r="AG23" s="13" t="n">
        <f aca="false">(AG$18+AG$19)*(1-e_Recup)</f>
        <v>0</v>
      </c>
      <c r="AH23" s="13" t="n">
        <f aca="false">(AH$18+AH$19)*(1-e_Recup)</f>
        <v>0</v>
      </c>
      <c r="AI23" s="13" t="n">
        <f aca="false">(AI$18+AI$19)*(1-e_Recup)</f>
        <v>0</v>
      </c>
      <c r="AJ23" s="13" t="n">
        <f aca="false">(AJ$18+AJ$19)*(1-e_Recup)</f>
        <v>0</v>
      </c>
      <c r="AK23" s="13" t="n">
        <f aca="false">(AK$18+AK$19)*(1-e_Recup)</f>
        <v>0</v>
      </c>
      <c r="AL23" s="13" t="n">
        <f aca="false">(AL$18+AL$19)*(1-e_Recup)</f>
        <v>0</v>
      </c>
      <c r="AM23" s="13" t="n">
        <f aca="false">(AM$18+AM$19)*(1-e_Recup)</f>
        <v>0</v>
      </c>
      <c r="AN23" s="13" t="n">
        <f aca="false">(AN$18+AN$19)*(1-e_Recup)</f>
        <v>0</v>
      </c>
      <c r="AO23" s="13" t="n">
        <f aca="false">(AO$18+AO$19)*(1-e_Recup)</f>
        <v>0</v>
      </c>
      <c r="AP23" s="13" t="n">
        <f aca="false">(AP$18+AP$19)*(1-e_Recup)</f>
        <v>0</v>
      </c>
      <c r="AQ23" s="13" t="n">
        <f aca="false">(AQ$18+AQ$19)*(1-e_Recup)</f>
        <v>0</v>
      </c>
      <c r="AR23" s="13" t="n">
        <f aca="false">(AR$18+AR$19)*(1-e_Recup)</f>
        <v>0</v>
      </c>
      <c r="AS23" s="13" t="n">
        <f aca="false">(AS$18+AS$19)*(1-e_Recup)</f>
        <v>0</v>
      </c>
      <c r="AT23" s="13" t="n">
        <f aca="false">(AT$18+AT$19)*(1-e_Recup)</f>
        <v>0</v>
      </c>
      <c r="AU23" s="13" t="n">
        <f aca="false">(AU$18+AU$19)*(1-e_Recup)</f>
        <v>0</v>
      </c>
      <c r="AV23" s="13" t="n">
        <f aca="false">(AV$18+AV$19)*(1-e_Recup)</f>
        <v>0</v>
      </c>
      <c r="AW23" s="13" t="n">
        <f aca="false">(AW$18+AW$19)*(1-e_Recup)</f>
        <v>0</v>
      </c>
      <c r="AX23" s="13" t="n">
        <f aca="false">(AX$18+AX$19)*(1-e_Recup)</f>
        <v>0</v>
      </c>
      <c r="AY23" s="13" t="n">
        <f aca="false">(AY$18+AY$19)*(1-e_Recup)</f>
        <v>0</v>
      </c>
      <c r="AZ23" s="13" t="n">
        <f aca="false">(AZ$18+AZ$19)*(1-e_Recup)</f>
        <v>0</v>
      </c>
      <c r="BA23" s="13" t="n">
        <f aca="false">(BA$18+BA$19)*(1-e_Recup)</f>
        <v>0</v>
      </c>
      <c r="BB23" s="13" t="n">
        <f aca="false">(BB$18+BB$19)*(1-e_Recup)</f>
        <v>0</v>
      </c>
      <c r="BC23" s="13" t="n">
        <f aca="false">(BC$18+BC$19)*(1-e_Recup)</f>
        <v>0</v>
      </c>
      <c r="BD23" s="13" t="n">
        <f aca="false">(BD$18+BD$19)*(1-e_Recup)</f>
        <v>0</v>
      </c>
      <c r="BE23" s="13" t="n">
        <f aca="false">(BE$18+BE$19)*(1-e_Recup)</f>
        <v>0</v>
      </c>
      <c r="BF23" s="13" t="n">
        <f aca="false">(BF$18+BF$19)*(1-e_Recup)</f>
        <v>0</v>
      </c>
      <c r="BG23" s="13" t="n">
        <f aca="false">(BG$18+BG$19)*(1-e_Recup)</f>
        <v>0</v>
      </c>
      <c r="BH23" s="13" t="n">
        <f aca="false">(BH$18+BH$19)*(1-e_Recup)</f>
        <v>0</v>
      </c>
      <c r="BI23" s="13" t="n">
        <f aca="false">(BI$18+BI$19)*(1-e_Recup)</f>
        <v>0</v>
      </c>
      <c r="BJ23" s="13" t="n">
        <f aca="false">(BJ$18+BJ$19)*(1-e_Recup)</f>
        <v>0</v>
      </c>
      <c r="BK23" s="13" t="n">
        <f aca="false">(BK$18+BK$19)*(1-e_Recup)</f>
        <v>0</v>
      </c>
      <c r="BL23" s="13" t="n">
        <f aca="false">(BL$18+BL$19)*(1-e_Recup)</f>
        <v>0</v>
      </c>
      <c r="BM23" s="13" t="n">
        <f aca="false">(BM$18+BM$19)*(1-e_Recup)</f>
        <v>0</v>
      </c>
      <c r="BN23" s="13" t="n">
        <f aca="false">(BN$18+BN$19)*(1-e_Recup)</f>
        <v>0</v>
      </c>
      <c r="BO23" s="13" t="n">
        <f aca="false">(BO$18+BO$19)*(1-e_Recup)</f>
        <v>0</v>
      </c>
      <c r="BP23" s="13" t="n">
        <f aca="false">(BP$18+BP$19)*(1-e_Recup)</f>
        <v>0</v>
      </c>
      <c r="BQ23" s="13" t="n">
        <f aca="false">(BQ$18+BQ$19)*(1-e_Recup)</f>
        <v>0</v>
      </c>
      <c r="BR23" s="13" t="n">
        <f aca="false">(BR$18+BR$19)*(1-e_Recup)</f>
        <v>0</v>
      </c>
      <c r="BS23" s="13" t="n">
        <f aca="false">(BS$18+BS$19)*(1-e_Recup)</f>
        <v>0</v>
      </c>
      <c r="BT23" s="13" t="n">
        <f aca="false">(BT$18+BT$19)*(1-e_Recup)</f>
        <v>0</v>
      </c>
      <c r="BU23" s="13" t="n">
        <f aca="false">(BU$18+BU$19)*(1-e_Recup)</f>
        <v>0</v>
      </c>
      <c r="BV23" s="13" t="n">
        <f aca="false">(BV$18+BV$19)*(1-e_Recup)</f>
        <v>0</v>
      </c>
      <c r="BW23" s="13" t="n">
        <f aca="false">(BW$18+BW$19)*(1-e_Recup)</f>
        <v>0</v>
      </c>
      <c r="BX23" s="13" t="n">
        <f aca="false">(BX$18+BX$19)*(1-e_Recup)</f>
        <v>0</v>
      </c>
      <c r="BY23" s="13" t="n">
        <f aca="false">(BY$18+BY$19)*(1-e_Recup)</f>
        <v>0</v>
      </c>
      <c r="BZ23" s="13" t="n">
        <f aca="false">(BZ$18+BZ$19)*(1-e_Recup)</f>
        <v>0</v>
      </c>
      <c r="CA23" s="13" t="n">
        <f aca="false">(CA$18+CA$19)*(1-e_Recup)</f>
        <v>0</v>
      </c>
      <c r="CB23" s="13" t="n">
        <f aca="false">(CB$18+CB$19)*(1-e_Recup)</f>
        <v>0</v>
      </c>
      <c r="CC23" s="13" t="n">
        <f aca="false">(CC$18+CC$19)*(1-e_Recup)</f>
        <v>0</v>
      </c>
      <c r="CD23" s="13" t="n">
        <f aca="false">(CD$18+CD$19)*(1-e_Recup)</f>
        <v>0</v>
      </c>
      <c r="CE23" s="13" t="n">
        <f aca="false">(CE$18+CE$19)*(1-e_Recup)</f>
        <v>0</v>
      </c>
      <c r="CF23" s="13" t="n">
        <f aca="false">(CF$18+CF$19)*(1-e_Recup)</f>
        <v>0</v>
      </c>
      <c r="CG23" s="13" t="n">
        <f aca="false">(CG$18+CG$19)*(1-e_Recup)</f>
        <v>0</v>
      </c>
      <c r="CH23" s="13" t="n">
        <f aca="false">(CH$18+CH$19)*(1-e_Recup)</f>
        <v>0</v>
      </c>
      <c r="CI23" s="13" t="n">
        <f aca="false">(CI$18+CI$19)*(1-e_Recup)</f>
        <v>0</v>
      </c>
      <c r="CJ23" s="13" t="n">
        <f aca="false">(CJ$18+CJ$19)*(1-e_Recup)</f>
        <v>0</v>
      </c>
      <c r="CK23" s="13" t="n">
        <f aca="false">(CK$18+CK$19)*(1-e_Recup)</f>
        <v>0</v>
      </c>
      <c r="CL23" s="13" t="n">
        <f aca="false">(CL$18+CL$19)*(1-e_Recup)</f>
        <v>0</v>
      </c>
      <c r="CM23" s="13" t="n">
        <f aca="false">(CM$18+CM$19)*(1-e_Recup)</f>
        <v>0</v>
      </c>
      <c r="CN23" s="13" t="n">
        <f aca="false">(CN$18+CN$19)*(1-e_Recup)</f>
        <v>0</v>
      </c>
      <c r="CO23" s="13" t="n">
        <f aca="false">(CO$18+CO$19)*(1-e_Recup)</f>
        <v>0</v>
      </c>
      <c r="CP23" s="13" t="n">
        <f aca="false">(CP$18+CP$19)*(1-e_Recup)</f>
        <v>0</v>
      </c>
      <c r="CQ23" s="13" t="n">
        <f aca="false">(CQ$18+CQ$19)*(1-e_Recup)</f>
        <v>0</v>
      </c>
      <c r="CR23" s="13" t="n">
        <f aca="false">(CR$18+CR$19)*(1-e_Recup)</f>
        <v>0</v>
      </c>
      <c r="CS23" s="13" t="n">
        <f aca="false">(CS$18+CS$19)*(1-e_Recup)</f>
        <v>0</v>
      </c>
      <c r="CT23" s="13" t="n">
        <f aca="false">(CT$18+CT$19)*(1-e_Recup)</f>
        <v>0</v>
      </c>
      <c r="CU23" s="13" t="n">
        <f aca="false">(CU$18+CU$19)*(1-e_Recup)</f>
        <v>0</v>
      </c>
      <c r="CV23" s="13" t="n">
        <f aca="false">(CV$18+CV$19)*(1-e_Recup)</f>
        <v>0</v>
      </c>
      <c r="CW23" s="13" t="n">
        <f aca="false">(CW$18+CW$19)*(1-e_Recup)</f>
        <v>0</v>
      </c>
      <c r="CX23" s="13" t="n">
        <f aca="false">(CX$18+CX$19)*(1-e_Recup)</f>
        <v>0</v>
      </c>
      <c r="CY23" s="13" t="n">
        <f aca="false">(CY$18+CY$19)*(1-e_Recup)</f>
        <v>0</v>
      </c>
      <c r="CZ23" s="13" t="n">
        <f aca="false">(CZ$18+CZ$19)*(1-e_Recup)</f>
        <v>0</v>
      </c>
      <c r="DA23" s="13" t="n">
        <f aca="false">(DA$18+DA$19)*(1-e_Recup)</f>
        <v>0</v>
      </c>
      <c r="DB23" s="13" t="n">
        <f aca="false">(DB$18+DB$19)*(1-e_Recup)</f>
        <v>0</v>
      </c>
      <c r="DC23" s="13" t="n">
        <f aca="false">(DC$18+DC$19)*(1-e_Recup)</f>
        <v>0</v>
      </c>
      <c r="DD23" s="13" t="n">
        <f aca="false">(DD$18+DD$19)*(1-e_Recup)</f>
        <v>0</v>
      </c>
      <c r="DE23" s="13" t="n">
        <f aca="false">(DE$18+DE$19)*(1-e_Recup)</f>
        <v>0</v>
      </c>
      <c r="DF23" s="13" t="n">
        <f aca="false">(DF$18+DF$19)*(1-e_Recup)</f>
        <v>0</v>
      </c>
      <c r="DG23" s="13" t="n">
        <f aca="false">(DG$18+DG$19)*(1-e_Recup)</f>
        <v>0</v>
      </c>
      <c r="DH23" s="13" t="n">
        <f aca="false">(DH$18+DH$19)*(1-e_Recup)</f>
        <v>0</v>
      </c>
      <c r="DI23" s="13" t="n">
        <f aca="false">(DI$18+DI$19)*(1-e_Recup)</f>
        <v>0</v>
      </c>
      <c r="DJ23" s="13" t="n">
        <f aca="false">(DJ$18+DJ$19)*(1-e_Recup)</f>
        <v>0</v>
      </c>
      <c r="DK23" s="13" t="n">
        <f aca="false">(DK$18+DK$19)*(1-e_Recup)</f>
        <v>0</v>
      </c>
      <c r="DL23" s="13" t="n">
        <f aca="false">(DL$18+DL$19)*(1-e_Recup)</f>
        <v>0</v>
      </c>
      <c r="DM23" s="13" t="n">
        <f aca="false">(DM$18+DM$19)*(1-e_Recup)</f>
        <v>0</v>
      </c>
      <c r="DN23" s="13" t="n">
        <f aca="false">(DN$18+DN$19)*(1-e_Recup)</f>
        <v>0</v>
      </c>
      <c r="DO23" s="13" t="n">
        <f aca="false">(DO$18+DO$19)*(1-e_Recup)</f>
        <v>0</v>
      </c>
      <c r="DP23" s="13" t="n">
        <f aca="false">(DP$18+DP$19)*(1-e_Recup)</f>
        <v>0</v>
      </c>
      <c r="DQ23" s="13" t="n">
        <f aca="false">(DQ$18+DQ$19)*(1-e_Recup)</f>
        <v>0</v>
      </c>
      <c r="DR23" s="13" t="n">
        <f aca="false">(DR$18+DR$19)*(1-e_Recup)</f>
        <v>0</v>
      </c>
      <c r="DS23" s="13" t="n">
        <f aca="false">(DS$18+DS$19)*(1-e_Recup)</f>
        <v>0</v>
      </c>
      <c r="DT23" s="13" t="n">
        <f aca="false">(DT$18+DT$19)*(1-e_Recup)</f>
        <v>0</v>
      </c>
      <c r="DU23" s="13" t="n">
        <f aca="false">(DU$18+DU$19)*(1-e_Recup)</f>
        <v>0</v>
      </c>
      <c r="DV23" s="13" t="n">
        <f aca="false">(DV$18+DV$19)*(1-e_Recup)</f>
        <v>0</v>
      </c>
      <c r="DW23" s="13" t="n">
        <f aca="false">(DW$18+DW$19)*(1-e_Recup)</f>
        <v>0</v>
      </c>
      <c r="DX23" s="13" t="n">
        <f aca="false">(DX$18+DX$19)*(1-e_Recup)</f>
        <v>0</v>
      </c>
      <c r="DY23" s="13" t="n">
        <f aca="false">(DY$18+DY$19)*(1-e_Recup)</f>
        <v>0</v>
      </c>
      <c r="DZ23" s="13" t="n">
        <f aca="false">(DZ$18+DZ$19)*(1-e_Recup)</f>
        <v>0</v>
      </c>
      <c r="EA23" s="13" t="n">
        <f aca="false">(EA$18+EA$19)*(1-e_Recup)</f>
        <v>0</v>
      </c>
      <c r="EB23" s="13" t="n">
        <f aca="false">(EB$18+EB$19)*(1-e_Recup)</f>
        <v>0</v>
      </c>
      <c r="EC23" s="13" t="n">
        <f aca="false">(EC$18+EC$19)*(1-e_Recup)</f>
        <v>0</v>
      </c>
      <c r="ED23" s="13" t="n">
        <f aca="false">(ED$18+ED$19)*(1-e_Recup)</f>
        <v>0</v>
      </c>
      <c r="EE23" s="13" t="n">
        <f aca="false">(EE$18+EE$19)*(1-e_Recup)</f>
        <v>0</v>
      </c>
      <c r="EF23" s="13" t="n">
        <f aca="false">(EF$18+EF$19)*(1-e_Recup)</f>
        <v>0</v>
      </c>
      <c r="EG23" s="13" t="n">
        <f aca="false">(EG$18+EG$19)*(1-e_Recup)</f>
        <v>0</v>
      </c>
      <c r="EH23" s="13" t="n">
        <f aca="false">(EH$18+EH$19)*(1-e_Recup)</f>
        <v>0</v>
      </c>
      <c r="EI23" s="13" t="n">
        <f aca="false">(EI$18+EI$19)*(1-e_Recup)</f>
        <v>0</v>
      </c>
      <c r="EJ23" s="13" t="n">
        <f aca="false">(EJ$18+EJ$19)*(1-e_Recup)</f>
        <v>0</v>
      </c>
      <c r="EK23" s="13" t="n">
        <f aca="false">(EK$18+EK$19)*(1-e_Recup)</f>
        <v>0</v>
      </c>
      <c r="EL23" s="13" t="n">
        <f aca="false">(EL$18+EL$19)*(1-e_Recup)</f>
        <v>0</v>
      </c>
      <c r="EM23" s="13" t="n">
        <f aca="false">(EM$18+EM$19)*(1-e_Recup)</f>
        <v>0</v>
      </c>
      <c r="EN23" s="13" t="n">
        <f aca="false">(EN$18+EN$19)*(1-e_Recup)</f>
        <v>0</v>
      </c>
      <c r="EO23" s="13" t="n">
        <f aca="false">(EO$18+EO$19)*(1-e_Recup)</f>
        <v>0</v>
      </c>
      <c r="EP23" s="13" t="n">
        <f aca="false">(EP$18+EP$19)*(1-e_Recup)</f>
        <v>0</v>
      </c>
      <c r="EQ23" s="13" t="n">
        <f aca="false">(EQ$18+EQ$19)*(1-e_Recup)</f>
        <v>0</v>
      </c>
      <c r="ER23" s="13" t="n">
        <f aca="false">(ER$18+ER$19)*(1-e_Recup)</f>
        <v>0</v>
      </c>
      <c r="ES23" s="13" t="n">
        <f aca="false">(ES$18+ES$19)*(1-e_Recup)</f>
        <v>0</v>
      </c>
      <c r="ET23" s="13" t="n">
        <f aca="false">(ET$18+ET$19)*(1-e_Recup)</f>
        <v>0</v>
      </c>
      <c r="EU23" s="13" t="n">
        <f aca="false">(EU$18+EU$19)*(1-e_Recup)</f>
        <v>0</v>
      </c>
      <c r="EV23" s="13" t="n">
        <f aca="false">(EV$18+EV$19)*(1-e_Recup)</f>
        <v>0</v>
      </c>
      <c r="EW23" s="13" t="n">
        <f aca="false">(EW$18+EW$19)*(1-e_Recup)</f>
        <v>0</v>
      </c>
      <c r="EX23" s="13" t="n">
        <f aca="false">(EX$18+EX$19)*(1-e_Recup)</f>
        <v>0</v>
      </c>
      <c r="EY23" s="13" t="n">
        <f aca="false">(EY$18+EY$19)*(1-e_Recup)</f>
        <v>0</v>
      </c>
      <c r="EZ23" s="13" t="n">
        <f aca="false">(EZ$18+EZ$19)*(1-e_Recup)</f>
        <v>0</v>
      </c>
      <c r="FA23" s="13" t="n">
        <f aca="false">(FA$18+FA$19)*(1-e_Recup)</f>
        <v>0</v>
      </c>
      <c r="FB23" s="13" t="n">
        <f aca="false">(FB$18+FB$19)*(1-e_Recup)</f>
        <v>0</v>
      </c>
      <c r="FC23" s="13" t="n">
        <f aca="false">(FC$18+FC$19)*(1-e_Recup)</f>
        <v>0</v>
      </c>
      <c r="FD23" s="13" t="n">
        <f aca="false">(FD$18+FD$19)*(1-e_Recup)</f>
        <v>0</v>
      </c>
      <c r="FE23" s="13" t="n">
        <f aca="false">(FE$18+FE$19)*(1-e_Recup)</f>
        <v>0</v>
      </c>
      <c r="FF23" s="13" t="n">
        <f aca="false">(FF$18+FF$19)*(1-e_Recup)</f>
        <v>0</v>
      </c>
    </row>
    <row r="24" customFormat="false" ht="15" hidden="false" customHeight="false" outlineLevel="0" collapsed="false">
      <c r="A24" s="2" t="s">
        <v>846</v>
      </c>
      <c r="B24" s="66" t="s">
        <v>847</v>
      </c>
      <c r="C24" s="8" t="s">
        <v>825</v>
      </c>
      <c r="E24" s="67" t="n">
        <f aca="false">SUM($F24:$FF24)</f>
        <v>192000</v>
      </c>
      <c r="F24" s="12" t="n">
        <f aca="false">IF(F$9=1,SUMIFS(dr_Cant,dr_Mes,0,dr_Cod,"U_VTA_G",dr_Est,"&lt;&gt;Excluido"),F$17+F$21)</f>
        <v>0</v>
      </c>
      <c r="G24" s="12" t="n">
        <f aca="false">IF(G$9=1,SUMIFS(dr_Cant,dr_Mes,1,dr_Cod,"U_VTA_G",dr_Est,"&lt;&gt;Excluido"),G$17+G$21)</f>
        <v>1000</v>
      </c>
      <c r="H24" s="12" t="n">
        <f aca="false">IF(H$9=1,SUMIFS(dr_Cant,dr_Mes,2,dr_Cod,"U_VTA_G",dr_Est,"&lt;&gt;Excluido"),H$17+H$21)</f>
        <v>1000</v>
      </c>
      <c r="I24" s="12" t="n">
        <f aca="false">IF(I$9=1,SUMIFS(dr_Cant,dr_Mes,3,dr_Cod,"U_VTA_G",dr_Est,"&lt;&gt;Excluido"),I$17+I$21)</f>
        <v>1000</v>
      </c>
      <c r="J24" s="12" t="n">
        <f aca="false">IF(J$9=1,SUMIFS(dr_Cant,dr_Mes,4,dr_Cod,"U_VTA_G",dr_Est,"&lt;&gt;Excluido"),J$17+J$21)</f>
        <v>1000</v>
      </c>
      <c r="K24" s="12" t="n">
        <f aca="false">IF(K$9=1,SUMIFS(dr_Cant,dr_Mes,5,dr_Cod,"U_VTA_G",dr_Est,"&lt;&gt;Excluido"),K$17+K$21)</f>
        <v>1000</v>
      </c>
      <c r="L24" s="12" t="n">
        <f aca="false">IF(L$9=1,SUMIFS(dr_Cant,dr_Mes,6,dr_Cod,"U_VTA_G",dr_Est,"&lt;&gt;Excluido"),L$17+L$21)</f>
        <v>1000</v>
      </c>
      <c r="M24" s="12" t="n">
        <f aca="false">IF(M$9=1,SUMIFS(dr_Cant,dr_Mes,7,dr_Cod,"U_VTA_G",dr_Est,"&lt;&gt;Excluido"),M$17+M$21)</f>
        <v>1000</v>
      </c>
      <c r="N24" s="12" t="n">
        <f aca="false">IF(N$9=1,SUMIFS(dr_Cant,dr_Mes,8,dr_Cod,"U_VTA_G",dr_Est,"&lt;&gt;Excluido"),N$17+N$21)</f>
        <v>1000</v>
      </c>
      <c r="O24" s="12" t="n">
        <f aca="false">IF(O$9=1,SUMIFS(dr_Cant,dr_Mes,9,dr_Cod,"U_VTA_G",dr_Est,"&lt;&gt;Excluido"),O$17+O$21)</f>
        <v>1000</v>
      </c>
      <c r="P24" s="12" t="n">
        <f aca="false">IF(P$9=1,SUMIFS(dr_Cant,dr_Mes,10,dr_Cod,"U_VTA_G",dr_Est,"&lt;&gt;Excluido"),P$17+P$21)</f>
        <v>1000</v>
      </c>
      <c r="Q24" s="12" t="n">
        <f aca="false">IF(Q$9=1,SUMIFS(dr_Cant,dr_Mes,11,dr_Cod,"U_VTA_G",dr_Est,"&lt;&gt;Excluido"),Q$17+Q$21)</f>
        <v>1000</v>
      </c>
      <c r="R24" s="12" t="n">
        <f aca="false">IF(R$9=1,SUMIFS(dr_Cant,dr_Mes,12,dr_Cod,"U_VTA_G",dr_Est,"&lt;&gt;Excluido"),R$17+R$21)</f>
        <v>1000</v>
      </c>
      <c r="S24" s="12" t="n">
        <f aca="false">IF(S$9=1,SUMIFS(dr_Cant,dr_Mes,13,dr_Cod,"U_VTA_G",dr_Est,"&lt;&gt;Excluido"),S$17+S$21)</f>
        <v>1250</v>
      </c>
      <c r="T24" s="12" t="n">
        <f aca="false">IF(T$9=1,SUMIFS(dr_Cant,dr_Mes,14,dr_Cod,"U_VTA_G",dr_Est,"&lt;&gt;Excluido"),T$17+T$21)</f>
        <v>1250</v>
      </c>
      <c r="U24" s="12" t="n">
        <f aca="false">IF(U$9=1,SUMIFS(dr_Cant,dr_Mes,15,dr_Cod,"U_VTA_G",dr_Est,"&lt;&gt;Excluido"),U$17+U$21)</f>
        <v>1250</v>
      </c>
      <c r="V24" s="12" t="n">
        <f aca="false">IF(V$9=1,SUMIFS(dr_Cant,dr_Mes,16,dr_Cod,"U_VTA_G",dr_Est,"&lt;&gt;Excluido"),V$17+V$21)</f>
        <v>1250</v>
      </c>
      <c r="W24" s="12" t="n">
        <f aca="false">IF(W$9=1,SUMIFS(dr_Cant,dr_Mes,17,dr_Cod,"U_VTA_G",dr_Est,"&lt;&gt;Excluido"),W$17+W$21)</f>
        <v>1250</v>
      </c>
      <c r="X24" s="12" t="n">
        <f aca="false">IF(X$9=1,SUMIFS(dr_Cant,dr_Mes,18,dr_Cod,"U_VTA_G",dr_Est,"&lt;&gt;Excluido"),X$17+X$21)</f>
        <v>1250</v>
      </c>
      <c r="Y24" s="12" t="n">
        <f aca="false">IF(Y$9=1,SUMIFS(dr_Cant,dr_Mes,19,dr_Cod,"U_VTA_G",dr_Est,"&lt;&gt;Excluido"),Y$17+Y$21)</f>
        <v>1250</v>
      </c>
      <c r="Z24" s="12" t="n">
        <f aca="false">IF(Z$9=1,SUMIFS(dr_Cant,dr_Mes,20,dr_Cod,"U_VTA_G",dr_Est,"&lt;&gt;Excluido"),Z$17+Z$21)</f>
        <v>1250</v>
      </c>
      <c r="AA24" s="12" t="n">
        <f aca="false">IF(AA$9=1,SUMIFS(dr_Cant,dr_Mes,21,dr_Cod,"U_VTA_G",dr_Est,"&lt;&gt;Excluido"),AA$17+AA$21)</f>
        <v>1250</v>
      </c>
      <c r="AB24" s="12" t="n">
        <f aca="false">IF(AB$9=1,SUMIFS(dr_Cant,dr_Mes,22,dr_Cod,"U_VTA_G",dr_Est,"&lt;&gt;Excluido"),AB$17+AB$21)</f>
        <v>1250</v>
      </c>
      <c r="AC24" s="12" t="n">
        <f aca="false">IF(AC$9=1,SUMIFS(dr_Cant,dr_Mes,23,dr_Cod,"U_VTA_G",dr_Est,"&lt;&gt;Excluido"),AC$17+AC$21)</f>
        <v>1250</v>
      </c>
      <c r="AD24" s="12" t="n">
        <f aca="false">IF(AD$9=1,SUMIFS(dr_Cant,dr_Mes,24,dr_Cod,"U_VTA_G",dr_Est,"&lt;&gt;Excluido"),AD$17+AD$21)</f>
        <v>1250</v>
      </c>
      <c r="AE24" s="12" t="n">
        <f aca="false">IF(AE$9=1,SUMIFS(dr_Cant,dr_Mes,25,dr_Cod,"U_VTA_G",dr_Est,"&lt;&gt;Excluido"),AE$17+AE$21)</f>
        <v>1500</v>
      </c>
      <c r="AF24" s="12" t="n">
        <f aca="false">IF(AF$9=1,SUMIFS(dr_Cant,dr_Mes,26,dr_Cod,"U_VTA_G",dr_Est,"&lt;&gt;Excluido"),AF$17+AF$21)</f>
        <v>1500</v>
      </c>
      <c r="AG24" s="12" t="n">
        <f aca="false">IF(AG$9=1,SUMIFS(dr_Cant,dr_Mes,27,dr_Cod,"U_VTA_G",dr_Est,"&lt;&gt;Excluido"),AG$17+AG$21)</f>
        <v>1500</v>
      </c>
      <c r="AH24" s="12" t="n">
        <f aca="false">IF(AH$9=1,SUMIFS(dr_Cant,dr_Mes,28,dr_Cod,"U_VTA_G",dr_Est,"&lt;&gt;Excluido"),AH$17+AH$21)</f>
        <v>1500</v>
      </c>
      <c r="AI24" s="12" t="n">
        <f aca="false">IF(AI$9=1,SUMIFS(dr_Cant,dr_Mes,29,dr_Cod,"U_VTA_G",dr_Est,"&lt;&gt;Excluido"),AI$17+AI$21)</f>
        <v>1500</v>
      </c>
      <c r="AJ24" s="12" t="n">
        <f aca="false">IF(AJ$9=1,SUMIFS(dr_Cant,dr_Mes,30,dr_Cod,"U_VTA_G",dr_Est,"&lt;&gt;Excluido"),AJ$17+AJ$21)</f>
        <v>1500</v>
      </c>
      <c r="AK24" s="12" t="n">
        <f aca="false">IF(AK$9=1,SUMIFS(dr_Cant,dr_Mes,31,dr_Cod,"U_VTA_G",dr_Est,"&lt;&gt;Excluido"),AK$17+AK$21)</f>
        <v>1500</v>
      </c>
      <c r="AL24" s="12" t="n">
        <f aca="false">IF(AL$9=1,SUMIFS(dr_Cant,dr_Mes,32,dr_Cod,"U_VTA_G",dr_Est,"&lt;&gt;Excluido"),AL$17+AL$21)</f>
        <v>1500</v>
      </c>
      <c r="AM24" s="12" t="n">
        <f aca="false">IF(AM$9=1,SUMIFS(dr_Cant,dr_Mes,33,dr_Cod,"U_VTA_G",dr_Est,"&lt;&gt;Excluido"),AM$17+AM$21)</f>
        <v>1500</v>
      </c>
      <c r="AN24" s="12" t="n">
        <f aca="false">IF(AN$9=1,SUMIFS(dr_Cant,dr_Mes,34,dr_Cod,"U_VTA_G",dr_Est,"&lt;&gt;Excluido"),AN$17+AN$21)</f>
        <v>1500</v>
      </c>
      <c r="AO24" s="12" t="n">
        <f aca="false">IF(AO$9=1,SUMIFS(dr_Cant,dr_Mes,35,dr_Cod,"U_VTA_G",dr_Est,"&lt;&gt;Excluido"),AO$17+AO$21)</f>
        <v>1500</v>
      </c>
      <c r="AP24" s="12" t="n">
        <f aca="false">IF(AP$9=1,SUMIFS(dr_Cant,dr_Mes,36,dr_Cod,"U_VTA_G",dr_Est,"&lt;&gt;Excluido"),AP$17+AP$21)</f>
        <v>1500</v>
      </c>
      <c r="AQ24" s="12" t="n">
        <f aca="false">IF(AQ$9=1,SUMIFS(dr_Cant,dr_Mes,37,dr_Cod,"U_VTA_G",dr_Est,"&lt;&gt;Excluido"),AQ$17+AQ$21)</f>
        <v>1750</v>
      </c>
      <c r="AR24" s="12" t="n">
        <f aca="false">IF(AR$9=1,SUMIFS(dr_Cant,dr_Mes,38,dr_Cod,"U_VTA_G",dr_Est,"&lt;&gt;Excluido"),AR$17+AR$21)</f>
        <v>1750</v>
      </c>
      <c r="AS24" s="12" t="n">
        <f aca="false">IF(AS$9=1,SUMIFS(dr_Cant,dr_Mes,39,dr_Cod,"U_VTA_G",dr_Est,"&lt;&gt;Excluido"),AS$17+AS$21)</f>
        <v>1750</v>
      </c>
      <c r="AT24" s="12" t="n">
        <f aca="false">IF(AT$9=1,SUMIFS(dr_Cant,dr_Mes,40,dr_Cod,"U_VTA_G",dr_Est,"&lt;&gt;Excluido"),AT$17+AT$21)</f>
        <v>1750</v>
      </c>
      <c r="AU24" s="12" t="n">
        <f aca="false">IF(AU$9=1,SUMIFS(dr_Cant,dr_Mes,41,dr_Cod,"U_VTA_G",dr_Est,"&lt;&gt;Excluido"),AU$17+AU$21)</f>
        <v>1750</v>
      </c>
      <c r="AV24" s="12" t="n">
        <f aca="false">IF(AV$9=1,SUMIFS(dr_Cant,dr_Mes,42,dr_Cod,"U_VTA_G",dr_Est,"&lt;&gt;Excluido"),AV$17+AV$21)</f>
        <v>1750</v>
      </c>
      <c r="AW24" s="12" t="n">
        <f aca="false">IF(AW$9=1,SUMIFS(dr_Cant,dr_Mes,43,dr_Cod,"U_VTA_G",dr_Est,"&lt;&gt;Excluido"),AW$17+AW$21)</f>
        <v>1750</v>
      </c>
      <c r="AX24" s="12" t="n">
        <f aca="false">IF(AX$9=1,SUMIFS(dr_Cant,dr_Mes,44,dr_Cod,"U_VTA_G",dr_Est,"&lt;&gt;Excluido"),AX$17+AX$21)</f>
        <v>1750</v>
      </c>
      <c r="AY24" s="12" t="n">
        <f aca="false">IF(AY$9=1,SUMIFS(dr_Cant,dr_Mes,45,dr_Cod,"U_VTA_G",dr_Est,"&lt;&gt;Excluido"),AY$17+AY$21)</f>
        <v>1750</v>
      </c>
      <c r="AZ24" s="12" t="n">
        <f aca="false">IF(AZ$9=1,SUMIFS(dr_Cant,dr_Mes,46,dr_Cod,"U_VTA_G",dr_Est,"&lt;&gt;Excluido"),AZ$17+AZ$21)</f>
        <v>1750</v>
      </c>
      <c r="BA24" s="12" t="n">
        <f aca="false">IF(BA$9=1,SUMIFS(dr_Cant,dr_Mes,47,dr_Cod,"U_VTA_G",dr_Est,"&lt;&gt;Excluido"),BA$17+BA$21)</f>
        <v>1750</v>
      </c>
      <c r="BB24" s="12" t="n">
        <f aca="false">IF(BB$9=1,SUMIFS(dr_Cant,dr_Mes,48,dr_Cod,"U_VTA_G",dr_Est,"&lt;&gt;Excluido"),BB$17+BB$21)</f>
        <v>1750</v>
      </c>
      <c r="BC24" s="12" t="n">
        <f aca="false">IF(BC$9=1,SUMIFS(dr_Cant,dr_Mes,49,dr_Cod,"U_VTA_G",dr_Est,"&lt;&gt;Excluido"),BC$17+BC$21)</f>
        <v>1750</v>
      </c>
      <c r="BD24" s="12" t="n">
        <f aca="false">IF(BD$9=1,SUMIFS(dr_Cant,dr_Mes,50,dr_Cod,"U_VTA_G",dr_Est,"&lt;&gt;Excluido"),BD$17+BD$21)</f>
        <v>1750</v>
      </c>
      <c r="BE24" s="12" t="n">
        <f aca="false">IF(BE$9=1,SUMIFS(dr_Cant,dr_Mes,51,dr_Cod,"U_VTA_G",dr_Est,"&lt;&gt;Excluido"),BE$17+BE$21)</f>
        <v>1750</v>
      </c>
      <c r="BF24" s="12" t="n">
        <f aca="false">IF(BF$9=1,SUMIFS(dr_Cant,dr_Mes,52,dr_Cod,"U_VTA_G",dr_Est,"&lt;&gt;Excluido"),BF$17+BF$21)</f>
        <v>1750</v>
      </c>
      <c r="BG24" s="12" t="n">
        <f aca="false">IF(BG$9=1,SUMIFS(dr_Cant,dr_Mes,53,dr_Cod,"U_VTA_G",dr_Est,"&lt;&gt;Excluido"),BG$17+BG$21)</f>
        <v>1750</v>
      </c>
      <c r="BH24" s="12" t="n">
        <f aca="false">IF(BH$9=1,SUMIFS(dr_Cant,dr_Mes,54,dr_Cod,"U_VTA_G",dr_Est,"&lt;&gt;Excluido"),BH$17+BH$21)</f>
        <v>1750</v>
      </c>
      <c r="BI24" s="12" t="n">
        <f aca="false">IF(BI$9=1,SUMIFS(dr_Cant,dr_Mes,55,dr_Cod,"U_VTA_G",dr_Est,"&lt;&gt;Excluido"),BI$17+BI$21)</f>
        <v>1750</v>
      </c>
      <c r="BJ24" s="12" t="n">
        <f aca="false">IF(BJ$9=1,SUMIFS(dr_Cant,dr_Mes,56,dr_Cod,"U_VTA_G",dr_Est,"&lt;&gt;Excluido"),BJ$17+BJ$21)</f>
        <v>1750</v>
      </c>
      <c r="BK24" s="12" t="n">
        <f aca="false">IF(BK$9=1,SUMIFS(dr_Cant,dr_Mes,57,dr_Cod,"U_VTA_G",dr_Est,"&lt;&gt;Excluido"),BK$17+BK$21)</f>
        <v>1750</v>
      </c>
      <c r="BL24" s="12" t="n">
        <f aca="false">IF(BL$9=1,SUMIFS(dr_Cant,dr_Mes,58,dr_Cod,"U_VTA_G",dr_Est,"&lt;&gt;Excluido"),BL$17+BL$21)</f>
        <v>1750</v>
      </c>
      <c r="BM24" s="12" t="n">
        <f aca="false">IF(BM$9=1,SUMIFS(dr_Cant,dr_Mes,59,dr_Cod,"U_VTA_G",dr_Est,"&lt;&gt;Excluido"),BM$17+BM$21)</f>
        <v>1750</v>
      </c>
      <c r="BN24" s="12" t="n">
        <f aca="false">IF(BN$9=1,SUMIFS(dr_Cant,dr_Mes,60,dr_Cod,"U_VTA_G",dr_Est,"&lt;&gt;Excluido"),BN$17+BN$21)</f>
        <v>1750</v>
      </c>
      <c r="BO24" s="12" t="n">
        <f aca="false">IF(BO$9=1,SUMIFS(dr_Cant,dr_Mes,61,dr_Cod,"U_VTA_G",dr_Est,"&lt;&gt;Excluido"),BO$17+BO$21)</f>
        <v>1750</v>
      </c>
      <c r="BP24" s="12" t="n">
        <f aca="false">IF(BP$9=1,SUMIFS(dr_Cant,dr_Mes,62,dr_Cod,"U_VTA_G",dr_Est,"&lt;&gt;Excluido"),BP$17+BP$21)</f>
        <v>1750</v>
      </c>
      <c r="BQ24" s="12" t="n">
        <f aca="false">IF(BQ$9=1,SUMIFS(dr_Cant,dr_Mes,63,dr_Cod,"U_VTA_G",dr_Est,"&lt;&gt;Excluido"),BQ$17+BQ$21)</f>
        <v>1750</v>
      </c>
      <c r="BR24" s="12" t="n">
        <f aca="false">IF(BR$9=1,SUMIFS(dr_Cant,dr_Mes,64,dr_Cod,"U_VTA_G",dr_Est,"&lt;&gt;Excluido"),BR$17+BR$21)</f>
        <v>1750</v>
      </c>
      <c r="BS24" s="12" t="n">
        <f aca="false">IF(BS$9=1,SUMIFS(dr_Cant,dr_Mes,65,dr_Cod,"U_VTA_G",dr_Est,"&lt;&gt;Excluido"),BS$17+BS$21)</f>
        <v>1750</v>
      </c>
      <c r="BT24" s="12" t="n">
        <f aca="false">IF(BT$9=1,SUMIFS(dr_Cant,dr_Mes,66,dr_Cod,"U_VTA_G",dr_Est,"&lt;&gt;Excluido"),BT$17+BT$21)</f>
        <v>1750</v>
      </c>
      <c r="BU24" s="12" t="n">
        <f aca="false">IF(BU$9=1,SUMIFS(dr_Cant,dr_Mes,67,dr_Cod,"U_VTA_G",dr_Est,"&lt;&gt;Excluido"),BU$17+BU$21)</f>
        <v>1750</v>
      </c>
      <c r="BV24" s="12" t="n">
        <f aca="false">IF(BV$9=1,SUMIFS(dr_Cant,dr_Mes,68,dr_Cod,"U_VTA_G",dr_Est,"&lt;&gt;Excluido"),BV$17+BV$21)</f>
        <v>1750</v>
      </c>
      <c r="BW24" s="12" t="n">
        <f aca="false">IF(BW$9=1,SUMIFS(dr_Cant,dr_Mes,69,dr_Cod,"U_VTA_G",dr_Est,"&lt;&gt;Excluido"),BW$17+BW$21)</f>
        <v>1750</v>
      </c>
      <c r="BX24" s="12" t="n">
        <f aca="false">IF(BX$9=1,SUMIFS(dr_Cant,dr_Mes,70,dr_Cod,"U_VTA_G",dr_Est,"&lt;&gt;Excluido"),BX$17+BX$21)</f>
        <v>1750</v>
      </c>
      <c r="BY24" s="12" t="n">
        <f aca="false">IF(BY$9=1,SUMIFS(dr_Cant,dr_Mes,71,dr_Cod,"U_VTA_G",dr_Est,"&lt;&gt;Excluido"),BY$17+BY$21)</f>
        <v>1750</v>
      </c>
      <c r="BZ24" s="12" t="n">
        <f aca="false">IF(BZ$9=1,SUMIFS(dr_Cant,dr_Mes,72,dr_Cod,"U_VTA_G",dr_Est,"&lt;&gt;Excluido"),BZ$17+BZ$21)</f>
        <v>1750</v>
      </c>
      <c r="CA24" s="12" t="n">
        <f aca="false">IF(CA$9=1,SUMIFS(dr_Cant,dr_Mes,73,dr_Cod,"U_VTA_G",dr_Est,"&lt;&gt;Excluido"),CA$17+CA$21)</f>
        <v>1750</v>
      </c>
      <c r="CB24" s="12" t="n">
        <f aca="false">IF(CB$9=1,SUMIFS(dr_Cant,dr_Mes,74,dr_Cod,"U_VTA_G",dr_Est,"&lt;&gt;Excluido"),CB$17+CB$21)</f>
        <v>1750</v>
      </c>
      <c r="CC24" s="12" t="n">
        <f aca="false">IF(CC$9=1,SUMIFS(dr_Cant,dr_Mes,75,dr_Cod,"U_VTA_G",dr_Est,"&lt;&gt;Excluido"),CC$17+CC$21)</f>
        <v>1750</v>
      </c>
      <c r="CD24" s="12" t="n">
        <f aca="false">IF(CD$9=1,SUMIFS(dr_Cant,dr_Mes,76,dr_Cod,"U_VTA_G",dr_Est,"&lt;&gt;Excluido"),CD$17+CD$21)</f>
        <v>1750</v>
      </c>
      <c r="CE24" s="12" t="n">
        <f aca="false">IF(CE$9=1,SUMIFS(dr_Cant,dr_Mes,77,dr_Cod,"U_VTA_G",dr_Est,"&lt;&gt;Excluido"),CE$17+CE$21)</f>
        <v>1750</v>
      </c>
      <c r="CF24" s="12" t="n">
        <f aca="false">IF(CF$9=1,SUMIFS(dr_Cant,dr_Mes,78,dr_Cod,"U_VTA_G",dr_Est,"&lt;&gt;Excluido"),CF$17+CF$21)</f>
        <v>1750</v>
      </c>
      <c r="CG24" s="12" t="n">
        <f aca="false">IF(CG$9=1,SUMIFS(dr_Cant,dr_Mes,79,dr_Cod,"U_VTA_G",dr_Est,"&lt;&gt;Excluido"),CG$17+CG$21)</f>
        <v>1750</v>
      </c>
      <c r="CH24" s="12" t="n">
        <f aca="false">IF(CH$9=1,SUMIFS(dr_Cant,dr_Mes,80,dr_Cod,"U_VTA_G",dr_Est,"&lt;&gt;Excluido"),CH$17+CH$21)</f>
        <v>1750</v>
      </c>
      <c r="CI24" s="12" t="n">
        <f aca="false">IF(CI$9=1,SUMIFS(dr_Cant,dr_Mes,81,dr_Cod,"U_VTA_G",dr_Est,"&lt;&gt;Excluido"),CI$17+CI$21)</f>
        <v>1750</v>
      </c>
      <c r="CJ24" s="12" t="n">
        <f aca="false">IF(CJ$9=1,SUMIFS(dr_Cant,dr_Mes,82,dr_Cod,"U_VTA_G",dr_Est,"&lt;&gt;Excluido"),CJ$17+CJ$21)</f>
        <v>1750</v>
      </c>
      <c r="CK24" s="12" t="n">
        <f aca="false">IF(CK$9=1,SUMIFS(dr_Cant,dr_Mes,83,dr_Cod,"U_VTA_G",dr_Est,"&lt;&gt;Excluido"),CK$17+CK$21)</f>
        <v>1750</v>
      </c>
      <c r="CL24" s="12" t="n">
        <f aca="false">IF(CL$9=1,SUMIFS(dr_Cant,dr_Mes,84,dr_Cod,"U_VTA_G",dr_Est,"&lt;&gt;Excluido"),CL$17+CL$21)</f>
        <v>1750</v>
      </c>
      <c r="CM24" s="12" t="n">
        <f aca="false">IF(CM$9=1,SUMIFS(dr_Cant,dr_Mes,85,dr_Cod,"U_VTA_G",dr_Est,"&lt;&gt;Excluido"),CM$17+CM$21)</f>
        <v>1750</v>
      </c>
      <c r="CN24" s="12" t="n">
        <f aca="false">IF(CN$9=1,SUMIFS(dr_Cant,dr_Mes,86,dr_Cod,"U_VTA_G",dr_Est,"&lt;&gt;Excluido"),CN$17+CN$21)</f>
        <v>1750</v>
      </c>
      <c r="CO24" s="12" t="n">
        <f aca="false">IF(CO$9=1,SUMIFS(dr_Cant,dr_Mes,87,dr_Cod,"U_VTA_G",dr_Est,"&lt;&gt;Excluido"),CO$17+CO$21)</f>
        <v>1750</v>
      </c>
      <c r="CP24" s="12" t="n">
        <f aca="false">IF(CP$9=1,SUMIFS(dr_Cant,dr_Mes,88,dr_Cod,"U_VTA_G",dr_Est,"&lt;&gt;Excluido"),CP$17+CP$21)</f>
        <v>1750</v>
      </c>
      <c r="CQ24" s="12" t="n">
        <f aca="false">IF(CQ$9=1,SUMIFS(dr_Cant,dr_Mes,89,dr_Cod,"U_VTA_G",dr_Est,"&lt;&gt;Excluido"),CQ$17+CQ$21)</f>
        <v>1750</v>
      </c>
      <c r="CR24" s="12" t="n">
        <f aca="false">IF(CR$9=1,SUMIFS(dr_Cant,dr_Mes,90,dr_Cod,"U_VTA_G",dr_Est,"&lt;&gt;Excluido"),CR$17+CR$21)</f>
        <v>1750</v>
      </c>
      <c r="CS24" s="12" t="n">
        <f aca="false">IF(CS$9=1,SUMIFS(dr_Cant,dr_Mes,91,dr_Cod,"U_VTA_G",dr_Est,"&lt;&gt;Excluido"),CS$17+CS$21)</f>
        <v>1750</v>
      </c>
      <c r="CT24" s="12" t="n">
        <f aca="false">IF(CT$9=1,SUMIFS(dr_Cant,dr_Mes,92,dr_Cod,"U_VTA_G",dr_Est,"&lt;&gt;Excluido"),CT$17+CT$21)</f>
        <v>1750</v>
      </c>
      <c r="CU24" s="12" t="n">
        <f aca="false">IF(CU$9=1,SUMIFS(dr_Cant,dr_Mes,93,dr_Cod,"U_VTA_G",dr_Est,"&lt;&gt;Excluido"),CU$17+CU$21)</f>
        <v>1750</v>
      </c>
      <c r="CV24" s="12" t="n">
        <f aca="false">IF(CV$9=1,SUMIFS(dr_Cant,dr_Mes,94,dr_Cod,"U_VTA_G",dr_Est,"&lt;&gt;Excluido"),CV$17+CV$21)</f>
        <v>1750</v>
      </c>
      <c r="CW24" s="12" t="n">
        <f aca="false">IF(CW$9=1,SUMIFS(dr_Cant,dr_Mes,95,dr_Cod,"U_VTA_G",dr_Est,"&lt;&gt;Excluido"),CW$17+CW$21)</f>
        <v>1750</v>
      </c>
      <c r="CX24" s="12" t="n">
        <f aca="false">IF(CX$9=1,SUMIFS(dr_Cant,dr_Mes,96,dr_Cod,"U_VTA_G",dr_Est,"&lt;&gt;Excluido"),CX$17+CX$21)</f>
        <v>1750</v>
      </c>
      <c r="CY24" s="12" t="n">
        <f aca="false">IF(CY$9=1,SUMIFS(dr_Cant,dr_Mes,97,dr_Cod,"U_VTA_G",dr_Est,"&lt;&gt;Excluido"),CY$17+CY$21)</f>
        <v>1750</v>
      </c>
      <c r="CZ24" s="12" t="n">
        <f aca="false">IF(CZ$9=1,SUMIFS(dr_Cant,dr_Mes,98,dr_Cod,"U_VTA_G",dr_Est,"&lt;&gt;Excluido"),CZ$17+CZ$21)</f>
        <v>1750</v>
      </c>
      <c r="DA24" s="12" t="n">
        <f aca="false">IF(DA$9=1,SUMIFS(dr_Cant,dr_Mes,99,dr_Cod,"U_VTA_G",dr_Est,"&lt;&gt;Excluido"),DA$17+DA$21)</f>
        <v>1750</v>
      </c>
      <c r="DB24" s="12" t="n">
        <f aca="false">IF(DB$9=1,SUMIFS(dr_Cant,dr_Mes,100,dr_Cod,"U_VTA_G",dr_Est,"&lt;&gt;Excluido"),DB$17+DB$21)</f>
        <v>1750</v>
      </c>
      <c r="DC24" s="12" t="n">
        <f aca="false">IF(DC$9=1,SUMIFS(dr_Cant,dr_Mes,101,dr_Cod,"U_VTA_G",dr_Est,"&lt;&gt;Excluido"),DC$17+DC$21)</f>
        <v>1750</v>
      </c>
      <c r="DD24" s="12" t="n">
        <f aca="false">IF(DD$9=1,SUMIFS(dr_Cant,dr_Mes,102,dr_Cod,"U_VTA_G",dr_Est,"&lt;&gt;Excluido"),DD$17+DD$21)</f>
        <v>1750</v>
      </c>
      <c r="DE24" s="12" t="n">
        <f aca="false">IF(DE$9=1,SUMIFS(dr_Cant,dr_Mes,103,dr_Cod,"U_VTA_G",dr_Est,"&lt;&gt;Excluido"),DE$17+DE$21)</f>
        <v>1750</v>
      </c>
      <c r="DF24" s="12" t="n">
        <f aca="false">IF(DF$9=1,SUMIFS(dr_Cant,dr_Mes,104,dr_Cod,"U_VTA_G",dr_Est,"&lt;&gt;Excluido"),DF$17+DF$21)</f>
        <v>1750</v>
      </c>
      <c r="DG24" s="12" t="n">
        <f aca="false">IF(DG$9=1,SUMIFS(dr_Cant,dr_Mes,105,dr_Cod,"U_VTA_G",dr_Est,"&lt;&gt;Excluido"),DG$17+DG$21)</f>
        <v>1750</v>
      </c>
      <c r="DH24" s="12" t="n">
        <f aca="false">IF(DH$9=1,SUMIFS(dr_Cant,dr_Mes,106,dr_Cod,"U_VTA_G",dr_Est,"&lt;&gt;Excluido"),DH$17+DH$21)</f>
        <v>1750</v>
      </c>
      <c r="DI24" s="12" t="n">
        <f aca="false">IF(DI$9=1,SUMIFS(dr_Cant,dr_Mes,107,dr_Cod,"U_VTA_G",dr_Est,"&lt;&gt;Excluido"),DI$17+DI$21)</f>
        <v>1750</v>
      </c>
      <c r="DJ24" s="12" t="n">
        <f aca="false">IF(DJ$9=1,SUMIFS(dr_Cant,dr_Mes,108,dr_Cod,"U_VTA_G",dr_Est,"&lt;&gt;Excluido"),DJ$17+DJ$21)</f>
        <v>1750</v>
      </c>
      <c r="DK24" s="12" t="n">
        <f aca="false">IF(DK$9=1,SUMIFS(dr_Cant,dr_Mes,109,dr_Cod,"U_VTA_G",dr_Est,"&lt;&gt;Excluido"),DK$17+DK$21)</f>
        <v>1750</v>
      </c>
      <c r="DL24" s="12" t="n">
        <f aca="false">IF(DL$9=1,SUMIFS(dr_Cant,dr_Mes,110,dr_Cod,"U_VTA_G",dr_Est,"&lt;&gt;Excluido"),DL$17+DL$21)</f>
        <v>1750</v>
      </c>
      <c r="DM24" s="12" t="n">
        <f aca="false">IF(DM$9=1,SUMIFS(dr_Cant,dr_Mes,111,dr_Cod,"U_VTA_G",dr_Est,"&lt;&gt;Excluido"),DM$17+DM$21)</f>
        <v>1750</v>
      </c>
      <c r="DN24" s="12" t="n">
        <f aca="false">IF(DN$9=1,SUMIFS(dr_Cant,dr_Mes,112,dr_Cod,"U_VTA_G",dr_Est,"&lt;&gt;Excluido"),DN$17+DN$21)</f>
        <v>1750</v>
      </c>
      <c r="DO24" s="12" t="n">
        <f aca="false">IF(DO$9=1,SUMIFS(dr_Cant,dr_Mes,113,dr_Cod,"U_VTA_G",dr_Est,"&lt;&gt;Excluido"),DO$17+DO$21)</f>
        <v>1750</v>
      </c>
      <c r="DP24" s="12" t="n">
        <f aca="false">IF(DP$9=1,SUMIFS(dr_Cant,dr_Mes,114,dr_Cod,"U_VTA_G",dr_Est,"&lt;&gt;Excluido"),DP$17+DP$21)</f>
        <v>1750</v>
      </c>
      <c r="DQ24" s="12" t="n">
        <f aca="false">IF(DQ$9=1,SUMIFS(dr_Cant,dr_Mes,115,dr_Cod,"U_VTA_G",dr_Est,"&lt;&gt;Excluido"),DQ$17+DQ$21)</f>
        <v>1750</v>
      </c>
      <c r="DR24" s="12" t="n">
        <f aca="false">IF(DR$9=1,SUMIFS(dr_Cant,dr_Mes,116,dr_Cod,"U_VTA_G",dr_Est,"&lt;&gt;Excluido"),DR$17+DR$21)</f>
        <v>1750</v>
      </c>
      <c r="DS24" s="12" t="n">
        <f aca="false">IF(DS$9=1,SUMIFS(dr_Cant,dr_Mes,117,dr_Cod,"U_VTA_G",dr_Est,"&lt;&gt;Excluido"),DS$17+DS$21)</f>
        <v>1750</v>
      </c>
      <c r="DT24" s="12" t="n">
        <f aca="false">IF(DT$9=1,SUMIFS(dr_Cant,dr_Mes,118,dr_Cod,"U_VTA_G",dr_Est,"&lt;&gt;Excluido"),DT$17+DT$21)</f>
        <v>1750</v>
      </c>
      <c r="DU24" s="12" t="n">
        <f aca="false">IF(DU$9=1,SUMIFS(dr_Cant,dr_Mes,119,dr_Cod,"U_VTA_G",dr_Est,"&lt;&gt;Excluido"),DU$17+DU$21)</f>
        <v>1750</v>
      </c>
      <c r="DV24" s="12" t="n">
        <f aca="false">IF(DV$9=1,SUMIFS(dr_Cant,dr_Mes,120,dr_Cod,"U_VTA_G",dr_Est,"&lt;&gt;Excluido"),DV$17+DV$21)</f>
        <v>1750</v>
      </c>
      <c r="DW24" s="12" t="n">
        <f aca="false">IF(DW$9=1,SUMIFS(dr_Cant,dr_Mes,121,dr_Cod,"U_VTA_G",dr_Est,"&lt;&gt;Excluido"),DW$17+DW$21)</f>
        <v>0</v>
      </c>
      <c r="DX24" s="12" t="n">
        <f aca="false">IF(DX$9=1,SUMIFS(dr_Cant,dr_Mes,122,dr_Cod,"U_VTA_G",dr_Est,"&lt;&gt;Excluido"),DX$17+DX$21)</f>
        <v>0</v>
      </c>
      <c r="DY24" s="12" t="n">
        <f aca="false">IF(DY$9=1,SUMIFS(dr_Cant,dr_Mes,123,dr_Cod,"U_VTA_G",dr_Est,"&lt;&gt;Excluido"),DY$17+DY$21)</f>
        <v>0</v>
      </c>
      <c r="DZ24" s="12" t="n">
        <f aca="false">IF(DZ$9=1,SUMIFS(dr_Cant,dr_Mes,124,dr_Cod,"U_VTA_G",dr_Est,"&lt;&gt;Excluido"),DZ$17+DZ$21)</f>
        <v>0</v>
      </c>
      <c r="EA24" s="12" t="n">
        <f aca="false">IF(EA$9=1,SUMIFS(dr_Cant,dr_Mes,125,dr_Cod,"U_VTA_G",dr_Est,"&lt;&gt;Excluido"),EA$17+EA$21)</f>
        <v>0</v>
      </c>
      <c r="EB24" s="12" t="n">
        <f aca="false">IF(EB$9=1,SUMIFS(dr_Cant,dr_Mes,126,dr_Cod,"U_VTA_G",dr_Est,"&lt;&gt;Excluido"),EB$17+EB$21)</f>
        <v>0</v>
      </c>
      <c r="EC24" s="12" t="n">
        <f aca="false">IF(EC$9=1,SUMIFS(dr_Cant,dr_Mes,127,dr_Cod,"U_VTA_G",dr_Est,"&lt;&gt;Excluido"),EC$17+EC$21)</f>
        <v>0</v>
      </c>
      <c r="ED24" s="12" t="n">
        <f aca="false">IF(ED$9=1,SUMIFS(dr_Cant,dr_Mes,128,dr_Cod,"U_VTA_G",dr_Est,"&lt;&gt;Excluido"),ED$17+ED$21)</f>
        <v>0</v>
      </c>
      <c r="EE24" s="12" t="n">
        <f aca="false">IF(EE$9=1,SUMIFS(dr_Cant,dr_Mes,129,dr_Cod,"U_VTA_G",dr_Est,"&lt;&gt;Excluido"),EE$17+EE$21)</f>
        <v>0</v>
      </c>
      <c r="EF24" s="12" t="n">
        <f aca="false">IF(EF$9=1,SUMIFS(dr_Cant,dr_Mes,130,dr_Cod,"U_VTA_G",dr_Est,"&lt;&gt;Excluido"),EF$17+EF$21)</f>
        <v>0</v>
      </c>
      <c r="EG24" s="12" t="n">
        <f aca="false">IF(EG$9=1,SUMIFS(dr_Cant,dr_Mes,131,dr_Cod,"U_VTA_G",dr_Est,"&lt;&gt;Excluido"),EG$17+EG$21)</f>
        <v>0</v>
      </c>
      <c r="EH24" s="12" t="n">
        <f aca="false">IF(EH$9=1,SUMIFS(dr_Cant,dr_Mes,132,dr_Cod,"U_VTA_G",dr_Est,"&lt;&gt;Excluido"),EH$17+EH$21)</f>
        <v>0</v>
      </c>
      <c r="EI24" s="12" t="n">
        <f aca="false">IF(EI$9=1,SUMIFS(dr_Cant,dr_Mes,133,dr_Cod,"U_VTA_G",dr_Est,"&lt;&gt;Excluido"),EI$17+EI$21)</f>
        <v>0</v>
      </c>
      <c r="EJ24" s="12" t="n">
        <f aca="false">IF(EJ$9=1,SUMIFS(dr_Cant,dr_Mes,134,dr_Cod,"U_VTA_G",dr_Est,"&lt;&gt;Excluido"),EJ$17+EJ$21)</f>
        <v>0</v>
      </c>
      <c r="EK24" s="12" t="n">
        <f aca="false">IF(EK$9=1,SUMIFS(dr_Cant,dr_Mes,135,dr_Cod,"U_VTA_G",dr_Est,"&lt;&gt;Excluido"),EK$17+EK$21)</f>
        <v>0</v>
      </c>
      <c r="EL24" s="12" t="n">
        <f aca="false">IF(EL$9=1,SUMIFS(dr_Cant,dr_Mes,136,dr_Cod,"U_VTA_G",dr_Est,"&lt;&gt;Excluido"),EL$17+EL$21)</f>
        <v>0</v>
      </c>
      <c r="EM24" s="12" t="n">
        <f aca="false">IF(EM$9=1,SUMIFS(dr_Cant,dr_Mes,137,dr_Cod,"U_VTA_G",dr_Est,"&lt;&gt;Excluido"),EM$17+EM$21)</f>
        <v>0</v>
      </c>
      <c r="EN24" s="12" t="n">
        <f aca="false">IF(EN$9=1,SUMIFS(dr_Cant,dr_Mes,138,dr_Cod,"U_VTA_G",dr_Est,"&lt;&gt;Excluido"),EN$17+EN$21)</f>
        <v>0</v>
      </c>
      <c r="EO24" s="12" t="n">
        <f aca="false">IF(EO$9=1,SUMIFS(dr_Cant,dr_Mes,139,dr_Cod,"U_VTA_G",dr_Est,"&lt;&gt;Excluido"),EO$17+EO$21)</f>
        <v>0</v>
      </c>
      <c r="EP24" s="12" t="n">
        <f aca="false">IF(EP$9=1,SUMIFS(dr_Cant,dr_Mes,140,dr_Cod,"U_VTA_G",dr_Est,"&lt;&gt;Excluido"),EP$17+EP$21)</f>
        <v>0</v>
      </c>
      <c r="EQ24" s="12" t="n">
        <f aca="false">IF(EQ$9=1,SUMIFS(dr_Cant,dr_Mes,141,dr_Cod,"U_VTA_G",dr_Est,"&lt;&gt;Excluido"),EQ$17+EQ$21)</f>
        <v>0</v>
      </c>
      <c r="ER24" s="12" t="n">
        <f aca="false">IF(ER$9=1,SUMIFS(dr_Cant,dr_Mes,142,dr_Cod,"U_VTA_G",dr_Est,"&lt;&gt;Excluido"),ER$17+ER$21)</f>
        <v>0</v>
      </c>
      <c r="ES24" s="12" t="n">
        <f aca="false">IF(ES$9=1,SUMIFS(dr_Cant,dr_Mes,143,dr_Cod,"U_VTA_G",dr_Est,"&lt;&gt;Excluido"),ES$17+ES$21)</f>
        <v>0</v>
      </c>
      <c r="ET24" s="12" t="n">
        <f aca="false">IF(ET$9=1,SUMIFS(dr_Cant,dr_Mes,144,dr_Cod,"U_VTA_G",dr_Est,"&lt;&gt;Excluido"),ET$17+ET$21)</f>
        <v>0</v>
      </c>
      <c r="EU24" s="12" t="n">
        <f aca="false">IF(EU$9=1,SUMIFS(dr_Cant,dr_Mes,145,dr_Cod,"U_VTA_G",dr_Est,"&lt;&gt;Excluido"),EU$17+EU$21)</f>
        <v>0</v>
      </c>
      <c r="EV24" s="12" t="n">
        <f aca="false">IF(EV$9=1,SUMIFS(dr_Cant,dr_Mes,146,dr_Cod,"U_VTA_G",dr_Est,"&lt;&gt;Excluido"),EV$17+EV$21)</f>
        <v>0</v>
      </c>
      <c r="EW24" s="12" t="n">
        <f aca="false">IF(EW$9=1,SUMIFS(dr_Cant,dr_Mes,147,dr_Cod,"U_VTA_G",dr_Est,"&lt;&gt;Excluido"),EW$17+EW$21)</f>
        <v>0</v>
      </c>
      <c r="EX24" s="12" t="n">
        <f aca="false">IF(EX$9=1,SUMIFS(dr_Cant,dr_Mes,148,dr_Cod,"U_VTA_G",dr_Est,"&lt;&gt;Excluido"),EX$17+EX$21)</f>
        <v>0</v>
      </c>
      <c r="EY24" s="12" t="n">
        <f aca="false">IF(EY$9=1,SUMIFS(dr_Cant,dr_Mes,149,dr_Cod,"U_VTA_G",dr_Est,"&lt;&gt;Excluido"),EY$17+EY$21)</f>
        <v>0</v>
      </c>
      <c r="EZ24" s="12" t="n">
        <f aca="false">IF(EZ$9=1,SUMIFS(dr_Cant,dr_Mes,150,dr_Cod,"U_VTA_G",dr_Est,"&lt;&gt;Excluido"),EZ$17+EZ$21)</f>
        <v>0</v>
      </c>
      <c r="FA24" s="12" t="n">
        <f aca="false">IF(FA$9=1,SUMIFS(dr_Cant,dr_Mes,151,dr_Cod,"U_VTA_G",dr_Est,"&lt;&gt;Excluido"),FA$17+FA$21)</f>
        <v>0</v>
      </c>
      <c r="FB24" s="12" t="n">
        <f aca="false">IF(FB$9=1,SUMIFS(dr_Cant,dr_Mes,152,dr_Cod,"U_VTA_G",dr_Est,"&lt;&gt;Excluido"),FB$17+FB$21)</f>
        <v>0</v>
      </c>
      <c r="FC24" s="12" t="n">
        <f aca="false">IF(FC$9=1,SUMIFS(dr_Cant,dr_Mes,153,dr_Cod,"U_VTA_G",dr_Est,"&lt;&gt;Excluido"),FC$17+FC$21)</f>
        <v>0</v>
      </c>
      <c r="FD24" s="12" t="n">
        <f aca="false">IF(FD$9=1,SUMIFS(dr_Cant,dr_Mes,154,dr_Cod,"U_VTA_G",dr_Est,"&lt;&gt;Excluido"),FD$17+FD$21)</f>
        <v>0</v>
      </c>
      <c r="FE24" s="12" t="n">
        <f aca="false">IF(FE$9=1,SUMIFS(dr_Cant,dr_Mes,155,dr_Cod,"U_VTA_G",dr_Est,"&lt;&gt;Excluido"),FE$17+FE$21)</f>
        <v>0</v>
      </c>
      <c r="FF24" s="12" t="n">
        <f aca="false">IF(FF$9=1,SUMIFS(dr_Cant,dr_Mes,156,dr_Cod,"U_VTA_G",dr_Est,"&lt;&gt;Excluido"),FF$17+FF$21)</f>
        <v>0</v>
      </c>
    </row>
    <row r="25" customFormat="false" ht="15" hidden="false" customHeight="false" outlineLevel="0" collapsed="false">
      <c r="A25" s="2" t="s">
        <v>848</v>
      </c>
      <c r="B25" s="8" t="s">
        <v>849</v>
      </c>
      <c r="C25" s="8" t="s">
        <v>825</v>
      </c>
      <c r="F25" s="13" t="n">
        <f aca="false">IF(F$8=1,G$24*p_PTf,0)</f>
        <v>0</v>
      </c>
      <c r="G25" s="13" t="n">
        <f aca="false">IF(G$8=1,H$24*p_PTf,0)</f>
        <v>328.767123287671</v>
      </c>
      <c r="H25" s="13" t="n">
        <f aca="false">IF(H$8=1,I$24*p_PTf,0)</f>
        <v>328.767123287671</v>
      </c>
      <c r="I25" s="13" t="n">
        <f aca="false">IF(I$8=1,J$24*p_PTf,0)</f>
        <v>328.767123287671</v>
      </c>
      <c r="J25" s="13" t="n">
        <f aca="false">IF(J$8=1,K$24*p_PTf,0)</f>
        <v>328.767123287671</v>
      </c>
      <c r="K25" s="13" t="n">
        <f aca="false">IF(K$8=1,L$24*p_PTf,0)</f>
        <v>328.767123287671</v>
      </c>
      <c r="L25" s="13" t="n">
        <f aca="false">IF(L$8=1,M$24*p_PTf,0)</f>
        <v>328.767123287671</v>
      </c>
      <c r="M25" s="13" t="n">
        <f aca="false">IF(M$8=1,N$24*p_PTf,0)</f>
        <v>328.767123287671</v>
      </c>
      <c r="N25" s="13" t="n">
        <f aca="false">IF(N$8=1,O$24*p_PTf,0)</f>
        <v>328.767123287671</v>
      </c>
      <c r="O25" s="13" t="n">
        <f aca="false">IF(O$8=1,P$24*p_PTf,0)</f>
        <v>328.767123287671</v>
      </c>
      <c r="P25" s="13" t="n">
        <f aca="false">IF(P$8=1,Q$24*p_PTf,0)</f>
        <v>328.767123287671</v>
      </c>
      <c r="Q25" s="13" t="n">
        <f aca="false">IF(Q$8=1,R$24*p_PTf,0)</f>
        <v>328.767123287671</v>
      </c>
      <c r="R25" s="13" t="n">
        <f aca="false">IF(R$8=1,S$24*p_PTf,0)</f>
        <v>410.958904109589</v>
      </c>
      <c r="S25" s="13" t="n">
        <f aca="false">IF(S$8=1,T$24*p_PTf,0)</f>
        <v>410.958904109589</v>
      </c>
      <c r="T25" s="13" t="n">
        <f aca="false">IF(T$8=1,U$24*p_PTf,0)</f>
        <v>410.958904109589</v>
      </c>
      <c r="U25" s="13" t="n">
        <f aca="false">IF(U$8=1,V$24*p_PTf,0)</f>
        <v>410.958904109589</v>
      </c>
      <c r="V25" s="13" t="n">
        <f aca="false">IF(V$8=1,W$24*p_PTf,0)</f>
        <v>410.958904109589</v>
      </c>
      <c r="W25" s="13" t="n">
        <f aca="false">IF(W$8=1,X$24*p_PTf,0)</f>
        <v>410.958904109589</v>
      </c>
      <c r="X25" s="13" t="n">
        <f aca="false">IF(X$8=1,Y$24*p_PTf,0)</f>
        <v>410.958904109589</v>
      </c>
      <c r="Y25" s="13" t="n">
        <f aca="false">IF(Y$8=1,Z$24*p_PTf,0)</f>
        <v>410.958904109589</v>
      </c>
      <c r="Z25" s="13" t="n">
        <f aca="false">IF(Z$8=1,AA$24*p_PTf,0)</f>
        <v>410.958904109589</v>
      </c>
      <c r="AA25" s="13" t="n">
        <f aca="false">IF(AA$8=1,AB$24*p_PTf,0)</f>
        <v>410.958904109589</v>
      </c>
      <c r="AB25" s="13" t="n">
        <f aca="false">IF(AB$8=1,AC$24*p_PTf,0)</f>
        <v>410.958904109589</v>
      </c>
      <c r="AC25" s="13" t="n">
        <f aca="false">IF(AC$8=1,AD$24*p_PTf,0)</f>
        <v>410.958904109589</v>
      </c>
      <c r="AD25" s="13" t="n">
        <f aca="false">IF(AD$8=1,AE$24*p_PTf,0)</f>
        <v>493.150684931507</v>
      </c>
      <c r="AE25" s="13" t="n">
        <f aca="false">IF(AE$8=1,AF$24*p_PTf,0)</f>
        <v>493.150684931507</v>
      </c>
      <c r="AF25" s="13" t="n">
        <f aca="false">IF(AF$8=1,AG$24*p_PTf,0)</f>
        <v>493.150684931507</v>
      </c>
      <c r="AG25" s="13" t="n">
        <f aca="false">IF(AG$8=1,AH$24*p_PTf,0)</f>
        <v>493.150684931507</v>
      </c>
      <c r="AH25" s="13" t="n">
        <f aca="false">IF(AH$8=1,AI$24*p_PTf,0)</f>
        <v>493.150684931507</v>
      </c>
      <c r="AI25" s="13" t="n">
        <f aca="false">IF(AI$8=1,AJ$24*p_PTf,0)</f>
        <v>493.150684931507</v>
      </c>
      <c r="AJ25" s="13" t="n">
        <f aca="false">IF(AJ$8=1,AK$24*p_PTf,0)</f>
        <v>493.150684931507</v>
      </c>
      <c r="AK25" s="13" t="n">
        <f aca="false">IF(AK$8=1,AL$24*p_PTf,0)</f>
        <v>493.150684931507</v>
      </c>
      <c r="AL25" s="13" t="n">
        <f aca="false">IF(AL$8=1,AM$24*p_PTf,0)</f>
        <v>493.150684931507</v>
      </c>
      <c r="AM25" s="13" t="n">
        <f aca="false">IF(AM$8=1,AN$24*p_PTf,0)</f>
        <v>493.150684931507</v>
      </c>
      <c r="AN25" s="13" t="n">
        <f aca="false">IF(AN$8=1,AO$24*p_PTf,0)</f>
        <v>493.150684931507</v>
      </c>
      <c r="AO25" s="13" t="n">
        <f aca="false">IF(AO$8=1,AP$24*p_PTf,0)</f>
        <v>493.150684931507</v>
      </c>
      <c r="AP25" s="13" t="n">
        <f aca="false">IF(AP$8=1,AQ$24*p_PTf,0)</f>
        <v>575.342465753425</v>
      </c>
      <c r="AQ25" s="13" t="n">
        <f aca="false">IF(AQ$8=1,AR$24*p_PTf,0)</f>
        <v>575.342465753425</v>
      </c>
      <c r="AR25" s="13" t="n">
        <f aca="false">IF(AR$8=1,AS$24*p_PTf,0)</f>
        <v>575.342465753425</v>
      </c>
      <c r="AS25" s="13" t="n">
        <f aca="false">IF(AS$8=1,AT$24*p_PTf,0)</f>
        <v>575.342465753425</v>
      </c>
      <c r="AT25" s="13" t="n">
        <f aca="false">IF(AT$8=1,AU$24*p_PTf,0)</f>
        <v>575.342465753425</v>
      </c>
      <c r="AU25" s="13" t="n">
        <f aca="false">IF(AU$8=1,AV$24*p_PTf,0)</f>
        <v>575.342465753425</v>
      </c>
      <c r="AV25" s="13" t="n">
        <f aca="false">IF(AV$8=1,AW$24*p_PTf,0)</f>
        <v>575.342465753425</v>
      </c>
      <c r="AW25" s="13" t="n">
        <f aca="false">IF(AW$8=1,AX$24*p_PTf,0)</f>
        <v>575.342465753425</v>
      </c>
      <c r="AX25" s="13" t="n">
        <f aca="false">IF(AX$8=1,AY$24*p_PTf,0)</f>
        <v>575.342465753425</v>
      </c>
      <c r="AY25" s="13" t="n">
        <f aca="false">IF(AY$8=1,AZ$24*p_PTf,0)</f>
        <v>575.342465753425</v>
      </c>
      <c r="AZ25" s="13" t="n">
        <f aca="false">IF(AZ$8=1,BA$24*p_PTf,0)</f>
        <v>575.342465753425</v>
      </c>
      <c r="BA25" s="13" t="n">
        <f aca="false">IF(BA$8=1,BB$24*p_PTf,0)</f>
        <v>575.342465753425</v>
      </c>
      <c r="BB25" s="13" t="n">
        <f aca="false">IF(BB$8=1,BC$24*p_PTf,0)</f>
        <v>575.342465753425</v>
      </c>
      <c r="BC25" s="13" t="n">
        <f aca="false">IF(BC$8=1,BD$24*p_PTf,0)</f>
        <v>575.342465753425</v>
      </c>
      <c r="BD25" s="13" t="n">
        <f aca="false">IF(BD$8=1,BE$24*p_PTf,0)</f>
        <v>575.342465753425</v>
      </c>
      <c r="BE25" s="13" t="n">
        <f aca="false">IF(BE$8=1,BF$24*p_PTf,0)</f>
        <v>575.342465753425</v>
      </c>
      <c r="BF25" s="13" t="n">
        <f aca="false">IF(BF$8=1,BG$24*p_PTf,0)</f>
        <v>575.342465753425</v>
      </c>
      <c r="BG25" s="13" t="n">
        <f aca="false">IF(BG$8=1,BH$24*p_PTf,0)</f>
        <v>575.342465753425</v>
      </c>
      <c r="BH25" s="13" t="n">
        <f aca="false">IF(BH$8=1,BI$24*p_PTf,0)</f>
        <v>575.342465753425</v>
      </c>
      <c r="BI25" s="13" t="n">
        <f aca="false">IF(BI$8=1,BJ$24*p_PTf,0)</f>
        <v>575.342465753425</v>
      </c>
      <c r="BJ25" s="13" t="n">
        <f aca="false">IF(BJ$8=1,BK$24*p_PTf,0)</f>
        <v>575.342465753425</v>
      </c>
      <c r="BK25" s="13" t="n">
        <f aca="false">IF(BK$8=1,BL$24*p_PTf,0)</f>
        <v>575.342465753425</v>
      </c>
      <c r="BL25" s="13" t="n">
        <f aca="false">IF(BL$8=1,BM$24*p_PTf,0)</f>
        <v>575.342465753425</v>
      </c>
      <c r="BM25" s="13" t="n">
        <f aca="false">IF(BM$8=1,BN$24*p_PTf,0)</f>
        <v>575.342465753425</v>
      </c>
      <c r="BN25" s="13" t="n">
        <f aca="false">IF(BN$8=1,BO$24*p_PTf,0)</f>
        <v>575.342465753425</v>
      </c>
      <c r="BO25" s="13" t="n">
        <f aca="false">IF(BO$8=1,BP$24*p_PTf,0)</f>
        <v>575.342465753425</v>
      </c>
      <c r="BP25" s="13" t="n">
        <f aca="false">IF(BP$8=1,BQ$24*p_PTf,0)</f>
        <v>575.342465753425</v>
      </c>
      <c r="BQ25" s="13" t="n">
        <f aca="false">IF(BQ$8=1,BR$24*p_PTf,0)</f>
        <v>575.342465753425</v>
      </c>
      <c r="BR25" s="13" t="n">
        <f aca="false">IF(BR$8=1,BS$24*p_PTf,0)</f>
        <v>575.342465753425</v>
      </c>
      <c r="BS25" s="13" t="n">
        <f aca="false">IF(BS$8=1,BT$24*p_PTf,0)</f>
        <v>575.342465753425</v>
      </c>
      <c r="BT25" s="13" t="n">
        <f aca="false">IF(BT$8=1,BU$24*p_PTf,0)</f>
        <v>575.342465753425</v>
      </c>
      <c r="BU25" s="13" t="n">
        <f aca="false">IF(BU$8=1,BV$24*p_PTf,0)</f>
        <v>575.342465753425</v>
      </c>
      <c r="BV25" s="13" t="n">
        <f aca="false">IF(BV$8=1,BW$24*p_PTf,0)</f>
        <v>575.342465753425</v>
      </c>
      <c r="BW25" s="13" t="n">
        <f aca="false">IF(BW$8=1,BX$24*p_PTf,0)</f>
        <v>575.342465753425</v>
      </c>
      <c r="BX25" s="13" t="n">
        <f aca="false">IF(BX$8=1,BY$24*p_PTf,0)</f>
        <v>575.342465753425</v>
      </c>
      <c r="BY25" s="13" t="n">
        <f aca="false">IF(BY$8=1,BZ$24*p_PTf,0)</f>
        <v>575.342465753425</v>
      </c>
      <c r="BZ25" s="13" t="n">
        <f aca="false">IF(BZ$8=1,CA$24*p_PTf,0)</f>
        <v>575.342465753425</v>
      </c>
      <c r="CA25" s="13" t="n">
        <f aca="false">IF(CA$8=1,CB$24*p_PTf,0)</f>
        <v>575.342465753425</v>
      </c>
      <c r="CB25" s="13" t="n">
        <f aca="false">IF(CB$8=1,CC$24*p_PTf,0)</f>
        <v>575.342465753425</v>
      </c>
      <c r="CC25" s="13" t="n">
        <f aca="false">IF(CC$8=1,CD$24*p_PTf,0)</f>
        <v>575.342465753425</v>
      </c>
      <c r="CD25" s="13" t="n">
        <f aca="false">IF(CD$8=1,CE$24*p_PTf,0)</f>
        <v>575.342465753425</v>
      </c>
      <c r="CE25" s="13" t="n">
        <f aca="false">IF(CE$8=1,CF$24*p_PTf,0)</f>
        <v>575.342465753425</v>
      </c>
      <c r="CF25" s="13" t="n">
        <f aca="false">IF(CF$8=1,CG$24*p_PTf,0)</f>
        <v>575.342465753425</v>
      </c>
      <c r="CG25" s="13" t="n">
        <f aca="false">IF(CG$8=1,CH$24*p_PTf,0)</f>
        <v>575.342465753425</v>
      </c>
      <c r="CH25" s="13" t="n">
        <f aca="false">IF(CH$8=1,CI$24*p_PTf,0)</f>
        <v>575.342465753425</v>
      </c>
      <c r="CI25" s="13" t="n">
        <f aca="false">IF(CI$8=1,CJ$24*p_PTf,0)</f>
        <v>575.342465753425</v>
      </c>
      <c r="CJ25" s="13" t="n">
        <f aca="false">IF(CJ$8=1,CK$24*p_PTf,0)</f>
        <v>575.342465753425</v>
      </c>
      <c r="CK25" s="13" t="n">
        <f aca="false">IF(CK$8=1,CL$24*p_PTf,0)</f>
        <v>575.342465753425</v>
      </c>
      <c r="CL25" s="13" t="n">
        <f aca="false">IF(CL$8=1,CM$24*p_PTf,0)</f>
        <v>575.342465753425</v>
      </c>
      <c r="CM25" s="13" t="n">
        <f aca="false">IF(CM$8=1,CN$24*p_PTf,0)</f>
        <v>575.342465753425</v>
      </c>
      <c r="CN25" s="13" t="n">
        <f aca="false">IF(CN$8=1,CO$24*p_PTf,0)</f>
        <v>575.342465753425</v>
      </c>
      <c r="CO25" s="13" t="n">
        <f aca="false">IF(CO$8=1,CP$24*p_PTf,0)</f>
        <v>575.342465753425</v>
      </c>
      <c r="CP25" s="13" t="n">
        <f aca="false">IF(CP$8=1,CQ$24*p_PTf,0)</f>
        <v>575.342465753425</v>
      </c>
      <c r="CQ25" s="13" t="n">
        <f aca="false">IF(CQ$8=1,CR$24*p_PTf,0)</f>
        <v>575.342465753425</v>
      </c>
      <c r="CR25" s="13" t="n">
        <f aca="false">IF(CR$8=1,CS$24*p_PTf,0)</f>
        <v>575.342465753425</v>
      </c>
      <c r="CS25" s="13" t="n">
        <f aca="false">IF(CS$8=1,CT$24*p_PTf,0)</f>
        <v>575.342465753425</v>
      </c>
      <c r="CT25" s="13" t="n">
        <f aca="false">IF(CT$8=1,CU$24*p_PTf,0)</f>
        <v>575.342465753425</v>
      </c>
      <c r="CU25" s="13" t="n">
        <f aca="false">IF(CU$8=1,CV$24*p_PTf,0)</f>
        <v>575.342465753425</v>
      </c>
      <c r="CV25" s="13" t="n">
        <f aca="false">IF(CV$8=1,CW$24*p_PTf,0)</f>
        <v>575.342465753425</v>
      </c>
      <c r="CW25" s="13" t="n">
        <f aca="false">IF(CW$8=1,CX$24*p_PTf,0)</f>
        <v>575.342465753425</v>
      </c>
      <c r="CX25" s="13" t="n">
        <f aca="false">IF(CX$8=1,CY$24*p_PTf,0)</f>
        <v>575.342465753425</v>
      </c>
      <c r="CY25" s="13" t="n">
        <f aca="false">IF(CY$8=1,CZ$24*p_PTf,0)</f>
        <v>575.342465753425</v>
      </c>
      <c r="CZ25" s="13" t="n">
        <f aca="false">IF(CZ$8=1,DA$24*p_PTf,0)</f>
        <v>575.342465753425</v>
      </c>
      <c r="DA25" s="13" t="n">
        <f aca="false">IF(DA$8=1,DB$24*p_PTf,0)</f>
        <v>575.342465753425</v>
      </c>
      <c r="DB25" s="13" t="n">
        <f aca="false">IF(DB$8=1,DC$24*p_PTf,0)</f>
        <v>575.342465753425</v>
      </c>
      <c r="DC25" s="13" t="n">
        <f aca="false">IF(DC$8=1,DD$24*p_PTf,0)</f>
        <v>575.342465753425</v>
      </c>
      <c r="DD25" s="13" t="n">
        <f aca="false">IF(DD$8=1,DE$24*p_PTf,0)</f>
        <v>575.342465753425</v>
      </c>
      <c r="DE25" s="13" t="n">
        <f aca="false">IF(DE$8=1,DF$24*p_PTf,0)</f>
        <v>575.342465753425</v>
      </c>
      <c r="DF25" s="13" t="n">
        <f aca="false">IF(DF$8=1,DG$24*p_PTf,0)</f>
        <v>575.342465753425</v>
      </c>
      <c r="DG25" s="13" t="n">
        <f aca="false">IF(DG$8=1,DH$24*p_PTf,0)</f>
        <v>575.342465753425</v>
      </c>
      <c r="DH25" s="13" t="n">
        <f aca="false">IF(DH$8=1,DI$24*p_PTf,0)</f>
        <v>575.342465753425</v>
      </c>
      <c r="DI25" s="13" t="n">
        <f aca="false">IF(DI$8=1,DJ$24*p_PTf,0)</f>
        <v>575.342465753425</v>
      </c>
      <c r="DJ25" s="13" t="n">
        <f aca="false">IF(DJ$8=1,DK$24*p_PTf,0)</f>
        <v>575.342465753425</v>
      </c>
      <c r="DK25" s="13" t="n">
        <f aca="false">IF(DK$8=1,DL$24*p_PTf,0)</f>
        <v>575.342465753425</v>
      </c>
      <c r="DL25" s="13" t="n">
        <f aca="false">IF(DL$8=1,DM$24*p_PTf,0)</f>
        <v>575.342465753425</v>
      </c>
      <c r="DM25" s="13" t="n">
        <f aca="false">IF(DM$8=1,DN$24*p_PTf,0)</f>
        <v>575.342465753425</v>
      </c>
      <c r="DN25" s="13" t="n">
        <f aca="false">IF(DN$8=1,DO$24*p_PTf,0)</f>
        <v>575.342465753425</v>
      </c>
      <c r="DO25" s="13" t="n">
        <f aca="false">IF(DO$8=1,DP$24*p_PTf,0)</f>
        <v>575.342465753425</v>
      </c>
      <c r="DP25" s="13" t="n">
        <f aca="false">IF(DP$8=1,DQ$24*p_PTf,0)</f>
        <v>575.342465753425</v>
      </c>
      <c r="DQ25" s="13" t="n">
        <f aca="false">IF(DQ$8=1,DR$24*p_PTf,0)</f>
        <v>575.342465753425</v>
      </c>
      <c r="DR25" s="13" t="n">
        <f aca="false">IF(DR$8=1,DS$24*p_PTf,0)</f>
        <v>575.342465753425</v>
      </c>
      <c r="DS25" s="13" t="n">
        <f aca="false">IF(DS$8=1,DT$24*p_PTf,0)</f>
        <v>575.342465753425</v>
      </c>
      <c r="DT25" s="13" t="n">
        <f aca="false">IF(DT$8=1,DU$24*p_PTf,0)</f>
        <v>575.342465753425</v>
      </c>
      <c r="DU25" s="13" t="n">
        <f aca="false">IF(DU$8=1,DV$24*p_PTf,0)</f>
        <v>575.342465753425</v>
      </c>
      <c r="DV25" s="13" t="n">
        <f aca="false">IF(DV$8=1,DW$24*p_PTf,0)</f>
        <v>0</v>
      </c>
      <c r="DW25" s="13" t="n">
        <f aca="false">IF(DW$8=1,DX$24*p_PTf,0)</f>
        <v>0</v>
      </c>
      <c r="DX25" s="13" t="n">
        <f aca="false">IF(DX$8=1,DY$24*p_PTf,0)</f>
        <v>0</v>
      </c>
      <c r="DY25" s="13" t="n">
        <f aca="false">IF(DY$8=1,DZ$24*p_PTf,0)</f>
        <v>0</v>
      </c>
      <c r="DZ25" s="13" t="n">
        <f aca="false">IF(DZ$8=1,EA$24*p_PTf,0)</f>
        <v>0</v>
      </c>
      <c r="EA25" s="13" t="n">
        <f aca="false">IF(EA$8=1,EB$24*p_PTf,0)</f>
        <v>0</v>
      </c>
      <c r="EB25" s="13" t="n">
        <f aca="false">IF(EB$8=1,EC$24*p_PTf,0)</f>
        <v>0</v>
      </c>
      <c r="EC25" s="13" t="n">
        <f aca="false">IF(EC$8=1,ED$24*p_PTf,0)</f>
        <v>0</v>
      </c>
      <c r="ED25" s="13" t="n">
        <f aca="false">IF(ED$8=1,EE$24*p_PTf,0)</f>
        <v>0</v>
      </c>
      <c r="EE25" s="13" t="n">
        <f aca="false">IF(EE$8=1,EF$24*p_PTf,0)</f>
        <v>0</v>
      </c>
      <c r="EF25" s="13" t="n">
        <f aca="false">IF(EF$8=1,EG$24*p_PTf,0)</f>
        <v>0</v>
      </c>
      <c r="EG25" s="13" t="n">
        <f aca="false">IF(EG$8=1,EH$24*p_PTf,0)</f>
        <v>0</v>
      </c>
      <c r="EH25" s="13" t="n">
        <f aca="false">IF(EH$8=1,EI$24*p_PTf,0)</f>
        <v>0</v>
      </c>
      <c r="EI25" s="13" t="n">
        <f aca="false">IF(EI$8=1,EJ$24*p_PTf,0)</f>
        <v>0</v>
      </c>
      <c r="EJ25" s="13" t="n">
        <f aca="false">IF(EJ$8=1,EK$24*p_PTf,0)</f>
        <v>0</v>
      </c>
      <c r="EK25" s="13" t="n">
        <f aca="false">IF(EK$8=1,EL$24*p_PTf,0)</f>
        <v>0</v>
      </c>
      <c r="EL25" s="13" t="n">
        <f aca="false">IF(EL$8=1,EM$24*p_PTf,0)</f>
        <v>0</v>
      </c>
      <c r="EM25" s="13" t="n">
        <f aca="false">IF(EM$8=1,EN$24*p_PTf,0)</f>
        <v>0</v>
      </c>
      <c r="EN25" s="13" t="n">
        <f aca="false">IF(EN$8=1,EO$24*p_PTf,0)</f>
        <v>0</v>
      </c>
      <c r="EO25" s="13" t="n">
        <f aca="false">IF(EO$8=1,EP$24*p_PTf,0)</f>
        <v>0</v>
      </c>
      <c r="EP25" s="13" t="n">
        <f aca="false">IF(EP$8=1,EQ$24*p_PTf,0)</f>
        <v>0</v>
      </c>
      <c r="EQ25" s="13" t="n">
        <f aca="false">IF(EQ$8=1,ER$24*p_PTf,0)</f>
        <v>0</v>
      </c>
      <c r="ER25" s="13" t="n">
        <f aca="false">IF(ER$8=1,ES$24*p_PTf,0)</f>
        <v>0</v>
      </c>
      <c r="ES25" s="13" t="n">
        <f aca="false">IF(ES$8=1,ET$24*p_PTf,0)</f>
        <v>0</v>
      </c>
      <c r="ET25" s="13" t="n">
        <f aca="false">IF(ET$8=1,EU$24*p_PTf,0)</f>
        <v>0</v>
      </c>
      <c r="EU25" s="13" t="n">
        <f aca="false">IF(EU$8=1,EV$24*p_PTf,0)</f>
        <v>0</v>
      </c>
      <c r="EV25" s="13" t="n">
        <f aca="false">IF(EV$8=1,EW$24*p_PTf,0)</f>
        <v>0</v>
      </c>
      <c r="EW25" s="13" t="n">
        <f aca="false">IF(EW$8=1,EX$24*p_PTf,0)</f>
        <v>0</v>
      </c>
      <c r="EX25" s="13" t="n">
        <f aca="false">IF(EX$8=1,EY$24*p_PTf,0)</f>
        <v>0</v>
      </c>
      <c r="EY25" s="13" t="n">
        <f aca="false">IF(EY$8=1,EZ$24*p_PTf,0)</f>
        <v>0</v>
      </c>
      <c r="EZ25" s="13" t="n">
        <f aca="false">IF(EZ$8=1,FA$24*p_PTf,0)</f>
        <v>0</v>
      </c>
      <c r="FA25" s="13" t="n">
        <f aca="false">IF(FA$8=1,FB$24*p_PTf,0)</f>
        <v>0</v>
      </c>
      <c r="FB25" s="13" t="n">
        <f aca="false">IF(FB$8=1,FC$24*p_PTf,0)</f>
        <v>0</v>
      </c>
      <c r="FC25" s="13" t="n">
        <f aca="false">IF(FC$8=1,FD$24*p_PTf,0)</f>
        <v>0</v>
      </c>
      <c r="FD25" s="13" t="n">
        <f aca="false">IF(FD$8=1,FE$24*p_PTf,0)</f>
        <v>0</v>
      </c>
      <c r="FE25" s="13" t="n">
        <f aca="false">IF(FE$8=1,FF$24*p_PTf,0)</f>
        <v>0</v>
      </c>
      <c r="FF25" s="13" t="n">
        <f aca="false">IF(FF$8=1,0*p_PTf,0)</f>
        <v>0</v>
      </c>
    </row>
    <row r="26" customFormat="false" ht="15" hidden="false" customHeight="false" outlineLevel="0" collapsed="false">
      <c r="A26" s="2" t="s">
        <v>850</v>
      </c>
      <c r="B26" s="66" t="s">
        <v>851</v>
      </c>
      <c r="C26" s="8" t="s">
        <v>825</v>
      </c>
      <c r="E26" s="67" t="n">
        <f aca="false">SUM($F26:$FF26)</f>
        <v>192000</v>
      </c>
      <c r="F26" s="12" t="n">
        <f aca="false">IF(F$9=1,SUMIFS(dr_Cant,dr_Mes,0,dr_Cod,"U_PROD_G",dr_Est,"&lt;&gt;Excluido"),MAX(0,F$24+F$25-0))</f>
        <v>0</v>
      </c>
      <c r="G26" s="12" t="n">
        <f aca="false">IF(G$9=1,SUMIFS(dr_Cant,dr_Mes,1,dr_Cod,"U_PROD_G",dr_Est,"&lt;&gt;Excluido"),MAX(0,G$24+G$25-F$27))</f>
        <v>1328.76712328767</v>
      </c>
      <c r="H26" s="12" t="n">
        <f aca="false">IF(H$9=1,SUMIFS(dr_Cant,dr_Mes,2,dr_Cod,"U_PROD_G",dr_Est,"&lt;&gt;Excluido"),MAX(0,H$24+H$25-G$27))</f>
        <v>1000</v>
      </c>
      <c r="I26" s="12" t="n">
        <f aca="false">IF(I$9=1,SUMIFS(dr_Cant,dr_Mes,3,dr_Cod,"U_PROD_G",dr_Est,"&lt;&gt;Excluido"),MAX(0,I$24+I$25-H$27))</f>
        <v>1000</v>
      </c>
      <c r="J26" s="12" t="n">
        <f aca="false">IF(J$9=1,SUMIFS(dr_Cant,dr_Mes,4,dr_Cod,"U_PROD_G",dr_Est,"&lt;&gt;Excluido"),MAX(0,J$24+J$25-I$27))</f>
        <v>1000</v>
      </c>
      <c r="K26" s="12" t="n">
        <f aca="false">IF(K$9=1,SUMIFS(dr_Cant,dr_Mes,5,dr_Cod,"U_PROD_G",dr_Est,"&lt;&gt;Excluido"),MAX(0,K$24+K$25-J$27))</f>
        <v>1000</v>
      </c>
      <c r="L26" s="12" t="n">
        <f aca="false">IF(L$9=1,SUMIFS(dr_Cant,dr_Mes,6,dr_Cod,"U_PROD_G",dr_Est,"&lt;&gt;Excluido"),MAX(0,L$24+L$25-K$27))</f>
        <v>1000</v>
      </c>
      <c r="M26" s="12" t="n">
        <f aca="false">IF(M$9=1,SUMIFS(dr_Cant,dr_Mes,7,dr_Cod,"U_PROD_G",dr_Est,"&lt;&gt;Excluido"),MAX(0,M$24+M$25-L$27))</f>
        <v>1000</v>
      </c>
      <c r="N26" s="12" t="n">
        <f aca="false">IF(N$9=1,SUMIFS(dr_Cant,dr_Mes,8,dr_Cod,"U_PROD_G",dr_Est,"&lt;&gt;Excluido"),MAX(0,N$24+N$25-M$27))</f>
        <v>1000</v>
      </c>
      <c r="O26" s="12" t="n">
        <f aca="false">IF(O$9=1,SUMIFS(dr_Cant,dr_Mes,9,dr_Cod,"U_PROD_G",dr_Est,"&lt;&gt;Excluido"),MAX(0,O$24+O$25-N$27))</f>
        <v>1000</v>
      </c>
      <c r="P26" s="12" t="n">
        <f aca="false">IF(P$9=1,SUMIFS(dr_Cant,dr_Mes,10,dr_Cod,"U_PROD_G",dr_Est,"&lt;&gt;Excluido"),MAX(0,P$24+P$25-O$27))</f>
        <v>1000</v>
      </c>
      <c r="Q26" s="12" t="n">
        <f aca="false">IF(Q$9=1,SUMIFS(dr_Cant,dr_Mes,11,dr_Cod,"U_PROD_G",dr_Est,"&lt;&gt;Excluido"),MAX(0,Q$24+Q$25-P$27))</f>
        <v>1000</v>
      </c>
      <c r="R26" s="12" t="n">
        <f aca="false">IF(R$9=1,SUMIFS(dr_Cant,dr_Mes,12,dr_Cod,"U_PROD_G",dr_Est,"&lt;&gt;Excluido"),MAX(0,R$24+R$25-Q$27))</f>
        <v>1082.19178082192</v>
      </c>
      <c r="S26" s="12" t="n">
        <f aca="false">IF(S$9=1,SUMIFS(dr_Cant,dr_Mes,13,dr_Cod,"U_PROD_G",dr_Est,"&lt;&gt;Excluido"),MAX(0,S$24+S$25-R$27))</f>
        <v>1250</v>
      </c>
      <c r="T26" s="12" t="n">
        <f aca="false">IF(T$9=1,SUMIFS(dr_Cant,dr_Mes,14,dr_Cod,"U_PROD_G",dr_Est,"&lt;&gt;Excluido"),MAX(0,T$24+T$25-S$27))</f>
        <v>1250</v>
      </c>
      <c r="U26" s="12" t="n">
        <f aca="false">IF(U$9=1,SUMIFS(dr_Cant,dr_Mes,15,dr_Cod,"U_PROD_G",dr_Est,"&lt;&gt;Excluido"),MAX(0,U$24+U$25-T$27))</f>
        <v>1250</v>
      </c>
      <c r="V26" s="12" t="n">
        <f aca="false">IF(V$9=1,SUMIFS(dr_Cant,dr_Mes,16,dr_Cod,"U_PROD_G",dr_Est,"&lt;&gt;Excluido"),MAX(0,V$24+V$25-U$27))</f>
        <v>1250</v>
      </c>
      <c r="W26" s="12" t="n">
        <f aca="false">IF(W$9=1,SUMIFS(dr_Cant,dr_Mes,17,dr_Cod,"U_PROD_G",dr_Est,"&lt;&gt;Excluido"),MAX(0,W$24+W$25-V$27))</f>
        <v>1250</v>
      </c>
      <c r="X26" s="12" t="n">
        <f aca="false">IF(X$9=1,SUMIFS(dr_Cant,dr_Mes,18,dr_Cod,"U_PROD_G",dr_Est,"&lt;&gt;Excluido"),MAX(0,X$24+X$25-W$27))</f>
        <v>1250</v>
      </c>
      <c r="Y26" s="12" t="n">
        <f aca="false">IF(Y$9=1,SUMIFS(dr_Cant,dr_Mes,19,dr_Cod,"U_PROD_G",dr_Est,"&lt;&gt;Excluido"),MAX(0,Y$24+Y$25-X$27))</f>
        <v>1250</v>
      </c>
      <c r="Z26" s="12" t="n">
        <f aca="false">IF(Z$9=1,SUMIFS(dr_Cant,dr_Mes,20,dr_Cod,"U_PROD_G",dr_Est,"&lt;&gt;Excluido"),MAX(0,Z$24+Z$25-Y$27))</f>
        <v>1250</v>
      </c>
      <c r="AA26" s="12" t="n">
        <f aca="false">IF(AA$9=1,SUMIFS(dr_Cant,dr_Mes,21,dr_Cod,"U_PROD_G",dr_Est,"&lt;&gt;Excluido"),MAX(0,AA$24+AA$25-Z$27))</f>
        <v>1250</v>
      </c>
      <c r="AB26" s="12" t="n">
        <f aca="false">IF(AB$9=1,SUMIFS(dr_Cant,dr_Mes,22,dr_Cod,"U_PROD_G",dr_Est,"&lt;&gt;Excluido"),MAX(0,AB$24+AB$25-AA$27))</f>
        <v>1250</v>
      </c>
      <c r="AC26" s="12" t="n">
        <f aca="false">IF(AC$9=1,SUMIFS(dr_Cant,dr_Mes,23,dr_Cod,"U_PROD_G",dr_Est,"&lt;&gt;Excluido"),MAX(0,AC$24+AC$25-AB$27))</f>
        <v>1250</v>
      </c>
      <c r="AD26" s="12" t="n">
        <f aca="false">IF(AD$9=1,SUMIFS(dr_Cant,dr_Mes,24,dr_Cod,"U_PROD_G",dr_Est,"&lt;&gt;Excluido"),MAX(0,AD$24+AD$25-AC$27))</f>
        <v>1332.19178082192</v>
      </c>
      <c r="AE26" s="12" t="n">
        <f aca="false">IF(AE$9=1,SUMIFS(dr_Cant,dr_Mes,25,dr_Cod,"U_PROD_G",dr_Est,"&lt;&gt;Excluido"),MAX(0,AE$24+AE$25-AD$27))</f>
        <v>1500</v>
      </c>
      <c r="AF26" s="12" t="n">
        <f aca="false">IF(AF$9=1,SUMIFS(dr_Cant,dr_Mes,26,dr_Cod,"U_PROD_G",dr_Est,"&lt;&gt;Excluido"),MAX(0,AF$24+AF$25-AE$27))</f>
        <v>1500</v>
      </c>
      <c r="AG26" s="12" t="n">
        <f aca="false">IF(AG$9=1,SUMIFS(dr_Cant,dr_Mes,27,dr_Cod,"U_PROD_G",dr_Est,"&lt;&gt;Excluido"),MAX(0,AG$24+AG$25-AF$27))</f>
        <v>1500</v>
      </c>
      <c r="AH26" s="12" t="n">
        <f aca="false">IF(AH$9=1,SUMIFS(dr_Cant,dr_Mes,28,dr_Cod,"U_PROD_G",dr_Est,"&lt;&gt;Excluido"),MAX(0,AH$24+AH$25-AG$27))</f>
        <v>1500</v>
      </c>
      <c r="AI26" s="12" t="n">
        <f aca="false">IF(AI$9=1,SUMIFS(dr_Cant,dr_Mes,29,dr_Cod,"U_PROD_G",dr_Est,"&lt;&gt;Excluido"),MAX(0,AI$24+AI$25-AH$27))</f>
        <v>1500</v>
      </c>
      <c r="AJ26" s="12" t="n">
        <f aca="false">IF(AJ$9=1,SUMIFS(dr_Cant,dr_Mes,30,dr_Cod,"U_PROD_G",dr_Est,"&lt;&gt;Excluido"),MAX(0,AJ$24+AJ$25-AI$27))</f>
        <v>1500</v>
      </c>
      <c r="AK26" s="12" t="n">
        <f aca="false">IF(AK$9=1,SUMIFS(dr_Cant,dr_Mes,31,dr_Cod,"U_PROD_G",dr_Est,"&lt;&gt;Excluido"),MAX(0,AK$24+AK$25-AJ$27))</f>
        <v>1500</v>
      </c>
      <c r="AL26" s="12" t="n">
        <f aca="false">IF(AL$9=1,SUMIFS(dr_Cant,dr_Mes,32,dr_Cod,"U_PROD_G",dr_Est,"&lt;&gt;Excluido"),MAX(0,AL$24+AL$25-AK$27))</f>
        <v>1500</v>
      </c>
      <c r="AM26" s="12" t="n">
        <f aca="false">IF(AM$9=1,SUMIFS(dr_Cant,dr_Mes,33,dr_Cod,"U_PROD_G",dr_Est,"&lt;&gt;Excluido"),MAX(0,AM$24+AM$25-AL$27))</f>
        <v>1500</v>
      </c>
      <c r="AN26" s="12" t="n">
        <f aca="false">IF(AN$9=1,SUMIFS(dr_Cant,dr_Mes,34,dr_Cod,"U_PROD_G",dr_Est,"&lt;&gt;Excluido"),MAX(0,AN$24+AN$25-AM$27))</f>
        <v>1500</v>
      </c>
      <c r="AO26" s="12" t="n">
        <f aca="false">IF(AO$9=1,SUMIFS(dr_Cant,dr_Mes,35,dr_Cod,"U_PROD_G",dr_Est,"&lt;&gt;Excluido"),MAX(0,AO$24+AO$25-AN$27))</f>
        <v>1500</v>
      </c>
      <c r="AP26" s="12" t="n">
        <f aca="false">IF(AP$9=1,SUMIFS(dr_Cant,dr_Mes,36,dr_Cod,"U_PROD_G",dr_Est,"&lt;&gt;Excluido"),MAX(0,AP$24+AP$25-AO$27))</f>
        <v>1582.19178082192</v>
      </c>
      <c r="AQ26" s="12" t="n">
        <f aca="false">IF(AQ$9=1,SUMIFS(dr_Cant,dr_Mes,37,dr_Cod,"U_PROD_G",dr_Est,"&lt;&gt;Excluido"),MAX(0,AQ$24+AQ$25-AP$27))</f>
        <v>1750</v>
      </c>
      <c r="AR26" s="12" t="n">
        <f aca="false">IF(AR$9=1,SUMIFS(dr_Cant,dr_Mes,38,dr_Cod,"U_PROD_G",dr_Est,"&lt;&gt;Excluido"),MAX(0,AR$24+AR$25-AQ$27))</f>
        <v>1750</v>
      </c>
      <c r="AS26" s="12" t="n">
        <f aca="false">IF(AS$9=1,SUMIFS(dr_Cant,dr_Mes,39,dr_Cod,"U_PROD_G",dr_Est,"&lt;&gt;Excluido"),MAX(0,AS$24+AS$25-AR$27))</f>
        <v>1750</v>
      </c>
      <c r="AT26" s="12" t="n">
        <f aca="false">IF(AT$9=1,SUMIFS(dr_Cant,dr_Mes,40,dr_Cod,"U_PROD_G",dr_Est,"&lt;&gt;Excluido"),MAX(0,AT$24+AT$25-AS$27))</f>
        <v>1750</v>
      </c>
      <c r="AU26" s="12" t="n">
        <f aca="false">IF(AU$9=1,SUMIFS(dr_Cant,dr_Mes,41,dr_Cod,"U_PROD_G",dr_Est,"&lt;&gt;Excluido"),MAX(0,AU$24+AU$25-AT$27))</f>
        <v>1750</v>
      </c>
      <c r="AV26" s="12" t="n">
        <f aca="false">IF(AV$9=1,SUMIFS(dr_Cant,dr_Mes,42,dr_Cod,"U_PROD_G",dr_Est,"&lt;&gt;Excluido"),MAX(0,AV$24+AV$25-AU$27))</f>
        <v>1750</v>
      </c>
      <c r="AW26" s="12" t="n">
        <f aca="false">IF(AW$9=1,SUMIFS(dr_Cant,dr_Mes,43,dr_Cod,"U_PROD_G",dr_Est,"&lt;&gt;Excluido"),MAX(0,AW$24+AW$25-AV$27))</f>
        <v>1750</v>
      </c>
      <c r="AX26" s="12" t="n">
        <f aca="false">IF(AX$9=1,SUMIFS(dr_Cant,dr_Mes,44,dr_Cod,"U_PROD_G",dr_Est,"&lt;&gt;Excluido"),MAX(0,AX$24+AX$25-AW$27))</f>
        <v>1750</v>
      </c>
      <c r="AY26" s="12" t="n">
        <f aca="false">IF(AY$9=1,SUMIFS(dr_Cant,dr_Mes,45,dr_Cod,"U_PROD_G",dr_Est,"&lt;&gt;Excluido"),MAX(0,AY$24+AY$25-AX$27))</f>
        <v>1750</v>
      </c>
      <c r="AZ26" s="12" t="n">
        <f aca="false">IF(AZ$9=1,SUMIFS(dr_Cant,dr_Mes,46,dr_Cod,"U_PROD_G",dr_Est,"&lt;&gt;Excluido"),MAX(0,AZ$24+AZ$25-AY$27))</f>
        <v>1750</v>
      </c>
      <c r="BA26" s="12" t="n">
        <f aca="false">IF(BA$9=1,SUMIFS(dr_Cant,dr_Mes,47,dr_Cod,"U_PROD_G",dr_Est,"&lt;&gt;Excluido"),MAX(0,BA$24+BA$25-AZ$27))</f>
        <v>1750</v>
      </c>
      <c r="BB26" s="12" t="n">
        <f aca="false">IF(BB$9=1,SUMIFS(dr_Cant,dr_Mes,48,dr_Cod,"U_PROD_G",dr_Est,"&lt;&gt;Excluido"),MAX(0,BB$24+BB$25-BA$27))</f>
        <v>1750</v>
      </c>
      <c r="BC26" s="12" t="n">
        <f aca="false">IF(BC$9=1,SUMIFS(dr_Cant,dr_Mes,49,dr_Cod,"U_PROD_G",dr_Est,"&lt;&gt;Excluido"),MAX(0,BC$24+BC$25-BB$27))</f>
        <v>1750</v>
      </c>
      <c r="BD26" s="12" t="n">
        <f aca="false">IF(BD$9=1,SUMIFS(dr_Cant,dr_Mes,50,dr_Cod,"U_PROD_G",dr_Est,"&lt;&gt;Excluido"),MAX(0,BD$24+BD$25-BC$27))</f>
        <v>1750</v>
      </c>
      <c r="BE26" s="12" t="n">
        <f aca="false">IF(BE$9=1,SUMIFS(dr_Cant,dr_Mes,51,dr_Cod,"U_PROD_G",dr_Est,"&lt;&gt;Excluido"),MAX(0,BE$24+BE$25-BD$27))</f>
        <v>1750</v>
      </c>
      <c r="BF26" s="12" t="n">
        <f aca="false">IF(BF$9=1,SUMIFS(dr_Cant,dr_Mes,52,dr_Cod,"U_PROD_G",dr_Est,"&lt;&gt;Excluido"),MAX(0,BF$24+BF$25-BE$27))</f>
        <v>1750</v>
      </c>
      <c r="BG26" s="12" t="n">
        <f aca="false">IF(BG$9=1,SUMIFS(dr_Cant,dr_Mes,53,dr_Cod,"U_PROD_G",dr_Est,"&lt;&gt;Excluido"),MAX(0,BG$24+BG$25-BF$27))</f>
        <v>1750</v>
      </c>
      <c r="BH26" s="12" t="n">
        <f aca="false">IF(BH$9=1,SUMIFS(dr_Cant,dr_Mes,54,dr_Cod,"U_PROD_G",dr_Est,"&lt;&gt;Excluido"),MAX(0,BH$24+BH$25-BG$27))</f>
        <v>1750</v>
      </c>
      <c r="BI26" s="12" t="n">
        <f aca="false">IF(BI$9=1,SUMIFS(dr_Cant,dr_Mes,55,dr_Cod,"U_PROD_G",dr_Est,"&lt;&gt;Excluido"),MAX(0,BI$24+BI$25-BH$27))</f>
        <v>1750</v>
      </c>
      <c r="BJ26" s="12" t="n">
        <f aca="false">IF(BJ$9=1,SUMIFS(dr_Cant,dr_Mes,56,dr_Cod,"U_PROD_G",dr_Est,"&lt;&gt;Excluido"),MAX(0,BJ$24+BJ$25-BI$27))</f>
        <v>1750</v>
      </c>
      <c r="BK26" s="12" t="n">
        <f aca="false">IF(BK$9=1,SUMIFS(dr_Cant,dr_Mes,57,dr_Cod,"U_PROD_G",dr_Est,"&lt;&gt;Excluido"),MAX(0,BK$24+BK$25-BJ$27))</f>
        <v>1750</v>
      </c>
      <c r="BL26" s="12" t="n">
        <f aca="false">IF(BL$9=1,SUMIFS(dr_Cant,dr_Mes,58,dr_Cod,"U_PROD_G",dr_Est,"&lt;&gt;Excluido"),MAX(0,BL$24+BL$25-BK$27))</f>
        <v>1750</v>
      </c>
      <c r="BM26" s="12" t="n">
        <f aca="false">IF(BM$9=1,SUMIFS(dr_Cant,dr_Mes,59,dr_Cod,"U_PROD_G",dr_Est,"&lt;&gt;Excluido"),MAX(0,BM$24+BM$25-BL$27))</f>
        <v>1750</v>
      </c>
      <c r="BN26" s="12" t="n">
        <f aca="false">IF(BN$9=1,SUMIFS(dr_Cant,dr_Mes,60,dr_Cod,"U_PROD_G",dr_Est,"&lt;&gt;Excluido"),MAX(0,BN$24+BN$25-BM$27))</f>
        <v>1750</v>
      </c>
      <c r="BO26" s="12" t="n">
        <f aca="false">IF(BO$9=1,SUMIFS(dr_Cant,dr_Mes,61,dr_Cod,"U_PROD_G",dr_Est,"&lt;&gt;Excluido"),MAX(0,BO$24+BO$25-BN$27))</f>
        <v>1750</v>
      </c>
      <c r="BP26" s="12" t="n">
        <f aca="false">IF(BP$9=1,SUMIFS(dr_Cant,dr_Mes,62,dr_Cod,"U_PROD_G",dr_Est,"&lt;&gt;Excluido"),MAX(0,BP$24+BP$25-BO$27))</f>
        <v>1750</v>
      </c>
      <c r="BQ26" s="12" t="n">
        <f aca="false">IF(BQ$9=1,SUMIFS(dr_Cant,dr_Mes,63,dr_Cod,"U_PROD_G",dr_Est,"&lt;&gt;Excluido"),MAX(0,BQ$24+BQ$25-BP$27))</f>
        <v>1750</v>
      </c>
      <c r="BR26" s="12" t="n">
        <f aca="false">IF(BR$9=1,SUMIFS(dr_Cant,dr_Mes,64,dr_Cod,"U_PROD_G",dr_Est,"&lt;&gt;Excluido"),MAX(0,BR$24+BR$25-BQ$27))</f>
        <v>1750</v>
      </c>
      <c r="BS26" s="12" t="n">
        <f aca="false">IF(BS$9=1,SUMIFS(dr_Cant,dr_Mes,65,dr_Cod,"U_PROD_G",dr_Est,"&lt;&gt;Excluido"),MAX(0,BS$24+BS$25-BR$27))</f>
        <v>1750</v>
      </c>
      <c r="BT26" s="12" t="n">
        <f aca="false">IF(BT$9=1,SUMIFS(dr_Cant,dr_Mes,66,dr_Cod,"U_PROD_G",dr_Est,"&lt;&gt;Excluido"),MAX(0,BT$24+BT$25-BS$27))</f>
        <v>1750</v>
      </c>
      <c r="BU26" s="12" t="n">
        <f aca="false">IF(BU$9=1,SUMIFS(dr_Cant,dr_Mes,67,dr_Cod,"U_PROD_G",dr_Est,"&lt;&gt;Excluido"),MAX(0,BU$24+BU$25-BT$27))</f>
        <v>1750</v>
      </c>
      <c r="BV26" s="12" t="n">
        <f aca="false">IF(BV$9=1,SUMIFS(dr_Cant,dr_Mes,68,dr_Cod,"U_PROD_G",dr_Est,"&lt;&gt;Excluido"),MAX(0,BV$24+BV$25-BU$27))</f>
        <v>1750</v>
      </c>
      <c r="BW26" s="12" t="n">
        <f aca="false">IF(BW$9=1,SUMIFS(dr_Cant,dr_Mes,69,dr_Cod,"U_PROD_G",dr_Est,"&lt;&gt;Excluido"),MAX(0,BW$24+BW$25-BV$27))</f>
        <v>1750</v>
      </c>
      <c r="BX26" s="12" t="n">
        <f aca="false">IF(BX$9=1,SUMIFS(dr_Cant,dr_Mes,70,dr_Cod,"U_PROD_G",dr_Est,"&lt;&gt;Excluido"),MAX(0,BX$24+BX$25-BW$27))</f>
        <v>1750</v>
      </c>
      <c r="BY26" s="12" t="n">
        <f aca="false">IF(BY$9=1,SUMIFS(dr_Cant,dr_Mes,71,dr_Cod,"U_PROD_G",dr_Est,"&lt;&gt;Excluido"),MAX(0,BY$24+BY$25-BX$27))</f>
        <v>1750</v>
      </c>
      <c r="BZ26" s="12" t="n">
        <f aca="false">IF(BZ$9=1,SUMIFS(dr_Cant,dr_Mes,72,dr_Cod,"U_PROD_G",dr_Est,"&lt;&gt;Excluido"),MAX(0,BZ$24+BZ$25-BY$27))</f>
        <v>1750</v>
      </c>
      <c r="CA26" s="12" t="n">
        <f aca="false">IF(CA$9=1,SUMIFS(dr_Cant,dr_Mes,73,dr_Cod,"U_PROD_G",dr_Est,"&lt;&gt;Excluido"),MAX(0,CA$24+CA$25-BZ$27))</f>
        <v>1750</v>
      </c>
      <c r="CB26" s="12" t="n">
        <f aca="false">IF(CB$9=1,SUMIFS(dr_Cant,dr_Mes,74,dr_Cod,"U_PROD_G",dr_Est,"&lt;&gt;Excluido"),MAX(0,CB$24+CB$25-CA$27))</f>
        <v>1750</v>
      </c>
      <c r="CC26" s="12" t="n">
        <f aca="false">IF(CC$9=1,SUMIFS(dr_Cant,dr_Mes,75,dr_Cod,"U_PROD_G",dr_Est,"&lt;&gt;Excluido"),MAX(0,CC$24+CC$25-CB$27))</f>
        <v>1750</v>
      </c>
      <c r="CD26" s="12" t="n">
        <f aca="false">IF(CD$9=1,SUMIFS(dr_Cant,dr_Mes,76,dr_Cod,"U_PROD_G",dr_Est,"&lt;&gt;Excluido"),MAX(0,CD$24+CD$25-CC$27))</f>
        <v>1750</v>
      </c>
      <c r="CE26" s="12" t="n">
        <f aca="false">IF(CE$9=1,SUMIFS(dr_Cant,dr_Mes,77,dr_Cod,"U_PROD_G",dr_Est,"&lt;&gt;Excluido"),MAX(0,CE$24+CE$25-CD$27))</f>
        <v>1750</v>
      </c>
      <c r="CF26" s="12" t="n">
        <f aca="false">IF(CF$9=1,SUMIFS(dr_Cant,dr_Mes,78,dr_Cod,"U_PROD_G",dr_Est,"&lt;&gt;Excluido"),MAX(0,CF$24+CF$25-CE$27))</f>
        <v>1750</v>
      </c>
      <c r="CG26" s="12" t="n">
        <f aca="false">IF(CG$9=1,SUMIFS(dr_Cant,dr_Mes,79,dr_Cod,"U_PROD_G",dr_Est,"&lt;&gt;Excluido"),MAX(0,CG$24+CG$25-CF$27))</f>
        <v>1750</v>
      </c>
      <c r="CH26" s="12" t="n">
        <f aca="false">IF(CH$9=1,SUMIFS(dr_Cant,dr_Mes,80,dr_Cod,"U_PROD_G",dr_Est,"&lt;&gt;Excluido"),MAX(0,CH$24+CH$25-CG$27))</f>
        <v>1750</v>
      </c>
      <c r="CI26" s="12" t="n">
        <f aca="false">IF(CI$9=1,SUMIFS(dr_Cant,dr_Mes,81,dr_Cod,"U_PROD_G",dr_Est,"&lt;&gt;Excluido"),MAX(0,CI$24+CI$25-CH$27))</f>
        <v>1750</v>
      </c>
      <c r="CJ26" s="12" t="n">
        <f aca="false">IF(CJ$9=1,SUMIFS(dr_Cant,dr_Mes,82,dr_Cod,"U_PROD_G",dr_Est,"&lt;&gt;Excluido"),MAX(0,CJ$24+CJ$25-CI$27))</f>
        <v>1750</v>
      </c>
      <c r="CK26" s="12" t="n">
        <f aca="false">IF(CK$9=1,SUMIFS(dr_Cant,dr_Mes,83,dr_Cod,"U_PROD_G",dr_Est,"&lt;&gt;Excluido"),MAX(0,CK$24+CK$25-CJ$27))</f>
        <v>1750</v>
      </c>
      <c r="CL26" s="12" t="n">
        <f aca="false">IF(CL$9=1,SUMIFS(dr_Cant,dr_Mes,84,dr_Cod,"U_PROD_G",dr_Est,"&lt;&gt;Excluido"),MAX(0,CL$24+CL$25-CK$27))</f>
        <v>1750</v>
      </c>
      <c r="CM26" s="12" t="n">
        <f aca="false">IF(CM$9=1,SUMIFS(dr_Cant,dr_Mes,85,dr_Cod,"U_PROD_G",dr_Est,"&lt;&gt;Excluido"),MAX(0,CM$24+CM$25-CL$27))</f>
        <v>1750</v>
      </c>
      <c r="CN26" s="12" t="n">
        <f aca="false">IF(CN$9=1,SUMIFS(dr_Cant,dr_Mes,86,dr_Cod,"U_PROD_G",dr_Est,"&lt;&gt;Excluido"),MAX(0,CN$24+CN$25-CM$27))</f>
        <v>1750</v>
      </c>
      <c r="CO26" s="12" t="n">
        <f aca="false">IF(CO$9=1,SUMIFS(dr_Cant,dr_Mes,87,dr_Cod,"U_PROD_G",dr_Est,"&lt;&gt;Excluido"),MAX(0,CO$24+CO$25-CN$27))</f>
        <v>1750</v>
      </c>
      <c r="CP26" s="12" t="n">
        <f aca="false">IF(CP$9=1,SUMIFS(dr_Cant,dr_Mes,88,dr_Cod,"U_PROD_G",dr_Est,"&lt;&gt;Excluido"),MAX(0,CP$24+CP$25-CO$27))</f>
        <v>1750</v>
      </c>
      <c r="CQ26" s="12" t="n">
        <f aca="false">IF(CQ$9=1,SUMIFS(dr_Cant,dr_Mes,89,dr_Cod,"U_PROD_G",dr_Est,"&lt;&gt;Excluido"),MAX(0,CQ$24+CQ$25-CP$27))</f>
        <v>1750</v>
      </c>
      <c r="CR26" s="12" t="n">
        <f aca="false">IF(CR$9=1,SUMIFS(dr_Cant,dr_Mes,90,dr_Cod,"U_PROD_G",dr_Est,"&lt;&gt;Excluido"),MAX(0,CR$24+CR$25-CQ$27))</f>
        <v>1750</v>
      </c>
      <c r="CS26" s="12" t="n">
        <f aca="false">IF(CS$9=1,SUMIFS(dr_Cant,dr_Mes,91,dr_Cod,"U_PROD_G",dr_Est,"&lt;&gt;Excluido"),MAX(0,CS$24+CS$25-CR$27))</f>
        <v>1750</v>
      </c>
      <c r="CT26" s="12" t="n">
        <f aca="false">IF(CT$9=1,SUMIFS(dr_Cant,dr_Mes,92,dr_Cod,"U_PROD_G",dr_Est,"&lt;&gt;Excluido"),MAX(0,CT$24+CT$25-CS$27))</f>
        <v>1750</v>
      </c>
      <c r="CU26" s="12" t="n">
        <f aca="false">IF(CU$9=1,SUMIFS(dr_Cant,dr_Mes,93,dr_Cod,"U_PROD_G",dr_Est,"&lt;&gt;Excluido"),MAX(0,CU$24+CU$25-CT$27))</f>
        <v>1750</v>
      </c>
      <c r="CV26" s="12" t="n">
        <f aca="false">IF(CV$9=1,SUMIFS(dr_Cant,dr_Mes,94,dr_Cod,"U_PROD_G",dr_Est,"&lt;&gt;Excluido"),MAX(0,CV$24+CV$25-CU$27))</f>
        <v>1750</v>
      </c>
      <c r="CW26" s="12" t="n">
        <f aca="false">IF(CW$9=1,SUMIFS(dr_Cant,dr_Mes,95,dr_Cod,"U_PROD_G",dr_Est,"&lt;&gt;Excluido"),MAX(0,CW$24+CW$25-CV$27))</f>
        <v>1750</v>
      </c>
      <c r="CX26" s="12" t="n">
        <f aca="false">IF(CX$9=1,SUMIFS(dr_Cant,dr_Mes,96,dr_Cod,"U_PROD_G",dr_Est,"&lt;&gt;Excluido"),MAX(0,CX$24+CX$25-CW$27))</f>
        <v>1750</v>
      </c>
      <c r="CY26" s="12" t="n">
        <f aca="false">IF(CY$9=1,SUMIFS(dr_Cant,dr_Mes,97,dr_Cod,"U_PROD_G",dr_Est,"&lt;&gt;Excluido"),MAX(0,CY$24+CY$25-CX$27))</f>
        <v>1750</v>
      </c>
      <c r="CZ26" s="12" t="n">
        <f aca="false">IF(CZ$9=1,SUMIFS(dr_Cant,dr_Mes,98,dr_Cod,"U_PROD_G",dr_Est,"&lt;&gt;Excluido"),MAX(0,CZ$24+CZ$25-CY$27))</f>
        <v>1750</v>
      </c>
      <c r="DA26" s="12" t="n">
        <f aca="false">IF(DA$9=1,SUMIFS(dr_Cant,dr_Mes,99,dr_Cod,"U_PROD_G",dr_Est,"&lt;&gt;Excluido"),MAX(0,DA$24+DA$25-CZ$27))</f>
        <v>1750</v>
      </c>
      <c r="DB26" s="12" t="n">
        <f aca="false">IF(DB$9=1,SUMIFS(dr_Cant,dr_Mes,100,dr_Cod,"U_PROD_G",dr_Est,"&lt;&gt;Excluido"),MAX(0,DB$24+DB$25-DA$27))</f>
        <v>1750</v>
      </c>
      <c r="DC26" s="12" t="n">
        <f aca="false">IF(DC$9=1,SUMIFS(dr_Cant,dr_Mes,101,dr_Cod,"U_PROD_G",dr_Est,"&lt;&gt;Excluido"),MAX(0,DC$24+DC$25-DB$27))</f>
        <v>1750</v>
      </c>
      <c r="DD26" s="12" t="n">
        <f aca="false">IF(DD$9=1,SUMIFS(dr_Cant,dr_Mes,102,dr_Cod,"U_PROD_G",dr_Est,"&lt;&gt;Excluido"),MAX(0,DD$24+DD$25-DC$27))</f>
        <v>1750</v>
      </c>
      <c r="DE26" s="12" t="n">
        <f aca="false">IF(DE$9=1,SUMIFS(dr_Cant,dr_Mes,103,dr_Cod,"U_PROD_G",dr_Est,"&lt;&gt;Excluido"),MAX(0,DE$24+DE$25-DD$27))</f>
        <v>1750</v>
      </c>
      <c r="DF26" s="12" t="n">
        <f aca="false">IF(DF$9=1,SUMIFS(dr_Cant,dr_Mes,104,dr_Cod,"U_PROD_G",dr_Est,"&lt;&gt;Excluido"),MAX(0,DF$24+DF$25-DE$27))</f>
        <v>1750</v>
      </c>
      <c r="DG26" s="12" t="n">
        <f aca="false">IF(DG$9=1,SUMIFS(dr_Cant,dr_Mes,105,dr_Cod,"U_PROD_G",dr_Est,"&lt;&gt;Excluido"),MAX(0,DG$24+DG$25-DF$27))</f>
        <v>1750</v>
      </c>
      <c r="DH26" s="12" t="n">
        <f aca="false">IF(DH$9=1,SUMIFS(dr_Cant,dr_Mes,106,dr_Cod,"U_PROD_G",dr_Est,"&lt;&gt;Excluido"),MAX(0,DH$24+DH$25-DG$27))</f>
        <v>1750</v>
      </c>
      <c r="DI26" s="12" t="n">
        <f aca="false">IF(DI$9=1,SUMIFS(dr_Cant,dr_Mes,107,dr_Cod,"U_PROD_G",dr_Est,"&lt;&gt;Excluido"),MAX(0,DI$24+DI$25-DH$27))</f>
        <v>1750</v>
      </c>
      <c r="DJ26" s="12" t="n">
        <f aca="false">IF(DJ$9=1,SUMIFS(dr_Cant,dr_Mes,108,dr_Cod,"U_PROD_G",dr_Est,"&lt;&gt;Excluido"),MAX(0,DJ$24+DJ$25-DI$27))</f>
        <v>1750</v>
      </c>
      <c r="DK26" s="12" t="n">
        <f aca="false">IF(DK$9=1,SUMIFS(dr_Cant,dr_Mes,109,dr_Cod,"U_PROD_G",dr_Est,"&lt;&gt;Excluido"),MAX(0,DK$24+DK$25-DJ$27))</f>
        <v>1750</v>
      </c>
      <c r="DL26" s="12" t="n">
        <f aca="false">IF(DL$9=1,SUMIFS(dr_Cant,dr_Mes,110,dr_Cod,"U_PROD_G",dr_Est,"&lt;&gt;Excluido"),MAX(0,DL$24+DL$25-DK$27))</f>
        <v>1750</v>
      </c>
      <c r="DM26" s="12" t="n">
        <f aca="false">IF(DM$9=1,SUMIFS(dr_Cant,dr_Mes,111,dr_Cod,"U_PROD_G",dr_Est,"&lt;&gt;Excluido"),MAX(0,DM$24+DM$25-DL$27))</f>
        <v>1750</v>
      </c>
      <c r="DN26" s="12" t="n">
        <f aca="false">IF(DN$9=1,SUMIFS(dr_Cant,dr_Mes,112,dr_Cod,"U_PROD_G",dr_Est,"&lt;&gt;Excluido"),MAX(0,DN$24+DN$25-DM$27))</f>
        <v>1750</v>
      </c>
      <c r="DO26" s="12" t="n">
        <f aca="false">IF(DO$9=1,SUMIFS(dr_Cant,dr_Mes,113,dr_Cod,"U_PROD_G",dr_Est,"&lt;&gt;Excluido"),MAX(0,DO$24+DO$25-DN$27))</f>
        <v>1750</v>
      </c>
      <c r="DP26" s="12" t="n">
        <f aca="false">IF(DP$9=1,SUMIFS(dr_Cant,dr_Mes,114,dr_Cod,"U_PROD_G",dr_Est,"&lt;&gt;Excluido"),MAX(0,DP$24+DP$25-DO$27))</f>
        <v>1750</v>
      </c>
      <c r="DQ26" s="12" t="n">
        <f aca="false">IF(DQ$9=1,SUMIFS(dr_Cant,dr_Mes,115,dr_Cod,"U_PROD_G",dr_Est,"&lt;&gt;Excluido"),MAX(0,DQ$24+DQ$25-DP$27))</f>
        <v>1750</v>
      </c>
      <c r="DR26" s="12" t="n">
        <f aca="false">IF(DR$9=1,SUMIFS(dr_Cant,dr_Mes,116,dr_Cod,"U_PROD_G",dr_Est,"&lt;&gt;Excluido"),MAX(0,DR$24+DR$25-DQ$27))</f>
        <v>1750</v>
      </c>
      <c r="DS26" s="12" t="n">
        <f aca="false">IF(DS$9=1,SUMIFS(dr_Cant,dr_Mes,117,dr_Cod,"U_PROD_G",dr_Est,"&lt;&gt;Excluido"),MAX(0,DS$24+DS$25-DR$27))</f>
        <v>1750</v>
      </c>
      <c r="DT26" s="12" t="n">
        <f aca="false">IF(DT$9=1,SUMIFS(dr_Cant,dr_Mes,118,dr_Cod,"U_PROD_G",dr_Est,"&lt;&gt;Excluido"),MAX(0,DT$24+DT$25-DS$27))</f>
        <v>1750</v>
      </c>
      <c r="DU26" s="12" t="n">
        <f aca="false">IF(DU$9=1,SUMIFS(dr_Cant,dr_Mes,119,dr_Cod,"U_PROD_G",dr_Est,"&lt;&gt;Excluido"),MAX(0,DU$24+DU$25-DT$27))</f>
        <v>1750</v>
      </c>
      <c r="DV26" s="12" t="n">
        <f aca="false">IF(DV$9=1,SUMIFS(dr_Cant,dr_Mes,120,dr_Cod,"U_PROD_G",dr_Est,"&lt;&gt;Excluido"),MAX(0,DV$24+DV$25-DU$27))</f>
        <v>1174.65753424658</v>
      </c>
      <c r="DW26" s="12" t="n">
        <f aca="false">IF(DW$9=1,SUMIFS(dr_Cant,dr_Mes,121,dr_Cod,"U_PROD_G",dr_Est,"&lt;&gt;Excluido"),MAX(0,DW$24+DW$25-DV$27))</f>
        <v>0</v>
      </c>
      <c r="DX26" s="12" t="n">
        <f aca="false">IF(DX$9=1,SUMIFS(dr_Cant,dr_Mes,122,dr_Cod,"U_PROD_G",dr_Est,"&lt;&gt;Excluido"),MAX(0,DX$24+DX$25-DW$27))</f>
        <v>0</v>
      </c>
      <c r="DY26" s="12" t="n">
        <f aca="false">IF(DY$9=1,SUMIFS(dr_Cant,dr_Mes,123,dr_Cod,"U_PROD_G",dr_Est,"&lt;&gt;Excluido"),MAX(0,DY$24+DY$25-DX$27))</f>
        <v>0</v>
      </c>
      <c r="DZ26" s="12" t="n">
        <f aca="false">IF(DZ$9=1,SUMIFS(dr_Cant,dr_Mes,124,dr_Cod,"U_PROD_G",dr_Est,"&lt;&gt;Excluido"),MAX(0,DZ$24+DZ$25-DY$27))</f>
        <v>0</v>
      </c>
      <c r="EA26" s="12" t="n">
        <f aca="false">IF(EA$9=1,SUMIFS(dr_Cant,dr_Mes,125,dr_Cod,"U_PROD_G",dr_Est,"&lt;&gt;Excluido"),MAX(0,EA$24+EA$25-DZ$27))</f>
        <v>0</v>
      </c>
      <c r="EB26" s="12" t="n">
        <f aca="false">IF(EB$9=1,SUMIFS(dr_Cant,dr_Mes,126,dr_Cod,"U_PROD_G",dr_Est,"&lt;&gt;Excluido"),MAX(0,EB$24+EB$25-EA$27))</f>
        <v>0</v>
      </c>
      <c r="EC26" s="12" t="n">
        <f aca="false">IF(EC$9=1,SUMIFS(dr_Cant,dr_Mes,127,dr_Cod,"U_PROD_G",dr_Est,"&lt;&gt;Excluido"),MAX(0,EC$24+EC$25-EB$27))</f>
        <v>0</v>
      </c>
      <c r="ED26" s="12" t="n">
        <f aca="false">IF(ED$9=1,SUMIFS(dr_Cant,dr_Mes,128,dr_Cod,"U_PROD_G",dr_Est,"&lt;&gt;Excluido"),MAX(0,ED$24+ED$25-EC$27))</f>
        <v>0</v>
      </c>
      <c r="EE26" s="12" t="n">
        <f aca="false">IF(EE$9=1,SUMIFS(dr_Cant,dr_Mes,129,dr_Cod,"U_PROD_G",dr_Est,"&lt;&gt;Excluido"),MAX(0,EE$24+EE$25-ED$27))</f>
        <v>0</v>
      </c>
      <c r="EF26" s="12" t="n">
        <f aca="false">IF(EF$9=1,SUMIFS(dr_Cant,dr_Mes,130,dr_Cod,"U_PROD_G",dr_Est,"&lt;&gt;Excluido"),MAX(0,EF$24+EF$25-EE$27))</f>
        <v>0</v>
      </c>
      <c r="EG26" s="12" t="n">
        <f aca="false">IF(EG$9=1,SUMIFS(dr_Cant,dr_Mes,131,dr_Cod,"U_PROD_G",dr_Est,"&lt;&gt;Excluido"),MAX(0,EG$24+EG$25-EF$27))</f>
        <v>0</v>
      </c>
      <c r="EH26" s="12" t="n">
        <f aca="false">IF(EH$9=1,SUMIFS(dr_Cant,dr_Mes,132,dr_Cod,"U_PROD_G",dr_Est,"&lt;&gt;Excluido"),MAX(0,EH$24+EH$25-EG$27))</f>
        <v>0</v>
      </c>
      <c r="EI26" s="12" t="n">
        <f aca="false">IF(EI$9=1,SUMIFS(dr_Cant,dr_Mes,133,dr_Cod,"U_PROD_G",dr_Est,"&lt;&gt;Excluido"),MAX(0,EI$24+EI$25-EH$27))</f>
        <v>0</v>
      </c>
      <c r="EJ26" s="12" t="n">
        <f aca="false">IF(EJ$9=1,SUMIFS(dr_Cant,dr_Mes,134,dr_Cod,"U_PROD_G",dr_Est,"&lt;&gt;Excluido"),MAX(0,EJ$24+EJ$25-EI$27))</f>
        <v>0</v>
      </c>
      <c r="EK26" s="12" t="n">
        <f aca="false">IF(EK$9=1,SUMIFS(dr_Cant,dr_Mes,135,dr_Cod,"U_PROD_G",dr_Est,"&lt;&gt;Excluido"),MAX(0,EK$24+EK$25-EJ$27))</f>
        <v>0</v>
      </c>
      <c r="EL26" s="12" t="n">
        <f aca="false">IF(EL$9=1,SUMIFS(dr_Cant,dr_Mes,136,dr_Cod,"U_PROD_G",dr_Est,"&lt;&gt;Excluido"),MAX(0,EL$24+EL$25-EK$27))</f>
        <v>0</v>
      </c>
      <c r="EM26" s="12" t="n">
        <f aca="false">IF(EM$9=1,SUMIFS(dr_Cant,dr_Mes,137,dr_Cod,"U_PROD_G",dr_Est,"&lt;&gt;Excluido"),MAX(0,EM$24+EM$25-EL$27))</f>
        <v>0</v>
      </c>
      <c r="EN26" s="12" t="n">
        <f aca="false">IF(EN$9=1,SUMIFS(dr_Cant,dr_Mes,138,dr_Cod,"U_PROD_G",dr_Est,"&lt;&gt;Excluido"),MAX(0,EN$24+EN$25-EM$27))</f>
        <v>0</v>
      </c>
      <c r="EO26" s="12" t="n">
        <f aca="false">IF(EO$9=1,SUMIFS(dr_Cant,dr_Mes,139,dr_Cod,"U_PROD_G",dr_Est,"&lt;&gt;Excluido"),MAX(0,EO$24+EO$25-EN$27))</f>
        <v>0</v>
      </c>
      <c r="EP26" s="12" t="n">
        <f aca="false">IF(EP$9=1,SUMIFS(dr_Cant,dr_Mes,140,dr_Cod,"U_PROD_G",dr_Est,"&lt;&gt;Excluido"),MAX(0,EP$24+EP$25-EO$27))</f>
        <v>0</v>
      </c>
      <c r="EQ26" s="12" t="n">
        <f aca="false">IF(EQ$9=1,SUMIFS(dr_Cant,dr_Mes,141,dr_Cod,"U_PROD_G",dr_Est,"&lt;&gt;Excluido"),MAX(0,EQ$24+EQ$25-EP$27))</f>
        <v>0</v>
      </c>
      <c r="ER26" s="12" t="n">
        <f aca="false">IF(ER$9=1,SUMIFS(dr_Cant,dr_Mes,142,dr_Cod,"U_PROD_G",dr_Est,"&lt;&gt;Excluido"),MAX(0,ER$24+ER$25-EQ$27))</f>
        <v>0</v>
      </c>
      <c r="ES26" s="12" t="n">
        <f aca="false">IF(ES$9=1,SUMIFS(dr_Cant,dr_Mes,143,dr_Cod,"U_PROD_G",dr_Est,"&lt;&gt;Excluido"),MAX(0,ES$24+ES$25-ER$27))</f>
        <v>0</v>
      </c>
      <c r="ET26" s="12" t="n">
        <f aca="false">IF(ET$9=1,SUMIFS(dr_Cant,dr_Mes,144,dr_Cod,"U_PROD_G",dr_Est,"&lt;&gt;Excluido"),MAX(0,ET$24+ET$25-ES$27))</f>
        <v>0</v>
      </c>
      <c r="EU26" s="12" t="n">
        <f aca="false">IF(EU$9=1,SUMIFS(dr_Cant,dr_Mes,145,dr_Cod,"U_PROD_G",dr_Est,"&lt;&gt;Excluido"),MAX(0,EU$24+EU$25-ET$27))</f>
        <v>0</v>
      </c>
      <c r="EV26" s="12" t="n">
        <f aca="false">IF(EV$9=1,SUMIFS(dr_Cant,dr_Mes,146,dr_Cod,"U_PROD_G",dr_Est,"&lt;&gt;Excluido"),MAX(0,EV$24+EV$25-EU$27))</f>
        <v>0</v>
      </c>
      <c r="EW26" s="12" t="n">
        <f aca="false">IF(EW$9=1,SUMIFS(dr_Cant,dr_Mes,147,dr_Cod,"U_PROD_G",dr_Est,"&lt;&gt;Excluido"),MAX(0,EW$24+EW$25-EV$27))</f>
        <v>0</v>
      </c>
      <c r="EX26" s="12" t="n">
        <f aca="false">IF(EX$9=1,SUMIFS(dr_Cant,dr_Mes,148,dr_Cod,"U_PROD_G",dr_Est,"&lt;&gt;Excluido"),MAX(0,EX$24+EX$25-EW$27))</f>
        <v>0</v>
      </c>
      <c r="EY26" s="12" t="n">
        <f aca="false">IF(EY$9=1,SUMIFS(dr_Cant,dr_Mes,149,dr_Cod,"U_PROD_G",dr_Est,"&lt;&gt;Excluido"),MAX(0,EY$24+EY$25-EX$27))</f>
        <v>0</v>
      </c>
      <c r="EZ26" s="12" t="n">
        <f aca="false">IF(EZ$9=1,SUMIFS(dr_Cant,dr_Mes,150,dr_Cod,"U_PROD_G",dr_Est,"&lt;&gt;Excluido"),MAX(0,EZ$24+EZ$25-EY$27))</f>
        <v>0</v>
      </c>
      <c r="FA26" s="12" t="n">
        <f aca="false">IF(FA$9=1,SUMIFS(dr_Cant,dr_Mes,151,dr_Cod,"U_PROD_G",dr_Est,"&lt;&gt;Excluido"),MAX(0,FA$24+FA$25-EZ$27))</f>
        <v>0</v>
      </c>
      <c r="FB26" s="12" t="n">
        <f aca="false">IF(FB$9=1,SUMIFS(dr_Cant,dr_Mes,152,dr_Cod,"U_PROD_G",dr_Est,"&lt;&gt;Excluido"),MAX(0,FB$24+FB$25-FA$27))</f>
        <v>0</v>
      </c>
      <c r="FC26" s="12" t="n">
        <f aca="false">IF(FC$9=1,SUMIFS(dr_Cant,dr_Mes,153,dr_Cod,"U_PROD_G",dr_Est,"&lt;&gt;Excluido"),MAX(0,FC$24+FC$25-FB$27))</f>
        <v>0</v>
      </c>
      <c r="FD26" s="12" t="n">
        <f aca="false">IF(FD$9=1,SUMIFS(dr_Cant,dr_Mes,154,dr_Cod,"U_PROD_G",dr_Est,"&lt;&gt;Excluido"),MAX(0,FD$24+FD$25-FC$27))</f>
        <v>0</v>
      </c>
      <c r="FE26" s="12" t="n">
        <f aca="false">IF(FE$9=1,SUMIFS(dr_Cant,dr_Mes,155,dr_Cod,"U_PROD_G",dr_Est,"&lt;&gt;Excluido"),MAX(0,FE$24+FE$25-FD$27))</f>
        <v>0</v>
      </c>
      <c r="FF26" s="12" t="n">
        <f aca="false">IF(FF$9=1,SUMIFS(dr_Cant,dr_Mes,156,dr_Cod,"U_PROD_G",dr_Est,"&lt;&gt;Excluido"),MAX(0,FF$24+FF$25-FE$27))</f>
        <v>0</v>
      </c>
    </row>
    <row r="27" customFormat="false" ht="15" hidden="false" customHeight="false" outlineLevel="0" collapsed="false">
      <c r="A27" s="2" t="s">
        <v>852</v>
      </c>
      <c r="B27" s="8" t="s">
        <v>853</v>
      </c>
      <c r="C27" s="8" t="s">
        <v>825</v>
      </c>
      <c r="E27" s="65" t="n">
        <f aca="false">INDEX($F27:$FF27,1,p_MesFin+1)</f>
        <v>0</v>
      </c>
      <c r="F27" s="13" t="n">
        <f aca="false">0+F$26-F$24</f>
        <v>0</v>
      </c>
      <c r="G27" s="13" t="n">
        <f aca="false">F$27+G$26-G$24</f>
        <v>328.767123287671</v>
      </c>
      <c r="H27" s="13" t="n">
        <f aca="false">G$27+H$26-H$24</f>
        <v>328.767123287671</v>
      </c>
      <c r="I27" s="13" t="n">
        <f aca="false">H$27+I$26-I$24</f>
        <v>328.767123287671</v>
      </c>
      <c r="J27" s="13" t="n">
        <f aca="false">I$27+J$26-J$24</f>
        <v>328.767123287671</v>
      </c>
      <c r="K27" s="13" t="n">
        <f aca="false">J$27+K$26-K$24</f>
        <v>328.767123287671</v>
      </c>
      <c r="L27" s="13" t="n">
        <f aca="false">K$27+L$26-L$24</f>
        <v>328.767123287671</v>
      </c>
      <c r="M27" s="13" t="n">
        <f aca="false">L$27+M$26-M$24</f>
        <v>328.767123287671</v>
      </c>
      <c r="N27" s="13" t="n">
        <f aca="false">M$27+N$26-N$24</f>
        <v>328.767123287671</v>
      </c>
      <c r="O27" s="13" t="n">
        <f aca="false">N$27+O$26-O$24</f>
        <v>328.767123287671</v>
      </c>
      <c r="P27" s="13" t="n">
        <f aca="false">O$27+P$26-P$24</f>
        <v>328.767123287671</v>
      </c>
      <c r="Q27" s="13" t="n">
        <f aca="false">P$27+Q$26-Q$24</f>
        <v>328.767123287671</v>
      </c>
      <c r="R27" s="13" t="n">
        <f aca="false">Q$27+R$26-R$24</f>
        <v>410.958904109589</v>
      </c>
      <c r="S27" s="13" t="n">
        <f aca="false">R$27+S$26-S$24</f>
        <v>410.958904109589</v>
      </c>
      <c r="T27" s="13" t="n">
        <f aca="false">S$27+T$26-T$24</f>
        <v>410.958904109589</v>
      </c>
      <c r="U27" s="13" t="n">
        <f aca="false">T$27+U$26-U$24</f>
        <v>410.958904109589</v>
      </c>
      <c r="V27" s="13" t="n">
        <f aca="false">U$27+V$26-V$24</f>
        <v>410.958904109589</v>
      </c>
      <c r="W27" s="13" t="n">
        <f aca="false">V$27+W$26-W$24</f>
        <v>410.958904109589</v>
      </c>
      <c r="X27" s="13" t="n">
        <f aca="false">W$27+X$26-X$24</f>
        <v>410.958904109589</v>
      </c>
      <c r="Y27" s="13" t="n">
        <f aca="false">X$27+Y$26-Y$24</f>
        <v>410.958904109589</v>
      </c>
      <c r="Z27" s="13" t="n">
        <f aca="false">Y$27+Z$26-Z$24</f>
        <v>410.958904109589</v>
      </c>
      <c r="AA27" s="13" t="n">
        <f aca="false">Z$27+AA$26-AA$24</f>
        <v>410.958904109589</v>
      </c>
      <c r="AB27" s="13" t="n">
        <f aca="false">AA$27+AB$26-AB$24</f>
        <v>410.958904109589</v>
      </c>
      <c r="AC27" s="13" t="n">
        <f aca="false">AB$27+AC$26-AC$24</f>
        <v>410.958904109589</v>
      </c>
      <c r="AD27" s="13" t="n">
        <f aca="false">AC$27+AD$26-AD$24</f>
        <v>493.150684931507</v>
      </c>
      <c r="AE27" s="13" t="n">
        <f aca="false">AD$27+AE$26-AE$24</f>
        <v>493.150684931507</v>
      </c>
      <c r="AF27" s="13" t="n">
        <f aca="false">AE$27+AF$26-AF$24</f>
        <v>493.150684931507</v>
      </c>
      <c r="AG27" s="13" t="n">
        <f aca="false">AF$27+AG$26-AG$24</f>
        <v>493.150684931507</v>
      </c>
      <c r="AH27" s="13" t="n">
        <f aca="false">AG$27+AH$26-AH$24</f>
        <v>493.150684931507</v>
      </c>
      <c r="AI27" s="13" t="n">
        <f aca="false">AH$27+AI$26-AI$24</f>
        <v>493.150684931507</v>
      </c>
      <c r="AJ27" s="13" t="n">
        <f aca="false">AI$27+AJ$26-AJ$24</f>
        <v>493.150684931507</v>
      </c>
      <c r="AK27" s="13" t="n">
        <f aca="false">AJ$27+AK$26-AK$24</f>
        <v>493.150684931507</v>
      </c>
      <c r="AL27" s="13" t="n">
        <f aca="false">AK$27+AL$26-AL$24</f>
        <v>493.150684931507</v>
      </c>
      <c r="AM27" s="13" t="n">
        <f aca="false">AL$27+AM$26-AM$24</f>
        <v>493.150684931507</v>
      </c>
      <c r="AN27" s="13" t="n">
        <f aca="false">AM$27+AN$26-AN$24</f>
        <v>493.150684931507</v>
      </c>
      <c r="AO27" s="13" t="n">
        <f aca="false">AN$27+AO$26-AO$24</f>
        <v>493.150684931507</v>
      </c>
      <c r="AP27" s="13" t="n">
        <f aca="false">AO$27+AP$26-AP$24</f>
        <v>575.342465753425</v>
      </c>
      <c r="AQ27" s="13" t="n">
        <f aca="false">AP$27+AQ$26-AQ$24</f>
        <v>575.342465753425</v>
      </c>
      <c r="AR27" s="13" t="n">
        <f aca="false">AQ$27+AR$26-AR$24</f>
        <v>575.342465753425</v>
      </c>
      <c r="AS27" s="13" t="n">
        <f aca="false">AR$27+AS$26-AS$24</f>
        <v>575.342465753425</v>
      </c>
      <c r="AT27" s="13" t="n">
        <f aca="false">AS$27+AT$26-AT$24</f>
        <v>575.342465753425</v>
      </c>
      <c r="AU27" s="13" t="n">
        <f aca="false">AT$27+AU$26-AU$24</f>
        <v>575.342465753425</v>
      </c>
      <c r="AV27" s="13" t="n">
        <f aca="false">AU$27+AV$26-AV$24</f>
        <v>575.342465753425</v>
      </c>
      <c r="AW27" s="13" t="n">
        <f aca="false">AV$27+AW$26-AW$24</f>
        <v>575.342465753425</v>
      </c>
      <c r="AX27" s="13" t="n">
        <f aca="false">AW$27+AX$26-AX$24</f>
        <v>575.342465753425</v>
      </c>
      <c r="AY27" s="13" t="n">
        <f aca="false">AX$27+AY$26-AY$24</f>
        <v>575.342465753425</v>
      </c>
      <c r="AZ27" s="13" t="n">
        <f aca="false">AY$27+AZ$26-AZ$24</f>
        <v>575.342465753425</v>
      </c>
      <c r="BA27" s="13" t="n">
        <f aca="false">AZ$27+BA$26-BA$24</f>
        <v>575.342465753425</v>
      </c>
      <c r="BB27" s="13" t="n">
        <f aca="false">BA$27+BB$26-BB$24</f>
        <v>575.342465753425</v>
      </c>
      <c r="BC27" s="13" t="n">
        <f aca="false">BB$27+BC$26-BC$24</f>
        <v>575.342465753425</v>
      </c>
      <c r="BD27" s="13" t="n">
        <f aca="false">BC$27+BD$26-BD$24</f>
        <v>575.342465753425</v>
      </c>
      <c r="BE27" s="13" t="n">
        <f aca="false">BD$27+BE$26-BE$24</f>
        <v>575.342465753425</v>
      </c>
      <c r="BF27" s="13" t="n">
        <f aca="false">BE$27+BF$26-BF$24</f>
        <v>575.342465753425</v>
      </c>
      <c r="BG27" s="13" t="n">
        <f aca="false">BF$27+BG$26-BG$24</f>
        <v>575.342465753425</v>
      </c>
      <c r="BH27" s="13" t="n">
        <f aca="false">BG$27+BH$26-BH$24</f>
        <v>575.342465753425</v>
      </c>
      <c r="BI27" s="13" t="n">
        <f aca="false">BH$27+BI$26-BI$24</f>
        <v>575.342465753425</v>
      </c>
      <c r="BJ27" s="13" t="n">
        <f aca="false">BI$27+BJ$26-BJ$24</f>
        <v>575.342465753425</v>
      </c>
      <c r="BK27" s="13" t="n">
        <f aca="false">BJ$27+BK$26-BK$24</f>
        <v>575.342465753425</v>
      </c>
      <c r="BL27" s="13" t="n">
        <f aca="false">BK$27+BL$26-BL$24</f>
        <v>575.342465753425</v>
      </c>
      <c r="BM27" s="13" t="n">
        <f aca="false">BL$27+BM$26-BM$24</f>
        <v>575.342465753425</v>
      </c>
      <c r="BN27" s="13" t="n">
        <f aca="false">BM$27+BN$26-BN$24</f>
        <v>575.342465753425</v>
      </c>
      <c r="BO27" s="13" t="n">
        <f aca="false">BN$27+BO$26-BO$24</f>
        <v>575.342465753425</v>
      </c>
      <c r="BP27" s="13" t="n">
        <f aca="false">BO$27+BP$26-BP$24</f>
        <v>575.342465753425</v>
      </c>
      <c r="BQ27" s="13" t="n">
        <f aca="false">BP$27+BQ$26-BQ$24</f>
        <v>575.342465753425</v>
      </c>
      <c r="BR27" s="13" t="n">
        <f aca="false">BQ$27+BR$26-BR$24</f>
        <v>575.342465753425</v>
      </c>
      <c r="BS27" s="13" t="n">
        <f aca="false">BR$27+BS$26-BS$24</f>
        <v>575.342465753425</v>
      </c>
      <c r="BT27" s="13" t="n">
        <f aca="false">BS$27+BT$26-BT$24</f>
        <v>575.342465753425</v>
      </c>
      <c r="BU27" s="13" t="n">
        <f aca="false">BT$27+BU$26-BU$24</f>
        <v>575.342465753425</v>
      </c>
      <c r="BV27" s="13" t="n">
        <f aca="false">BU$27+BV$26-BV$24</f>
        <v>575.342465753425</v>
      </c>
      <c r="BW27" s="13" t="n">
        <f aca="false">BV$27+BW$26-BW$24</f>
        <v>575.342465753425</v>
      </c>
      <c r="BX27" s="13" t="n">
        <f aca="false">BW$27+BX$26-BX$24</f>
        <v>575.342465753425</v>
      </c>
      <c r="BY27" s="13" t="n">
        <f aca="false">BX$27+BY$26-BY$24</f>
        <v>575.342465753425</v>
      </c>
      <c r="BZ27" s="13" t="n">
        <f aca="false">BY$27+BZ$26-BZ$24</f>
        <v>575.342465753425</v>
      </c>
      <c r="CA27" s="13" t="n">
        <f aca="false">BZ$27+CA$26-CA$24</f>
        <v>575.342465753425</v>
      </c>
      <c r="CB27" s="13" t="n">
        <f aca="false">CA$27+CB$26-CB$24</f>
        <v>575.342465753425</v>
      </c>
      <c r="CC27" s="13" t="n">
        <f aca="false">CB$27+CC$26-CC$24</f>
        <v>575.342465753425</v>
      </c>
      <c r="CD27" s="13" t="n">
        <f aca="false">CC$27+CD$26-CD$24</f>
        <v>575.342465753425</v>
      </c>
      <c r="CE27" s="13" t="n">
        <f aca="false">CD$27+CE$26-CE$24</f>
        <v>575.342465753425</v>
      </c>
      <c r="CF27" s="13" t="n">
        <f aca="false">CE$27+CF$26-CF$24</f>
        <v>575.342465753425</v>
      </c>
      <c r="CG27" s="13" t="n">
        <f aca="false">CF$27+CG$26-CG$24</f>
        <v>575.342465753425</v>
      </c>
      <c r="CH27" s="13" t="n">
        <f aca="false">CG$27+CH$26-CH$24</f>
        <v>575.342465753425</v>
      </c>
      <c r="CI27" s="13" t="n">
        <f aca="false">CH$27+CI$26-CI$24</f>
        <v>575.342465753425</v>
      </c>
      <c r="CJ27" s="13" t="n">
        <f aca="false">CI$27+CJ$26-CJ$24</f>
        <v>575.342465753425</v>
      </c>
      <c r="CK27" s="13" t="n">
        <f aca="false">CJ$27+CK$26-CK$24</f>
        <v>575.342465753425</v>
      </c>
      <c r="CL27" s="13" t="n">
        <f aca="false">CK$27+CL$26-CL$24</f>
        <v>575.342465753425</v>
      </c>
      <c r="CM27" s="13" t="n">
        <f aca="false">CL$27+CM$26-CM$24</f>
        <v>575.342465753425</v>
      </c>
      <c r="CN27" s="13" t="n">
        <f aca="false">CM$27+CN$26-CN$24</f>
        <v>575.342465753425</v>
      </c>
      <c r="CO27" s="13" t="n">
        <f aca="false">CN$27+CO$26-CO$24</f>
        <v>575.342465753425</v>
      </c>
      <c r="CP27" s="13" t="n">
        <f aca="false">CO$27+CP$26-CP$24</f>
        <v>575.342465753425</v>
      </c>
      <c r="CQ27" s="13" t="n">
        <f aca="false">CP$27+CQ$26-CQ$24</f>
        <v>575.342465753425</v>
      </c>
      <c r="CR27" s="13" t="n">
        <f aca="false">CQ$27+CR$26-CR$24</f>
        <v>575.342465753425</v>
      </c>
      <c r="CS27" s="13" t="n">
        <f aca="false">CR$27+CS$26-CS$24</f>
        <v>575.342465753425</v>
      </c>
      <c r="CT27" s="13" t="n">
        <f aca="false">CS$27+CT$26-CT$24</f>
        <v>575.342465753425</v>
      </c>
      <c r="CU27" s="13" t="n">
        <f aca="false">CT$27+CU$26-CU$24</f>
        <v>575.342465753425</v>
      </c>
      <c r="CV27" s="13" t="n">
        <f aca="false">CU$27+CV$26-CV$24</f>
        <v>575.342465753425</v>
      </c>
      <c r="CW27" s="13" t="n">
        <f aca="false">CV$27+CW$26-CW$24</f>
        <v>575.342465753425</v>
      </c>
      <c r="CX27" s="13" t="n">
        <f aca="false">CW$27+CX$26-CX$24</f>
        <v>575.342465753425</v>
      </c>
      <c r="CY27" s="13" t="n">
        <f aca="false">CX$27+CY$26-CY$24</f>
        <v>575.342465753425</v>
      </c>
      <c r="CZ27" s="13" t="n">
        <f aca="false">CY$27+CZ$26-CZ$24</f>
        <v>575.342465753425</v>
      </c>
      <c r="DA27" s="13" t="n">
        <f aca="false">CZ$27+DA$26-DA$24</f>
        <v>575.342465753425</v>
      </c>
      <c r="DB27" s="13" t="n">
        <f aca="false">DA$27+DB$26-DB$24</f>
        <v>575.342465753425</v>
      </c>
      <c r="DC27" s="13" t="n">
        <f aca="false">DB$27+DC$26-DC$24</f>
        <v>575.342465753425</v>
      </c>
      <c r="DD27" s="13" t="n">
        <f aca="false">DC$27+DD$26-DD$24</f>
        <v>575.342465753425</v>
      </c>
      <c r="DE27" s="13" t="n">
        <f aca="false">DD$27+DE$26-DE$24</f>
        <v>575.342465753425</v>
      </c>
      <c r="DF27" s="13" t="n">
        <f aca="false">DE$27+DF$26-DF$24</f>
        <v>575.342465753425</v>
      </c>
      <c r="DG27" s="13" t="n">
        <f aca="false">DF$27+DG$26-DG$24</f>
        <v>575.342465753425</v>
      </c>
      <c r="DH27" s="13" t="n">
        <f aca="false">DG$27+DH$26-DH$24</f>
        <v>575.342465753425</v>
      </c>
      <c r="DI27" s="13" t="n">
        <f aca="false">DH$27+DI$26-DI$24</f>
        <v>575.342465753425</v>
      </c>
      <c r="DJ27" s="13" t="n">
        <f aca="false">DI$27+DJ$26-DJ$24</f>
        <v>575.342465753425</v>
      </c>
      <c r="DK27" s="13" t="n">
        <f aca="false">DJ$27+DK$26-DK$24</f>
        <v>575.342465753425</v>
      </c>
      <c r="DL27" s="13" t="n">
        <f aca="false">DK$27+DL$26-DL$24</f>
        <v>575.342465753425</v>
      </c>
      <c r="DM27" s="13" t="n">
        <f aca="false">DL$27+DM$26-DM$24</f>
        <v>575.342465753425</v>
      </c>
      <c r="DN27" s="13" t="n">
        <f aca="false">DM$27+DN$26-DN$24</f>
        <v>575.342465753425</v>
      </c>
      <c r="DO27" s="13" t="n">
        <f aca="false">DN$27+DO$26-DO$24</f>
        <v>575.342465753425</v>
      </c>
      <c r="DP27" s="13" t="n">
        <f aca="false">DO$27+DP$26-DP$24</f>
        <v>575.342465753425</v>
      </c>
      <c r="DQ27" s="13" t="n">
        <f aca="false">DP$27+DQ$26-DQ$24</f>
        <v>575.342465753425</v>
      </c>
      <c r="DR27" s="13" t="n">
        <f aca="false">DQ$27+DR$26-DR$24</f>
        <v>575.342465753425</v>
      </c>
      <c r="DS27" s="13" t="n">
        <f aca="false">DR$27+DS$26-DS$24</f>
        <v>575.342465753425</v>
      </c>
      <c r="DT27" s="13" t="n">
        <f aca="false">DS$27+DT$26-DT$24</f>
        <v>575.342465753425</v>
      </c>
      <c r="DU27" s="13" t="n">
        <f aca="false">DT$27+DU$26-DU$24</f>
        <v>575.342465753425</v>
      </c>
      <c r="DV27" s="13" t="n">
        <f aca="false">DU$27+DV$26-DV$24</f>
        <v>0</v>
      </c>
      <c r="DW27" s="13" t="n">
        <f aca="false">DV$27+DW$26-DW$24</f>
        <v>0</v>
      </c>
      <c r="DX27" s="13" t="n">
        <f aca="false">DW$27+DX$26-DX$24</f>
        <v>0</v>
      </c>
      <c r="DY27" s="13" t="n">
        <f aca="false">DX$27+DY$26-DY$24</f>
        <v>0</v>
      </c>
      <c r="DZ27" s="13" t="n">
        <f aca="false">DY$27+DZ$26-DZ$24</f>
        <v>0</v>
      </c>
      <c r="EA27" s="13" t="n">
        <f aca="false">DZ$27+EA$26-EA$24</f>
        <v>0</v>
      </c>
      <c r="EB27" s="13" t="n">
        <f aca="false">EA$27+EB$26-EB$24</f>
        <v>0</v>
      </c>
      <c r="EC27" s="13" t="n">
        <f aca="false">EB$27+EC$26-EC$24</f>
        <v>0</v>
      </c>
      <c r="ED27" s="13" t="n">
        <f aca="false">EC$27+ED$26-ED$24</f>
        <v>0</v>
      </c>
      <c r="EE27" s="13" t="n">
        <f aca="false">ED$27+EE$26-EE$24</f>
        <v>0</v>
      </c>
      <c r="EF27" s="13" t="n">
        <f aca="false">EE$27+EF$26-EF$24</f>
        <v>0</v>
      </c>
      <c r="EG27" s="13" t="n">
        <f aca="false">EF$27+EG$26-EG$24</f>
        <v>0</v>
      </c>
      <c r="EH27" s="13" t="n">
        <f aca="false">EG$27+EH$26-EH$24</f>
        <v>0</v>
      </c>
      <c r="EI27" s="13" t="n">
        <f aca="false">EH$27+EI$26-EI$24</f>
        <v>0</v>
      </c>
      <c r="EJ27" s="13" t="n">
        <f aca="false">EI$27+EJ$26-EJ$24</f>
        <v>0</v>
      </c>
      <c r="EK27" s="13" t="n">
        <f aca="false">EJ$27+EK$26-EK$24</f>
        <v>0</v>
      </c>
      <c r="EL27" s="13" t="n">
        <f aca="false">EK$27+EL$26-EL$24</f>
        <v>0</v>
      </c>
      <c r="EM27" s="13" t="n">
        <f aca="false">EL$27+EM$26-EM$24</f>
        <v>0</v>
      </c>
      <c r="EN27" s="13" t="n">
        <f aca="false">EM$27+EN$26-EN$24</f>
        <v>0</v>
      </c>
      <c r="EO27" s="13" t="n">
        <f aca="false">EN$27+EO$26-EO$24</f>
        <v>0</v>
      </c>
      <c r="EP27" s="13" t="n">
        <f aca="false">EO$27+EP$26-EP$24</f>
        <v>0</v>
      </c>
      <c r="EQ27" s="13" t="n">
        <f aca="false">EP$27+EQ$26-EQ$24</f>
        <v>0</v>
      </c>
      <c r="ER27" s="13" t="n">
        <f aca="false">EQ$27+ER$26-ER$24</f>
        <v>0</v>
      </c>
      <c r="ES27" s="13" t="n">
        <f aca="false">ER$27+ES$26-ES$24</f>
        <v>0</v>
      </c>
      <c r="ET27" s="13" t="n">
        <f aca="false">ES$27+ET$26-ET$24</f>
        <v>0</v>
      </c>
      <c r="EU27" s="13" t="n">
        <f aca="false">ET$27+EU$26-EU$24</f>
        <v>0</v>
      </c>
      <c r="EV27" s="13" t="n">
        <f aca="false">EU$27+EV$26-EV$24</f>
        <v>0</v>
      </c>
      <c r="EW27" s="13" t="n">
        <f aca="false">EV$27+EW$26-EW$24</f>
        <v>0</v>
      </c>
      <c r="EX27" s="13" t="n">
        <f aca="false">EW$27+EX$26-EX$24</f>
        <v>0</v>
      </c>
      <c r="EY27" s="13" t="n">
        <f aca="false">EX$27+EY$26-EY$24</f>
        <v>0</v>
      </c>
      <c r="EZ27" s="13" t="n">
        <f aca="false">EY$27+EZ$26-EZ$24</f>
        <v>0</v>
      </c>
      <c r="FA27" s="13" t="n">
        <f aca="false">EZ$27+FA$26-FA$24</f>
        <v>0</v>
      </c>
      <c r="FB27" s="13" t="n">
        <f aca="false">FA$27+FB$26-FB$24</f>
        <v>0</v>
      </c>
      <c r="FC27" s="13" t="n">
        <f aca="false">FB$27+FC$26-FC$24</f>
        <v>0</v>
      </c>
      <c r="FD27" s="13" t="n">
        <f aca="false">FC$27+FD$26-FD$24</f>
        <v>0</v>
      </c>
      <c r="FE27" s="13" t="n">
        <f aca="false">FD$27+FE$26-FE$24</f>
        <v>0</v>
      </c>
      <c r="FF27" s="13" t="n">
        <f aca="false">FE$27+FF$26-FF$24</f>
        <v>0</v>
      </c>
    </row>
    <row r="28" customFormat="false" ht="15" hidden="false" customHeight="false" outlineLevel="0" collapsed="false">
      <c r="A28" s="2" t="s">
        <v>854</v>
      </c>
      <c r="B28" s="8" t="s">
        <v>855</v>
      </c>
      <c r="C28" s="8" t="s">
        <v>825</v>
      </c>
      <c r="E28" s="65" t="n">
        <f aca="false">SUM($F28:$FF28)</f>
        <v>192000</v>
      </c>
      <c r="F28" s="13" t="n">
        <f aca="false">IF(F$9=1,F$26+SUMIFS(dr_Cant,dr_Mes,0,dr_Cod,"U_RCH_G",dr_Est,"&lt;&gt;Excluido"),IF(e_Rech&lt;1,F$26/(1-e_Rech),0))</f>
        <v>0</v>
      </c>
      <c r="G28" s="13" t="n">
        <f aca="false">IF(G$9=1,G$26+SUMIFS(dr_Cant,dr_Mes,1,dr_Cod,"U_RCH_G",dr_Est,"&lt;&gt;Excluido"),IF(e_Rech&lt;1,G$26/(1-e_Rech),0))</f>
        <v>1328.76712328767</v>
      </c>
      <c r="H28" s="13" t="n">
        <f aca="false">IF(H$9=1,H$26+SUMIFS(dr_Cant,dr_Mes,2,dr_Cod,"U_RCH_G",dr_Est,"&lt;&gt;Excluido"),IF(e_Rech&lt;1,H$26/(1-e_Rech),0))</f>
        <v>1000</v>
      </c>
      <c r="I28" s="13" t="n">
        <f aca="false">IF(I$9=1,I$26+SUMIFS(dr_Cant,dr_Mes,3,dr_Cod,"U_RCH_G",dr_Est,"&lt;&gt;Excluido"),IF(e_Rech&lt;1,I$26/(1-e_Rech),0))</f>
        <v>1000</v>
      </c>
      <c r="J28" s="13" t="n">
        <f aca="false">IF(J$9=1,J$26+SUMIFS(dr_Cant,dr_Mes,4,dr_Cod,"U_RCH_G",dr_Est,"&lt;&gt;Excluido"),IF(e_Rech&lt;1,J$26/(1-e_Rech),0))</f>
        <v>1000</v>
      </c>
      <c r="K28" s="13" t="n">
        <f aca="false">IF(K$9=1,K$26+SUMIFS(dr_Cant,dr_Mes,5,dr_Cod,"U_RCH_G",dr_Est,"&lt;&gt;Excluido"),IF(e_Rech&lt;1,K$26/(1-e_Rech),0))</f>
        <v>1000</v>
      </c>
      <c r="L28" s="13" t="n">
        <f aca="false">IF(L$9=1,L$26+SUMIFS(dr_Cant,dr_Mes,6,dr_Cod,"U_RCH_G",dr_Est,"&lt;&gt;Excluido"),IF(e_Rech&lt;1,L$26/(1-e_Rech),0))</f>
        <v>1000</v>
      </c>
      <c r="M28" s="13" t="n">
        <f aca="false">IF(M$9=1,M$26+SUMIFS(dr_Cant,dr_Mes,7,dr_Cod,"U_RCH_G",dr_Est,"&lt;&gt;Excluido"),IF(e_Rech&lt;1,M$26/(1-e_Rech),0))</f>
        <v>1000</v>
      </c>
      <c r="N28" s="13" t="n">
        <f aca="false">IF(N$9=1,N$26+SUMIFS(dr_Cant,dr_Mes,8,dr_Cod,"U_RCH_G",dr_Est,"&lt;&gt;Excluido"),IF(e_Rech&lt;1,N$26/(1-e_Rech),0))</f>
        <v>1000</v>
      </c>
      <c r="O28" s="13" t="n">
        <f aca="false">IF(O$9=1,O$26+SUMIFS(dr_Cant,dr_Mes,9,dr_Cod,"U_RCH_G",dr_Est,"&lt;&gt;Excluido"),IF(e_Rech&lt;1,O$26/(1-e_Rech),0))</f>
        <v>1000</v>
      </c>
      <c r="P28" s="13" t="n">
        <f aca="false">IF(P$9=1,P$26+SUMIFS(dr_Cant,dr_Mes,10,dr_Cod,"U_RCH_G",dr_Est,"&lt;&gt;Excluido"),IF(e_Rech&lt;1,P$26/(1-e_Rech),0))</f>
        <v>1000</v>
      </c>
      <c r="Q28" s="13" t="n">
        <f aca="false">IF(Q$9=1,Q$26+SUMIFS(dr_Cant,dr_Mes,11,dr_Cod,"U_RCH_G",dr_Est,"&lt;&gt;Excluido"),IF(e_Rech&lt;1,Q$26/(1-e_Rech),0))</f>
        <v>1000</v>
      </c>
      <c r="R28" s="13" t="n">
        <f aca="false">IF(R$9=1,R$26+SUMIFS(dr_Cant,dr_Mes,12,dr_Cod,"U_RCH_G",dr_Est,"&lt;&gt;Excluido"),IF(e_Rech&lt;1,R$26/(1-e_Rech),0))</f>
        <v>1082.19178082192</v>
      </c>
      <c r="S28" s="13" t="n">
        <f aca="false">IF(S$9=1,S$26+SUMIFS(dr_Cant,dr_Mes,13,dr_Cod,"U_RCH_G",dr_Est,"&lt;&gt;Excluido"),IF(e_Rech&lt;1,S$26/(1-e_Rech),0))</f>
        <v>1250</v>
      </c>
      <c r="T28" s="13" t="n">
        <f aca="false">IF(T$9=1,T$26+SUMIFS(dr_Cant,dr_Mes,14,dr_Cod,"U_RCH_G",dr_Est,"&lt;&gt;Excluido"),IF(e_Rech&lt;1,T$26/(1-e_Rech),0))</f>
        <v>1250</v>
      </c>
      <c r="U28" s="13" t="n">
        <f aca="false">IF(U$9=1,U$26+SUMIFS(dr_Cant,dr_Mes,15,dr_Cod,"U_RCH_G",dr_Est,"&lt;&gt;Excluido"),IF(e_Rech&lt;1,U$26/(1-e_Rech),0))</f>
        <v>1250</v>
      </c>
      <c r="V28" s="13" t="n">
        <f aca="false">IF(V$9=1,V$26+SUMIFS(dr_Cant,dr_Mes,16,dr_Cod,"U_RCH_G",dr_Est,"&lt;&gt;Excluido"),IF(e_Rech&lt;1,V$26/(1-e_Rech),0))</f>
        <v>1250</v>
      </c>
      <c r="W28" s="13" t="n">
        <f aca="false">IF(W$9=1,W$26+SUMIFS(dr_Cant,dr_Mes,17,dr_Cod,"U_RCH_G",dr_Est,"&lt;&gt;Excluido"),IF(e_Rech&lt;1,W$26/(1-e_Rech),0))</f>
        <v>1250</v>
      </c>
      <c r="X28" s="13" t="n">
        <f aca="false">IF(X$9=1,X$26+SUMIFS(dr_Cant,dr_Mes,18,dr_Cod,"U_RCH_G",dr_Est,"&lt;&gt;Excluido"),IF(e_Rech&lt;1,X$26/(1-e_Rech),0))</f>
        <v>1250</v>
      </c>
      <c r="Y28" s="13" t="n">
        <f aca="false">IF(Y$9=1,Y$26+SUMIFS(dr_Cant,dr_Mes,19,dr_Cod,"U_RCH_G",dr_Est,"&lt;&gt;Excluido"),IF(e_Rech&lt;1,Y$26/(1-e_Rech),0))</f>
        <v>1250</v>
      </c>
      <c r="Z28" s="13" t="n">
        <f aca="false">IF(Z$9=1,Z$26+SUMIFS(dr_Cant,dr_Mes,20,dr_Cod,"U_RCH_G",dr_Est,"&lt;&gt;Excluido"),IF(e_Rech&lt;1,Z$26/(1-e_Rech),0))</f>
        <v>1250</v>
      </c>
      <c r="AA28" s="13" t="n">
        <f aca="false">IF(AA$9=1,AA$26+SUMIFS(dr_Cant,dr_Mes,21,dr_Cod,"U_RCH_G",dr_Est,"&lt;&gt;Excluido"),IF(e_Rech&lt;1,AA$26/(1-e_Rech),0))</f>
        <v>1250</v>
      </c>
      <c r="AB28" s="13" t="n">
        <f aca="false">IF(AB$9=1,AB$26+SUMIFS(dr_Cant,dr_Mes,22,dr_Cod,"U_RCH_G",dr_Est,"&lt;&gt;Excluido"),IF(e_Rech&lt;1,AB$26/(1-e_Rech),0))</f>
        <v>1250</v>
      </c>
      <c r="AC28" s="13" t="n">
        <f aca="false">IF(AC$9=1,AC$26+SUMIFS(dr_Cant,dr_Mes,23,dr_Cod,"U_RCH_G",dr_Est,"&lt;&gt;Excluido"),IF(e_Rech&lt;1,AC$26/(1-e_Rech),0))</f>
        <v>1250</v>
      </c>
      <c r="AD28" s="13" t="n">
        <f aca="false">IF(AD$9=1,AD$26+SUMIFS(dr_Cant,dr_Mes,24,dr_Cod,"U_RCH_G",dr_Est,"&lt;&gt;Excluido"),IF(e_Rech&lt;1,AD$26/(1-e_Rech),0))</f>
        <v>1332.19178082192</v>
      </c>
      <c r="AE28" s="13" t="n">
        <f aca="false">IF(AE$9=1,AE$26+SUMIFS(dr_Cant,dr_Mes,25,dr_Cod,"U_RCH_G",dr_Est,"&lt;&gt;Excluido"),IF(e_Rech&lt;1,AE$26/(1-e_Rech),0))</f>
        <v>1500</v>
      </c>
      <c r="AF28" s="13" t="n">
        <f aca="false">IF(AF$9=1,AF$26+SUMIFS(dr_Cant,dr_Mes,26,dr_Cod,"U_RCH_G",dr_Est,"&lt;&gt;Excluido"),IF(e_Rech&lt;1,AF$26/(1-e_Rech),0))</f>
        <v>1500</v>
      </c>
      <c r="AG28" s="13" t="n">
        <f aca="false">IF(AG$9=1,AG$26+SUMIFS(dr_Cant,dr_Mes,27,dr_Cod,"U_RCH_G",dr_Est,"&lt;&gt;Excluido"),IF(e_Rech&lt;1,AG$26/(1-e_Rech),0))</f>
        <v>1500</v>
      </c>
      <c r="AH28" s="13" t="n">
        <f aca="false">IF(AH$9=1,AH$26+SUMIFS(dr_Cant,dr_Mes,28,dr_Cod,"U_RCH_G",dr_Est,"&lt;&gt;Excluido"),IF(e_Rech&lt;1,AH$26/(1-e_Rech),0))</f>
        <v>1500</v>
      </c>
      <c r="AI28" s="13" t="n">
        <f aca="false">IF(AI$9=1,AI$26+SUMIFS(dr_Cant,dr_Mes,29,dr_Cod,"U_RCH_G",dr_Est,"&lt;&gt;Excluido"),IF(e_Rech&lt;1,AI$26/(1-e_Rech),0))</f>
        <v>1500</v>
      </c>
      <c r="AJ28" s="13" t="n">
        <f aca="false">IF(AJ$9=1,AJ$26+SUMIFS(dr_Cant,dr_Mes,30,dr_Cod,"U_RCH_G",dr_Est,"&lt;&gt;Excluido"),IF(e_Rech&lt;1,AJ$26/(1-e_Rech),0))</f>
        <v>1500</v>
      </c>
      <c r="AK28" s="13" t="n">
        <f aca="false">IF(AK$9=1,AK$26+SUMIFS(dr_Cant,dr_Mes,31,dr_Cod,"U_RCH_G",dr_Est,"&lt;&gt;Excluido"),IF(e_Rech&lt;1,AK$26/(1-e_Rech),0))</f>
        <v>1500</v>
      </c>
      <c r="AL28" s="13" t="n">
        <f aca="false">IF(AL$9=1,AL$26+SUMIFS(dr_Cant,dr_Mes,32,dr_Cod,"U_RCH_G",dr_Est,"&lt;&gt;Excluido"),IF(e_Rech&lt;1,AL$26/(1-e_Rech),0))</f>
        <v>1500</v>
      </c>
      <c r="AM28" s="13" t="n">
        <f aca="false">IF(AM$9=1,AM$26+SUMIFS(dr_Cant,dr_Mes,33,dr_Cod,"U_RCH_G",dr_Est,"&lt;&gt;Excluido"),IF(e_Rech&lt;1,AM$26/(1-e_Rech),0))</f>
        <v>1500</v>
      </c>
      <c r="AN28" s="13" t="n">
        <f aca="false">IF(AN$9=1,AN$26+SUMIFS(dr_Cant,dr_Mes,34,dr_Cod,"U_RCH_G",dr_Est,"&lt;&gt;Excluido"),IF(e_Rech&lt;1,AN$26/(1-e_Rech),0))</f>
        <v>1500</v>
      </c>
      <c r="AO28" s="13" t="n">
        <f aca="false">IF(AO$9=1,AO$26+SUMIFS(dr_Cant,dr_Mes,35,dr_Cod,"U_RCH_G",dr_Est,"&lt;&gt;Excluido"),IF(e_Rech&lt;1,AO$26/(1-e_Rech),0))</f>
        <v>1500</v>
      </c>
      <c r="AP28" s="13" t="n">
        <f aca="false">IF(AP$9=1,AP$26+SUMIFS(dr_Cant,dr_Mes,36,dr_Cod,"U_RCH_G",dr_Est,"&lt;&gt;Excluido"),IF(e_Rech&lt;1,AP$26/(1-e_Rech),0))</f>
        <v>1582.19178082192</v>
      </c>
      <c r="AQ28" s="13" t="n">
        <f aca="false">IF(AQ$9=1,AQ$26+SUMIFS(dr_Cant,dr_Mes,37,dr_Cod,"U_RCH_G",dr_Est,"&lt;&gt;Excluido"),IF(e_Rech&lt;1,AQ$26/(1-e_Rech),0))</f>
        <v>1750</v>
      </c>
      <c r="AR28" s="13" t="n">
        <f aca="false">IF(AR$9=1,AR$26+SUMIFS(dr_Cant,dr_Mes,38,dr_Cod,"U_RCH_G",dr_Est,"&lt;&gt;Excluido"),IF(e_Rech&lt;1,AR$26/(1-e_Rech),0))</f>
        <v>1750</v>
      </c>
      <c r="AS28" s="13" t="n">
        <f aca="false">IF(AS$9=1,AS$26+SUMIFS(dr_Cant,dr_Mes,39,dr_Cod,"U_RCH_G",dr_Est,"&lt;&gt;Excluido"),IF(e_Rech&lt;1,AS$26/(1-e_Rech),0))</f>
        <v>1750</v>
      </c>
      <c r="AT28" s="13" t="n">
        <f aca="false">IF(AT$9=1,AT$26+SUMIFS(dr_Cant,dr_Mes,40,dr_Cod,"U_RCH_G",dr_Est,"&lt;&gt;Excluido"),IF(e_Rech&lt;1,AT$26/(1-e_Rech),0))</f>
        <v>1750</v>
      </c>
      <c r="AU28" s="13" t="n">
        <f aca="false">IF(AU$9=1,AU$26+SUMIFS(dr_Cant,dr_Mes,41,dr_Cod,"U_RCH_G",dr_Est,"&lt;&gt;Excluido"),IF(e_Rech&lt;1,AU$26/(1-e_Rech),0))</f>
        <v>1750</v>
      </c>
      <c r="AV28" s="13" t="n">
        <f aca="false">IF(AV$9=1,AV$26+SUMIFS(dr_Cant,dr_Mes,42,dr_Cod,"U_RCH_G",dr_Est,"&lt;&gt;Excluido"),IF(e_Rech&lt;1,AV$26/(1-e_Rech),0))</f>
        <v>1750</v>
      </c>
      <c r="AW28" s="13" t="n">
        <f aca="false">IF(AW$9=1,AW$26+SUMIFS(dr_Cant,dr_Mes,43,dr_Cod,"U_RCH_G",dr_Est,"&lt;&gt;Excluido"),IF(e_Rech&lt;1,AW$26/(1-e_Rech),0))</f>
        <v>1750</v>
      </c>
      <c r="AX28" s="13" t="n">
        <f aca="false">IF(AX$9=1,AX$26+SUMIFS(dr_Cant,dr_Mes,44,dr_Cod,"U_RCH_G",dr_Est,"&lt;&gt;Excluido"),IF(e_Rech&lt;1,AX$26/(1-e_Rech),0))</f>
        <v>1750</v>
      </c>
      <c r="AY28" s="13" t="n">
        <f aca="false">IF(AY$9=1,AY$26+SUMIFS(dr_Cant,dr_Mes,45,dr_Cod,"U_RCH_G",dr_Est,"&lt;&gt;Excluido"),IF(e_Rech&lt;1,AY$26/(1-e_Rech),0))</f>
        <v>1750</v>
      </c>
      <c r="AZ28" s="13" t="n">
        <f aca="false">IF(AZ$9=1,AZ$26+SUMIFS(dr_Cant,dr_Mes,46,dr_Cod,"U_RCH_G",dr_Est,"&lt;&gt;Excluido"),IF(e_Rech&lt;1,AZ$26/(1-e_Rech),0))</f>
        <v>1750</v>
      </c>
      <c r="BA28" s="13" t="n">
        <f aca="false">IF(BA$9=1,BA$26+SUMIFS(dr_Cant,dr_Mes,47,dr_Cod,"U_RCH_G",dr_Est,"&lt;&gt;Excluido"),IF(e_Rech&lt;1,BA$26/(1-e_Rech),0))</f>
        <v>1750</v>
      </c>
      <c r="BB28" s="13" t="n">
        <f aca="false">IF(BB$9=1,BB$26+SUMIFS(dr_Cant,dr_Mes,48,dr_Cod,"U_RCH_G",dr_Est,"&lt;&gt;Excluido"),IF(e_Rech&lt;1,BB$26/(1-e_Rech),0))</f>
        <v>1750</v>
      </c>
      <c r="BC28" s="13" t="n">
        <f aca="false">IF(BC$9=1,BC$26+SUMIFS(dr_Cant,dr_Mes,49,dr_Cod,"U_RCH_G",dr_Est,"&lt;&gt;Excluido"),IF(e_Rech&lt;1,BC$26/(1-e_Rech),0))</f>
        <v>1750</v>
      </c>
      <c r="BD28" s="13" t="n">
        <f aca="false">IF(BD$9=1,BD$26+SUMIFS(dr_Cant,dr_Mes,50,dr_Cod,"U_RCH_G",dr_Est,"&lt;&gt;Excluido"),IF(e_Rech&lt;1,BD$26/(1-e_Rech),0))</f>
        <v>1750</v>
      </c>
      <c r="BE28" s="13" t="n">
        <f aca="false">IF(BE$9=1,BE$26+SUMIFS(dr_Cant,dr_Mes,51,dr_Cod,"U_RCH_G",dr_Est,"&lt;&gt;Excluido"),IF(e_Rech&lt;1,BE$26/(1-e_Rech),0))</f>
        <v>1750</v>
      </c>
      <c r="BF28" s="13" t="n">
        <f aca="false">IF(BF$9=1,BF$26+SUMIFS(dr_Cant,dr_Mes,52,dr_Cod,"U_RCH_G",dr_Est,"&lt;&gt;Excluido"),IF(e_Rech&lt;1,BF$26/(1-e_Rech),0))</f>
        <v>1750</v>
      </c>
      <c r="BG28" s="13" t="n">
        <f aca="false">IF(BG$9=1,BG$26+SUMIFS(dr_Cant,dr_Mes,53,dr_Cod,"U_RCH_G",dr_Est,"&lt;&gt;Excluido"),IF(e_Rech&lt;1,BG$26/(1-e_Rech),0))</f>
        <v>1750</v>
      </c>
      <c r="BH28" s="13" t="n">
        <f aca="false">IF(BH$9=1,BH$26+SUMIFS(dr_Cant,dr_Mes,54,dr_Cod,"U_RCH_G",dr_Est,"&lt;&gt;Excluido"),IF(e_Rech&lt;1,BH$26/(1-e_Rech),0))</f>
        <v>1750</v>
      </c>
      <c r="BI28" s="13" t="n">
        <f aca="false">IF(BI$9=1,BI$26+SUMIFS(dr_Cant,dr_Mes,55,dr_Cod,"U_RCH_G",dr_Est,"&lt;&gt;Excluido"),IF(e_Rech&lt;1,BI$26/(1-e_Rech),0))</f>
        <v>1750</v>
      </c>
      <c r="BJ28" s="13" t="n">
        <f aca="false">IF(BJ$9=1,BJ$26+SUMIFS(dr_Cant,dr_Mes,56,dr_Cod,"U_RCH_G",dr_Est,"&lt;&gt;Excluido"),IF(e_Rech&lt;1,BJ$26/(1-e_Rech),0))</f>
        <v>1750</v>
      </c>
      <c r="BK28" s="13" t="n">
        <f aca="false">IF(BK$9=1,BK$26+SUMIFS(dr_Cant,dr_Mes,57,dr_Cod,"U_RCH_G",dr_Est,"&lt;&gt;Excluido"),IF(e_Rech&lt;1,BK$26/(1-e_Rech),0))</f>
        <v>1750</v>
      </c>
      <c r="BL28" s="13" t="n">
        <f aca="false">IF(BL$9=1,BL$26+SUMIFS(dr_Cant,dr_Mes,58,dr_Cod,"U_RCH_G",dr_Est,"&lt;&gt;Excluido"),IF(e_Rech&lt;1,BL$26/(1-e_Rech),0))</f>
        <v>1750</v>
      </c>
      <c r="BM28" s="13" t="n">
        <f aca="false">IF(BM$9=1,BM$26+SUMIFS(dr_Cant,dr_Mes,59,dr_Cod,"U_RCH_G",dr_Est,"&lt;&gt;Excluido"),IF(e_Rech&lt;1,BM$26/(1-e_Rech),0))</f>
        <v>1750</v>
      </c>
      <c r="BN28" s="13" t="n">
        <f aca="false">IF(BN$9=1,BN$26+SUMIFS(dr_Cant,dr_Mes,60,dr_Cod,"U_RCH_G",dr_Est,"&lt;&gt;Excluido"),IF(e_Rech&lt;1,BN$26/(1-e_Rech),0))</f>
        <v>1750</v>
      </c>
      <c r="BO28" s="13" t="n">
        <f aca="false">IF(BO$9=1,BO$26+SUMIFS(dr_Cant,dr_Mes,61,dr_Cod,"U_RCH_G",dr_Est,"&lt;&gt;Excluido"),IF(e_Rech&lt;1,BO$26/(1-e_Rech),0))</f>
        <v>1750</v>
      </c>
      <c r="BP28" s="13" t="n">
        <f aca="false">IF(BP$9=1,BP$26+SUMIFS(dr_Cant,dr_Mes,62,dr_Cod,"U_RCH_G",dr_Est,"&lt;&gt;Excluido"),IF(e_Rech&lt;1,BP$26/(1-e_Rech),0))</f>
        <v>1750</v>
      </c>
      <c r="BQ28" s="13" t="n">
        <f aca="false">IF(BQ$9=1,BQ$26+SUMIFS(dr_Cant,dr_Mes,63,dr_Cod,"U_RCH_G",dr_Est,"&lt;&gt;Excluido"),IF(e_Rech&lt;1,BQ$26/(1-e_Rech),0))</f>
        <v>1750</v>
      </c>
      <c r="BR28" s="13" t="n">
        <f aca="false">IF(BR$9=1,BR$26+SUMIFS(dr_Cant,dr_Mes,64,dr_Cod,"U_RCH_G",dr_Est,"&lt;&gt;Excluido"),IF(e_Rech&lt;1,BR$26/(1-e_Rech),0))</f>
        <v>1750</v>
      </c>
      <c r="BS28" s="13" t="n">
        <f aca="false">IF(BS$9=1,BS$26+SUMIFS(dr_Cant,dr_Mes,65,dr_Cod,"U_RCH_G",dr_Est,"&lt;&gt;Excluido"),IF(e_Rech&lt;1,BS$26/(1-e_Rech),0))</f>
        <v>1750</v>
      </c>
      <c r="BT28" s="13" t="n">
        <f aca="false">IF(BT$9=1,BT$26+SUMIFS(dr_Cant,dr_Mes,66,dr_Cod,"U_RCH_G",dr_Est,"&lt;&gt;Excluido"),IF(e_Rech&lt;1,BT$26/(1-e_Rech),0))</f>
        <v>1750</v>
      </c>
      <c r="BU28" s="13" t="n">
        <f aca="false">IF(BU$9=1,BU$26+SUMIFS(dr_Cant,dr_Mes,67,dr_Cod,"U_RCH_G",dr_Est,"&lt;&gt;Excluido"),IF(e_Rech&lt;1,BU$26/(1-e_Rech),0))</f>
        <v>1750</v>
      </c>
      <c r="BV28" s="13" t="n">
        <f aca="false">IF(BV$9=1,BV$26+SUMIFS(dr_Cant,dr_Mes,68,dr_Cod,"U_RCH_G",dr_Est,"&lt;&gt;Excluido"),IF(e_Rech&lt;1,BV$26/(1-e_Rech),0))</f>
        <v>1750</v>
      </c>
      <c r="BW28" s="13" t="n">
        <f aca="false">IF(BW$9=1,BW$26+SUMIFS(dr_Cant,dr_Mes,69,dr_Cod,"U_RCH_G",dr_Est,"&lt;&gt;Excluido"),IF(e_Rech&lt;1,BW$26/(1-e_Rech),0))</f>
        <v>1750</v>
      </c>
      <c r="BX28" s="13" t="n">
        <f aca="false">IF(BX$9=1,BX$26+SUMIFS(dr_Cant,dr_Mes,70,dr_Cod,"U_RCH_G",dr_Est,"&lt;&gt;Excluido"),IF(e_Rech&lt;1,BX$26/(1-e_Rech),0))</f>
        <v>1750</v>
      </c>
      <c r="BY28" s="13" t="n">
        <f aca="false">IF(BY$9=1,BY$26+SUMIFS(dr_Cant,dr_Mes,71,dr_Cod,"U_RCH_G",dr_Est,"&lt;&gt;Excluido"),IF(e_Rech&lt;1,BY$26/(1-e_Rech),0))</f>
        <v>1750</v>
      </c>
      <c r="BZ28" s="13" t="n">
        <f aca="false">IF(BZ$9=1,BZ$26+SUMIFS(dr_Cant,dr_Mes,72,dr_Cod,"U_RCH_G",dr_Est,"&lt;&gt;Excluido"),IF(e_Rech&lt;1,BZ$26/(1-e_Rech),0))</f>
        <v>1750</v>
      </c>
      <c r="CA28" s="13" t="n">
        <f aca="false">IF(CA$9=1,CA$26+SUMIFS(dr_Cant,dr_Mes,73,dr_Cod,"U_RCH_G",dr_Est,"&lt;&gt;Excluido"),IF(e_Rech&lt;1,CA$26/(1-e_Rech),0))</f>
        <v>1750</v>
      </c>
      <c r="CB28" s="13" t="n">
        <f aca="false">IF(CB$9=1,CB$26+SUMIFS(dr_Cant,dr_Mes,74,dr_Cod,"U_RCH_G",dr_Est,"&lt;&gt;Excluido"),IF(e_Rech&lt;1,CB$26/(1-e_Rech),0))</f>
        <v>1750</v>
      </c>
      <c r="CC28" s="13" t="n">
        <f aca="false">IF(CC$9=1,CC$26+SUMIFS(dr_Cant,dr_Mes,75,dr_Cod,"U_RCH_G",dr_Est,"&lt;&gt;Excluido"),IF(e_Rech&lt;1,CC$26/(1-e_Rech),0))</f>
        <v>1750</v>
      </c>
      <c r="CD28" s="13" t="n">
        <f aca="false">IF(CD$9=1,CD$26+SUMIFS(dr_Cant,dr_Mes,76,dr_Cod,"U_RCH_G",dr_Est,"&lt;&gt;Excluido"),IF(e_Rech&lt;1,CD$26/(1-e_Rech),0))</f>
        <v>1750</v>
      </c>
      <c r="CE28" s="13" t="n">
        <f aca="false">IF(CE$9=1,CE$26+SUMIFS(dr_Cant,dr_Mes,77,dr_Cod,"U_RCH_G",dr_Est,"&lt;&gt;Excluido"),IF(e_Rech&lt;1,CE$26/(1-e_Rech),0))</f>
        <v>1750</v>
      </c>
      <c r="CF28" s="13" t="n">
        <f aca="false">IF(CF$9=1,CF$26+SUMIFS(dr_Cant,dr_Mes,78,dr_Cod,"U_RCH_G",dr_Est,"&lt;&gt;Excluido"),IF(e_Rech&lt;1,CF$26/(1-e_Rech),0))</f>
        <v>1750</v>
      </c>
      <c r="CG28" s="13" t="n">
        <f aca="false">IF(CG$9=1,CG$26+SUMIFS(dr_Cant,dr_Mes,79,dr_Cod,"U_RCH_G",dr_Est,"&lt;&gt;Excluido"),IF(e_Rech&lt;1,CG$26/(1-e_Rech),0))</f>
        <v>1750</v>
      </c>
      <c r="CH28" s="13" t="n">
        <f aca="false">IF(CH$9=1,CH$26+SUMIFS(dr_Cant,dr_Mes,80,dr_Cod,"U_RCH_G",dr_Est,"&lt;&gt;Excluido"),IF(e_Rech&lt;1,CH$26/(1-e_Rech),0))</f>
        <v>1750</v>
      </c>
      <c r="CI28" s="13" t="n">
        <f aca="false">IF(CI$9=1,CI$26+SUMIFS(dr_Cant,dr_Mes,81,dr_Cod,"U_RCH_G",dr_Est,"&lt;&gt;Excluido"),IF(e_Rech&lt;1,CI$26/(1-e_Rech),0))</f>
        <v>1750</v>
      </c>
      <c r="CJ28" s="13" t="n">
        <f aca="false">IF(CJ$9=1,CJ$26+SUMIFS(dr_Cant,dr_Mes,82,dr_Cod,"U_RCH_G",dr_Est,"&lt;&gt;Excluido"),IF(e_Rech&lt;1,CJ$26/(1-e_Rech),0))</f>
        <v>1750</v>
      </c>
      <c r="CK28" s="13" t="n">
        <f aca="false">IF(CK$9=1,CK$26+SUMIFS(dr_Cant,dr_Mes,83,dr_Cod,"U_RCH_G",dr_Est,"&lt;&gt;Excluido"),IF(e_Rech&lt;1,CK$26/(1-e_Rech),0))</f>
        <v>1750</v>
      </c>
      <c r="CL28" s="13" t="n">
        <f aca="false">IF(CL$9=1,CL$26+SUMIFS(dr_Cant,dr_Mes,84,dr_Cod,"U_RCH_G",dr_Est,"&lt;&gt;Excluido"),IF(e_Rech&lt;1,CL$26/(1-e_Rech),0))</f>
        <v>1750</v>
      </c>
      <c r="CM28" s="13" t="n">
        <f aca="false">IF(CM$9=1,CM$26+SUMIFS(dr_Cant,dr_Mes,85,dr_Cod,"U_RCH_G",dr_Est,"&lt;&gt;Excluido"),IF(e_Rech&lt;1,CM$26/(1-e_Rech),0))</f>
        <v>1750</v>
      </c>
      <c r="CN28" s="13" t="n">
        <f aca="false">IF(CN$9=1,CN$26+SUMIFS(dr_Cant,dr_Mes,86,dr_Cod,"U_RCH_G",dr_Est,"&lt;&gt;Excluido"),IF(e_Rech&lt;1,CN$26/(1-e_Rech),0))</f>
        <v>1750</v>
      </c>
      <c r="CO28" s="13" t="n">
        <f aca="false">IF(CO$9=1,CO$26+SUMIFS(dr_Cant,dr_Mes,87,dr_Cod,"U_RCH_G",dr_Est,"&lt;&gt;Excluido"),IF(e_Rech&lt;1,CO$26/(1-e_Rech),0))</f>
        <v>1750</v>
      </c>
      <c r="CP28" s="13" t="n">
        <f aca="false">IF(CP$9=1,CP$26+SUMIFS(dr_Cant,dr_Mes,88,dr_Cod,"U_RCH_G",dr_Est,"&lt;&gt;Excluido"),IF(e_Rech&lt;1,CP$26/(1-e_Rech),0))</f>
        <v>1750</v>
      </c>
      <c r="CQ28" s="13" t="n">
        <f aca="false">IF(CQ$9=1,CQ$26+SUMIFS(dr_Cant,dr_Mes,89,dr_Cod,"U_RCH_G",dr_Est,"&lt;&gt;Excluido"),IF(e_Rech&lt;1,CQ$26/(1-e_Rech),0))</f>
        <v>1750</v>
      </c>
      <c r="CR28" s="13" t="n">
        <f aca="false">IF(CR$9=1,CR$26+SUMIFS(dr_Cant,dr_Mes,90,dr_Cod,"U_RCH_G",dr_Est,"&lt;&gt;Excluido"),IF(e_Rech&lt;1,CR$26/(1-e_Rech),0))</f>
        <v>1750</v>
      </c>
      <c r="CS28" s="13" t="n">
        <f aca="false">IF(CS$9=1,CS$26+SUMIFS(dr_Cant,dr_Mes,91,dr_Cod,"U_RCH_G",dr_Est,"&lt;&gt;Excluido"),IF(e_Rech&lt;1,CS$26/(1-e_Rech),0))</f>
        <v>1750</v>
      </c>
      <c r="CT28" s="13" t="n">
        <f aca="false">IF(CT$9=1,CT$26+SUMIFS(dr_Cant,dr_Mes,92,dr_Cod,"U_RCH_G",dr_Est,"&lt;&gt;Excluido"),IF(e_Rech&lt;1,CT$26/(1-e_Rech),0))</f>
        <v>1750</v>
      </c>
      <c r="CU28" s="13" t="n">
        <f aca="false">IF(CU$9=1,CU$26+SUMIFS(dr_Cant,dr_Mes,93,dr_Cod,"U_RCH_G",dr_Est,"&lt;&gt;Excluido"),IF(e_Rech&lt;1,CU$26/(1-e_Rech),0))</f>
        <v>1750</v>
      </c>
      <c r="CV28" s="13" t="n">
        <f aca="false">IF(CV$9=1,CV$26+SUMIFS(dr_Cant,dr_Mes,94,dr_Cod,"U_RCH_G",dr_Est,"&lt;&gt;Excluido"),IF(e_Rech&lt;1,CV$26/(1-e_Rech),0))</f>
        <v>1750</v>
      </c>
      <c r="CW28" s="13" t="n">
        <f aca="false">IF(CW$9=1,CW$26+SUMIFS(dr_Cant,dr_Mes,95,dr_Cod,"U_RCH_G",dr_Est,"&lt;&gt;Excluido"),IF(e_Rech&lt;1,CW$26/(1-e_Rech),0))</f>
        <v>1750</v>
      </c>
      <c r="CX28" s="13" t="n">
        <f aca="false">IF(CX$9=1,CX$26+SUMIFS(dr_Cant,dr_Mes,96,dr_Cod,"U_RCH_G",dr_Est,"&lt;&gt;Excluido"),IF(e_Rech&lt;1,CX$26/(1-e_Rech),0))</f>
        <v>1750</v>
      </c>
      <c r="CY28" s="13" t="n">
        <f aca="false">IF(CY$9=1,CY$26+SUMIFS(dr_Cant,dr_Mes,97,dr_Cod,"U_RCH_G",dr_Est,"&lt;&gt;Excluido"),IF(e_Rech&lt;1,CY$26/(1-e_Rech),0))</f>
        <v>1750</v>
      </c>
      <c r="CZ28" s="13" t="n">
        <f aca="false">IF(CZ$9=1,CZ$26+SUMIFS(dr_Cant,dr_Mes,98,dr_Cod,"U_RCH_G",dr_Est,"&lt;&gt;Excluido"),IF(e_Rech&lt;1,CZ$26/(1-e_Rech),0))</f>
        <v>1750</v>
      </c>
      <c r="DA28" s="13" t="n">
        <f aca="false">IF(DA$9=1,DA$26+SUMIFS(dr_Cant,dr_Mes,99,dr_Cod,"U_RCH_G",dr_Est,"&lt;&gt;Excluido"),IF(e_Rech&lt;1,DA$26/(1-e_Rech),0))</f>
        <v>1750</v>
      </c>
      <c r="DB28" s="13" t="n">
        <f aca="false">IF(DB$9=1,DB$26+SUMIFS(dr_Cant,dr_Mes,100,dr_Cod,"U_RCH_G",dr_Est,"&lt;&gt;Excluido"),IF(e_Rech&lt;1,DB$26/(1-e_Rech),0))</f>
        <v>1750</v>
      </c>
      <c r="DC28" s="13" t="n">
        <f aca="false">IF(DC$9=1,DC$26+SUMIFS(dr_Cant,dr_Mes,101,dr_Cod,"U_RCH_G",dr_Est,"&lt;&gt;Excluido"),IF(e_Rech&lt;1,DC$26/(1-e_Rech),0))</f>
        <v>1750</v>
      </c>
      <c r="DD28" s="13" t="n">
        <f aca="false">IF(DD$9=1,DD$26+SUMIFS(dr_Cant,dr_Mes,102,dr_Cod,"U_RCH_G",dr_Est,"&lt;&gt;Excluido"),IF(e_Rech&lt;1,DD$26/(1-e_Rech),0))</f>
        <v>1750</v>
      </c>
      <c r="DE28" s="13" t="n">
        <f aca="false">IF(DE$9=1,DE$26+SUMIFS(dr_Cant,dr_Mes,103,dr_Cod,"U_RCH_G",dr_Est,"&lt;&gt;Excluido"),IF(e_Rech&lt;1,DE$26/(1-e_Rech),0))</f>
        <v>1750</v>
      </c>
      <c r="DF28" s="13" t="n">
        <f aca="false">IF(DF$9=1,DF$26+SUMIFS(dr_Cant,dr_Mes,104,dr_Cod,"U_RCH_G",dr_Est,"&lt;&gt;Excluido"),IF(e_Rech&lt;1,DF$26/(1-e_Rech),0))</f>
        <v>1750</v>
      </c>
      <c r="DG28" s="13" t="n">
        <f aca="false">IF(DG$9=1,DG$26+SUMIFS(dr_Cant,dr_Mes,105,dr_Cod,"U_RCH_G",dr_Est,"&lt;&gt;Excluido"),IF(e_Rech&lt;1,DG$26/(1-e_Rech),0))</f>
        <v>1750</v>
      </c>
      <c r="DH28" s="13" t="n">
        <f aca="false">IF(DH$9=1,DH$26+SUMIFS(dr_Cant,dr_Mes,106,dr_Cod,"U_RCH_G",dr_Est,"&lt;&gt;Excluido"),IF(e_Rech&lt;1,DH$26/(1-e_Rech),0))</f>
        <v>1750</v>
      </c>
      <c r="DI28" s="13" t="n">
        <f aca="false">IF(DI$9=1,DI$26+SUMIFS(dr_Cant,dr_Mes,107,dr_Cod,"U_RCH_G",dr_Est,"&lt;&gt;Excluido"),IF(e_Rech&lt;1,DI$26/(1-e_Rech),0))</f>
        <v>1750</v>
      </c>
      <c r="DJ28" s="13" t="n">
        <f aca="false">IF(DJ$9=1,DJ$26+SUMIFS(dr_Cant,dr_Mes,108,dr_Cod,"U_RCH_G",dr_Est,"&lt;&gt;Excluido"),IF(e_Rech&lt;1,DJ$26/(1-e_Rech),0))</f>
        <v>1750</v>
      </c>
      <c r="DK28" s="13" t="n">
        <f aca="false">IF(DK$9=1,DK$26+SUMIFS(dr_Cant,dr_Mes,109,dr_Cod,"U_RCH_G",dr_Est,"&lt;&gt;Excluido"),IF(e_Rech&lt;1,DK$26/(1-e_Rech),0))</f>
        <v>1750</v>
      </c>
      <c r="DL28" s="13" t="n">
        <f aca="false">IF(DL$9=1,DL$26+SUMIFS(dr_Cant,dr_Mes,110,dr_Cod,"U_RCH_G",dr_Est,"&lt;&gt;Excluido"),IF(e_Rech&lt;1,DL$26/(1-e_Rech),0))</f>
        <v>1750</v>
      </c>
      <c r="DM28" s="13" t="n">
        <f aca="false">IF(DM$9=1,DM$26+SUMIFS(dr_Cant,dr_Mes,111,dr_Cod,"U_RCH_G",dr_Est,"&lt;&gt;Excluido"),IF(e_Rech&lt;1,DM$26/(1-e_Rech),0))</f>
        <v>1750</v>
      </c>
      <c r="DN28" s="13" t="n">
        <f aca="false">IF(DN$9=1,DN$26+SUMIFS(dr_Cant,dr_Mes,112,dr_Cod,"U_RCH_G",dr_Est,"&lt;&gt;Excluido"),IF(e_Rech&lt;1,DN$26/(1-e_Rech),0))</f>
        <v>1750</v>
      </c>
      <c r="DO28" s="13" t="n">
        <f aca="false">IF(DO$9=1,DO$26+SUMIFS(dr_Cant,dr_Mes,113,dr_Cod,"U_RCH_G",dr_Est,"&lt;&gt;Excluido"),IF(e_Rech&lt;1,DO$26/(1-e_Rech),0))</f>
        <v>1750</v>
      </c>
      <c r="DP28" s="13" t="n">
        <f aca="false">IF(DP$9=1,DP$26+SUMIFS(dr_Cant,dr_Mes,114,dr_Cod,"U_RCH_G",dr_Est,"&lt;&gt;Excluido"),IF(e_Rech&lt;1,DP$26/(1-e_Rech),0))</f>
        <v>1750</v>
      </c>
      <c r="DQ28" s="13" t="n">
        <f aca="false">IF(DQ$9=1,DQ$26+SUMIFS(dr_Cant,dr_Mes,115,dr_Cod,"U_RCH_G",dr_Est,"&lt;&gt;Excluido"),IF(e_Rech&lt;1,DQ$26/(1-e_Rech),0))</f>
        <v>1750</v>
      </c>
      <c r="DR28" s="13" t="n">
        <f aca="false">IF(DR$9=1,DR$26+SUMIFS(dr_Cant,dr_Mes,116,dr_Cod,"U_RCH_G",dr_Est,"&lt;&gt;Excluido"),IF(e_Rech&lt;1,DR$26/(1-e_Rech),0))</f>
        <v>1750</v>
      </c>
      <c r="DS28" s="13" t="n">
        <f aca="false">IF(DS$9=1,DS$26+SUMIFS(dr_Cant,dr_Mes,117,dr_Cod,"U_RCH_G",dr_Est,"&lt;&gt;Excluido"),IF(e_Rech&lt;1,DS$26/(1-e_Rech),0))</f>
        <v>1750</v>
      </c>
      <c r="DT28" s="13" t="n">
        <f aca="false">IF(DT$9=1,DT$26+SUMIFS(dr_Cant,dr_Mes,118,dr_Cod,"U_RCH_G",dr_Est,"&lt;&gt;Excluido"),IF(e_Rech&lt;1,DT$26/(1-e_Rech),0))</f>
        <v>1750</v>
      </c>
      <c r="DU28" s="13" t="n">
        <f aca="false">IF(DU$9=1,DU$26+SUMIFS(dr_Cant,dr_Mes,119,dr_Cod,"U_RCH_G",dr_Est,"&lt;&gt;Excluido"),IF(e_Rech&lt;1,DU$26/(1-e_Rech),0))</f>
        <v>1750</v>
      </c>
      <c r="DV28" s="13" t="n">
        <f aca="false">IF(DV$9=1,DV$26+SUMIFS(dr_Cant,dr_Mes,120,dr_Cod,"U_RCH_G",dr_Est,"&lt;&gt;Excluido"),IF(e_Rech&lt;1,DV$26/(1-e_Rech),0))</f>
        <v>1174.65753424658</v>
      </c>
      <c r="DW28" s="13" t="n">
        <f aca="false">IF(DW$9=1,DW$26+SUMIFS(dr_Cant,dr_Mes,121,dr_Cod,"U_RCH_G",dr_Est,"&lt;&gt;Excluido"),IF(e_Rech&lt;1,DW$26/(1-e_Rech),0))</f>
        <v>0</v>
      </c>
      <c r="DX28" s="13" t="n">
        <f aca="false">IF(DX$9=1,DX$26+SUMIFS(dr_Cant,dr_Mes,122,dr_Cod,"U_RCH_G",dr_Est,"&lt;&gt;Excluido"),IF(e_Rech&lt;1,DX$26/(1-e_Rech),0))</f>
        <v>0</v>
      </c>
      <c r="DY28" s="13" t="n">
        <f aca="false">IF(DY$9=1,DY$26+SUMIFS(dr_Cant,dr_Mes,123,dr_Cod,"U_RCH_G",dr_Est,"&lt;&gt;Excluido"),IF(e_Rech&lt;1,DY$26/(1-e_Rech),0))</f>
        <v>0</v>
      </c>
      <c r="DZ28" s="13" t="n">
        <f aca="false">IF(DZ$9=1,DZ$26+SUMIFS(dr_Cant,dr_Mes,124,dr_Cod,"U_RCH_G",dr_Est,"&lt;&gt;Excluido"),IF(e_Rech&lt;1,DZ$26/(1-e_Rech),0))</f>
        <v>0</v>
      </c>
      <c r="EA28" s="13" t="n">
        <f aca="false">IF(EA$9=1,EA$26+SUMIFS(dr_Cant,dr_Mes,125,dr_Cod,"U_RCH_G",dr_Est,"&lt;&gt;Excluido"),IF(e_Rech&lt;1,EA$26/(1-e_Rech),0))</f>
        <v>0</v>
      </c>
      <c r="EB28" s="13" t="n">
        <f aca="false">IF(EB$9=1,EB$26+SUMIFS(dr_Cant,dr_Mes,126,dr_Cod,"U_RCH_G",dr_Est,"&lt;&gt;Excluido"),IF(e_Rech&lt;1,EB$26/(1-e_Rech),0))</f>
        <v>0</v>
      </c>
      <c r="EC28" s="13" t="n">
        <f aca="false">IF(EC$9=1,EC$26+SUMIFS(dr_Cant,dr_Mes,127,dr_Cod,"U_RCH_G",dr_Est,"&lt;&gt;Excluido"),IF(e_Rech&lt;1,EC$26/(1-e_Rech),0))</f>
        <v>0</v>
      </c>
      <c r="ED28" s="13" t="n">
        <f aca="false">IF(ED$9=1,ED$26+SUMIFS(dr_Cant,dr_Mes,128,dr_Cod,"U_RCH_G",dr_Est,"&lt;&gt;Excluido"),IF(e_Rech&lt;1,ED$26/(1-e_Rech),0))</f>
        <v>0</v>
      </c>
      <c r="EE28" s="13" t="n">
        <f aca="false">IF(EE$9=1,EE$26+SUMIFS(dr_Cant,dr_Mes,129,dr_Cod,"U_RCH_G",dr_Est,"&lt;&gt;Excluido"),IF(e_Rech&lt;1,EE$26/(1-e_Rech),0))</f>
        <v>0</v>
      </c>
      <c r="EF28" s="13" t="n">
        <f aca="false">IF(EF$9=1,EF$26+SUMIFS(dr_Cant,dr_Mes,130,dr_Cod,"U_RCH_G",dr_Est,"&lt;&gt;Excluido"),IF(e_Rech&lt;1,EF$26/(1-e_Rech),0))</f>
        <v>0</v>
      </c>
      <c r="EG28" s="13" t="n">
        <f aca="false">IF(EG$9=1,EG$26+SUMIFS(dr_Cant,dr_Mes,131,dr_Cod,"U_RCH_G",dr_Est,"&lt;&gt;Excluido"),IF(e_Rech&lt;1,EG$26/(1-e_Rech),0))</f>
        <v>0</v>
      </c>
      <c r="EH28" s="13" t="n">
        <f aca="false">IF(EH$9=1,EH$26+SUMIFS(dr_Cant,dr_Mes,132,dr_Cod,"U_RCH_G",dr_Est,"&lt;&gt;Excluido"),IF(e_Rech&lt;1,EH$26/(1-e_Rech),0))</f>
        <v>0</v>
      </c>
      <c r="EI28" s="13" t="n">
        <f aca="false">IF(EI$9=1,EI$26+SUMIFS(dr_Cant,dr_Mes,133,dr_Cod,"U_RCH_G",dr_Est,"&lt;&gt;Excluido"),IF(e_Rech&lt;1,EI$26/(1-e_Rech),0))</f>
        <v>0</v>
      </c>
      <c r="EJ28" s="13" t="n">
        <f aca="false">IF(EJ$9=1,EJ$26+SUMIFS(dr_Cant,dr_Mes,134,dr_Cod,"U_RCH_G",dr_Est,"&lt;&gt;Excluido"),IF(e_Rech&lt;1,EJ$26/(1-e_Rech),0))</f>
        <v>0</v>
      </c>
      <c r="EK28" s="13" t="n">
        <f aca="false">IF(EK$9=1,EK$26+SUMIFS(dr_Cant,dr_Mes,135,dr_Cod,"U_RCH_G",dr_Est,"&lt;&gt;Excluido"),IF(e_Rech&lt;1,EK$26/(1-e_Rech),0))</f>
        <v>0</v>
      </c>
      <c r="EL28" s="13" t="n">
        <f aca="false">IF(EL$9=1,EL$26+SUMIFS(dr_Cant,dr_Mes,136,dr_Cod,"U_RCH_G",dr_Est,"&lt;&gt;Excluido"),IF(e_Rech&lt;1,EL$26/(1-e_Rech),0))</f>
        <v>0</v>
      </c>
      <c r="EM28" s="13" t="n">
        <f aca="false">IF(EM$9=1,EM$26+SUMIFS(dr_Cant,dr_Mes,137,dr_Cod,"U_RCH_G",dr_Est,"&lt;&gt;Excluido"),IF(e_Rech&lt;1,EM$26/(1-e_Rech),0))</f>
        <v>0</v>
      </c>
      <c r="EN28" s="13" t="n">
        <f aca="false">IF(EN$9=1,EN$26+SUMIFS(dr_Cant,dr_Mes,138,dr_Cod,"U_RCH_G",dr_Est,"&lt;&gt;Excluido"),IF(e_Rech&lt;1,EN$26/(1-e_Rech),0))</f>
        <v>0</v>
      </c>
      <c r="EO28" s="13" t="n">
        <f aca="false">IF(EO$9=1,EO$26+SUMIFS(dr_Cant,dr_Mes,139,dr_Cod,"U_RCH_G",dr_Est,"&lt;&gt;Excluido"),IF(e_Rech&lt;1,EO$26/(1-e_Rech),0))</f>
        <v>0</v>
      </c>
      <c r="EP28" s="13" t="n">
        <f aca="false">IF(EP$9=1,EP$26+SUMIFS(dr_Cant,dr_Mes,140,dr_Cod,"U_RCH_G",dr_Est,"&lt;&gt;Excluido"),IF(e_Rech&lt;1,EP$26/(1-e_Rech),0))</f>
        <v>0</v>
      </c>
      <c r="EQ28" s="13" t="n">
        <f aca="false">IF(EQ$9=1,EQ$26+SUMIFS(dr_Cant,dr_Mes,141,dr_Cod,"U_RCH_G",dr_Est,"&lt;&gt;Excluido"),IF(e_Rech&lt;1,EQ$26/(1-e_Rech),0))</f>
        <v>0</v>
      </c>
      <c r="ER28" s="13" t="n">
        <f aca="false">IF(ER$9=1,ER$26+SUMIFS(dr_Cant,dr_Mes,142,dr_Cod,"U_RCH_G",dr_Est,"&lt;&gt;Excluido"),IF(e_Rech&lt;1,ER$26/(1-e_Rech),0))</f>
        <v>0</v>
      </c>
      <c r="ES28" s="13" t="n">
        <f aca="false">IF(ES$9=1,ES$26+SUMIFS(dr_Cant,dr_Mes,143,dr_Cod,"U_RCH_G",dr_Est,"&lt;&gt;Excluido"),IF(e_Rech&lt;1,ES$26/(1-e_Rech),0))</f>
        <v>0</v>
      </c>
      <c r="ET28" s="13" t="n">
        <f aca="false">IF(ET$9=1,ET$26+SUMIFS(dr_Cant,dr_Mes,144,dr_Cod,"U_RCH_G",dr_Est,"&lt;&gt;Excluido"),IF(e_Rech&lt;1,ET$26/(1-e_Rech),0))</f>
        <v>0</v>
      </c>
      <c r="EU28" s="13" t="n">
        <f aca="false">IF(EU$9=1,EU$26+SUMIFS(dr_Cant,dr_Mes,145,dr_Cod,"U_RCH_G",dr_Est,"&lt;&gt;Excluido"),IF(e_Rech&lt;1,EU$26/(1-e_Rech),0))</f>
        <v>0</v>
      </c>
      <c r="EV28" s="13" t="n">
        <f aca="false">IF(EV$9=1,EV$26+SUMIFS(dr_Cant,dr_Mes,146,dr_Cod,"U_RCH_G",dr_Est,"&lt;&gt;Excluido"),IF(e_Rech&lt;1,EV$26/(1-e_Rech),0))</f>
        <v>0</v>
      </c>
      <c r="EW28" s="13" t="n">
        <f aca="false">IF(EW$9=1,EW$26+SUMIFS(dr_Cant,dr_Mes,147,dr_Cod,"U_RCH_G",dr_Est,"&lt;&gt;Excluido"),IF(e_Rech&lt;1,EW$26/(1-e_Rech),0))</f>
        <v>0</v>
      </c>
      <c r="EX28" s="13" t="n">
        <f aca="false">IF(EX$9=1,EX$26+SUMIFS(dr_Cant,dr_Mes,148,dr_Cod,"U_RCH_G",dr_Est,"&lt;&gt;Excluido"),IF(e_Rech&lt;1,EX$26/(1-e_Rech),0))</f>
        <v>0</v>
      </c>
      <c r="EY28" s="13" t="n">
        <f aca="false">IF(EY$9=1,EY$26+SUMIFS(dr_Cant,dr_Mes,149,dr_Cod,"U_RCH_G",dr_Est,"&lt;&gt;Excluido"),IF(e_Rech&lt;1,EY$26/(1-e_Rech),0))</f>
        <v>0</v>
      </c>
      <c r="EZ28" s="13" t="n">
        <f aca="false">IF(EZ$9=1,EZ$26+SUMIFS(dr_Cant,dr_Mes,150,dr_Cod,"U_RCH_G",dr_Est,"&lt;&gt;Excluido"),IF(e_Rech&lt;1,EZ$26/(1-e_Rech),0))</f>
        <v>0</v>
      </c>
      <c r="FA28" s="13" t="n">
        <f aca="false">IF(FA$9=1,FA$26+SUMIFS(dr_Cant,dr_Mes,151,dr_Cod,"U_RCH_G",dr_Est,"&lt;&gt;Excluido"),IF(e_Rech&lt;1,FA$26/(1-e_Rech),0))</f>
        <v>0</v>
      </c>
      <c r="FB28" s="13" t="n">
        <f aca="false">IF(FB$9=1,FB$26+SUMIFS(dr_Cant,dr_Mes,152,dr_Cod,"U_RCH_G",dr_Est,"&lt;&gt;Excluido"),IF(e_Rech&lt;1,FB$26/(1-e_Rech),0))</f>
        <v>0</v>
      </c>
      <c r="FC28" s="13" t="n">
        <f aca="false">IF(FC$9=1,FC$26+SUMIFS(dr_Cant,dr_Mes,153,dr_Cod,"U_RCH_G",dr_Est,"&lt;&gt;Excluido"),IF(e_Rech&lt;1,FC$26/(1-e_Rech),0))</f>
        <v>0</v>
      </c>
      <c r="FD28" s="13" t="n">
        <f aca="false">IF(FD$9=1,FD$26+SUMIFS(dr_Cant,dr_Mes,154,dr_Cod,"U_RCH_G",dr_Est,"&lt;&gt;Excluido"),IF(e_Rech&lt;1,FD$26/(1-e_Rech),0))</f>
        <v>0</v>
      </c>
      <c r="FE28" s="13" t="n">
        <f aca="false">IF(FE$9=1,FE$26+SUMIFS(dr_Cant,dr_Mes,155,dr_Cod,"U_RCH_G",dr_Est,"&lt;&gt;Excluido"),IF(e_Rech&lt;1,FE$26/(1-e_Rech),0))</f>
        <v>0</v>
      </c>
      <c r="FF28" s="13" t="n">
        <f aca="false">IF(FF$9=1,FF$26+SUMIFS(dr_Cant,dr_Mes,156,dr_Cod,"U_RCH_G",dr_Est,"&lt;&gt;Excluido"),IF(e_Rech&lt;1,FF$26/(1-e_Rech),0))</f>
        <v>0</v>
      </c>
    </row>
    <row r="29" customFormat="false" ht="15" hidden="false" customHeight="false" outlineLevel="0" collapsed="false">
      <c r="A29" s="2" t="s">
        <v>856</v>
      </c>
      <c r="B29" s="8" t="s">
        <v>857</v>
      </c>
      <c r="C29" s="8" t="s">
        <v>825</v>
      </c>
      <c r="E29" s="65" t="n">
        <f aca="false">SUM($F29:$FF29)</f>
        <v>0</v>
      </c>
      <c r="F29" s="13" t="n">
        <f aca="false">F$28-F$26</f>
        <v>0</v>
      </c>
      <c r="G29" s="13" t="n">
        <f aca="false">G$28-G$26</f>
        <v>0</v>
      </c>
      <c r="H29" s="13" t="n">
        <f aca="false">H$28-H$26</f>
        <v>0</v>
      </c>
      <c r="I29" s="13" t="n">
        <f aca="false">I$28-I$26</f>
        <v>0</v>
      </c>
      <c r="J29" s="13" t="n">
        <f aca="false">J$28-J$26</f>
        <v>0</v>
      </c>
      <c r="K29" s="13" t="n">
        <f aca="false">K$28-K$26</f>
        <v>0</v>
      </c>
      <c r="L29" s="13" t="n">
        <f aca="false">L$28-L$26</f>
        <v>0</v>
      </c>
      <c r="M29" s="13" t="n">
        <f aca="false">M$28-M$26</f>
        <v>0</v>
      </c>
      <c r="N29" s="13" t="n">
        <f aca="false">N$28-N$26</f>
        <v>0</v>
      </c>
      <c r="O29" s="13" t="n">
        <f aca="false">O$28-O$26</f>
        <v>0</v>
      </c>
      <c r="P29" s="13" t="n">
        <f aca="false">P$28-P$26</f>
        <v>0</v>
      </c>
      <c r="Q29" s="13" t="n">
        <f aca="false">Q$28-Q$26</f>
        <v>0</v>
      </c>
      <c r="R29" s="13" t="n">
        <f aca="false">R$28-R$26</f>
        <v>0</v>
      </c>
      <c r="S29" s="13" t="n">
        <f aca="false">S$28-S$26</f>
        <v>0</v>
      </c>
      <c r="T29" s="13" t="n">
        <f aca="false">T$28-T$26</f>
        <v>0</v>
      </c>
      <c r="U29" s="13" t="n">
        <f aca="false">U$28-U$26</f>
        <v>0</v>
      </c>
      <c r="V29" s="13" t="n">
        <f aca="false">V$28-V$26</f>
        <v>0</v>
      </c>
      <c r="W29" s="13" t="n">
        <f aca="false">W$28-W$26</f>
        <v>0</v>
      </c>
      <c r="X29" s="13" t="n">
        <f aca="false">X$28-X$26</f>
        <v>0</v>
      </c>
      <c r="Y29" s="13" t="n">
        <f aca="false">Y$28-Y$26</f>
        <v>0</v>
      </c>
      <c r="Z29" s="13" t="n">
        <f aca="false">Z$28-Z$26</f>
        <v>0</v>
      </c>
      <c r="AA29" s="13" t="n">
        <f aca="false">AA$28-AA$26</f>
        <v>0</v>
      </c>
      <c r="AB29" s="13" t="n">
        <f aca="false">AB$28-AB$26</f>
        <v>0</v>
      </c>
      <c r="AC29" s="13" t="n">
        <f aca="false">AC$28-AC$26</f>
        <v>0</v>
      </c>
      <c r="AD29" s="13" t="n">
        <f aca="false">AD$28-AD$26</f>
        <v>0</v>
      </c>
      <c r="AE29" s="13" t="n">
        <f aca="false">AE$28-AE$26</f>
        <v>0</v>
      </c>
      <c r="AF29" s="13" t="n">
        <f aca="false">AF$28-AF$26</f>
        <v>0</v>
      </c>
      <c r="AG29" s="13" t="n">
        <f aca="false">AG$28-AG$26</f>
        <v>0</v>
      </c>
      <c r="AH29" s="13" t="n">
        <f aca="false">AH$28-AH$26</f>
        <v>0</v>
      </c>
      <c r="AI29" s="13" t="n">
        <f aca="false">AI$28-AI$26</f>
        <v>0</v>
      </c>
      <c r="AJ29" s="13" t="n">
        <f aca="false">AJ$28-AJ$26</f>
        <v>0</v>
      </c>
      <c r="AK29" s="13" t="n">
        <f aca="false">AK$28-AK$26</f>
        <v>0</v>
      </c>
      <c r="AL29" s="13" t="n">
        <f aca="false">AL$28-AL$26</f>
        <v>0</v>
      </c>
      <c r="AM29" s="13" t="n">
        <f aca="false">AM$28-AM$26</f>
        <v>0</v>
      </c>
      <c r="AN29" s="13" t="n">
        <f aca="false">AN$28-AN$26</f>
        <v>0</v>
      </c>
      <c r="AO29" s="13" t="n">
        <f aca="false">AO$28-AO$26</f>
        <v>0</v>
      </c>
      <c r="AP29" s="13" t="n">
        <f aca="false">AP$28-AP$26</f>
        <v>0</v>
      </c>
      <c r="AQ29" s="13" t="n">
        <f aca="false">AQ$28-AQ$26</f>
        <v>0</v>
      </c>
      <c r="AR29" s="13" t="n">
        <f aca="false">AR$28-AR$26</f>
        <v>0</v>
      </c>
      <c r="AS29" s="13" t="n">
        <f aca="false">AS$28-AS$26</f>
        <v>0</v>
      </c>
      <c r="AT29" s="13" t="n">
        <f aca="false">AT$28-AT$26</f>
        <v>0</v>
      </c>
      <c r="AU29" s="13" t="n">
        <f aca="false">AU$28-AU$26</f>
        <v>0</v>
      </c>
      <c r="AV29" s="13" t="n">
        <f aca="false">AV$28-AV$26</f>
        <v>0</v>
      </c>
      <c r="AW29" s="13" t="n">
        <f aca="false">AW$28-AW$26</f>
        <v>0</v>
      </c>
      <c r="AX29" s="13" t="n">
        <f aca="false">AX$28-AX$26</f>
        <v>0</v>
      </c>
      <c r="AY29" s="13" t="n">
        <f aca="false">AY$28-AY$26</f>
        <v>0</v>
      </c>
      <c r="AZ29" s="13" t="n">
        <f aca="false">AZ$28-AZ$26</f>
        <v>0</v>
      </c>
      <c r="BA29" s="13" t="n">
        <f aca="false">BA$28-BA$26</f>
        <v>0</v>
      </c>
      <c r="BB29" s="13" t="n">
        <f aca="false">BB$28-BB$26</f>
        <v>0</v>
      </c>
      <c r="BC29" s="13" t="n">
        <f aca="false">BC$28-BC$26</f>
        <v>0</v>
      </c>
      <c r="BD29" s="13" t="n">
        <f aca="false">BD$28-BD$26</f>
        <v>0</v>
      </c>
      <c r="BE29" s="13" t="n">
        <f aca="false">BE$28-BE$26</f>
        <v>0</v>
      </c>
      <c r="BF29" s="13" t="n">
        <f aca="false">BF$28-BF$26</f>
        <v>0</v>
      </c>
      <c r="BG29" s="13" t="n">
        <f aca="false">BG$28-BG$26</f>
        <v>0</v>
      </c>
      <c r="BH29" s="13" t="n">
        <f aca="false">BH$28-BH$26</f>
        <v>0</v>
      </c>
      <c r="BI29" s="13" t="n">
        <f aca="false">BI$28-BI$26</f>
        <v>0</v>
      </c>
      <c r="BJ29" s="13" t="n">
        <f aca="false">BJ$28-BJ$26</f>
        <v>0</v>
      </c>
      <c r="BK29" s="13" t="n">
        <f aca="false">BK$28-BK$26</f>
        <v>0</v>
      </c>
      <c r="BL29" s="13" t="n">
        <f aca="false">BL$28-BL$26</f>
        <v>0</v>
      </c>
      <c r="BM29" s="13" t="n">
        <f aca="false">BM$28-BM$26</f>
        <v>0</v>
      </c>
      <c r="BN29" s="13" t="n">
        <f aca="false">BN$28-BN$26</f>
        <v>0</v>
      </c>
      <c r="BO29" s="13" t="n">
        <f aca="false">BO$28-BO$26</f>
        <v>0</v>
      </c>
      <c r="BP29" s="13" t="n">
        <f aca="false">BP$28-BP$26</f>
        <v>0</v>
      </c>
      <c r="BQ29" s="13" t="n">
        <f aca="false">BQ$28-BQ$26</f>
        <v>0</v>
      </c>
      <c r="BR29" s="13" t="n">
        <f aca="false">BR$28-BR$26</f>
        <v>0</v>
      </c>
      <c r="BS29" s="13" t="n">
        <f aca="false">BS$28-BS$26</f>
        <v>0</v>
      </c>
      <c r="BT29" s="13" t="n">
        <f aca="false">BT$28-BT$26</f>
        <v>0</v>
      </c>
      <c r="BU29" s="13" t="n">
        <f aca="false">BU$28-BU$26</f>
        <v>0</v>
      </c>
      <c r="BV29" s="13" t="n">
        <f aca="false">BV$28-BV$26</f>
        <v>0</v>
      </c>
      <c r="BW29" s="13" t="n">
        <f aca="false">BW$28-BW$26</f>
        <v>0</v>
      </c>
      <c r="BX29" s="13" t="n">
        <f aca="false">BX$28-BX$26</f>
        <v>0</v>
      </c>
      <c r="BY29" s="13" t="n">
        <f aca="false">BY$28-BY$26</f>
        <v>0</v>
      </c>
      <c r="BZ29" s="13" t="n">
        <f aca="false">BZ$28-BZ$26</f>
        <v>0</v>
      </c>
      <c r="CA29" s="13" t="n">
        <f aca="false">CA$28-CA$26</f>
        <v>0</v>
      </c>
      <c r="CB29" s="13" t="n">
        <f aca="false">CB$28-CB$26</f>
        <v>0</v>
      </c>
      <c r="CC29" s="13" t="n">
        <f aca="false">CC$28-CC$26</f>
        <v>0</v>
      </c>
      <c r="CD29" s="13" t="n">
        <f aca="false">CD$28-CD$26</f>
        <v>0</v>
      </c>
      <c r="CE29" s="13" t="n">
        <f aca="false">CE$28-CE$26</f>
        <v>0</v>
      </c>
      <c r="CF29" s="13" t="n">
        <f aca="false">CF$28-CF$26</f>
        <v>0</v>
      </c>
      <c r="CG29" s="13" t="n">
        <f aca="false">CG$28-CG$26</f>
        <v>0</v>
      </c>
      <c r="CH29" s="13" t="n">
        <f aca="false">CH$28-CH$26</f>
        <v>0</v>
      </c>
      <c r="CI29" s="13" t="n">
        <f aca="false">CI$28-CI$26</f>
        <v>0</v>
      </c>
      <c r="CJ29" s="13" t="n">
        <f aca="false">CJ$28-CJ$26</f>
        <v>0</v>
      </c>
      <c r="CK29" s="13" t="n">
        <f aca="false">CK$28-CK$26</f>
        <v>0</v>
      </c>
      <c r="CL29" s="13" t="n">
        <f aca="false">CL$28-CL$26</f>
        <v>0</v>
      </c>
      <c r="CM29" s="13" t="n">
        <f aca="false">CM$28-CM$26</f>
        <v>0</v>
      </c>
      <c r="CN29" s="13" t="n">
        <f aca="false">CN$28-CN$26</f>
        <v>0</v>
      </c>
      <c r="CO29" s="13" t="n">
        <f aca="false">CO$28-CO$26</f>
        <v>0</v>
      </c>
      <c r="CP29" s="13" t="n">
        <f aca="false">CP$28-CP$26</f>
        <v>0</v>
      </c>
      <c r="CQ29" s="13" t="n">
        <f aca="false">CQ$28-CQ$26</f>
        <v>0</v>
      </c>
      <c r="CR29" s="13" t="n">
        <f aca="false">CR$28-CR$26</f>
        <v>0</v>
      </c>
      <c r="CS29" s="13" t="n">
        <f aca="false">CS$28-CS$26</f>
        <v>0</v>
      </c>
      <c r="CT29" s="13" t="n">
        <f aca="false">CT$28-CT$26</f>
        <v>0</v>
      </c>
      <c r="CU29" s="13" t="n">
        <f aca="false">CU$28-CU$26</f>
        <v>0</v>
      </c>
      <c r="CV29" s="13" t="n">
        <f aca="false">CV$28-CV$26</f>
        <v>0</v>
      </c>
      <c r="CW29" s="13" t="n">
        <f aca="false">CW$28-CW$26</f>
        <v>0</v>
      </c>
      <c r="CX29" s="13" t="n">
        <f aca="false">CX$28-CX$26</f>
        <v>0</v>
      </c>
      <c r="CY29" s="13" t="n">
        <f aca="false">CY$28-CY$26</f>
        <v>0</v>
      </c>
      <c r="CZ29" s="13" t="n">
        <f aca="false">CZ$28-CZ$26</f>
        <v>0</v>
      </c>
      <c r="DA29" s="13" t="n">
        <f aca="false">DA$28-DA$26</f>
        <v>0</v>
      </c>
      <c r="DB29" s="13" t="n">
        <f aca="false">DB$28-DB$26</f>
        <v>0</v>
      </c>
      <c r="DC29" s="13" t="n">
        <f aca="false">DC$28-DC$26</f>
        <v>0</v>
      </c>
      <c r="DD29" s="13" t="n">
        <f aca="false">DD$28-DD$26</f>
        <v>0</v>
      </c>
      <c r="DE29" s="13" t="n">
        <f aca="false">DE$28-DE$26</f>
        <v>0</v>
      </c>
      <c r="DF29" s="13" t="n">
        <f aca="false">DF$28-DF$26</f>
        <v>0</v>
      </c>
      <c r="DG29" s="13" t="n">
        <f aca="false">DG$28-DG$26</f>
        <v>0</v>
      </c>
      <c r="DH29" s="13" t="n">
        <f aca="false">DH$28-DH$26</f>
        <v>0</v>
      </c>
      <c r="DI29" s="13" t="n">
        <f aca="false">DI$28-DI$26</f>
        <v>0</v>
      </c>
      <c r="DJ29" s="13" t="n">
        <f aca="false">DJ$28-DJ$26</f>
        <v>0</v>
      </c>
      <c r="DK29" s="13" t="n">
        <f aca="false">DK$28-DK$26</f>
        <v>0</v>
      </c>
      <c r="DL29" s="13" t="n">
        <f aca="false">DL$28-DL$26</f>
        <v>0</v>
      </c>
      <c r="DM29" s="13" t="n">
        <f aca="false">DM$28-DM$26</f>
        <v>0</v>
      </c>
      <c r="DN29" s="13" t="n">
        <f aca="false">DN$28-DN$26</f>
        <v>0</v>
      </c>
      <c r="DO29" s="13" t="n">
        <f aca="false">DO$28-DO$26</f>
        <v>0</v>
      </c>
      <c r="DP29" s="13" t="n">
        <f aca="false">DP$28-DP$26</f>
        <v>0</v>
      </c>
      <c r="DQ29" s="13" t="n">
        <f aca="false">DQ$28-DQ$26</f>
        <v>0</v>
      </c>
      <c r="DR29" s="13" t="n">
        <f aca="false">DR$28-DR$26</f>
        <v>0</v>
      </c>
      <c r="DS29" s="13" t="n">
        <f aca="false">DS$28-DS$26</f>
        <v>0</v>
      </c>
      <c r="DT29" s="13" t="n">
        <f aca="false">DT$28-DT$26</f>
        <v>0</v>
      </c>
      <c r="DU29" s="13" t="n">
        <f aca="false">DU$28-DU$26</f>
        <v>0</v>
      </c>
      <c r="DV29" s="13" t="n">
        <f aca="false">DV$28-DV$26</f>
        <v>0</v>
      </c>
      <c r="DW29" s="13" t="n">
        <f aca="false">DW$28-DW$26</f>
        <v>0</v>
      </c>
      <c r="DX29" s="13" t="n">
        <f aca="false">DX$28-DX$26</f>
        <v>0</v>
      </c>
      <c r="DY29" s="13" t="n">
        <f aca="false">DY$28-DY$26</f>
        <v>0</v>
      </c>
      <c r="DZ29" s="13" t="n">
        <f aca="false">DZ$28-DZ$26</f>
        <v>0</v>
      </c>
      <c r="EA29" s="13" t="n">
        <f aca="false">EA$28-EA$26</f>
        <v>0</v>
      </c>
      <c r="EB29" s="13" t="n">
        <f aca="false">EB$28-EB$26</f>
        <v>0</v>
      </c>
      <c r="EC29" s="13" t="n">
        <f aca="false">EC$28-EC$26</f>
        <v>0</v>
      </c>
      <c r="ED29" s="13" t="n">
        <f aca="false">ED$28-ED$26</f>
        <v>0</v>
      </c>
      <c r="EE29" s="13" t="n">
        <f aca="false">EE$28-EE$26</f>
        <v>0</v>
      </c>
      <c r="EF29" s="13" t="n">
        <f aca="false">EF$28-EF$26</f>
        <v>0</v>
      </c>
      <c r="EG29" s="13" t="n">
        <f aca="false">EG$28-EG$26</f>
        <v>0</v>
      </c>
      <c r="EH29" s="13" t="n">
        <f aca="false">EH$28-EH$26</f>
        <v>0</v>
      </c>
      <c r="EI29" s="13" t="n">
        <f aca="false">EI$28-EI$26</f>
        <v>0</v>
      </c>
      <c r="EJ29" s="13" t="n">
        <f aca="false">EJ$28-EJ$26</f>
        <v>0</v>
      </c>
      <c r="EK29" s="13" t="n">
        <f aca="false">EK$28-EK$26</f>
        <v>0</v>
      </c>
      <c r="EL29" s="13" t="n">
        <f aca="false">EL$28-EL$26</f>
        <v>0</v>
      </c>
      <c r="EM29" s="13" t="n">
        <f aca="false">EM$28-EM$26</f>
        <v>0</v>
      </c>
      <c r="EN29" s="13" t="n">
        <f aca="false">EN$28-EN$26</f>
        <v>0</v>
      </c>
      <c r="EO29" s="13" t="n">
        <f aca="false">EO$28-EO$26</f>
        <v>0</v>
      </c>
      <c r="EP29" s="13" t="n">
        <f aca="false">EP$28-EP$26</f>
        <v>0</v>
      </c>
      <c r="EQ29" s="13" t="n">
        <f aca="false">EQ$28-EQ$26</f>
        <v>0</v>
      </c>
      <c r="ER29" s="13" t="n">
        <f aca="false">ER$28-ER$26</f>
        <v>0</v>
      </c>
      <c r="ES29" s="13" t="n">
        <f aca="false">ES$28-ES$26</f>
        <v>0</v>
      </c>
      <c r="ET29" s="13" t="n">
        <f aca="false">ET$28-ET$26</f>
        <v>0</v>
      </c>
      <c r="EU29" s="13" t="n">
        <f aca="false">EU$28-EU$26</f>
        <v>0</v>
      </c>
      <c r="EV29" s="13" t="n">
        <f aca="false">EV$28-EV$26</f>
        <v>0</v>
      </c>
      <c r="EW29" s="13" t="n">
        <f aca="false">EW$28-EW$26</f>
        <v>0</v>
      </c>
      <c r="EX29" s="13" t="n">
        <f aca="false">EX$28-EX$26</f>
        <v>0</v>
      </c>
      <c r="EY29" s="13" t="n">
        <f aca="false">EY$28-EY$26</f>
        <v>0</v>
      </c>
      <c r="EZ29" s="13" t="n">
        <f aca="false">EZ$28-EZ$26</f>
        <v>0</v>
      </c>
      <c r="FA29" s="13" t="n">
        <f aca="false">FA$28-FA$26</f>
        <v>0</v>
      </c>
      <c r="FB29" s="13" t="n">
        <f aca="false">FB$28-FB$26</f>
        <v>0</v>
      </c>
      <c r="FC29" s="13" t="n">
        <f aca="false">FC$28-FC$26</f>
        <v>0</v>
      </c>
      <c r="FD29" s="13" t="n">
        <f aca="false">FD$28-FD$26</f>
        <v>0</v>
      </c>
      <c r="FE29" s="13" t="n">
        <f aca="false">FE$28-FE$26</f>
        <v>0</v>
      </c>
      <c r="FF29" s="13" t="n">
        <f aca="false">FF$28-FF$26</f>
        <v>0</v>
      </c>
    </row>
    <row r="30" customFormat="false" ht="15" hidden="false" customHeight="false" outlineLevel="0" collapsed="false">
      <c r="A30" s="2" t="s">
        <v>858</v>
      </c>
      <c r="B30" s="8" t="s">
        <v>859</v>
      </c>
      <c r="C30" s="8" t="s">
        <v>825</v>
      </c>
      <c r="E30" s="65" t="n">
        <f aca="false">SUM($F30:$FF30)</f>
        <v>160.708904109589</v>
      </c>
      <c r="F30" s="13" t="n">
        <f aca="false">MAX(0,F$28-F$13*1.0001)</f>
        <v>0</v>
      </c>
      <c r="G30" s="13" t="n">
        <f aca="false">MAX(0,G$28-G$13*1.0001)</f>
        <v>78.6421232876712</v>
      </c>
      <c r="H30" s="13" t="n">
        <f aca="false">MAX(0,H$28-H$13*1.0001)</f>
        <v>0</v>
      </c>
      <c r="I30" s="13" t="n">
        <f aca="false">MAX(0,I$28-I$13*1.0001)</f>
        <v>0</v>
      </c>
      <c r="J30" s="13" t="n">
        <f aca="false">MAX(0,J$28-J$13*1.0001)</f>
        <v>0</v>
      </c>
      <c r="K30" s="13" t="n">
        <f aca="false">MAX(0,K$28-K$13*1.0001)</f>
        <v>0</v>
      </c>
      <c r="L30" s="13" t="n">
        <f aca="false">MAX(0,L$28-L$13*1.0001)</f>
        <v>0</v>
      </c>
      <c r="M30" s="13" t="n">
        <f aca="false">MAX(0,M$28-M$13*1.0001)</f>
        <v>0</v>
      </c>
      <c r="N30" s="13" t="n">
        <f aca="false">MAX(0,N$28-N$13*1.0001)</f>
        <v>0</v>
      </c>
      <c r="O30" s="13" t="n">
        <f aca="false">MAX(0,O$28-O$13*1.0001)</f>
        <v>0</v>
      </c>
      <c r="P30" s="13" t="n">
        <f aca="false">MAX(0,P$28-P$13*1.0001)</f>
        <v>0</v>
      </c>
      <c r="Q30" s="13" t="n">
        <f aca="false">MAX(0,Q$28-Q$13*1.0001)</f>
        <v>0</v>
      </c>
      <c r="R30" s="13" t="n">
        <f aca="false">MAX(0,R$28-R$13*1.0001)</f>
        <v>0</v>
      </c>
      <c r="S30" s="13" t="n">
        <f aca="false">MAX(0,S$28-S$13*1.0001)</f>
        <v>0</v>
      </c>
      <c r="T30" s="13" t="n">
        <f aca="false">MAX(0,T$28-T$13*1.0001)</f>
        <v>0</v>
      </c>
      <c r="U30" s="13" t="n">
        <f aca="false">MAX(0,U$28-U$13*1.0001)</f>
        <v>0</v>
      </c>
      <c r="V30" s="13" t="n">
        <f aca="false">MAX(0,V$28-V$13*1.0001)</f>
        <v>0</v>
      </c>
      <c r="W30" s="13" t="n">
        <f aca="false">MAX(0,W$28-W$13*1.0001)</f>
        <v>0</v>
      </c>
      <c r="X30" s="13" t="n">
        <f aca="false">MAX(0,X$28-X$13*1.0001)</f>
        <v>0</v>
      </c>
      <c r="Y30" s="13" t="n">
        <f aca="false">MAX(0,Y$28-Y$13*1.0001)</f>
        <v>0</v>
      </c>
      <c r="Z30" s="13" t="n">
        <f aca="false">MAX(0,Z$28-Z$13*1.0001)</f>
        <v>0</v>
      </c>
      <c r="AA30" s="13" t="n">
        <f aca="false">MAX(0,AA$28-AA$13*1.0001)</f>
        <v>0</v>
      </c>
      <c r="AB30" s="13" t="n">
        <f aca="false">MAX(0,AB$28-AB$13*1.0001)</f>
        <v>0</v>
      </c>
      <c r="AC30" s="13" t="n">
        <f aca="false">MAX(0,AC$28-AC$13*1.0001)</f>
        <v>0</v>
      </c>
      <c r="AD30" s="13" t="n">
        <f aca="false">MAX(0,AD$28-AD$13*1.0001)</f>
        <v>82.066780821918</v>
      </c>
      <c r="AE30" s="13" t="n">
        <f aca="false">MAX(0,AE$28-AE$13*1.0001)</f>
        <v>0</v>
      </c>
      <c r="AF30" s="13" t="n">
        <f aca="false">MAX(0,AF$28-AF$13*1.0001)</f>
        <v>0</v>
      </c>
      <c r="AG30" s="13" t="n">
        <f aca="false">MAX(0,AG$28-AG$13*1.0001)</f>
        <v>0</v>
      </c>
      <c r="AH30" s="13" t="n">
        <f aca="false">MAX(0,AH$28-AH$13*1.0001)</f>
        <v>0</v>
      </c>
      <c r="AI30" s="13" t="n">
        <f aca="false">MAX(0,AI$28-AI$13*1.0001)</f>
        <v>0</v>
      </c>
      <c r="AJ30" s="13" t="n">
        <f aca="false">MAX(0,AJ$28-AJ$13*1.0001)</f>
        <v>0</v>
      </c>
      <c r="AK30" s="13" t="n">
        <f aca="false">MAX(0,AK$28-AK$13*1.0001)</f>
        <v>0</v>
      </c>
      <c r="AL30" s="13" t="n">
        <f aca="false">MAX(0,AL$28-AL$13*1.0001)</f>
        <v>0</v>
      </c>
      <c r="AM30" s="13" t="n">
        <f aca="false">MAX(0,AM$28-AM$13*1.0001)</f>
        <v>0</v>
      </c>
      <c r="AN30" s="13" t="n">
        <f aca="false">MAX(0,AN$28-AN$13*1.0001)</f>
        <v>0</v>
      </c>
      <c r="AO30" s="13" t="n">
        <f aca="false">MAX(0,AO$28-AO$13*1.0001)</f>
        <v>0</v>
      </c>
      <c r="AP30" s="13" t="n">
        <f aca="false">MAX(0,AP$28-AP$13*1.0001)</f>
        <v>0</v>
      </c>
      <c r="AQ30" s="13" t="n">
        <f aca="false">MAX(0,AQ$28-AQ$13*1.0001)</f>
        <v>0</v>
      </c>
      <c r="AR30" s="13" t="n">
        <f aca="false">MAX(0,AR$28-AR$13*1.0001)</f>
        <v>0</v>
      </c>
      <c r="AS30" s="13" t="n">
        <f aca="false">MAX(0,AS$28-AS$13*1.0001)</f>
        <v>0</v>
      </c>
      <c r="AT30" s="13" t="n">
        <f aca="false">MAX(0,AT$28-AT$13*1.0001)</f>
        <v>0</v>
      </c>
      <c r="AU30" s="13" t="n">
        <f aca="false">MAX(0,AU$28-AU$13*1.0001)</f>
        <v>0</v>
      </c>
      <c r="AV30" s="13" t="n">
        <f aca="false">MAX(0,AV$28-AV$13*1.0001)</f>
        <v>0</v>
      </c>
      <c r="AW30" s="13" t="n">
        <f aca="false">MAX(0,AW$28-AW$13*1.0001)</f>
        <v>0</v>
      </c>
      <c r="AX30" s="13" t="n">
        <f aca="false">MAX(0,AX$28-AX$13*1.0001)</f>
        <v>0</v>
      </c>
      <c r="AY30" s="13" t="n">
        <f aca="false">MAX(0,AY$28-AY$13*1.0001)</f>
        <v>0</v>
      </c>
      <c r="AZ30" s="13" t="n">
        <f aca="false">MAX(0,AZ$28-AZ$13*1.0001)</f>
        <v>0</v>
      </c>
      <c r="BA30" s="13" t="n">
        <f aca="false">MAX(0,BA$28-BA$13*1.0001)</f>
        <v>0</v>
      </c>
      <c r="BB30" s="13" t="n">
        <f aca="false">MAX(0,BB$28-BB$13*1.0001)</f>
        <v>0</v>
      </c>
      <c r="BC30" s="13" t="n">
        <f aca="false">MAX(0,BC$28-BC$13*1.0001)</f>
        <v>0</v>
      </c>
      <c r="BD30" s="13" t="n">
        <f aca="false">MAX(0,BD$28-BD$13*1.0001)</f>
        <v>0</v>
      </c>
      <c r="BE30" s="13" t="n">
        <f aca="false">MAX(0,BE$28-BE$13*1.0001)</f>
        <v>0</v>
      </c>
      <c r="BF30" s="13" t="n">
        <f aca="false">MAX(0,BF$28-BF$13*1.0001)</f>
        <v>0</v>
      </c>
      <c r="BG30" s="13" t="n">
        <f aca="false">MAX(0,BG$28-BG$13*1.0001)</f>
        <v>0</v>
      </c>
      <c r="BH30" s="13" t="n">
        <f aca="false">MAX(0,BH$28-BH$13*1.0001)</f>
        <v>0</v>
      </c>
      <c r="BI30" s="13" t="n">
        <f aca="false">MAX(0,BI$28-BI$13*1.0001)</f>
        <v>0</v>
      </c>
      <c r="BJ30" s="13" t="n">
        <f aca="false">MAX(0,BJ$28-BJ$13*1.0001)</f>
        <v>0</v>
      </c>
      <c r="BK30" s="13" t="n">
        <f aca="false">MAX(0,BK$28-BK$13*1.0001)</f>
        <v>0</v>
      </c>
      <c r="BL30" s="13" t="n">
        <f aca="false">MAX(0,BL$28-BL$13*1.0001)</f>
        <v>0</v>
      </c>
      <c r="BM30" s="13" t="n">
        <f aca="false">MAX(0,BM$28-BM$13*1.0001)</f>
        <v>0</v>
      </c>
      <c r="BN30" s="13" t="n">
        <f aca="false">MAX(0,BN$28-BN$13*1.0001)</f>
        <v>0</v>
      </c>
      <c r="BO30" s="13" t="n">
        <f aca="false">MAX(0,BO$28-BO$13*1.0001)</f>
        <v>0</v>
      </c>
      <c r="BP30" s="13" t="n">
        <f aca="false">MAX(0,BP$28-BP$13*1.0001)</f>
        <v>0</v>
      </c>
      <c r="BQ30" s="13" t="n">
        <f aca="false">MAX(0,BQ$28-BQ$13*1.0001)</f>
        <v>0</v>
      </c>
      <c r="BR30" s="13" t="n">
        <f aca="false">MAX(0,BR$28-BR$13*1.0001)</f>
        <v>0</v>
      </c>
      <c r="BS30" s="13" t="n">
        <f aca="false">MAX(0,BS$28-BS$13*1.0001)</f>
        <v>0</v>
      </c>
      <c r="BT30" s="13" t="n">
        <f aca="false">MAX(0,BT$28-BT$13*1.0001)</f>
        <v>0</v>
      </c>
      <c r="BU30" s="13" t="n">
        <f aca="false">MAX(0,BU$28-BU$13*1.0001)</f>
        <v>0</v>
      </c>
      <c r="BV30" s="13" t="n">
        <f aca="false">MAX(0,BV$28-BV$13*1.0001)</f>
        <v>0</v>
      </c>
      <c r="BW30" s="13" t="n">
        <f aca="false">MAX(0,BW$28-BW$13*1.0001)</f>
        <v>0</v>
      </c>
      <c r="BX30" s="13" t="n">
        <f aca="false">MAX(0,BX$28-BX$13*1.0001)</f>
        <v>0</v>
      </c>
      <c r="BY30" s="13" t="n">
        <f aca="false">MAX(0,BY$28-BY$13*1.0001)</f>
        <v>0</v>
      </c>
      <c r="BZ30" s="13" t="n">
        <f aca="false">MAX(0,BZ$28-BZ$13*1.0001)</f>
        <v>0</v>
      </c>
      <c r="CA30" s="13" t="n">
        <f aca="false">MAX(0,CA$28-CA$13*1.0001)</f>
        <v>0</v>
      </c>
      <c r="CB30" s="13" t="n">
        <f aca="false">MAX(0,CB$28-CB$13*1.0001)</f>
        <v>0</v>
      </c>
      <c r="CC30" s="13" t="n">
        <f aca="false">MAX(0,CC$28-CC$13*1.0001)</f>
        <v>0</v>
      </c>
      <c r="CD30" s="13" t="n">
        <f aca="false">MAX(0,CD$28-CD$13*1.0001)</f>
        <v>0</v>
      </c>
      <c r="CE30" s="13" t="n">
        <f aca="false">MAX(0,CE$28-CE$13*1.0001)</f>
        <v>0</v>
      </c>
      <c r="CF30" s="13" t="n">
        <f aca="false">MAX(0,CF$28-CF$13*1.0001)</f>
        <v>0</v>
      </c>
      <c r="CG30" s="13" t="n">
        <f aca="false">MAX(0,CG$28-CG$13*1.0001)</f>
        <v>0</v>
      </c>
      <c r="CH30" s="13" t="n">
        <f aca="false">MAX(0,CH$28-CH$13*1.0001)</f>
        <v>0</v>
      </c>
      <c r="CI30" s="13" t="n">
        <f aca="false">MAX(0,CI$28-CI$13*1.0001)</f>
        <v>0</v>
      </c>
      <c r="CJ30" s="13" t="n">
        <f aca="false">MAX(0,CJ$28-CJ$13*1.0001)</f>
        <v>0</v>
      </c>
      <c r="CK30" s="13" t="n">
        <f aca="false">MAX(0,CK$28-CK$13*1.0001)</f>
        <v>0</v>
      </c>
      <c r="CL30" s="13" t="n">
        <f aca="false">MAX(0,CL$28-CL$13*1.0001)</f>
        <v>0</v>
      </c>
      <c r="CM30" s="13" t="n">
        <f aca="false">MAX(0,CM$28-CM$13*1.0001)</f>
        <v>0</v>
      </c>
      <c r="CN30" s="13" t="n">
        <f aca="false">MAX(0,CN$28-CN$13*1.0001)</f>
        <v>0</v>
      </c>
      <c r="CO30" s="13" t="n">
        <f aca="false">MAX(0,CO$28-CO$13*1.0001)</f>
        <v>0</v>
      </c>
      <c r="CP30" s="13" t="n">
        <f aca="false">MAX(0,CP$28-CP$13*1.0001)</f>
        <v>0</v>
      </c>
      <c r="CQ30" s="13" t="n">
        <f aca="false">MAX(0,CQ$28-CQ$13*1.0001)</f>
        <v>0</v>
      </c>
      <c r="CR30" s="13" t="n">
        <f aca="false">MAX(0,CR$28-CR$13*1.0001)</f>
        <v>0</v>
      </c>
      <c r="CS30" s="13" t="n">
        <f aca="false">MAX(0,CS$28-CS$13*1.0001)</f>
        <v>0</v>
      </c>
      <c r="CT30" s="13" t="n">
        <f aca="false">MAX(0,CT$28-CT$13*1.0001)</f>
        <v>0</v>
      </c>
      <c r="CU30" s="13" t="n">
        <f aca="false">MAX(0,CU$28-CU$13*1.0001)</f>
        <v>0</v>
      </c>
      <c r="CV30" s="13" t="n">
        <f aca="false">MAX(0,CV$28-CV$13*1.0001)</f>
        <v>0</v>
      </c>
      <c r="CW30" s="13" t="n">
        <f aca="false">MAX(0,CW$28-CW$13*1.0001)</f>
        <v>0</v>
      </c>
      <c r="CX30" s="13" t="n">
        <f aca="false">MAX(0,CX$28-CX$13*1.0001)</f>
        <v>0</v>
      </c>
      <c r="CY30" s="13" t="n">
        <f aca="false">MAX(0,CY$28-CY$13*1.0001)</f>
        <v>0</v>
      </c>
      <c r="CZ30" s="13" t="n">
        <f aca="false">MAX(0,CZ$28-CZ$13*1.0001)</f>
        <v>0</v>
      </c>
      <c r="DA30" s="13" t="n">
        <f aca="false">MAX(0,DA$28-DA$13*1.0001)</f>
        <v>0</v>
      </c>
      <c r="DB30" s="13" t="n">
        <f aca="false">MAX(0,DB$28-DB$13*1.0001)</f>
        <v>0</v>
      </c>
      <c r="DC30" s="13" t="n">
        <f aca="false">MAX(0,DC$28-DC$13*1.0001)</f>
        <v>0</v>
      </c>
      <c r="DD30" s="13" t="n">
        <f aca="false">MAX(0,DD$28-DD$13*1.0001)</f>
        <v>0</v>
      </c>
      <c r="DE30" s="13" t="n">
        <f aca="false">MAX(0,DE$28-DE$13*1.0001)</f>
        <v>0</v>
      </c>
      <c r="DF30" s="13" t="n">
        <f aca="false">MAX(0,DF$28-DF$13*1.0001)</f>
        <v>0</v>
      </c>
      <c r="DG30" s="13" t="n">
        <f aca="false">MAX(0,DG$28-DG$13*1.0001)</f>
        <v>0</v>
      </c>
      <c r="DH30" s="13" t="n">
        <f aca="false">MAX(0,DH$28-DH$13*1.0001)</f>
        <v>0</v>
      </c>
      <c r="DI30" s="13" t="n">
        <f aca="false">MAX(0,DI$28-DI$13*1.0001)</f>
        <v>0</v>
      </c>
      <c r="DJ30" s="13" t="n">
        <f aca="false">MAX(0,DJ$28-DJ$13*1.0001)</f>
        <v>0</v>
      </c>
      <c r="DK30" s="13" t="n">
        <f aca="false">MAX(0,DK$28-DK$13*1.0001)</f>
        <v>0</v>
      </c>
      <c r="DL30" s="13" t="n">
        <f aca="false">MAX(0,DL$28-DL$13*1.0001)</f>
        <v>0</v>
      </c>
      <c r="DM30" s="13" t="n">
        <f aca="false">MAX(0,DM$28-DM$13*1.0001)</f>
        <v>0</v>
      </c>
      <c r="DN30" s="13" t="n">
        <f aca="false">MAX(0,DN$28-DN$13*1.0001)</f>
        <v>0</v>
      </c>
      <c r="DO30" s="13" t="n">
        <f aca="false">MAX(0,DO$28-DO$13*1.0001)</f>
        <v>0</v>
      </c>
      <c r="DP30" s="13" t="n">
        <f aca="false">MAX(0,DP$28-DP$13*1.0001)</f>
        <v>0</v>
      </c>
      <c r="DQ30" s="13" t="n">
        <f aca="false">MAX(0,DQ$28-DQ$13*1.0001)</f>
        <v>0</v>
      </c>
      <c r="DR30" s="13" t="n">
        <f aca="false">MAX(0,DR$28-DR$13*1.0001)</f>
        <v>0</v>
      </c>
      <c r="DS30" s="13" t="n">
        <f aca="false">MAX(0,DS$28-DS$13*1.0001)</f>
        <v>0</v>
      </c>
      <c r="DT30" s="13" t="n">
        <f aca="false">MAX(0,DT$28-DT$13*1.0001)</f>
        <v>0</v>
      </c>
      <c r="DU30" s="13" t="n">
        <f aca="false">MAX(0,DU$28-DU$13*1.0001)</f>
        <v>0</v>
      </c>
      <c r="DV30" s="13" t="n">
        <f aca="false">MAX(0,DV$28-DV$13*1.0001)</f>
        <v>0</v>
      </c>
      <c r="DW30" s="13" t="n">
        <f aca="false">MAX(0,DW$28-DW$13*1.0001)</f>
        <v>0</v>
      </c>
      <c r="DX30" s="13" t="n">
        <f aca="false">MAX(0,DX$28-DX$13*1.0001)</f>
        <v>0</v>
      </c>
      <c r="DY30" s="13" t="n">
        <f aca="false">MAX(0,DY$28-DY$13*1.0001)</f>
        <v>0</v>
      </c>
      <c r="DZ30" s="13" t="n">
        <f aca="false">MAX(0,DZ$28-DZ$13*1.0001)</f>
        <v>0</v>
      </c>
      <c r="EA30" s="13" t="n">
        <f aca="false">MAX(0,EA$28-EA$13*1.0001)</f>
        <v>0</v>
      </c>
      <c r="EB30" s="13" t="n">
        <f aca="false">MAX(0,EB$28-EB$13*1.0001)</f>
        <v>0</v>
      </c>
      <c r="EC30" s="13" t="n">
        <f aca="false">MAX(0,EC$28-EC$13*1.0001)</f>
        <v>0</v>
      </c>
      <c r="ED30" s="13" t="n">
        <f aca="false">MAX(0,ED$28-ED$13*1.0001)</f>
        <v>0</v>
      </c>
      <c r="EE30" s="13" t="n">
        <f aca="false">MAX(0,EE$28-EE$13*1.0001)</f>
        <v>0</v>
      </c>
      <c r="EF30" s="13" t="n">
        <f aca="false">MAX(0,EF$28-EF$13*1.0001)</f>
        <v>0</v>
      </c>
      <c r="EG30" s="13" t="n">
        <f aca="false">MAX(0,EG$28-EG$13*1.0001)</f>
        <v>0</v>
      </c>
      <c r="EH30" s="13" t="n">
        <f aca="false">MAX(0,EH$28-EH$13*1.0001)</f>
        <v>0</v>
      </c>
      <c r="EI30" s="13" t="n">
        <f aca="false">MAX(0,EI$28-EI$13*1.0001)</f>
        <v>0</v>
      </c>
      <c r="EJ30" s="13" t="n">
        <f aca="false">MAX(0,EJ$28-EJ$13*1.0001)</f>
        <v>0</v>
      </c>
      <c r="EK30" s="13" t="n">
        <f aca="false">MAX(0,EK$28-EK$13*1.0001)</f>
        <v>0</v>
      </c>
      <c r="EL30" s="13" t="n">
        <f aca="false">MAX(0,EL$28-EL$13*1.0001)</f>
        <v>0</v>
      </c>
      <c r="EM30" s="13" t="n">
        <f aca="false">MAX(0,EM$28-EM$13*1.0001)</f>
        <v>0</v>
      </c>
      <c r="EN30" s="13" t="n">
        <f aca="false">MAX(0,EN$28-EN$13*1.0001)</f>
        <v>0</v>
      </c>
      <c r="EO30" s="13" t="n">
        <f aca="false">MAX(0,EO$28-EO$13*1.0001)</f>
        <v>0</v>
      </c>
      <c r="EP30" s="13" t="n">
        <f aca="false">MAX(0,EP$28-EP$13*1.0001)</f>
        <v>0</v>
      </c>
      <c r="EQ30" s="13" t="n">
        <f aca="false">MAX(0,EQ$28-EQ$13*1.0001)</f>
        <v>0</v>
      </c>
      <c r="ER30" s="13" t="n">
        <f aca="false">MAX(0,ER$28-ER$13*1.0001)</f>
        <v>0</v>
      </c>
      <c r="ES30" s="13" t="n">
        <f aca="false">MAX(0,ES$28-ES$13*1.0001)</f>
        <v>0</v>
      </c>
      <c r="ET30" s="13" t="n">
        <f aca="false">MAX(0,ET$28-ET$13*1.0001)</f>
        <v>0</v>
      </c>
      <c r="EU30" s="13" t="n">
        <f aca="false">MAX(0,EU$28-EU$13*1.0001)</f>
        <v>0</v>
      </c>
      <c r="EV30" s="13" t="n">
        <f aca="false">MAX(0,EV$28-EV$13*1.0001)</f>
        <v>0</v>
      </c>
      <c r="EW30" s="13" t="n">
        <f aca="false">MAX(0,EW$28-EW$13*1.0001)</f>
        <v>0</v>
      </c>
      <c r="EX30" s="13" t="n">
        <f aca="false">MAX(0,EX$28-EX$13*1.0001)</f>
        <v>0</v>
      </c>
      <c r="EY30" s="13" t="n">
        <f aca="false">MAX(0,EY$28-EY$13*1.0001)</f>
        <v>0</v>
      </c>
      <c r="EZ30" s="13" t="n">
        <f aca="false">MAX(0,EZ$28-EZ$13*1.0001)</f>
        <v>0</v>
      </c>
      <c r="FA30" s="13" t="n">
        <f aca="false">MAX(0,FA$28-FA$13*1.0001)</f>
        <v>0</v>
      </c>
      <c r="FB30" s="13" t="n">
        <f aca="false">MAX(0,FB$28-FB$13*1.0001)</f>
        <v>0</v>
      </c>
      <c r="FC30" s="13" t="n">
        <f aca="false">MAX(0,FC$28-FC$13*1.0001)</f>
        <v>0</v>
      </c>
      <c r="FD30" s="13" t="n">
        <f aca="false">MAX(0,FD$28-FD$13*1.0001)</f>
        <v>0</v>
      </c>
      <c r="FE30" s="13" t="n">
        <f aca="false">MAX(0,FE$28-FE$13*1.0001)</f>
        <v>0</v>
      </c>
      <c r="FF30" s="13" t="n">
        <f aca="false">MAX(0,FF$28-FF$13*1.0001)</f>
        <v>0</v>
      </c>
    </row>
    <row r="31" customFormat="false" ht="15" hidden="false" customHeight="false" outlineLevel="0" collapsed="false">
      <c r="A31" s="2" t="s">
        <v>860</v>
      </c>
      <c r="B31" s="8" t="s">
        <v>861</v>
      </c>
      <c r="C31" s="8" t="s">
        <v>263</v>
      </c>
      <c r="F31" s="19" t="n">
        <f aca="false">IF(p_Modalidad=2,N(p_TarifaG),e_PrecioG1)*(1+e_PrecioVar)*(1+e_PrecioGr)^(Calendario!F$19-1)</f>
        <v>270</v>
      </c>
      <c r="G31" s="19" t="n">
        <f aca="false">IF(p_Modalidad=2,N(p_TarifaG),e_PrecioG1)*(1+e_PrecioVar)*(1+e_PrecioGr)^(Calendario!G$19-1)</f>
        <v>270</v>
      </c>
      <c r="H31" s="19" t="n">
        <f aca="false">IF(p_Modalidad=2,N(p_TarifaG),e_PrecioG1)*(1+e_PrecioVar)*(1+e_PrecioGr)^(Calendario!H$19-1)</f>
        <v>270</v>
      </c>
      <c r="I31" s="19" t="n">
        <f aca="false">IF(p_Modalidad=2,N(p_TarifaG),e_PrecioG1)*(1+e_PrecioVar)*(1+e_PrecioGr)^(Calendario!I$19-1)</f>
        <v>270</v>
      </c>
      <c r="J31" s="19" t="n">
        <f aca="false">IF(p_Modalidad=2,N(p_TarifaG),e_PrecioG1)*(1+e_PrecioVar)*(1+e_PrecioGr)^(Calendario!J$19-1)</f>
        <v>270</v>
      </c>
      <c r="K31" s="19" t="n">
        <f aca="false">IF(p_Modalidad=2,N(p_TarifaG),e_PrecioG1)*(1+e_PrecioVar)*(1+e_PrecioGr)^(Calendario!K$19-1)</f>
        <v>270</v>
      </c>
      <c r="L31" s="19" t="n">
        <f aca="false">IF(p_Modalidad=2,N(p_TarifaG),e_PrecioG1)*(1+e_PrecioVar)*(1+e_PrecioGr)^(Calendario!L$19-1)</f>
        <v>270</v>
      </c>
      <c r="M31" s="19" t="n">
        <f aca="false">IF(p_Modalidad=2,N(p_TarifaG),e_PrecioG1)*(1+e_PrecioVar)*(1+e_PrecioGr)^(Calendario!M$19-1)</f>
        <v>270</v>
      </c>
      <c r="N31" s="19" t="n">
        <f aca="false">IF(p_Modalidad=2,N(p_TarifaG),e_PrecioG1)*(1+e_PrecioVar)*(1+e_PrecioGr)^(Calendario!N$19-1)</f>
        <v>270</v>
      </c>
      <c r="O31" s="19" t="n">
        <f aca="false">IF(p_Modalidad=2,N(p_TarifaG),e_PrecioG1)*(1+e_PrecioVar)*(1+e_PrecioGr)^(Calendario!O$19-1)</f>
        <v>270</v>
      </c>
      <c r="P31" s="19" t="n">
        <f aca="false">IF(p_Modalidad=2,N(p_TarifaG),e_PrecioG1)*(1+e_PrecioVar)*(1+e_PrecioGr)^(Calendario!P$19-1)</f>
        <v>270</v>
      </c>
      <c r="Q31" s="19" t="n">
        <f aca="false">IF(p_Modalidad=2,N(p_TarifaG),e_PrecioG1)*(1+e_PrecioVar)*(1+e_PrecioGr)^(Calendario!Q$19-1)</f>
        <v>270</v>
      </c>
      <c r="R31" s="19" t="n">
        <f aca="false">IF(p_Modalidad=2,N(p_TarifaG),e_PrecioG1)*(1+e_PrecioVar)*(1+e_PrecioGr)^(Calendario!R$19-1)</f>
        <v>270</v>
      </c>
      <c r="S31" s="19" t="n">
        <f aca="false">IF(p_Modalidad=2,N(p_TarifaG),e_PrecioG1)*(1+e_PrecioVar)*(1+e_PrecioGr)^(Calendario!S$19-1)</f>
        <v>272.7</v>
      </c>
      <c r="T31" s="19" t="n">
        <f aca="false">IF(p_Modalidad=2,N(p_TarifaG),e_PrecioG1)*(1+e_PrecioVar)*(1+e_PrecioGr)^(Calendario!T$19-1)</f>
        <v>272.7</v>
      </c>
      <c r="U31" s="19" t="n">
        <f aca="false">IF(p_Modalidad=2,N(p_TarifaG),e_PrecioG1)*(1+e_PrecioVar)*(1+e_PrecioGr)^(Calendario!U$19-1)</f>
        <v>272.7</v>
      </c>
      <c r="V31" s="19" t="n">
        <f aca="false">IF(p_Modalidad=2,N(p_TarifaG),e_PrecioG1)*(1+e_PrecioVar)*(1+e_PrecioGr)^(Calendario!V$19-1)</f>
        <v>272.7</v>
      </c>
      <c r="W31" s="19" t="n">
        <f aca="false">IF(p_Modalidad=2,N(p_TarifaG),e_PrecioG1)*(1+e_PrecioVar)*(1+e_PrecioGr)^(Calendario!W$19-1)</f>
        <v>272.7</v>
      </c>
      <c r="X31" s="19" t="n">
        <f aca="false">IF(p_Modalidad=2,N(p_TarifaG),e_PrecioG1)*(1+e_PrecioVar)*(1+e_PrecioGr)^(Calendario!X$19-1)</f>
        <v>272.7</v>
      </c>
      <c r="Y31" s="19" t="n">
        <f aca="false">IF(p_Modalidad=2,N(p_TarifaG),e_PrecioG1)*(1+e_PrecioVar)*(1+e_PrecioGr)^(Calendario!Y$19-1)</f>
        <v>272.7</v>
      </c>
      <c r="Z31" s="19" t="n">
        <f aca="false">IF(p_Modalidad=2,N(p_TarifaG),e_PrecioG1)*(1+e_PrecioVar)*(1+e_PrecioGr)^(Calendario!Z$19-1)</f>
        <v>272.7</v>
      </c>
      <c r="AA31" s="19" t="n">
        <f aca="false">IF(p_Modalidad=2,N(p_TarifaG),e_PrecioG1)*(1+e_PrecioVar)*(1+e_PrecioGr)^(Calendario!AA$19-1)</f>
        <v>272.7</v>
      </c>
      <c r="AB31" s="19" t="n">
        <f aca="false">IF(p_Modalidad=2,N(p_TarifaG),e_PrecioG1)*(1+e_PrecioVar)*(1+e_PrecioGr)^(Calendario!AB$19-1)</f>
        <v>272.7</v>
      </c>
      <c r="AC31" s="19" t="n">
        <f aca="false">IF(p_Modalidad=2,N(p_TarifaG),e_PrecioG1)*(1+e_PrecioVar)*(1+e_PrecioGr)^(Calendario!AC$19-1)</f>
        <v>272.7</v>
      </c>
      <c r="AD31" s="19" t="n">
        <f aca="false">IF(p_Modalidad=2,N(p_TarifaG),e_PrecioG1)*(1+e_PrecioVar)*(1+e_PrecioGr)^(Calendario!AD$19-1)</f>
        <v>272.7</v>
      </c>
      <c r="AE31" s="19" t="n">
        <f aca="false">IF(p_Modalidad=2,N(p_TarifaG),e_PrecioG1)*(1+e_PrecioVar)*(1+e_PrecioGr)^(Calendario!AE$19-1)</f>
        <v>275.427</v>
      </c>
      <c r="AF31" s="19" t="n">
        <f aca="false">IF(p_Modalidad=2,N(p_TarifaG),e_PrecioG1)*(1+e_PrecioVar)*(1+e_PrecioGr)^(Calendario!AF$19-1)</f>
        <v>275.427</v>
      </c>
      <c r="AG31" s="19" t="n">
        <f aca="false">IF(p_Modalidad=2,N(p_TarifaG),e_PrecioG1)*(1+e_PrecioVar)*(1+e_PrecioGr)^(Calendario!AG$19-1)</f>
        <v>275.427</v>
      </c>
      <c r="AH31" s="19" t="n">
        <f aca="false">IF(p_Modalidad=2,N(p_TarifaG),e_PrecioG1)*(1+e_PrecioVar)*(1+e_PrecioGr)^(Calendario!AH$19-1)</f>
        <v>275.427</v>
      </c>
      <c r="AI31" s="19" t="n">
        <f aca="false">IF(p_Modalidad=2,N(p_TarifaG),e_PrecioG1)*(1+e_PrecioVar)*(1+e_PrecioGr)^(Calendario!AI$19-1)</f>
        <v>275.427</v>
      </c>
      <c r="AJ31" s="19" t="n">
        <f aca="false">IF(p_Modalidad=2,N(p_TarifaG),e_PrecioG1)*(1+e_PrecioVar)*(1+e_PrecioGr)^(Calendario!AJ$19-1)</f>
        <v>275.427</v>
      </c>
      <c r="AK31" s="19" t="n">
        <f aca="false">IF(p_Modalidad=2,N(p_TarifaG),e_PrecioG1)*(1+e_PrecioVar)*(1+e_PrecioGr)^(Calendario!AK$19-1)</f>
        <v>275.427</v>
      </c>
      <c r="AL31" s="19" t="n">
        <f aca="false">IF(p_Modalidad=2,N(p_TarifaG),e_PrecioG1)*(1+e_PrecioVar)*(1+e_PrecioGr)^(Calendario!AL$19-1)</f>
        <v>275.427</v>
      </c>
      <c r="AM31" s="19" t="n">
        <f aca="false">IF(p_Modalidad=2,N(p_TarifaG),e_PrecioG1)*(1+e_PrecioVar)*(1+e_PrecioGr)^(Calendario!AM$19-1)</f>
        <v>275.427</v>
      </c>
      <c r="AN31" s="19" t="n">
        <f aca="false">IF(p_Modalidad=2,N(p_TarifaG),e_PrecioG1)*(1+e_PrecioVar)*(1+e_PrecioGr)^(Calendario!AN$19-1)</f>
        <v>275.427</v>
      </c>
      <c r="AO31" s="19" t="n">
        <f aca="false">IF(p_Modalidad=2,N(p_TarifaG),e_PrecioG1)*(1+e_PrecioVar)*(1+e_PrecioGr)^(Calendario!AO$19-1)</f>
        <v>275.427</v>
      </c>
      <c r="AP31" s="19" t="n">
        <f aca="false">IF(p_Modalidad=2,N(p_TarifaG),e_PrecioG1)*(1+e_PrecioVar)*(1+e_PrecioGr)^(Calendario!AP$19-1)</f>
        <v>275.427</v>
      </c>
      <c r="AQ31" s="19" t="n">
        <f aca="false">IF(p_Modalidad=2,N(p_TarifaG),e_PrecioG1)*(1+e_PrecioVar)*(1+e_PrecioGr)^(Calendario!AQ$19-1)</f>
        <v>278.18127</v>
      </c>
      <c r="AR31" s="19" t="n">
        <f aca="false">IF(p_Modalidad=2,N(p_TarifaG),e_PrecioG1)*(1+e_PrecioVar)*(1+e_PrecioGr)^(Calendario!AR$19-1)</f>
        <v>278.18127</v>
      </c>
      <c r="AS31" s="19" t="n">
        <f aca="false">IF(p_Modalidad=2,N(p_TarifaG),e_PrecioG1)*(1+e_PrecioVar)*(1+e_PrecioGr)^(Calendario!AS$19-1)</f>
        <v>278.18127</v>
      </c>
      <c r="AT31" s="19" t="n">
        <f aca="false">IF(p_Modalidad=2,N(p_TarifaG),e_PrecioG1)*(1+e_PrecioVar)*(1+e_PrecioGr)^(Calendario!AT$19-1)</f>
        <v>278.18127</v>
      </c>
      <c r="AU31" s="19" t="n">
        <f aca="false">IF(p_Modalidad=2,N(p_TarifaG),e_PrecioG1)*(1+e_PrecioVar)*(1+e_PrecioGr)^(Calendario!AU$19-1)</f>
        <v>278.18127</v>
      </c>
      <c r="AV31" s="19" t="n">
        <f aca="false">IF(p_Modalidad=2,N(p_TarifaG),e_PrecioG1)*(1+e_PrecioVar)*(1+e_PrecioGr)^(Calendario!AV$19-1)</f>
        <v>278.18127</v>
      </c>
      <c r="AW31" s="19" t="n">
        <f aca="false">IF(p_Modalidad=2,N(p_TarifaG),e_PrecioG1)*(1+e_PrecioVar)*(1+e_PrecioGr)^(Calendario!AW$19-1)</f>
        <v>278.18127</v>
      </c>
      <c r="AX31" s="19" t="n">
        <f aca="false">IF(p_Modalidad=2,N(p_TarifaG),e_PrecioG1)*(1+e_PrecioVar)*(1+e_PrecioGr)^(Calendario!AX$19-1)</f>
        <v>278.18127</v>
      </c>
      <c r="AY31" s="19" t="n">
        <f aca="false">IF(p_Modalidad=2,N(p_TarifaG),e_PrecioG1)*(1+e_PrecioVar)*(1+e_PrecioGr)^(Calendario!AY$19-1)</f>
        <v>278.18127</v>
      </c>
      <c r="AZ31" s="19" t="n">
        <f aca="false">IF(p_Modalidad=2,N(p_TarifaG),e_PrecioG1)*(1+e_PrecioVar)*(1+e_PrecioGr)^(Calendario!AZ$19-1)</f>
        <v>278.18127</v>
      </c>
      <c r="BA31" s="19" t="n">
        <f aca="false">IF(p_Modalidad=2,N(p_TarifaG),e_PrecioG1)*(1+e_PrecioVar)*(1+e_PrecioGr)^(Calendario!BA$19-1)</f>
        <v>278.18127</v>
      </c>
      <c r="BB31" s="19" t="n">
        <f aca="false">IF(p_Modalidad=2,N(p_TarifaG),e_PrecioG1)*(1+e_PrecioVar)*(1+e_PrecioGr)^(Calendario!BB$19-1)</f>
        <v>278.18127</v>
      </c>
      <c r="BC31" s="19" t="n">
        <f aca="false">IF(p_Modalidad=2,N(p_TarifaG),e_PrecioG1)*(1+e_PrecioVar)*(1+e_PrecioGr)^(Calendario!BC$19-1)</f>
        <v>280.9630827</v>
      </c>
      <c r="BD31" s="19" t="n">
        <f aca="false">IF(p_Modalidad=2,N(p_TarifaG),e_PrecioG1)*(1+e_PrecioVar)*(1+e_PrecioGr)^(Calendario!BD$19-1)</f>
        <v>280.9630827</v>
      </c>
      <c r="BE31" s="19" t="n">
        <f aca="false">IF(p_Modalidad=2,N(p_TarifaG),e_PrecioG1)*(1+e_PrecioVar)*(1+e_PrecioGr)^(Calendario!BE$19-1)</f>
        <v>280.9630827</v>
      </c>
      <c r="BF31" s="19" t="n">
        <f aca="false">IF(p_Modalidad=2,N(p_TarifaG),e_PrecioG1)*(1+e_PrecioVar)*(1+e_PrecioGr)^(Calendario!BF$19-1)</f>
        <v>280.9630827</v>
      </c>
      <c r="BG31" s="19" t="n">
        <f aca="false">IF(p_Modalidad=2,N(p_TarifaG),e_PrecioG1)*(1+e_PrecioVar)*(1+e_PrecioGr)^(Calendario!BG$19-1)</f>
        <v>280.9630827</v>
      </c>
      <c r="BH31" s="19" t="n">
        <f aca="false">IF(p_Modalidad=2,N(p_TarifaG),e_PrecioG1)*(1+e_PrecioVar)*(1+e_PrecioGr)^(Calendario!BH$19-1)</f>
        <v>280.9630827</v>
      </c>
      <c r="BI31" s="19" t="n">
        <f aca="false">IF(p_Modalidad=2,N(p_TarifaG),e_PrecioG1)*(1+e_PrecioVar)*(1+e_PrecioGr)^(Calendario!BI$19-1)</f>
        <v>280.9630827</v>
      </c>
      <c r="BJ31" s="19" t="n">
        <f aca="false">IF(p_Modalidad=2,N(p_TarifaG),e_PrecioG1)*(1+e_PrecioVar)*(1+e_PrecioGr)^(Calendario!BJ$19-1)</f>
        <v>280.9630827</v>
      </c>
      <c r="BK31" s="19" t="n">
        <f aca="false">IF(p_Modalidad=2,N(p_TarifaG),e_PrecioG1)*(1+e_PrecioVar)*(1+e_PrecioGr)^(Calendario!BK$19-1)</f>
        <v>280.9630827</v>
      </c>
      <c r="BL31" s="19" t="n">
        <f aca="false">IF(p_Modalidad=2,N(p_TarifaG),e_PrecioG1)*(1+e_PrecioVar)*(1+e_PrecioGr)^(Calendario!BL$19-1)</f>
        <v>280.9630827</v>
      </c>
      <c r="BM31" s="19" t="n">
        <f aca="false">IF(p_Modalidad=2,N(p_TarifaG),e_PrecioG1)*(1+e_PrecioVar)*(1+e_PrecioGr)^(Calendario!BM$19-1)</f>
        <v>280.9630827</v>
      </c>
      <c r="BN31" s="19" t="n">
        <f aca="false">IF(p_Modalidad=2,N(p_TarifaG),e_PrecioG1)*(1+e_PrecioVar)*(1+e_PrecioGr)^(Calendario!BN$19-1)</f>
        <v>280.9630827</v>
      </c>
      <c r="BO31" s="19" t="n">
        <f aca="false">IF(p_Modalidad=2,N(p_TarifaG),e_PrecioG1)*(1+e_PrecioVar)*(1+e_PrecioGr)^(Calendario!BO$19-1)</f>
        <v>283.772713527</v>
      </c>
      <c r="BP31" s="19" t="n">
        <f aca="false">IF(p_Modalidad=2,N(p_TarifaG),e_PrecioG1)*(1+e_PrecioVar)*(1+e_PrecioGr)^(Calendario!BP$19-1)</f>
        <v>283.772713527</v>
      </c>
      <c r="BQ31" s="19" t="n">
        <f aca="false">IF(p_Modalidad=2,N(p_TarifaG),e_PrecioG1)*(1+e_PrecioVar)*(1+e_PrecioGr)^(Calendario!BQ$19-1)</f>
        <v>283.772713527</v>
      </c>
      <c r="BR31" s="19" t="n">
        <f aca="false">IF(p_Modalidad=2,N(p_TarifaG),e_PrecioG1)*(1+e_PrecioVar)*(1+e_PrecioGr)^(Calendario!BR$19-1)</f>
        <v>283.772713527</v>
      </c>
      <c r="BS31" s="19" t="n">
        <f aca="false">IF(p_Modalidad=2,N(p_TarifaG),e_PrecioG1)*(1+e_PrecioVar)*(1+e_PrecioGr)^(Calendario!BS$19-1)</f>
        <v>283.772713527</v>
      </c>
      <c r="BT31" s="19" t="n">
        <f aca="false">IF(p_Modalidad=2,N(p_TarifaG),e_PrecioG1)*(1+e_PrecioVar)*(1+e_PrecioGr)^(Calendario!BT$19-1)</f>
        <v>283.772713527</v>
      </c>
      <c r="BU31" s="19" t="n">
        <f aca="false">IF(p_Modalidad=2,N(p_TarifaG),e_PrecioG1)*(1+e_PrecioVar)*(1+e_PrecioGr)^(Calendario!BU$19-1)</f>
        <v>283.772713527</v>
      </c>
      <c r="BV31" s="19" t="n">
        <f aca="false">IF(p_Modalidad=2,N(p_TarifaG),e_PrecioG1)*(1+e_PrecioVar)*(1+e_PrecioGr)^(Calendario!BV$19-1)</f>
        <v>283.772713527</v>
      </c>
      <c r="BW31" s="19" t="n">
        <f aca="false">IF(p_Modalidad=2,N(p_TarifaG),e_PrecioG1)*(1+e_PrecioVar)*(1+e_PrecioGr)^(Calendario!BW$19-1)</f>
        <v>283.772713527</v>
      </c>
      <c r="BX31" s="19" t="n">
        <f aca="false">IF(p_Modalidad=2,N(p_TarifaG),e_PrecioG1)*(1+e_PrecioVar)*(1+e_PrecioGr)^(Calendario!BX$19-1)</f>
        <v>283.772713527</v>
      </c>
      <c r="BY31" s="19" t="n">
        <f aca="false">IF(p_Modalidad=2,N(p_TarifaG),e_PrecioG1)*(1+e_PrecioVar)*(1+e_PrecioGr)^(Calendario!BY$19-1)</f>
        <v>283.772713527</v>
      </c>
      <c r="BZ31" s="19" t="n">
        <f aca="false">IF(p_Modalidad=2,N(p_TarifaG),e_PrecioG1)*(1+e_PrecioVar)*(1+e_PrecioGr)^(Calendario!BZ$19-1)</f>
        <v>283.772713527</v>
      </c>
      <c r="CA31" s="19" t="n">
        <f aca="false">IF(p_Modalidad=2,N(p_TarifaG),e_PrecioG1)*(1+e_PrecioVar)*(1+e_PrecioGr)^(Calendario!CA$19-1)</f>
        <v>286.61044066227</v>
      </c>
      <c r="CB31" s="19" t="n">
        <f aca="false">IF(p_Modalidad=2,N(p_TarifaG),e_PrecioG1)*(1+e_PrecioVar)*(1+e_PrecioGr)^(Calendario!CB$19-1)</f>
        <v>286.61044066227</v>
      </c>
      <c r="CC31" s="19" t="n">
        <f aca="false">IF(p_Modalidad=2,N(p_TarifaG),e_PrecioG1)*(1+e_PrecioVar)*(1+e_PrecioGr)^(Calendario!CC$19-1)</f>
        <v>286.61044066227</v>
      </c>
      <c r="CD31" s="19" t="n">
        <f aca="false">IF(p_Modalidad=2,N(p_TarifaG),e_PrecioG1)*(1+e_PrecioVar)*(1+e_PrecioGr)^(Calendario!CD$19-1)</f>
        <v>286.61044066227</v>
      </c>
      <c r="CE31" s="19" t="n">
        <f aca="false">IF(p_Modalidad=2,N(p_TarifaG),e_PrecioG1)*(1+e_PrecioVar)*(1+e_PrecioGr)^(Calendario!CE$19-1)</f>
        <v>286.61044066227</v>
      </c>
      <c r="CF31" s="19" t="n">
        <f aca="false">IF(p_Modalidad=2,N(p_TarifaG),e_PrecioG1)*(1+e_PrecioVar)*(1+e_PrecioGr)^(Calendario!CF$19-1)</f>
        <v>286.61044066227</v>
      </c>
      <c r="CG31" s="19" t="n">
        <f aca="false">IF(p_Modalidad=2,N(p_TarifaG),e_PrecioG1)*(1+e_PrecioVar)*(1+e_PrecioGr)^(Calendario!CG$19-1)</f>
        <v>286.61044066227</v>
      </c>
      <c r="CH31" s="19" t="n">
        <f aca="false">IF(p_Modalidad=2,N(p_TarifaG),e_PrecioG1)*(1+e_PrecioVar)*(1+e_PrecioGr)^(Calendario!CH$19-1)</f>
        <v>286.61044066227</v>
      </c>
      <c r="CI31" s="19" t="n">
        <f aca="false">IF(p_Modalidad=2,N(p_TarifaG),e_PrecioG1)*(1+e_PrecioVar)*(1+e_PrecioGr)^(Calendario!CI$19-1)</f>
        <v>286.61044066227</v>
      </c>
      <c r="CJ31" s="19" t="n">
        <f aca="false">IF(p_Modalidad=2,N(p_TarifaG),e_PrecioG1)*(1+e_PrecioVar)*(1+e_PrecioGr)^(Calendario!CJ$19-1)</f>
        <v>286.61044066227</v>
      </c>
      <c r="CK31" s="19" t="n">
        <f aca="false">IF(p_Modalidad=2,N(p_TarifaG),e_PrecioG1)*(1+e_PrecioVar)*(1+e_PrecioGr)^(Calendario!CK$19-1)</f>
        <v>286.61044066227</v>
      </c>
      <c r="CL31" s="19" t="n">
        <f aca="false">IF(p_Modalidad=2,N(p_TarifaG),e_PrecioG1)*(1+e_PrecioVar)*(1+e_PrecioGr)^(Calendario!CL$19-1)</f>
        <v>286.61044066227</v>
      </c>
      <c r="CM31" s="19" t="n">
        <f aca="false">IF(p_Modalidad=2,N(p_TarifaG),e_PrecioG1)*(1+e_PrecioVar)*(1+e_PrecioGr)^(Calendario!CM$19-1)</f>
        <v>289.476545068893</v>
      </c>
      <c r="CN31" s="19" t="n">
        <f aca="false">IF(p_Modalidad=2,N(p_TarifaG),e_PrecioG1)*(1+e_PrecioVar)*(1+e_PrecioGr)^(Calendario!CN$19-1)</f>
        <v>289.476545068893</v>
      </c>
      <c r="CO31" s="19" t="n">
        <f aca="false">IF(p_Modalidad=2,N(p_TarifaG),e_PrecioG1)*(1+e_PrecioVar)*(1+e_PrecioGr)^(Calendario!CO$19-1)</f>
        <v>289.476545068893</v>
      </c>
      <c r="CP31" s="19" t="n">
        <f aca="false">IF(p_Modalidad=2,N(p_TarifaG),e_PrecioG1)*(1+e_PrecioVar)*(1+e_PrecioGr)^(Calendario!CP$19-1)</f>
        <v>289.476545068893</v>
      </c>
      <c r="CQ31" s="19" t="n">
        <f aca="false">IF(p_Modalidad=2,N(p_TarifaG),e_PrecioG1)*(1+e_PrecioVar)*(1+e_PrecioGr)^(Calendario!CQ$19-1)</f>
        <v>289.476545068893</v>
      </c>
      <c r="CR31" s="19" t="n">
        <f aca="false">IF(p_Modalidad=2,N(p_TarifaG),e_PrecioG1)*(1+e_PrecioVar)*(1+e_PrecioGr)^(Calendario!CR$19-1)</f>
        <v>289.476545068893</v>
      </c>
      <c r="CS31" s="19" t="n">
        <f aca="false">IF(p_Modalidad=2,N(p_TarifaG),e_PrecioG1)*(1+e_PrecioVar)*(1+e_PrecioGr)^(Calendario!CS$19-1)</f>
        <v>289.476545068893</v>
      </c>
      <c r="CT31" s="19" t="n">
        <f aca="false">IF(p_Modalidad=2,N(p_TarifaG),e_PrecioG1)*(1+e_PrecioVar)*(1+e_PrecioGr)^(Calendario!CT$19-1)</f>
        <v>289.476545068893</v>
      </c>
      <c r="CU31" s="19" t="n">
        <f aca="false">IF(p_Modalidad=2,N(p_TarifaG),e_PrecioG1)*(1+e_PrecioVar)*(1+e_PrecioGr)^(Calendario!CU$19-1)</f>
        <v>289.476545068893</v>
      </c>
      <c r="CV31" s="19" t="n">
        <f aca="false">IF(p_Modalidad=2,N(p_TarifaG),e_PrecioG1)*(1+e_PrecioVar)*(1+e_PrecioGr)^(Calendario!CV$19-1)</f>
        <v>289.476545068893</v>
      </c>
      <c r="CW31" s="19" t="n">
        <f aca="false">IF(p_Modalidad=2,N(p_TarifaG),e_PrecioG1)*(1+e_PrecioVar)*(1+e_PrecioGr)^(Calendario!CW$19-1)</f>
        <v>289.476545068893</v>
      </c>
      <c r="CX31" s="19" t="n">
        <f aca="false">IF(p_Modalidad=2,N(p_TarifaG),e_PrecioG1)*(1+e_PrecioVar)*(1+e_PrecioGr)^(Calendario!CX$19-1)</f>
        <v>289.476545068893</v>
      </c>
      <c r="CY31" s="19" t="n">
        <f aca="false">IF(p_Modalidad=2,N(p_TarifaG),e_PrecioG1)*(1+e_PrecioVar)*(1+e_PrecioGr)^(Calendario!CY$19-1)</f>
        <v>292.371310519582</v>
      </c>
      <c r="CZ31" s="19" t="n">
        <f aca="false">IF(p_Modalidad=2,N(p_TarifaG),e_PrecioG1)*(1+e_PrecioVar)*(1+e_PrecioGr)^(Calendario!CZ$19-1)</f>
        <v>292.371310519582</v>
      </c>
      <c r="DA31" s="19" t="n">
        <f aca="false">IF(p_Modalidad=2,N(p_TarifaG),e_PrecioG1)*(1+e_PrecioVar)*(1+e_PrecioGr)^(Calendario!DA$19-1)</f>
        <v>292.371310519582</v>
      </c>
      <c r="DB31" s="19" t="n">
        <f aca="false">IF(p_Modalidad=2,N(p_TarifaG),e_PrecioG1)*(1+e_PrecioVar)*(1+e_PrecioGr)^(Calendario!DB$19-1)</f>
        <v>292.371310519582</v>
      </c>
      <c r="DC31" s="19" t="n">
        <f aca="false">IF(p_Modalidad=2,N(p_TarifaG),e_PrecioG1)*(1+e_PrecioVar)*(1+e_PrecioGr)^(Calendario!DC$19-1)</f>
        <v>292.371310519582</v>
      </c>
      <c r="DD31" s="19" t="n">
        <f aca="false">IF(p_Modalidad=2,N(p_TarifaG),e_PrecioG1)*(1+e_PrecioVar)*(1+e_PrecioGr)^(Calendario!DD$19-1)</f>
        <v>292.371310519582</v>
      </c>
      <c r="DE31" s="19" t="n">
        <f aca="false">IF(p_Modalidad=2,N(p_TarifaG),e_PrecioG1)*(1+e_PrecioVar)*(1+e_PrecioGr)^(Calendario!DE$19-1)</f>
        <v>292.371310519582</v>
      </c>
      <c r="DF31" s="19" t="n">
        <f aca="false">IF(p_Modalidad=2,N(p_TarifaG),e_PrecioG1)*(1+e_PrecioVar)*(1+e_PrecioGr)^(Calendario!DF$19-1)</f>
        <v>292.371310519582</v>
      </c>
      <c r="DG31" s="19" t="n">
        <f aca="false">IF(p_Modalidad=2,N(p_TarifaG),e_PrecioG1)*(1+e_PrecioVar)*(1+e_PrecioGr)^(Calendario!DG$19-1)</f>
        <v>292.371310519582</v>
      </c>
      <c r="DH31" s="19" t="n">
        <f aca="false">IF(p_Modalidad=2,N(p_TarifaG),e_PrecioG1)*(1+e_PrecioVar)*(1+e_PrecioGr)^(Calendario!DH$19-1)</f>
        <v>292.371310519582</v>
      </c>
      <c r="DI31" s="19" t="n">
        <f aca="false">IF(p_Modalidad=2,N(p_TarifaG),e_PrecioG1)*(1+e_PrecioVar)*(1+e_PrecioGr)^(Calendario!DI$19-1)</f>
        <v>292.371310519582</v>
      </c>
      <c r="DJ31" s="19" t="n">
        <f aca="false">IF(p_Modalidad=2,N(p_TarifaG),e_PrecioG1)*(1+e_PrecioVar)*(1+e_PrecioGr)^(Calendario!DJ$19-1)</f>
        <v>292.371310519582</v>
      </c>
      <c r="DK31" s="19" t="n">
        <f aca="false">IF(p_Modalidad=2,N(p_TarifaG),e_PrecioG1)*(1+e_PrecioVar)*(1+e_PrecioGr)^(Calendario!DK$19-1)</f>
        <v>295.295023624777</v>
      </c>
      <c r="DL31" s="19" t="n">
        <f aca="false">IF(p_Modalidad=2,N(p_TarifaG),e_PrecioG1)*(1+e_PrecioVar)*(1+e_PrecioGr)^(Calendario!DL$19-1)</f>
        <v>295.295023624777</v>
      </c>
      <c r="DM31" s="19" t="n">
        <f aca="false">IF(p_Modalidad=2,N(p_TarifaG),e_PrecioG1)*(1+e_PrecioVar)*(1+e_PrecioGr)^(Calendario!DM$19-1)</f>
        <v>295.295023624777</v>
      </c>
      <c r="DN31" s="19" t="n">
        <f aca="false">IF(p_Modalidad=2,N(p_TarifaG),e_PrecioG1)*(1+e_PrecioVar)*(1+e_PrecioGr)^(Calendario!DN$19-1)</f>
        <v>295.295023624777</v>
      </c>
      <c r="DO31" s="19" t="n">
        <f aca="false">IF(p_Modalidad=2,N(p_TarifaG),e_PrecioG1)*(1+e_PrecioVar)*(1+e_PrecioGr)^(Calendario!DO$19-1)</f>
        <v>295.295023624777</v>
      </c>
      <c r="DP31" s="19" t="n">
        <f aca="false">IF(p_Modalidad=2,N(p_TarifaG),e_PrecioG1)*(1+e_PrecioVar)*(1+e_PrecioGr)^(Calendario!DP$19-1)</f>
        <v>295.295023624777</v>
      </c>
      <c r="DQ31" s="19" t="n">
        <f aca="false">IF(p_Modalidad=2,N(p_TarifaG),e_PrecioG1)*(1+e_PrecioVar)*(1+e_PrecioGr)^(Calendario!DQ$19-1)</f>
        <v>295.295023624777</v>
      </c>
      <c r="DR31" s="19" t="n">
        <f aca="false">IF(p_Modalidad=2,N(p_TarifaG),e_PrecioG1)*(1+e_PrecioVar)*(1+e_PrecioGr)^(Calendario!DR$19-1)</f>
        <v>295.295023624777</v>
      </c>
      <c r="DS31" s="19" t="n">
        <f aca="false">IF(p_Modalidad=2,N(p_TarifaG),e_PrecioG1)*(1+e_PrecioVar)*(1+e_PrecioGr)^(Calendario!DS$19-1)</f>
        <v>295.295023624777</v>
      </c>
      <c r="DT31" s="19" t="n">
        <f aca="false">IF(p_Modalidad=2,N(p_TarifaG),e_PrecioG1)*(1+e_PrecioVar)*(1+e_PrecioGr)^(Calendario!DT$19-1)</f>
        <v>295.295023624777</v>
      </c>
      <c r="DU31" s="19" t="n">
        <f aca="false">IF(p_Modalidad=2,N(p_TarifaG),e_PrecioG1)*(1+e_PrecioVar)*(1+e_PrecioGr)^(Calendario!DU$19-1)</f>
        <v>295.295023624777</v>
      </c>
      <c r="DV31" s="19" t="n">
        <f aca="false">IF(p_Modalidad=2,N(p_TarifaG),e_PrecioG1)*(1+e_PrecioVar)*(1+e_PrecioGr)^(Calendario!DV$19-1)</f>
        <v>295.295023624777</v>
      </c>
      <c r="DW31" s="19" t="n">
        <f aca="false">IF(p_Modalidad=2,N(p_TarifaG),e_PrecioG1)*(1+e_PrecioVar)*(1+e_PrecioGr)^(Calendario!DW$19-1)</f>
        <v>298.247973861025</v>
      </c>
      <c r="DX31" s="19" t="n">
        <f aca="false">IF(p_Modalidad=2,N(p_TarifaG),e_PrecioG1)*(1+e_PrecioVar)*(1+e_PrecioGr)^(Calendario!DX$19-1)</f>
        <v>298.247973861025</v>
      </c>
      <c r="DY31" s="19" t="n">
        <f aca="false">IF(p_Modalidad=2,N(p_TarifaG),e_PrecioG1)*(1+e_PrecioVar)*(1+e_PrecioGr)^(Calendario!DY$19-1)</f>
        <v>298.247973861025</v>
      </c>
      <c r="DZ31" s="19" t="n">
        <f aca="false">IF(p_Modalidad=2,N(p_TarifaG),e_PrecioG1)*(1+e_PrecioVar)*(1+e_PrecioGr)^(Calendario!DZ$19-1)</f>
        <v>298.247973861025</v>
      </c>
      <c r="EA31" s="19" t="n">
        <f aca="false">IF(p_Modalidad=2,N(p_TarifaG),e_PrecioG1)*(1+e_PrecioVar)*(1+e_PrecioGr)^(Calendario!EA$19-1)</f>
        <v>298.247973861025</v>
      </c>
      <c r="EB31" s="19" t="n">
        <f aca="false">IF(p_Modalidad=2,N(p_TarifaG),e_PrecioG1)*(1+e_PrecioVar)*(1+e_PrecioGr)^(Calendario!EB$19-1)</f>
        <v>298.247973861025</v>
      </c>
      <c r="EC31" s="19" t="n">
        <f aca="false">IF(p_Modalidad=2,N(p_TarifaG),e_PrecioG1)*(1+e_PrecioVar)*(1+e_PrecioGr)^(Calendario!EC$19-1)</f>
        <v>298.247973861025</v>
      </c>
      <c r="ED31" s="19" t="n">
        <f aca="false">IF(p_Modalidad=2,N(p_TarifaG),e_PrecioG1)*(1+e_PrecioVar)*(1+e_PrecioGr)^(Calendario!ED$19-1)</f>
        <v>298.247973861025</v>
      </c>
      <c r="EE31" s="19" t="n">
        <f aca="false">IF(p_Modalidad=2,N(p_TarifaG),e_PrecioG1)*(1+e_PrecioVar)*(1+e_PrecioGr)^(Calendario!EE$19-1)</f>
        <v>298.247973861025</v>
      </c>
      <c r="EF31" s="19" t="n">
        <f aca="false">IF(p_Modalidad=2,N(p_TarifaG),e_PrecioG1)*(1+e_PrecioVar)*(1+e_PrecioGr)^(Calendario!EF$19-1)</f>
        <v>298.247973861025</v>
      </c>
      <c r="EG31" s="19" t="n">
        <f aca="false">IF(p_Modalidad=2,N(p_TarifaG),e_PrecioG1)*(1+e_PrecioVar)*(1+e_PrecioGr)^(Calendario!EG$19-1)</f>
        <v>298.247973861025</v>
      </c>
      <c r="EH31" s="19" t="n">
        <f aca="false">IF(p_Modalidad=2,N(p_TarifaG),e_PrecioG1)*(1+e_PrecioVar)*(1+e_PrecioGr)^(Calendario!EH$19-1)</f>
        <v>298.247973861025</v>
      </c>
      <c r="EI31" s="19" t="n">
        <f aca="false">IF(p_Modalidad=2,N(p_TarifaG),e_PrecioG1)*(1+e_PrecioVar)*(1+e_PrecioGr)^(Calendario!EI$19-1)</f>
        <v>301.230453599636</v>
      </c>
      <c r="EJ31" s="19" t="n">
        <f aca="false">IF(p_Modalidad=2,N(p_TarifaG),e_PrecioG1)*(1+e_PrecioVar)*(1+e_PrecioGr)^(Calendario!EJ$19-1)</f>
        <v>301.230453599636</v>
      </c>
      <c r="EK31" s="19" t="n">
        <f aca="false">IF(p_Modalidad=2,N(p_TarifaG),e_PrecioG1)*(1+e_PrecioVar)*(1+e_PrecioGr)^(Calendario!EK$19-1)</f>
        <v>301.230453599636</v>
      </c>
      <c r="EL31" s="19" t="n">
        <f aca="false">IF(p_Modalidad=2,N(p_TarifaG),e_PrecioG1)*(1+e_PrecioVar)*(1+e_PrecioGr)^(Calendario!EL$19-1)</f>
        <v>301.230453599636</v>
      </c>
      <c r="EM31" s="19" t="n">
        <f aca="false">IF(p_Modalidad=2,N(p_TarifaG),e_PrecioG1)*(1+e_PrecioVar)*(1+e_PrecioGr)^(Calendario!EM$19-1)</f>
        <v>301.230453599636</v>
      </c>
      <c r="EN31" s="19" t="n">
        <f aca="false">IF(p_Modalidad=2,N(p_TarifaG),e_PrecioG1)*(1+e_PrecioVar)*(1+e_PrecioGr)^(Calendario!EN$19-1)</f>
        <v>301.230453599636</v>
      </c>
      <c r="EO31" s="19" t="n">
        <f aca="false">IF(p_Modalidad=2,N(p_TarifaG),e_PrecioG1)*(1+e_PrecioVar)*(1+e_PrecioGr)^(Calendario!EO$19-1)</f>
        <v>301.230453599636</v>
      </c>
      <c r="EP31" s="19" t="n">
        <f aca="false">IF(p_Modalidad=2,N(p_TarifaG),e_PrecioG1)*(1+e_PrecioVar)*(1+e_PrecioGr)^(Calendario!EP$19-1)</f>
        <v>301.230453599636</v>
      </c>
      <c r="EQ31" s="19" t="n">
        <f aca="false">IF(p_Modalidad=2,N(p_TarifaG),e_PrecioG1)*(1+e_PrecioVar)*(1+e_PrecioGr)^(Calendario!EQ$19-1)</f>
        <v>301.230453599636</v>
      </c>
      <c r="ER31" s="19" t="n">
        <f aca="false">IF(p_Modalidad=2,N(p_TarifaG),e_PrecioG1)*(1+e_PrecioVar)*(1+e_PrecioGr)^(Calendario!ER$19-1)</f>
        <v>301.230453599636</v>
      </c>
      <c r="ES31" s="19" t="n">
        <f aca="false">IF(p_Modalidad=2,N(p_TarifaG),e_PrecioG1)*(1+e_PrecioVar)*(1+e_PrecioGr)^(Calendario!ES$19-1)</f>
        <v>301.230453599636</v>
      </c>
      <c r="ET31" s="19" t="n">
        <f aca="false">IF(p_Modalidad=2,N(p_TarifaG),e_PrecioG1)*(1+e_PrecioVar)*(1+e_PrecioGr)^(Calendario!ET$19-1)</f>
        <v>301.230453599636</v>
      </c>
      <c r="EU31" s="19" t="n">
        <f aca="false">IF(p_Modalidad=2,N(p_TarifaG),e_PrecioG1)*(1+e_PrecioVar)*(1+e_PrecioGr)^(Calendario!EU$19-1)</f>
        <v>304.242758135632</v>
      </c>
      <c r="EV31" s="19" t="n">
        <f aca="false">IF(p_Modalidad=2,N(p_TarifaG),e_PrecioG1)*(1+e_PrecioVar)*(1+e_PrecioGr)^(Calendario!EV$19-1)</f>
        <v>304.242758135632</v>
      </c>
      <c r="EW31" s="19" t="n">
        <f aca="false">IF(p_Modalidad=2,N(p_TarifaG),e_PrecioG1)*(1+e_PrecioVar)*(1+e_PrecioGr)^(Calendario!EW$19-1)</f>
        <v>304.242758135632</v>
      </c>
      <c r="EX31" s="19" t="n">
        <f aca="false">IF(p_Modalidad=2,N(p_TarifaG),e_PrecioG1)*(1+e_PrecioVar)*(1+e_PrecioGr)^(Calendario!EX$19-1)</f>
        <v>304.242758135632</v>
      </c>
      <c r="EY31" s="19" t="n">
        <f aca="false">IF(p_Modalidad=2,N(p_TarifaG),e_PrecioG1)*(1+e_PrecioVar)*(1+e_PrecioGr)^(Calendario!EY$19-1)</f>
        <v>304.242758135632</v>
      </c>
      <c r="EZ31" s="19" t="n">
        <f aca="false">IF(p_Modalidad=2,N(p_TarifaG),e_PrecioG1)*(1+e_PrecioVar)*(1+e_PrecioGr)^(Calendario!EZ$19-1)</f>
        <v>304.242758135632</v>
      </c>
      <c r="FA31" s="19" t="n">
        <f aca="false">IF(p_Modalidad=2,N(p_TarifaG),e_PrecioG1)*(1+e_PrecioVar)*(1+e_PrecioGr)^(Calendario!FA$19-1)</f>
        <v>304.242758135632</v>
      </c>
      <c r="FB31" s="19" t="n">
        <f aca="false">IF(p_Modalidad=2,N(p_TarifaG),e_PrecioG1)*(1+e_PrecioVar)*(1+e_PrecioGr)^(Calendario!FB$19-1)</f>
        <v>304.242758135632</v>
      </c>
      <c r="FC31" s="19" t="n">
        <f aca="false">IF(p_Modalidad=2,N(p_TarifaG),e_PrecioG1)*(1+e_PrecioVar)*(1+e_PrecioGr)^(Calendario!FC$19-1)</f>
        <v>304.242758135632</v>
      </c>
      <c r="FD31" s="19" t="n">
        <f aca="false">IF(p_Modalidad=2,N(p_TarifaG),e_PrecioG1)*(1+e_PrecioVar)*(1+e_PrecioGr)^(Calendario!FD$19-1)</f>
        <v>304.242758135632</v>
      </c>
      <c r="FE31" s="19" t="n">
        <f aca="false">IF(p_Modalidad=2,N(p_TarifaG),e_PrecioG1)*(1+e_PrecioVar)*(1+e_PrecioGr)^(Calendario!FE$19-1)</f>
        <v>304.242758135632</v>
      </c>
      <c r="FF31" s="19" t="n">
        <f aca="false">IF(p_Modalidad=2,N(p_TarifaG),e_PrecioG1)*(1+e_PrecioVar)*(1+e_PrecioGr)^(Calendario!FF$19-1)</f>
        <v>304.242758135632</v>
      </c>
    </row>
    <row r="32" customFormat="false" ht="15" hidden="false" customHeight="false" outlineLevel="0" collapsed="false">
      <c r="A32" s="2" t="s">
        <v>862</v>
      </c>
      <c r="B32" s="66" t="s">
        <v>863</v>
      </c>
      <c r="C32" s="8" t="s">
        <v>255</v>
      </c>
      <c r="E32" s="67" t="n">
        <f aca="false">SUM($F32:$FF32)</f>
        <v>54428264.108153</v>
      </c>
      <c r="F32" s="12" t="n">
        <f aca="false">IF(F$9=1,SUMIFS(dr_USD,dr_Mes,0,dr_Cod,"VTA_G",dr_Est,"&lt;&gt;Excluido"),F$24*F$31)</f>
        <v>0</v>
      </c>
      <c r="G32" s="12" t="n">
        <f aca="false">IF(G$9=1,SUMIFS(dr_USD,dr_Mes,1,dr_Cod,"VTA_G",dr_Est,"&lt;&gt;Excluido"),G$24*G$31)</f>
        <v>270000</v>
      </c>
      <c r="H32" s="12" t="n">
        <f aca="false">IF(H$9=1,SUMIFS(dr_USD,dr_Mes,2,dr_Cod,"VTA_G",dr_Est,"&lt;&gt;Excluido"),H$24*H$31)</f>
        <v>270000</v>
      </c>
      <c r="I32" s="12" t="n">
        <f aca="false">IF(I$9=1,SUMIFS(dr_USD,dr_Mes,3,dr_Cod,"VTA_G",dr_Est,"&lt;&gt;Excluido"),I$24*I$31)</f>
        <v>270000</v>
      </c>
      <c r="J32" s="12" t="n">
        <f aca="false">IF(J$9=1,SUMIFS(dr_USD,dr_Mes,4,dr_Cod,"VTA_G",dr_Est,"&lt;&gt;Excluido"),J$24*J$31)</f>
        <v>270000</v>
      </c>
      <c r="K32" s="12" t="n">
        <f aca="false">IF(K$9=1,SUMIFS(dr_USD,dr_Mes,5,dr_Cod,"VTA_G",dr_Est,"&lt;&gt;Excluido"),K$24*K$31)</f>
        <v>270000</v>
      </c>
      <c r="L32" s="12" t="n">
        <f aca="false">IF(L$9=1,SUMIFS(dr_USD,dr_Mes,6,dr_Cod,"VTA_G",dr_Est,"&lt;&gt;Excluido"),L$24*L$31)</f>
        <v>270000</v>
      </c>
      <c r="M32" s="12" t="n">
        <f aca="false">IF(M$9=1,SUMIFS(dr_USD,dr_Mes,7,dr_Cod,"VTA_G",dr_Est,"&lt;&gt;Excluido"),M$24*M$31)</f>
        <v>270000</v>
      </c>
      <c r="N32" s="12" t="n">
        <f aca="false">IF(N$9=1,SUMIFS(dr_USD,dr_Mes,8,dr_Cod,"VTA_G",dr_Est,"&lt;&gt;Excluido"),N$24*N$31)</f>
        <v>270000</v>
      </c>
      <c r="O32" s="12" t="n">
        <f aca="false">IF(O$9=1,SUMIFS(dr_USD,dr_Mes,9,dr_Cod,"VTA_G",dr_Est,"&lt;&gt;Excluido"),O$24*O$31)</f>
        <v>270000</v>
      </c>
      <c r="P32" s="12" t="n">
        <f aca="false">IF(P$9=1,SUMIFS(dr_USD,dr_Mes,10,dr_Cod,"VTA_G",dr_Est,"&lt;&gt;Excluido"),P$24*P$31)</f>
        <v>270000</v>
      </c>
      <c r="Q32" s="12" t="n">
        <f aca="false">IF(Q$9=1,SUMIFS(dr_USD,dr_Mes,11,dr_Cod,"VTA_G",dr_Est,"&lt;&gt;Excluido"),Q$24*Q$31)</f>
        <v>270000</v>
      </c>
      <c r="R32" s="12" t="n">
        <f aca="false">IF(R$9=1,SUMIFS(dr_USD,dr_Mes,12,dr_Cod,"VTA_G",dr_Est,"&lt;&gt;Excluido"),R$24*R$31)</f>
        <v>270000</v>
      </c>
      <c r="S32" s="12" t="n">
        <f aca="false">IF(S$9=1,SUMIFS(dr_USD,dr_Mes,13,dr_Cod,"VTA_G",dr_Est,"&lt;&gt;Excluido"),S$24*S$31)</f>
        <v>340875</v>
      </c>
      <c r="T32" s="12" t="n">
        <f aca="false">IF(T$9=1,SUMIFS(dr_USD,dr_Mes,14,dr_Cod,"VTA_G",dr_Est,"&lt;&gt;Excluido"),T$24*T$31)</f>
        <v>340875</v>
      </c>
      <c r="U32" s="12" t="n">
        <f aca="false">IF(U$9=1,SUMIFS(dr_USD,dr_Mes,15,dr_Cod,"VTA_G",dr_Est,"&lt;&gt;Excluido"),U$24*U$31)</f>
        <v>340875</v>
      </c>
      <c r="V32" s="12" t="n">
        <f aca="false">IF(V$9=1,SUMIFS(dr_USD,dr_Mes,16,dr_Cod,"VTA_G",dr_Est,"&lt;&gt;Excluido"),V$24*V$31)</f>
        <v>340875</v>
      </c>
      <c r="W32" s="12" t="n">
        <f aca="false">IF(W$9=1,SUMIFS(dr_USD,dr_Mes,17,dr_Cod,"VTA_G",dr_Est,"&lt;&gt;Excluido"),W$24*W$31)</f>
        <v>340875</v>
      </c>
      <c r="X32" s="12" t="n">
        <f aca="false">IF(X$9=1,SUMIFS(dr_USD,dr_Mes,18,dr_Cod,"VTA_G",dr_Est,"&lt;&gt;Excluido"),X$24*X$31)</f>
        <v>340875</v>
      </c>
      <c r="Y32" s="12" t="n">
        <f aca="false">IF(Y$9=1,SUMIFS(dr_USD,dr_Mes,19,dr_Cod,"VTA_G",dr_Est,"&lt;&gt;Excluido"),Y$24*Y$31)</f>
        <v>340875</v>
      </c>
      <c r="Z32" s="12" t="n">
        <f aca="false">IF(Z$9=1,SUMIFS(dr_USD,dr_Mes,20,dr_Cod,"VTA_G",dr_Est,"&lt;&gt;Excluido"),Z$24*Z$31)</f>
        <v>340875</v>
      </c>
      <c r="AA32" s="12" t="n">
        <f aca="false">IF(AA$9=1,SUMIFS(dr_USD,dr_Mes,21,dr_Cod,"VTA_G",dr_Est,"&lt;&gt;Excluido"),AA$24*AA$31)</f>
        <v>340875</v>
      </c>
      <c r="AB32" s="12" t="n">
        <f aca="false">IF(AB$9=1,SUMIFS(dr_USD,dr_Mes,22,dr_Cod,"VTA_G",dr_Est,"&lt;&gt;Excluido"),AB$24*AB$31)</f>
        <v>340875</v>
      </c>
      <c r="AC32" s="12" t="n">
        <f aca="false">IF(AC$9=1,SUMIFS(dr_USD,dr_Mes,23,dr_Cod,"VTA_G",dr_Est,"&lt;&gt;Excluido"),AC$24*AC$31)</f>
        <v>340875</v>
      </c>
      <c r="AD32" s="12" t="n">
        <f aca="false">IF(AD$9=1,SUMIFS(dr_USD,dr_Mes,24,dr_Cod,"VTA_G",dr_Est,"&lt;&gt;Excluido"),AD$24*AD$31)</f>
        <v>340875</v>
      </c>
      <c r="AE32" s="12" t="n">
        <f aca="false">IF(AE$9=1,SUMIFS(dr_USD,dr_Mes,25,dr_Cod,"VTA_G",dr_Est,"&lt;&gt;Excluido"),AE$24*AE$31)</f>
        <v>413140.5</v>
      </c>
      <c r="AF32" s="12" t="n">
        <f aca="false">IF(AF$9=1,SUMIFS(dr_USD,dr_Mes,26,dr_Cod,"VTA_G",dr_Est,"&lt;&gt;Excluido"),AF$24*AF$31)</f>
        <v>413140.5</v>
      </c>
      <c r="AG32" s="12" t="n">
        <f aca="false">IF(AG$9=1,SUMIFS(dr_USD,dr_Mes,27,dr_Cod,"VTA_G",dr_Est,"&lt;&gt;Excluido"),AG$24*AG$31)</f>
        <v>413140.5</v>
      </c>
      <c r="AH32" s="12" t="n">
        <f aca="false">IF(AH$9=1,SUMIFS(dr_USD,dr_Mes,28,dr_Cod,"VTA_G",dr_Est,"&lt;&gt;Excluido"),AH$24*AH$31)</f>
        <v>413140.5</v>
      </c>
      <c r="AI32" s="12" t="n">
        <f aca="false">IF(AI$9=1,SUMIFS(dr_USD,dr_Mes,29,dr_Cod,"VTA_G",dr_Est,"&lt;&gt;Excluido"),AI$24*AI$31)</f>
        <v>413140.5</v>
      </c>
      <c r="AJ32" s="12" t="n">
        <f aca="false">IF(AJ$9=1,SUMIFS(dr_USD,dr_Mes,30,dr_Cod,"VTA_G",dr_Est,"&lt;&gt;Excluido"),AJ$24*AJ$31)</f>
        <v>413140.5</v>
      </c>
      <c r="AK32" s="12" t="n">
        <f aca="false">IF(AK$9=1,SUMIFS(dr_USD,dr_Mes,31,dr_Cod,"VTA_G",dr_Est,"&lt;&gt;Excluido"),AK$24*AK$31)</f>
        <v>413140.5</v>
      </c>
      <c r="AL32" s="12" t="n">
        <f aca="false">IF(AL$9=1,SUMIFS(dr_USD,dr_Mes,32,dr_Cod,"VTA_G",dr_Est,"&lt;&gt;Excluido"),AL$24*AL$31)</f>
        <v>413140.5</v>
      </c>
      <c r="AM32" s="12" t="n">
        <f aca="false">IF(AM$9=1,SUMIFS(dr_USD,dr_Mes,33,dr_Cod,"VTA_G",dr_Est,"&lt;&gt;Excluido"),AM$24*AM$31)</f>
        <v>413140.5</v>
      </c>
      <c r="AN32" s="12" t="n">
        <f aca="false">IF(AN$9=1,SUMIFS(dr_USD,dr_Mes,34,dr_Cod,"VTA_G",dr_Est,"&lt;&gt;Excluido"),AN$24*AN$31)</f>
        <v>413140.5</v>
      </c>
      <c r="AO32" s="12" t="n">
        <f aca="false">IF(AO$9=1,SUMIFS(dr_USD,dr_Mes,35,dr_Cod,"VTA_G",dr_Est,"&lt;&gt;Excluido"),AO$24*AO$31)</f>
        <v>413140.5</v>
      </c>
      <c r="AP32" s="12" t="n">
        <f aca="false">IF(AP$9=1,SUMIFS(dr_USD,dr_Mes,36,dr_Cod,"VTA_G",dr_Est,"&lt;&gt;Excluido"),AP$24*AP$31)</f>
        <v>413140.5</v>
      </c>
      <c r="AQ32" s="12" t="n">
        <f aca="false">IF(AQ$9=1,SUMIFS(dr_USD,dr_Mes,37,dr_Cod,"VTA_G",dr_Est,"&lt;&gt;Excluido"),AQ$24*AQ$31)</f>
        <v>486817.2225</v>
      </c>
      <c r="AR32" s="12" t="n">
        <f aca="false">IF(AR$9=1,SUMIFS(dr_USD,dr_Mes,38,dr_Cod,"VTA_G",dr_Est,"&lt;&gt;Excluido"),AR$24*AR$31)</f>
        <v>486817.2225</v>
      </c>
      <c r="AS32" s="12" t="n">
        <f aca="false">IF(AS$9=1,SUMIFS(dr_USD,dr_Mes,39,dr_Cod,"VTA_G",dr_Est,"&lt;&gt;Excluido"),AS$24*AS$31)</f>
        <v>486817.2225</v>
      </c>
      <c r="AT32" s="12" t="n">
        <f aca="false">IF(AT$9=1,SUMIFS(dr_USD,dr_Mes,40,dr_Cod,"VTA_G",dr_Est,"&lt;&gt;Excluido"),AT$24*AT$31)</f>
        <v>486817.2225</v>
      </c>
      <c r="AU32" s="12" t="n">
        <f aca="false">IF(AU$9=1,SUMIFS(dr_USD,dr_Mes,41,dr_Cod,"VTA_G",dr_Est,"&lt;&gt;Excluido"),AU$24*AU$31)</f>
        <v>486817.2225</v>
      </c>
      <c r="AV32" s="12" t="n">
        <f aca="false">IF(AV$9=1,SUMIFS(dr_USD,dr_Mes,42,dr_Cod,"VTA_G",dr_Est,"&lt;&gt;Excluido"),AV$24*AV$31)</f>
        <v>486817.2225</v>
      </c>
      <c r="AW32" s="12" t="n">
        <f aca="false">IF(AW$9=1,SUMIFS(dr_USD,dr_Mes,43,dr_Cod,"VTA_G",dr_Est,"&lt;&gt;Excluido"),AW$24*AW$31)</f>
        <v>486817.2225</v>
      </c>
      <c r="AX32" s="12" t="n">
        <f aca="false">IF(AX$9=1,SUMIFS(dr_USD,dr_Mes,44,dr_Cod,"VTA_G",dr_Est,"&lt;&gt;Excluido"),AX$24*AX$31)</f>
        <v>486817.2225</v>
      </c>
      <c r="AY32" s="12" t="n">
        <f aca="false">IF(AY$9=1,SUMIFS(dr_USD,dr_Mes,45,dr_Cod,"VTA_G",dr_Est,"&lt;&gt;Excluido"),AY$24*AY$31)</f>
        <v>486817.2225</v>
      </c>
      <c r="AZ32" s="12" t="n">
        <f aca="false">IF(AZ$9=1,SUMIFS(dr_USD,dr_Mes,46,dr_Cod,"VTA_G",dr_Est,"&lt;&gt;Excluido"),AZ$24*AZ$31)</f>
        <v>486817.2225</v>
      </c>
      <c r="BA32" s="12" t="n">
        <f aca="false">IF(BA$9=1,SUMIFS(dr_USD,dr_Mes,47,dr_Cod,"VTA_G",dr_Est,"&lt;&gt;Excluido"),BA$24*BA$31)</f>
        <v>486817.2225</v>
      </c>
      <c r="BB32" s="12" t="n">
        <f aca="false">IF(BB$9=1,SUMIFS(dr_USD,dr_Mes,48,dr_Cod,"VTA_G",dr_Est,"&lt;&gt;Excluido"),BB$24*BB$31)</f>
        <v>486817.2225</v>
      </c>
      <c r="BC32" s="12" t="n">
        <f aca="false">IF(BC$9=1,SUMIFS(dr_USD,dr_Mes,49,dr_Cod,"VTA_G",dr_Est,"&lt;&gt;Excluido"),BC$24*BC$31)</f>
        <v>491685.394725</v>
      </c>
      <c r="BD32" s="12" t="n">
        <f aca="false">IF(BD$9=1,SUMIFS(dr_USD,dr_Mes,50,dr_Cod,"VTA_G",dr_Est,"&lt;&gt;Excluido"),BD$24*BD$31)</f>
        <v>491685.394725</v>
      </c>
      <c r="BE32" s="12" t="n">
        <f aca="false">IF(BE$9=1,SUMIFS(dr_USD,dr_Mes,51,dr_Cod,"VTA_G",dr_Est,"&lt;&gt;Excluido"),BE$24*BE$31)</f>
        <v>491685.394725</v>
      </c>
      <c r="BF32" s="12" t="n">
        <f aca="false">IF(BF$9=1,SUMIFS(dr_USD,dr_Mes,52,dr_Cod,"VTA_G",dr_Est,"&lt;&gt;Excluido"),BF$24*BF$31)</f>
        <v>491685.394725</v>
      </c>
      <c r="BG32" s="12" t="n">
        <f aca="false">IF(BG$9=1,SUMIFS(dr_USD,dr_Mes,53,dr_Cod,"VTA_G",dr_Est,"&lt;&gt;Excluido"),BG$24*BG$31)</f>
        <v>491685.394725</v>
      </c>
      <c r="BH32" s="12" t="n">
        <f aca="false">IF(BH$9=1,SUMIFS(dr_USD,dr_Mes,54,dr_Cod,"VTA_G",dr_Est,"&lt;&gt;Excluido"),BH$24*BH$31)</f>
        <v>491685.394725</v>
      </c>
      <c r="BI32" s="12" t="n">
        <f aca="false">IF(BI$9=1,SUMIFS(dr_USD,dr_Mes,55,dr_Cod,"VTA_G",dr_Est,"&lt;&gt;Excluido"),BI$24*BI$31)</f>
        <v>491685.394725</v>
      </c>
      <c r="BJ32" s="12" t="n">
        <f aca="false">IF(BJ$9=1,SUMIFS(dr_USD,dr_Mes,56,dr_Cod,"VTA_G",dr_Est,"&lt;&gt;Excluido"),BJ$24*BJ$31)</f>
        <v>491685.394725</v>
      </c>
      <c r="BK32" s="12" t="n">
        <f aca="false">IF(BK$9=1,SUMIFS(dr_USD,dr_Mes,57,dr_Cod,"VTA_G",dr_Est,"&lt;&gt;Excluido"),BK$24*BK$31)</f>
        <v>491685.394725</v>
      </c>
      <c r="BL32" s="12" t="n">
        <f aca="false">IF(BL$9=1,SUMIFS(dr_USD,dr_Mes,58,dr_Cod,"VTA_G",dr_Est,"&lt;&gt;Excluido"),BL$24*BL$31)</f>
        <v>491685.394725</v>
      </c>
      <c r="BM32" s="12" t="n">
        <f aca="false">IF(BM$9=1,SUMIFS(dr_USD,dr_Mes,59,dr_Cod,"VTA_G",dr_Est,"&lt;&gt;Excluido"),BM$24*BM$31)</f>
        <v>491685.394725</v>
      </c>
      <c r="BN32" s="12" t="n">
        <f aca="false">IF(BN$9=1,SUMIFS(dr_USD,dr_Mes,60,dr_Cod,"VTA_G",dr_Est,"&lt;&gt;Excluido"),BN$24*BN$31)</f>
        <v>491685.394725</v>
      </c>
      <c r="BO32" s="12" t="n">
        <f aca="false">IF(BO$9=1,SUMIFS(dr_USD,dr_Mes,61,dr_Cod,"VTA_G",dr_Est,"&lt;&gt;Excluido"),BO$24*BO$31)</f>
        <v>496602.24867225</v>
      </c>
      <c r="BP32" s="12" t="n">
        <f aca="false">IF(BP$9=1,SUMIFS(dr_USD,dr_Mes,62,dr_Cod,"VTA_G",dr_Est,"&lt;&gt;Excluido"),BP$24*BP$31)</f>
        <v>496602.24867225</v>
      </c>
      <c r="BQ32" s="12" t="n">
        <f aca="false">IF(BQ$9=1,SUMIFS(dr_USD,dr_Mes,63,dr_Cod,"VTA_G",dr_Est,"&lt;&gt;Excluido"),BQ$24*BQ$31)</f>
        <v>496602.24867225</v>
      </c>
      <c r="BR32" s="12" t="n">
        <f aca="false">IF(BR$9=1,SUMIFS(dr_USD,dr_Mes,64,dr_Cod,"VTA_G",dr_Est,"&lt;&gt;Excluido"),BR$24*BR$31)</f>
        <v>496602.24867225</v>
      </c>
      <c r="BS32" s="12" t="n">
        <f aca="false">IF(BS$9=1,SUMIFS(dr_USD,dr_Mes,65,dr_Cod,"VTA_G",dr_Est,"&lt;&gt;Excluido"),BS$24*BS$31)</f>
        <v>496602.24867225</v>
      </c>
      <c r="BT32" s="12" t="n">
        <f aca="false">IF(BT$9=1,SUMIFS(dr_USD,dr_Mes,66,dr_Cod,"VTA_G",dr_Est,"&lt;&gt;Excluido"),BT$24*BT$31)</f>
        <v>496602.24867225</v>
      </c>
      <c r="BU32" s="12" t="n">
        <f aca="false">IF(BU$9=1,SUMIFS(dr_USD,dr_Mes,67,dr_Cod,"VTA_G",dr_Est,"&lt;&gt;Excluido"),BU$24*BU$31)</f>
        <v>496602.24867225</v>
      </c>
      <c r="BV32" s="12" t="n">
        <f aca="false">IF(BV$9=1,SUMIFS(dr_USD,dr_Mes,68,dr_Cod,"VTA_G",dr_Est,"&lt;&gt;Excluido"),BV$24*BV$31)</f>
        <v>496602.24867225</v>
      </c>
      <c r="BW32" s="12" t="n">
        <f aca="false">IF(BW$9=1,SUMIFS(dr_USD,dr_Mes,69,dr_Cod,"VTA_G",dr_Est,"&lt;&gt;Excluido"),BW$24*BW$31)</f>
        <v>496602.24867225</v>
      </c>
      <c r="BX32" s="12" t="n">
        <f aca="false">IF(BX$9=1,SUMIFS(dr_USD,dr_Mes,70,dr_Cod,"VTA_G",dr_Est,"&lt;&gt;Excluido"),BX$24*BX$31)</f>
        <v>496602.24867225</v>
      </c>
      <c r="BY32" s="12" t="n">
        <f aca="false">IF(BY$9=1,SUMIFS(dr_USD,dr_Mes,71,dr_Cod,"VTA_G",dr_Est,"&lt;&gt;Excluido"),BY$24*BY$31)</f>
        <v>496602.24867225</v>
      </c>
      <c r="BZ32" s="12" t="n">
        <f aca="false">IF(BZ$9=1,SUMIFS(dr_USD,dr_Mes,72,dr_Cod,"VTA_G",dr_Est,"&lt;&gt;Excluido"),BZ$24*BZ$31)</f>
        <v>496602.24867225</v>
      </c>
      <c r="CA32" s="12" t="n">
        <f aca="false">IF(CA$9=1,SUMIFS(dr_USD,dr_Mes,73,dr_Cod,"VTA_G",dr_Est,"&lt;&gt;Excluido"),CA$24*CA$31)</f>
        <v>501568.271158973</v>
      </c>
      <c r="CB32" s="12" t="n">
        <f aca="false">IF(CB$9=1,SUMIFS(dr_USD,dr_Mes,74,dr_Cod,"VTA_G",dr_Est,"&lt;&gt;Excluido"),CB$24*CB$31)</f>
        <v>501568.271158973</v>
      </c>
      <c r="CC32" s="12" t="n">
        <f aca="false">IF(CC$9=1,SUMIFS(dr_USD,dr_Mes,75,dr_Cod,"VTA_G",dr_Est,"&lt;&gt;Excluido"),CC$24*CC$31)</f>
        <v>501568.271158973</v>
      </c>
      <c r="CD32" s="12" t="n">
        <f aca="false">IF(CD$9=1,SUMIFS(dr_USD,dr_Mes,76,dr_Cod,"VTA_G",dr_Est,"&lt;&gt;Excluido"),CD$24*CD$31)</f>
        <v>501568.271158973</v>
      </c>
      <c r="CE32" s="12" t="n">
        <f aca="false">IF(CE$9=1,SUMIFS(dr_USD,dr_Mes,77,dr_Cod,"VTA_G",dr_Est,"&lt;&gt;Excluido"),CE$24*CE$31)</f>
        <v>501568.271158973</v>
      </c>
      <c r="CF32" s="12" t="n">
        <f aca="false">IF(CF$9=1,SUMIFS(dr_USD,dr_Mes,78,dr_Cod,"VTA_G",dr_Est,"&lt;&gt;Excluido"),CF$24*CF$31)</f>
        <v>501568.271158973</v>
      </c>
      <c r="CG32" s="12" t="n">
        <f aca="false">IF(CG$9=1,SUMIFS(dr_USD,dr_Mes,79,dr_Cod,"VTA_G",dr_Est,"&lt;&gt;Excluido"),CG$24*CG$31)</f>
        <v>501568.271158973</v>
      </c>
      <c r="CH32" s="12" t="n">
        <f aca="false">IF(CH$9=1,SUMIFS(dr_USD,dr_Mes,80,dr_Cod,"VTA_G",dr_Est,"&lt;&gt;Excluido"),CH$24*CH$31)</f>
        <v>501568.271158973</v>
      </c>
      <c r="CI32" s="12" t="n">
        <f aca="false">IF(CI$9=1,SUMIFS(dr_USD,dr_Mes,81,dr_Cod,"VTA_G",dr_Est,"&lt;&gt;Excluido"),CI$24*CI$31)</f>
        <v>501568.271158973</v>
      </c>
      <c r="CJ32" s="12" t="n">
        <f aca="false">IF(CJ$9=1,SUMIFS(dr_USD,dr_Mes,82,dr_Cod,"VTA_G",dr_Est,"&lt;&gt;Excluido"),CJ$24*CJ$31)</f>
        <v>501568.271158973</v>
      </c>
      <c r="CK32" s="12" t="n">
        <f aca="false">IF(CK$9=1,SUMIFS(dr_USD,dr_Mes,83,dr_Cod,"VTA_G",dr_Est,"&lt;&gt;Excluido"),CK$24*CK$31)</f>
        <v>501568.271158973</v>
      </c>
      <c r="CL32" s="12" t="n">
        <f aca="false">IF(CL$9=1,SUMIFS(dr_USD,dr_Mes,84,dr_Cod,"VTA_G",dr_Est,"&lt;&gt;Excluido"),CL$24*CL$31)</f>
        <v>501568.271158973</v>
      </c>
      <c r="CM32" s="12" t="n">
        <f aca="false">IF(CM$9=1,SUMIFS(dr_USD,dr_Mes,85,dr_Cod,"VTA_G",dr_Est,"&lt;&gt;Excluido"),CM$24*CM$31)</f>
        <v>506583.953870562</v>
      </c>
      <c r="CN32" s="12" t="n">
        <f aca="false">IF(CN$9=1,SUMIFS(dr_USD,dr_Mes,86,dr_Cod,"VTA_G",dr_Est,"&lt;&gt;Excluido"),CN$24*CN$31)</f>
        <v>506583.953870562</v>
      </c>
      <c r="CO32" s="12" t="n">
        <f aca="false">IF(CO$9=1,SUMIFS(dr_USD,dr_Mes,87,dr_Cod,"VTA_G",dr_Est,"&lt;&gt;Excluido"),CO$24*CO$31)</f>
        <v>506583.953870562</v>
      </c>
      <c r="CP32" s="12" t="n">
        <f aca="false">IF(CP$9=1,SUMIFS(dr_USD,dr_Mes,88,dr_Cod,"VTA_G",dr_Est,"&lt;&gt;Excluido"),CP$24*CP$31)</f>
        <v>506583.953870562</v>
      </c>
      <c r="CQ32" s="12" t="n">
        <f aca="false">IF(CQ$9=1,SUMIFS(dr_USD,dr_Mes,89,dr_Cod,"VTA_G",dr_Est,"&lt;&gt;Excluido"),CQ$24*CQ$31)</f>
        <v>506583.953870562</v>
      </c>
      <c r="CR32" s="12" t="n">
        <f aca="false">IF(CR$9=1,SUMIFS(dr_USD,dr_Mes,90,dr_Cod,"VTA_G",dr_Est,"&lt;&gt;Excluido"),CR$24*CR$31)</f>
        <v>506583.953870562</v>
      </c>
      <c r="CS32" s="12" t="n">
        <f aca="false">IF(CS$9=1,SUMIFS(dr_USD,dr_Mes,91,dr_Cod,"VTA_G",dr_Est,"&lt;&gt;Excluido"),CS$24*CS$31)</f>
        <v>506583.953870562</v>
      </c>
      <c r="CT32" s="12" t="n">
        <f aca="false">IF(CT$9=1,SUMIFS(dr_USD,dr_Mes,92,dr_Cod,"VTA_G",dr_Est,"&lt;&gt;Excluido"),CT$24*CT$31)</f>
        <v>506583.953870562</v>
      </c>
      <c r="CU32" s="12" t="n">
        <f aca="false">IF(CU$9=1,SUMIFS(dr_USD,dr_Mes,93,dr_Cod,"VTA_G",dr_Est,"&lt;&gt;Excluido"),CU$24*CU$31)</f>
        <v>506583.953870562</v>
      </c>
      <c r="CV32" s="12" t="n">
        <f aca="false">IF(CV$9=1,SUMIFS(dr_USD,dr_Mes,94,dr_Cod,"VTA_G",dr_Est,"&lt;&gt;Excluido"),CV$24*CV$31)</f>
        <v>506583.953870562</v>
      </c>
      <c r="CW32" s="12" t="n">
        <f aca="false">IF(CW$9=1,SUMIFS(dr_USD,dr_Mes,95,dr_Cod,"VTA_G",dr_Est,"&lt;&gt;Excluido"),CW$24*CW$31)</f>
        <v>506583.953870562</v>
      </c>
      <c r="CX32" s="12" t="n">
        <f aca="false">IF(CX$9=1,SUMIFS(dr_USD,dr_Mes,96,dr_Cod,"VTA_G",dr_Est,"&lt;&gt;Excluido"),CX$24*CX$31)</f>
        <v>506583.953870562</v>
      </c>
      <c r="CY32" s="12" t="n">
        <f aca="false">IF(CY$9=1,SUMIFS(dr_USD,dr_Mes,97,dr_Cod,"VTA_G",dr_Est,"&lt;&gt;Excluido"),CY$24*CY$31)</f>
        <v>511649.793409268</v>
      </c>
      <c r="CZ32" s="12" t="n">
        <f aca="false">IF(CZ$9=1,SUMIFS(dr_USD,dr_Mes,98,dr_Cod,"VTA_G",dr_Est,"&lt;&gt;Excluido"),CZ$24*CZ$31)</f>
        <v>511649.793409268</v>
      </c>
      <c r="DA32" s="12" t="n">
        <f aca="false">IF(DA$9=1,SUMIFS(dr_USD,dr_Mes,99,dr_Cod,"VTA_G",dr_Est,"&lt;&gt;Excluido"),DA$24*DA$31)</f>
        <v>511649.793409268</v>
      </c>
      <c r="DB32" s="12" t="n">
        <f aca="false">IF(DB$9=1,SUMIFS(dr_USD,dr_Mes,100,dr_Cod,"VTA_G",dr_Est,"&lt;&gt;Excluido"),DB$24*DB$31)</f>
        <v>511649.793409268</v>
      </c>
      <c r="DC32" s="12" t="n">
        <f aca="false">IF(DC$9=1,SUMIFS(dr_USD,dr_Mes,101,dr_Cod,"VTA_G",dr_Est,"&lt;&gt;Excluido"),DC$24*DC$31)</f>
        <v>511649.793409268</v>
      </c>
      <c r="DD32" s="12" t="n">
        <f aca="false">IF(DD$9=1,SUMIFS(dr_USD,dr_Mes,102,dr_Cod,"VTA_G",dr_Est,"&lt;&gt;Excluido"),DD$24*DD$31)</f>
        <v>511649.793409268</v>
      </c>
      <c r="DE32" s="12" t="n">
        <f aca="false">IF(DE$9=1,SUMIFS(dr_USD,dr_Mes,103,dr_Cod,"VTA_G",dr_Est,"&lt;&gt;Excluido"),DE$24*DE$31)</f>
        <v>511649.793409268</v>
      </c>
      <c r="DF32" s="12" t="n">
        <f aca="false">IF(DF$9=1,SUMIFS(dr_USD,dr_Mes,104,dr_Cod,"VTA_G",dr_Est,"&lt;&gt;Excluido"),DF$24*DF$31)</f>
        <v>511649.793409268</v>
      </c>
      <c r="DG32" s="12" t="n">
        <f aca="false">IF(DG$9=1,SUMIFS(dr_USD,dr_Mes,105,dr_Cod,"VTA_G",dr_Est,"&lt;&gt;Excluido"),DG$24*DG$31)</f>
        <v>511649.793409268</v>
      </c>
      <c r="DH32" s="12" t="n">
        <f aca="false">IF(DH$9=1,SUMIFS(dr_USD,dr_Mes,106,dr_Cod,"VTA_G",dr_Est,"&lt;&gt;Excluido"),DH$24*DH$31)</f>
        <v>511649.793409268</v>
      </c>
      <c r="DI32" s="12" t="n">
        <f aca="false">IF(DI$9=1,SUMIFS(dr_USD,dr_Mes,107,dr_Cod,"VTA_G",dr_Est,"&lt;&gt;Excluido"),DI$24*DI$31)</f>
        <v>511649.793409268</v>
      </c>
      <c r="DJ32" s="12" t="n">
        <f aca="false">IF(DJ$9=1,SUMIFS(dr_USD,dr_Mes,108,dr_Cod,"VTA_G",dr_Est,"&lt;&gt;Excluido"),DJ$24*DJ$31)</f>
        <v>511649.793409268</v>
      </c>
      <c r="DK32" s="12" t="n">
        <f aca="false">IF(DK$9=1,SUMIFS(dr_USD,dr_Mes,109,dr_Cod,"VTA_G",dr_Est,"&lt;&gt;Excluido"),DK$24*DK$31)</f>
        <v>516766.291343361</v>
      </c>
      <c r="DL32" s="12" t="n">
        <f aca="false">IF(DL$9=1,SUMIFS(dr_USD,dr_Mes,110,dr_Cod,"VTA_G",dr_Est,"&lt;&gt;Excluido"),DL$24*DL$31)</f>
        <v>516766.291343361</v>
      </c>
      <c r="DM32" s="12" t="n">
        <f aca="false">IF(DM$9=1,SUMIFS(dr_USD,dr_Mes,111,dr_Cod,"VTA_G",dr_Est,"&lt;&gt;Excluido"),DM$24*DM$31)</f>
        <v>516766.291343361</v>
      </c>
      <c r="DN32" s="12" t="n">
        <f aca="false">IF(DN$9=1,SUMIFS(dr_USD,dr_Mes,112,dr_Cod,"VTA_G",dr_Est,"&lt;&gt;Excluido"),DN$24*DN$31)</f>
        <v>516766.291343361</v>
      </c>
      <c r="DO32" s="12" t="n">
        <f aca="false">IF(DO$9=1,SUMIFS(dr_USD,dr_Mes,113,dr_Cod,"VTA_G",dr_Est,"&lt;&gt;Excluido"),DO$24*DO$31)</f>
        <v>516766.291343361</v>
      </c>
      <c r="DP32" s="12" t="n">
        <f aca="false">IF(DP$9=1,SUMIFS(dr_USD,dr_Mes,114,dr_Cod,"VTA_G",dr_Est,"&lt;&gt;Excluido"),DP$24*DP$31)</f>
        <v>516766.291343361</v>
      </c>
      <c r="DQ32" s="12" t="n">
        <f aca="false">IF(DQ$9=1,SUMIFS(dr_USD,dr_Mes,115,dr_Cod,"VTA_G",dr_Est,"&lt;&gt;Excluido"),DQ$24*DQ$31)</f>
        <v>516766.291343361</v>
      </c>
      <c r="DR32" s="12" t="n">
        <f aca="false">IF(DR$9=1,SUMIFS(dr_USD,dr_Mes,116,dr_Cod,"VTA_G",dr_Est,"&lt;&gt;Excluido"),DR$24*DR$31)</f>
        <v>516766.291343361</v>
      </c>
      <c r="DS32" s="12" t="n">
        <f aca="false">IF(DS$9=1,SUMIFS(dr_USD,dr_Mes,117,dr_Cod,"VTA_G",dr_Est,"&lt;&gt;Excluido"),DS$24*DS$31)</f>
        <v>516766.291343361</v>
      </c>
      <c r="DT32" s="12" t="n">
        <f aca="false">IF(DT$9=1,SUMIFS(dr_USD,dr_Mes,118,dr_Cod,"VTA_G",dr_Est,"&lt;&gt;Excluido"),DT$24*DT$31)</f>
        <v>516766.291343361</v>
      </c>
      <c r="DU32" s="12" t="n">
        <f aca="false">IF(DU$9=1,SUMIFS(dr_USD,dr_Mes,119,dr_Cod,"VTA_G",dr_Est,"&lt;&gt;Excluido"),DU$24*DU$31)</f>
        <v>516766.291343361</v>
      </c>
      <c r="DV32" s="12" t="n">
        <f aca="false">IF(DV$9=1,SUMIFS(dr_USD,dr_Mes,120,dr_Cod,"VTA_G",dr_Est,"&lt;&gt;Excluido"),DV$24*DV$31)</f>
        <v>516766.291343361</v>
      </c>
      <c r="DW32" s="12" t="n">
        <f aca="false">IF(DW$9=1,SUMIFS(dr_USD,dr_Mes,121,dr_Cod,"VTA_G",dr_Est,"&lt;&gt;Excluido"),DW$24*DW$31)</f>
        <v>0</v>
      </c>
      <c r="DX32" s="12" t="n">
        <f aca="false">IF(DX$9=1,SUMIFS(dr_USD,dr_Mes,122,dr_Cod,"VTA_G",dr_Est,"&lt;&gt;Excluido"),DX$24*DX$31)</f>
        <v>0</v>
      </c>
      <c r="DY32" s="12" t="n">
        <f aca="false">IF(DY$9=1,SUMIFS(dr_USD,dr_Mes,123,dr_Cod,"VTA_G",dr_Est,"&lt;&gt;Excluido"),DY$24*DY$31)</f>
        <v>0</v>
      </c>
      <c r="DZ32" s="12" t="n">
        <f aca="false">IF(DZ$9=1,SUMIFS(dr_USD,dr_Mes,124,dr_Cod,"VTA_G",dr_Est,"&lt;&gt;Excluido"),DZ$24*DZ$31)</f>
        <v>0</v>
      </c>
      <c r="EA32" s="12" t="n">
        <f aca="false">IF(EA$9=1,SUMIFS(dr_USD,dr_Mes,125,dr_Cod,"VTA_G",dr_Est,"&lt;&gt;Excluido"),EA$24*EA$31)</f>
        <v>0</v>
      </c>
      <c r="EB32" s="12" t="n">
        <f aca="false">IF(EB$9=1,SUMIFS(dr_USD,dr_Mes,126,dr_Cod,"VTA_G",dr_Est,"&lt;&gt;Excluido"),EB$24*EB$31)</f>
        <v>0</v>
      </c>
      <c r="EC32" s="12" t="n">
        <f aca="false">IF(EC$9=1,SUMIFS(dr_USD,dr_Mes,127,dr_Cod,"VTA_G",dr_Est,"&lt;&gt;Excluido"),EC$24*EC$31)</f>
        <v>0</v>
      </c>
      <c r="ED32" s="12" t="n">
        <f aca="false">IF(ED$9=1,SUMIFS(dr_USD,dr_Mes,128,dr_Cod,"VTA_G",dr_Est,"&lt;&gt;Excluido"),ED$24*ED$31)</f>
        <v>0</v>
      </c>
      <c r="EE32" s="12" t="n">
        <f aca="false">IF(EE$9=1,SUMIFS(dr_USD,dr_Mes,129,dr_Cod,"VTA_G",dr_Est,"&lt;&gt;Excluido"),EE$24*EE$31)</f>
        <v>0</v>
      </c>
      <c r="EF32" s="12" t="n">
        <f aca="false">IF(EF$9=1,SUMIFS(dr_USD,dr_Mes,130,dr_Cod,"VTA_G",dr_Est,"&lt;&gt;Excluido"),EF$24*EF$31)</f>
        <v>0</v>
      </c>
      <c r="EG32" s="12" t="n">
        <f aca="false">IF(EG$9=1,SUMIFS(dr_USD,dr_Mes,131,dr_Cod,"VTA_G",dr_Est,"&lt;&gt;Excluido"),EG$24*EG$31)</f>
        <v>0</v>
      </c>
      <c r="EH32" s="12" t="n">
        <f aca="false">IF(EH$9=1,SUMIFS(dr_USD,dr_Mes,132,dr_Cod,"VTA_G",dr_Est,"&lt;&gt;Excluido"),EH$24*EH$31)</f>
        <v>0</v>
      </c>
      <c r="EI32" s="12" t="n">
        <f aca="false">IF(EI$9=1,SUMIFS(dr_USD,dr_Mes,133,dr_Cod,"VTA_G",dr_Est,"&lt;&gt;Excluido"),EI$24*EI$31)</f>
        <v>0</v>
      </c>
      <c r="EJ32" s="12" t="n">
        <f aca="false">IF(EJ$9=1,SUMIFS(dr_USD,dr_Mes,134,dr_Cod,"VTA_G",dr_Est,"&lt;&gt;Excluido"),EJ$24*EJ$31)</f>
        <v>0</v>
      </c>
      <c r="EK32" s="12" t="n">
        <f aca="false">IF(EK$9=1,SUMIFS(dr_USD,dr_Mes,135,dr_Cod,"VTA_G",dr_Est,"&lt;&gt;Excluido"),EK$24*EK$31)</f>
        <v>0</v>
      </c>
      <c r="EL32" s="12" t="n">
        <f aca="false">IF(EL$9=1,SUMIFS(dr_USD,dr_Mes,136,dr_Cod,"VTA_G",dr_Est,"&lt;&gt;Excluido"),EL$24*EL$31)</f>
        <v>0</v>
      </c>
      <c r="EM32" s="12" t="n">
        <f aca="false">IF(EM$9=1,SUMIFS(dr_USD,dr_Mes,137,dr_Cod,"VTA_G",dr_Est,"&lt;&gt;Excluido"),EM$24*EM$31)</f>
        <v>0</v>
      </c>
      <c r="EN32" s="12" t="n">
        <f aca="false">IF(EN$9=1,SUMIFS(dr_USD,dr_Mes,138,dr_Cod,"VTA_G",dr_Est,"&lt;&gt;Excluido"),EN$24*EN$31)</f>
        <v>0</v>
      </c>
      <c r="EO32" s="12" t="n">
        <f aca="false">IF(EO$9=1,SUMIFS(dr_USD,dr_Mes,139,dr_Cod,"VTA_G",dr_Est,"&lt;&gt;Excluido"),EO$24*EO$31)</f>
        <v>0</v>
      </c>
      <c r="EP32" s="12" t="n">
        <f aca="false">IF(EP$9=1,SUMIFS(dr_USD,dr_Mes,140,dr_Cod,"VTA_G",dr_Est,"&lt;&gt;Excluido"),EP$24*EP$31)</f>
        <v>0</v>
      </c>
      <c r="EQ32" s="12" t="n">
        <f aca="false">IF(EQ$9=1,SUMIFS(dr_USD,dr_Mes,141,dr_Cod,"VTA_G",dr_Est,"&lt;&gt;Excluido"),EQ$24*EQ$31)</f>
        <v>0</v>
      </c>
      <c r="ER32" s="12" t="n">
        <f aca="false">IF(ER$9=1,SUMIFS(dr_USD,dr_Mes,142,dr_Cod,"VTA_G",dr_Est,"&lt;&gt;Excluido"),ER$24*ER$31)</f>
        <v>0</v>
      </c>
      <c r="ES32" s="12" t="n">
        <f aca="false">IF(ES$9=1,SUMIFS(dr_USD,dr_Mes,143,dr_Cod,"VTA_G",dr_Est,"&lt;&gt;Excluido"),ES$24*ES$31)</f>
        <v>0</v>
      </c>
      <c r="ET32" s="12" t="n">
        <f aca="false">IF(ET$9=1,SUMIFS(dr_USD,dr_Mes,144,dr_Cod,"VTA_G",dr_Est,"&lt;&gt;Excluido"),ET$24*ET$31)</f>
        <v>0</v>
      </c>
      <c r="EU32" s="12" t="n">
        <f aca="false">IF(EU$9=1,SUMIFS(dr_USD,dr_Mes,145,dr_Cod,"VTA_G",dr_Est,"&lt;&gt;Excluido"),EU$24*EU$31)</f>
        <v>0</v>
      </c>
      <c r="EV32" s="12" t="n">
        <f aca="false">IF(EV$9=1,SUMIFS(dr_USD,dr_Mes,146,dr_Cod,"VTA_G",dr_Est,"&lt;&gt;Excluido"),EV$24*EV$31)</f>
        <v>0</v>
      </c>
      <c r="EW32" s="12" t="n">
        <f aca="false">IF(EW$9=1,SUMIFS(dr_USD,dr_Mes,147,dr_Cod,"VTA_G",dr_Est,"&lt;&gt;Excluido"),EW$24*EW$31)</f>
        <v>0</v>
      </c>
      <c r="EX32" s="12" t="n">
        <f aca="false">IF(EX$9=1,SUMIFS(dr_USD,dr_Mes,148,dr_Cod,"VTA_G",dr_Est,"&lt;&gt;Excluido"),EX$24*EX$31)</f>
        <v>0</v>
      </c>
      <c r="EY32" s="12" t="n">
        <f aca="false">IF(EY$9=1,SUMIFS(dr_USD,dr_Mes,149,dr_Cod,"VTA_G",dr_Est,"&lt;&gt;Excluido"),EY$24*EY$31)</f>
        <v>0</v>
      </c>
      <c r="EZ32" s="12" t="n">
        <f aca="false">IF(EZ$9=1,SUMIFS(dr_USD,dr_Mes,150,dr_Cod,"VTA_G",dr_Est,"&lt;&gt;Excluido"),EZ$24*EZ$31)</f>
        <v>0</v>
      </c>
      <c r="FA32" s="12" t="n">
        <f aca="false">IF(FA$9=1,SUMIFS(dr_USD,dr_Mes,151,dr_Cod,"VTA_G",dr_Est,"&lt;&gt;Excluido"),FA$24*FA$31)</f>
        <v>0</v>
      </c>
      <c r="FB32" s="12" t="n">
        <f aca="false">IF(FB$9=1,SUMIFS(dr_USD,dr_Mes,152,dr_Cod,"VTA_G",dr_Est,"&lt;&gt;Excluido"),FB$24*FB$31)</f>
        <v>0</v>
      </c>
      <c r="FC32" s="12" t="n">
        <f aca="false">IF(FC$9=1,SUMIFS(dr_USD,dr_Mes,153,dr_Cod,"VTA_G",dr_Est,"&lt;&gt;Excluido"),FC$24*FC$31)</f>
        <v>0</v>
      </c>
      <c r="FD32" s="12" t="n">
        <f aca="false">IF(FD$9=1,SUMIFS(dr_USD,dr_Mes,154,dr_Cod,"VTA_G",dr_Est,"&lt;&gt;Excluido"),FD$24*FD$31)</f>
        <v>0</v>
      </c>
      <c r="FE32" s="12" t="n">
        <f aca="false">IF(FE$9=1,SUMIFS(dr_USD,dr_Mes,155,dr_Cod,"VTA_G",dr_Est,"&lt;&gt;Excluido"),FE$24*FE$31)</f>
        <v>0</v>
      </c>
      <c r="FF32" s="12" t="n">
        <f aca="false">IF(FF$9=1,SUMIFS(dr_USD,dr_Mes,156,dr_Cod,"VTA_G",dr_Est,"&lt;&gt;Excluido"),FF$24*FF$31)</f>
        <v>0</v>
      </c>
    </row>
    <row r="33" customFormat="false" ht="15" hidden="false" customHeight="false" outlineLevel="0" collapsed="false">
      <c r="A33" s="4"/>
      <c r="B33" s="3" t="s">
        <v>864</v>
      </c>
      <c r="C33" s="4"/>
      <c r="D33" s="4"/>
      <c r="E33" s="4"/>
    </row>
    <row r="34" customFormat="false" ht="15" hidden="false" customHeight="false" outlineLevel="0" collapsed="false">
      <c r="A34" s="2" t="s">
        <v>865</v>
      </c>
      <c r="B34" s="8" t="s">
        <v>824</v>
      </c>
      <c r="C34" s="8" t="s">
        <v>825</v>
      </c>
      <c r="E34" s="65" t="n">
        <f aca="false">SUM($F34:$FF34)</f>
        <v>1148000</v>
      </c>
      <c r="F34" s="13" t="n">
        <f aca="false">IF(F$8=1,INDEX(Base_PDF!$F$89:$O$89,1,F$7)/12*(1+e_CapAdic),0)</f>
        <v>0</v>
      </c>
      <c r="G34" s="13" t="n">
        <f aca="false">IF(G$8=1,INDEX(Base_PDF!$F$89:$O$89,1,G$7)/12*(1+e_CapAdic),0)</f>
        <v>7500</v>
      </c>
      <c r="H34" s="13" t="n">
        <f aca="false">IF(H$8=1,INDEX(Base_PDF!$F$89:$O$89,1,H$7)/12*(1+e_CapAdic),0)</f>
        <v>7500</v>
      </c>
      <c r="I34" s="13" t="n">
        <f aca="false">IF(I$8=1,INDEX(Base_PDF!$F$89:$O$89,1,I$7)/12*(1+e_CapAdic),0)</f>
        <v>7500</v>
      </c>
      <c r="J34" s="13" t="n">
        <f aca="false">IF(J$8=1,INDEX(Base_PDF!$F$89:$O$89,1,J$7)/12*(1+e_CapAdic),0)</f>
        <v>7500</v>
      </c>
      <c r="K34" s="13" t="n">
        <f aca="false">IF(K$8=1,INDEX(Base_PDF!$F$89:$O$89,1,K$7)/12*(1+e_CapAdic),0)</f>
        <v>7500</v>
      </c>
      <c r="L34" s="13" t="n">
        <f aca="false">IF(L$8=1,INDEX(Base_PDF!$F$89:$O$89,1,L$7)/12*(1+e_CapAdic),0)</f>
        <v>7500</v>
      </c>
      <c r="M34" s="13" t="n">
        <f aca="false">IF(M$8=1,INDEX(Base_PDF!$F$89:$O$89,1,M$7)/12*(1+e_CapAdic),0)</f>
        <v>7500</v>
      </c>
      <c r="N34" s="13" t="n">
        <f aca="false">IF(N$8=1,INDEX(Base_PDF!$F$89:$O$89,1,N$7)/12*(1+e_CapAdic),0)</f>
        <v>7500</v>
      </c>
      <c r="O34" s="13" t="n">
        <f aca="false">IF(O$8=1,INDEX(Base_PDF!$F$89:$O$89,1,O$7)/12*(1+e_CapAdic),0)</f>
        <v>7500</v>
      </c>
      <c r="P34" s="13" t="n">
        <f aca="false">IF(P$8=1,INDEX(Base_PDF!$F$89:$O$89,1,P$7)/12*(1+e_CapAdic),0)</f>
        <v>7500</v>
      </c>
      <c r="Q34" s="13" t="n">
        <f aca="false">IF(Q$8=1,INDEX(Base_PDF!$F$89:$O$89,1,Q$7)/12*(1+e_CapAdic),0)</f>
        <v>7500</v>
      </c>
      <c r="R34" s="13" t="n">
        <f aca="false">IF(R$8=1,INDEX(Base_PDF!$F$89:$O$89,1,R$7)/12*(1+e_CapAdic),0)</f>
        <v>7500</v>
      </c>
      <c r="S34" s="13" t="n">
        <f aca="false">IF(S$8=1,INDEX(Base_PDF!$F$89:$O$89,1,S$7)/12*(1+e_CapAdic),0)</f>
        <v>7500</v>
      </c>
      <c r="T34" s="13" t="n">
        <f aca="false">IF(T$8=1,INDEX(Base_PDF!$F$89:$O$89,1,T$7)/12*(1+e_CapAdic),0)</f>
        <v>7500</v>
      </c>
      <c r="U34" s="13" t="n">
        <f aca="false">IF(U$8=1,INDEX(Base_PDF!$F$89:$O$89,1,U$7)/12*(1+e_CapAdic),0)</f>
        <v>7500</v>
      </c>
      <c r="V34" s="13" t="n">
        <f aca="false">IF(V$8=1,INDEX(Base_PDF!$F$89:$O$89,1,V$7)/12*(1+e_CapAdic),0)</f>
        <v>7500</v>
      </c>
      <c r="W34" s="13" t="n">
        <f aca="false">IF(W$8=1,INDEX(Base_PDF!$F$89:$O$89,1,W$7)/12*(1+e_CapAdic),0)</f>
        <v>7500</v>
      </c>
      <c r="X34" s="13" t="n">
        <f aca="false">IF(X$8=1,INDEX(Base_PDF!$F$89:$O$89,1,X$7)/12*(1+e_CapAdic),0)</f>
        <v>7500</v>
      </c>
      <c r="Y34" s="13" t="n">
        <f aca="false">IF(Y$8=1,INDEX(Base_PDF!$F$89:$O$89,1,Y$7)/12*(1+e_CapAdic),0)</f>
        <v>7500</v>
      </c>
      <c r="Z34" s="13" t="n">
        <f aca="false">IF(Z$8=1,INDEX(Base_PDF!$F$89:$O$89,1,Z$7)/12*(1+e_CapAdic),0)</f>
        <v>7500</v>
      </c>
      <c r="AA34" s="13" t="n">
        <f aca="false">IF(AA$8=1,INDEX(Base_PDF!$F$89:$O$89,1,AA$7)/12*(1+e_CapAdic),0)</f>
        <v>7500</v>
      </c>
      <c r="AB34" s="13" t="n">
        <f aca="false">IF(AB$8=1,INDEX(Base_PDF!$F$89:$O$89,1,AB$7)/12*(1+e_CapAdic),0)</f>
        <v>7500</v>
      </c>
      <c r="AC34" s="13" t="n">
        <f aca="false">IF(AC$8=1,INDEX(Base_PDF!$F$89:$O$89,1,AC$7)/12*(1+e_CapAdic),0)</f>
        <v>7500</v>
      </c>
      <c r="AD34" s="13" t="n">
        <f aca="false">IF(AD$8=1,INDEX(Base_PDF!$F$89:$O$89,1,AD$7)/12*(1+e_CapAdic),0)</f>
        <v>7500</v>
      </c>
      <c r="AE34" s="13" t="n">
        <f aca="false">IF(AE$8=1,INDEX(Base_PDF!$F$89:$O$89,1,AE$7)/12*(1+e_CapAdic),0)</f>
        <v>10083.3333333333</v>
      </c>
      <c r="AF34" s="13" t="n">
        <f aca="false">IF(AF$8=1,INDEX(Base_PDF!$F$89:$O$89,1,AF$7)/12*(1+e_CapAdic),0)</f>
        <v>10083.3333333333</v>
      </c>
      <c r="AG34" s="13" t="n">
        <f aca="false">IF(AG$8=1,INDEX(Base_PDF!$F$89:$O$89,1,AG$7)/12*(1+e_CapAdic),0)</f>
        <v>10083.3333333333</v>
      </c>
      <c r="AH34" s="13" t="n">
        <f aca="false">IF(AH$8=1,INDEX(Base_PDF!$F$89:$O$89,1,AH$7)/12*(1+e_CapAdic),0)</f>
        <v>10083.3333333333</v>
      </c>
      <c r="AI34" s="13" t="n">
        <f aca="false">IF(AI$8=1,INDEX(Base_PDF!$F$89:$O$89,1,AI$7)/12*(1+e_CapAdic),0)</f>
        <v>10083.3333333333</v>
      </c>
      <c r="AJ34" s="13" t="n">
        <f aca="false">IF(AJ$8=1,INDEX(Base_PDF!$F$89:$O$89,1,AJ$7)/12*(1+e_CapAdic),0)</f>
        <v>10083.3333333333</v>
      </c>
      <c r="AK34" s="13" t="n">
        <f aca="false">IF(AK$8=1,INDEX(Base_PDF!$F$89:$O$89,1,AK$7)/12*(1+e_CapAdic),0)</f>
        <v>10083.3333333333</v>
      </c>
      <c r="AL34" s="13" t="n">
        <f aca="false">IF(AL$8=1,INDEX(Base_PDF!$F$89:$O$89,1,AL$7)/12*(1+e_CapAdic),0)</f>
        <v>10083.3333333333</v>
      </c>
      <c r="AM34" s="13" t="n">
        <f aca="false">IF(AM$8=1,INDEX(Base_PDF!$F$89:$O$89,1,AM$7)/12*(1+e_CapAdic),0)</f>
        <v>10083.3333333333</v>
      </c>
      <c r="AN34" s="13" t="n">
        <f aca="false">IF(AN$8=1,INDEX(Base_PDF!$F$89:$O$89,1,AN$7)/12*(1+e_CapAdic),0)</f>
        <v>10083.3333333333</v>
      </c>
      <c r="AO34" s="13" t="n">
        <f aca="false">IF(AO$8=1,INDEX(Base_PDF!$F$89:$O$89,1,AO$7)/12*(1+e_CapAdic),0)</f>
        <v>10083.3333333333</v>
      </c>
      <c r="AP34" s="13" t="n">
        <f aca="false">IF(AP$8=1,INDEX(Base_PDF!$F$89:$O$89,1,AP$7)/12*(1+e_CapAdic),0)</f>
        <v>10083.3333333333</v>
      </c>
      <c r="AQ34" s="13" t="n">
        <f aca="false">IF(AQ$8=1,INDEX(Base_PDF!$F$89:$O$89,1,AQ$7)/12*(1+e_CapAdic),0)</f>
        <v>10083.3333333333</v>
      </c>
      <c r="AR34" s="13" t="n">
        <f aca="false">IF(AR$8=1,INDEX(Base_PDF!$F$89:$O$89,1,AR$7)/12*(1+e_CapAdic),0)</f>
        <v>10083.3333333333</v>
      </c>
      <c r="AS34" s="13" t="n">
        <f aca="false">IF(AS$8=1,INDEX(Base_PDF!$F$89:$O$89,1,AS$7)/12*(1+e_CapAdic),0)</f>
        <v>10083.3333333333</v>
      </c>
      <c r="AT34" s="13" t="n">
        <f aca="false">IF(AT$8=1,INDEX(Base_PDF!$F$89:$O$89,1,AT$7)/12*(1+e_CapAdic),0)</f>
        <v>10083.3333333333</v>
      </c>
      <c r="AU34" s="13" t="n">
        <f aca="false">IF(AU$8=1,INDEX(Base_PDF!$F$89:$O$89,1,AU$7)/12*(1+e_CapAdic),0)</f>
        <v>10083.3333333333</v>
      </c>
      <c r="AV34" s="13" t="n">
        <f aca="false">IF(AV$8=1,INDEX(Base_PDF!$F$89:$O$89,1,AV$7)/12*(1+e_CapAdic),0)</f>
        <v>10083.3333333333</v>
      </c>
      <c r="AW34" s="13" t="n">
        <f aca="false">IF(AW$8=1,INDEX(Base_PDF!$F$89:$O$89,1,AW$7)/12*(1+e_CapAdic),0)</f>
        <v>10083.3333333333</v>
      </c>
      <c r="AX34" s="13" t="n">
        <f aca="false">IF(AX$8=1,INDEX(Base_PDF!$F$89:$O$89,1,AX$7)/12*(1+e_CapAdic),0)</f>
        <v>10083.3333333333</v>
      </c>
      <c r="AY34" s="13" t="n">
        <f aca="false">IF(AY$8=1,INDEX(Base_PDF!$F$89:$O$89,1,AY$7)/12*(1+e_CapAdic),0)</f>
        <v>10083.3333333333</v>
      </c>
      <c r="AZ34" s="13" t="n">
        <f aca="false">IF(AZ$8=1,INDEX(Base_PDF!$F$89:$O$89,1,AZ$7)/12*(1+e_CapAdic),0)</f>
        <v>10083.3333333333</v>
      </c>
      <c r="BA34" s="13" t="n">
        <f aca="false">IF(BA$8=1,INDEX(Base_PDF!$F$89:$O$89,1,BA$7)/12*(1+e_CapAdic),0)</f>
        <v>10083.3333333333</v>
      </c>
      <c r="BB34" s="13" t="n">
        <f aca="false">IF(BB$8=1,INDEX(Base_PDF!$F$89:$O$89,1,BB$7)/12*(1+e_CapAdic),0)</f>
        <v>10083.3333333333</v>
      </c>
      <c r="BC34" s="13" t="n">
        <f aca="false">IF(BC$8=1,INDEX(Base_PDF!$F$89:$O$89,1,BC$7)/12*(1+e_CapAdic),0)</f>
        <v>10083.3333333333</v>
      </c>
      <c r="BD34" s="13" t="n">
        <f aca="false">IF(BD$8=1,INDEX(Base_PDF!$F$89:$O$89,1,BD$7)/12*(1+e_CapAdic),0)</f>
        <v>10083.3333333333</v>
      </c>
      <c r="BE34" s="13" t="n">
        <f aca="false">IF(BE$8=1,INDEX(Base_PDF!$F$89:$O$89,1,BE$7)/12*(1+e_CapAdic),0)</f>
        <v>10083.3333333333</v>
      </c>
      <c r="BF34" s="13" t="n">
        <f aca="false">IF(BF$8=1,INDEX(Base_PDF!$F$89:$O$89,1,BF$7)/12*(1+e_CapAdic),0)</f>
        <v>10083.3333333333</v>
      </c>
      <c r="BG34" s="13" t="n">
        <f aca="false">IF(BG$8=1,INDEX(Base_PDF!$F$89:$O$89,1,BG$7)/12*(1+e_CapAdic),0)</f>
        <v>10083.3333333333</v>
      </c>
      <c r="BH34" s="13" t="n">
        <f aca="false">IF(BH$8=1,INDEX(Base_PDF!$F$89:$O$89,1,BH$7)/12*(1+e_CapAdic),0)</f>
        <v>10083.3333333333</v>
      </c>
      <c r="BI34" s="13" t="n">
        <f aca="false">IF(BI$8=1,INDEX(Base_PDF!$F$89:$O$89,1,BI$7)/12*(1+e_CapAdic),0)</f>
        <v>10083.3333333333</v>
      </c>
      <c r="BJ34" s="13" t="n">
        <f aca="false">IF(BJ$8=1,INDEX(Base_PDF!$F$89:$O$89,1,BJ$7)/12*(1+e_CapAdic),0)</f>
        <v>10083.3333333333</v>
      </c>
      <c r="BK34" s="13" t="n">
        <f aca="false">IF(BK$8=1,INDEX(Base_PDF!$F$89:$O$89,1,BK$7)/12*(1+e_CapAdic),0)</f>
        <v>10083.3333333333</v>
      </c>
      <c r="BL34" s="13" t="n">
        <f aca="false">IF(BL$8=1,INDEX(Base_PDF!$F$89:$O$89,1,BL$7)/12*(1+e_CapAdic),0)</f>
        <v>10083.3333333333</v>
      </c>
      <c r="BM34" s="13" t="n">
        <f aca="false">IF(BM$8=1,INDEX(Base_PDF!$F$89:$O$89,1,BM$7)/12*(1+e_CapAdic),0)</f>
        <v>10083.3333333333</v>
      </c>
      <c r="BN34" s="13" t="n">
        <f aca="false">IF(BN$8=1,INDEX(Base_PDF!$F$89:$O$89,1,BN$7)/12*(1+e_CapAdic),0)</f>
        <v>10083.3333333333</v>
      </c>
      <c r="BO34" s="13" t="n">
        <f aca="false">IF(BO$8=1,INDEX(Base_PDF!$F$89:$O$89,1,BO$7)/12*(1+e_CapAdic),0)</f>
        <v>10083.3333333333</v>
      </c>
      <c r="BP34" s="13" t="n">
        <f aca="false">IF(BP$8=1,INDEX(Base_PDF!$F$89:$O$89,1,BP$7)/12*(1+e_CapAdic),0)</f>
        <v>10083.3333333333</v>
      </c>
      <c r="BQ34" s="13" t="n">
        <f aca="false">IF(BQ$8=1,INDEX(Base_PDF!$F$89:$O$89,1,BQ$7)/12*(1+e_CapAdic),0)</f>
        <v>10083.3333333333</v>
      </c>
      <c r="BR34" s="13" t="n">
        <f aca="false">IF(BR$8=1,INDEX(Base_PDF!$F$89:$O$89,1,BR$7)/12*(1+e_CapAdic),0)</f>
        <v>10083.3333333333</v>
      </c>
      <c r="BS34" s="13" t="n">
        <f aca="false">IF(BS$8=1,INDEX(Base_PDF!$F$89:$O$89,1,BS$7)/12*(1+e_CapAdic),0)</f>
        <v>10083.3333333333</v>
      </c>
      <c r="BT34" s="13" t="n">
        <f aca="false">IF(BT$8=1,INDEX(Base_PDF!$F$89:$O$89,1,BT$7)/12*(1+e_CapAdic),0)</f>
        <v>10083.3333333333</v>
      </c>
      <c r="BU34" s="13" t="n">
        <f aca="false">IF(BU$8=1,INDEX(Base_PDF!$F$89:$O$89,1,BU$7)/12*(1+e_CapAdic),0)</f>
        <v>10083.3333333333</v>
      </c>
      <c r="BV34" s="13" t="n">
        <f aca="false">IF(BV$8=1,INDEX(Base_PDF!$F$89:$O$89,1,BV$7)/12*(1+e_CapAdic),0)</f>
        <v>10083.3333333333</v>
      </c>
      <c r="BW34" s="13" t="n">
        <f aca="false">IF(BW$8=1,INDEX(Base_PDF!$F$89:$O$89,1,BW$7)/12*(1+e_CapAdic),0)</f>
        <v>10083.3333333333</v>
      </c>
      <c r="BX34" s="13" t="n">
        <f aca="false">IF(BX$8=1,INDEX(Base_PDF!$F$89:$O$89,1,BX$7)/12*(1+e_CapAdic),0)</f>
        <v>10083.3333333333</v>
      </c>
      <c r="BY34" s="13" t="n">
        <f aca="false">IF(BY$8=1,INDEX(Base_PDF!$F$89:$O$89,1,BY$7)/12*(1+e_CapAdic),0)</f>
        <v>10083.3333333333</v>
      </c>
      <c r="BZ34" s="13" t="n">
        <f aca="false">IF(BZ$8=1,INDEX(Base_PDF!$F$89:$O$89,1,BZ$7)/12*(1+e_CapAdic),0)</f>
        <v>10083.3333333333</v>
      </c>
      <c r="CA34" s="13" t="n">
        <f aca="false">IF(CA$8=1,INDEX(Base_PDF!$F$89:$O$89,1,CA$7)/12*(1+e_CapAdic),0)</f>
        <v>10083.3333333333</v>
      </c>
      <c r="CB34" s="13" t="n">
        <f aca="false">IF(CB$8=1,INDEX(Base_PDF!$F$89:$O$89,1,CB$7)/12*(1+e_CapAdic),0)</f>
        <v>10083.3333333333</v>
      </c>
      <c r="CC34" s="13" t="n">
        <f aca="false">IF(CC$8=1,INDEX(Base_PDF!$F$89:$O$89,1,CC$7)/12*(1+e_CapAdic),0)</f>
        <v>10083.3333333333</v>
      </c>
      <c r="CD34" s="13" t="n">
        <f aca="false">IF(CD$8=1,INDEX(Base_PDF!$F$89:$O$89,1,CD$7)/12*(1+e_CapAdic),0)</f>
        <v>10083.3333333333</v>
      </c>
      <c r="CE34" s="13" t="n">
        <f aca="false">IF(CE$8=1,INDEX(Base_PDF!$F$89:$O$89,1,CE$7)/12*(1+e_CapAdic),0)</f>
        <v>10083.3333333333</v>
      </c>
      <c r="CF34" s="13" t="n">
        <f aca="false">IF(CF$8=1,INDEX(Base_PDF!$F$89:$O$89,1,CF$7)/12*(1+e_CapAdic),0)</f>
        <v>10083.3333333333</v>
      </c>
      <c r="CG34" s="13" t="n">
        <f aca="false">IF(CG$8=1,INDEX(Base_PDF!$F$89:$O$89,1,CG$7)/12*(1+e_CapAdic),0)</f>
        <v>10083.3333333333</v>
      </c>
      <c r="CH34" s="13" t="n">
        <f aca="false">IF(CH$8=1,INDEX(Base_PDF!$F$89:$O$89,1,CH$7)/12*(1+e_CapAdic),0)</f>
        <v>10083.3333333333</v>
      </c>
      <c r="CI34" s="13" t="n">
        <f aca="false">IF(CI$8=1,INDEX(Base_PDF!$F$89:$O$89,1,CI$7)/12*(1+e_CapAdic),0)</f>
        <v>10083.3333333333</v>
      </c>
      <c r="CJ34" s="13" t="n">
        <f aca="false">IF(CJ$8=1,INDEX(Base_PDF!$F$89:$O$89,1,CJ$7)/12*(1+e_CapAdic),0)</f>
        <v>10083.3333333333</v>
      </c>
      <c r="CK34" s="13" t="n">
        <f aca="false">IF(CK$8=1,INDEX(Base_PDF!$F$89:$O$89,1,CK$7)/12*(1+e_CapAdic),0)</f>
        <v>10083.3333333333</v>
      </c>
      <c r="CL34" s="13" t="n">
        <f aca="false">IF(CL$8=1,INDEX(Base_PDF!$F$89:$O$89,1,CL$7)/12*(1+e_CapAdic),0)</f>
        <v>10083.3333333333</v>
      </c>
      <c r="CM34" s="13" t="n">
        <f aca="false">IF(CM$8=1,INDEX(Base_PDF!$F$89:$O$89,1,CM$7)/12*(1+e_CapAdic),0)</f>
        <v>10083.3333333333</v>
      </c>
      <c r="CN34" s="13" t="n">
        <f aca="false">IF(CN$8=1,INDEX(Base_PDF!$F$89:$O$89,1,CN$7)/12*(1+e_CapAdic),0)</f>
        <v>10083.3333333333</v>
      </c>
      <c r="CO34" s="13" t="n">
        <f aca="false">IF(CO$8=1,INDEX(Base_PDF!$F$89:$O$89,1,CO$7)/12*(1+e_CapAdic),0)</f>
        <v>10083.3333333333</v>
      </c>
      <c r="CP34" s="13" t="n">
        <f aca="false">IF(CP$8=1,INDEX(Base_PDF!$F$89:$O$89,1,CP$7)/12*(1+e_CapAdic),0)</f>
        <v>10083.3333333333</v>
      </c>
      <c r="CQ34" s="13" t="n">
        <f aca="false">IF(CQ$8=1,INDEX(Base_PDF!$F$89:$O$89,1,CQ$7)/12*(1+e_CapAdic),0)</f>
        <v>10083.3333333333</v>
      </c>
      <c r="CR34" s="13" t="n">
        <f aca="false">IF(CR$8=1,INDEX(Base_PDF!$F$89:$O$89,1,CR$7)/12*(1+e_CapAdic),0)</f>
        <v>10083.3333333333</v>
      </c>
      <c r="CS34" s="13" t="n">
        <f aca="false">IF(CS$8=1,INDEX(Base_PDF!$F$89:$O$89,1,CS$7)/12*(1+e_CapAdic),0)</f>
        <v>10083.3333333333</v>
      </c>
      <c r="CT34" s="13" t="n">
        <f aca="false">IF(CT$8=1,INDEX(Base_PDF!$F$89:$O$89,1,CT$7)/12*(1+e_CapAdic),0)</f>
        <v>10083.3333333333</v>
      </c>
      <c r="CU34" s="13" t="n">
        <f aca="false">IF(CU$8=1,INDEX(Base_PDF!$F$89:$O$89,1,CU$7)/12*(1+e_CapAdic),0)</f>
        <v>10083.3333333333</v>
      </c>
      <c r="CV34" s="13" t="n">
        <f aca="false">IF(CV$8=1,INDEX(Base_PDF!$F$89:$O$89,1,CV$7)/12*(1+e_CapAdic),0)</f>
        <v>10083.3333333333</v>
      </c>
      <c r="CW34" s="13" t="n">
        <f aca="false">IF(CW$8=1,INDEX(Base_PDF!$F$89:$O$89,1,CW$7)/12*(1+e_CapAdic),0)</f>
        <v>10083.3333333333</v>
      </c>
      <c r="CX34" s="13" t="n">
        <f aca="false">IF(CX$8=1,INDEX(Base_PDF!$F$89:$O$89,1,CX$7)/12*(1+e_CapAdic),0)</f>
        <v>10083.3333333333</v>
      </c>
      <c r="CY34" s="13" t="n">
        <f aca="false">IF(CY$8=1,INDEX(Base_PDF!$F$89:$O$89,1,CY$7)/12*(1+e_CapAdic),0)</f>
        <v>10083.3333333333</v>
      </c>
      <c r="CZ34" s="13" t="n">
        <f aca="false">IF(CZ$8=1,INDEX(Base_PDF!$F$89:$O$89,1,CZ$7)/12*(1+e_CapAdic),0)</f>
        <v>10083.3333333333</v>
      </c>
      <c r="DA34" s="13" t="n">
        <f aca="false">IF(DA$8=1,INDEX(Base_PDF!$F$89:$O$89,1,DA$7)/12*(1+e_CapAdic),0)</f>
        <v>10083.3333333333</v>
      </c>
      <c r="DB34" s="13" t="n">
        <f aca="false">IF(DB$8=1,INDEX(Base_PDF!$F$89:$O$89,1,DB$7)/12*(1+e_CapAdic),0)</f>
        <v>10083.3333333333</v>
      </c>
      <c r="DC34" s="13" t="n">
        <f aca="false">IF(DC$8=1,INDEX(Base_PDF!$F$89:$O$89,1,DC$7)/12*(1+e_CapAdic),0)</f>
        <v>10083.3333333333</v>
      </c>
      <c r="DD34" s="13" t="n">
        <f aca="false">IF(DD$8=1,INDEX(Base_PDF!$F$89:$O$89,1,DD$7)/12*(1+e_CapAdic),0)</f>
        <v>10083.3333333333</v>
      </c>
      <c r="DE34" s="13" t="n">
        <f aca="false">IF(DE$8=1,INDEX(Base_PDF!$F$89:$O$89,1,DE$7)/12*(1+e_CapAdic),0)</f>
        <v>10083.3333333333</v>
      </c>
      <c r="DF34" s="13" t="n">
        <f aca="false">IF(DF$8=1,INDEX(Base_PDF!$F$89:$O$89,1,DF$7)/12*(1+e_CapAdic),0)</f>
        <v>10083.3333333333</v>
      </c>
      <c r="DG34" s="13" t="n">
        <f aca="false">IF(DG$8=1,INDEX(Base_PDF!$F$89:$O$89,1,DG$7)/12*(1+e_CapAdic),0)</f>
        <v>10083.3333333333</v>
      </c>
      <c r="DH34" s="13" t="n">
        <f aca="false">IF(DH$8=1,INDEX(Base_PDF!$F$89:$O$89,1,DH$7)/12*(1+e_CapAdic),0)</f>
        <v>10083.3333333333</v>
      </c>
      <c r="DI34" s="13" t="n">
        <f aca="false">IF(DI$8=1,INDEX(Base_PDF!$F$89:$O$89,1,DI$7)/12*(1+e_CapAdic),0)</f>
        <v>10083.3333333333</v>
      </c>
      <c r="DJ34" s="13" t="n">
        <f aca="false">IF(DJ$8=1,INDEX(Base_PDF!$F$89:$O$89,1,DJ$7)/12*(1+e_CapAdic),0)</f>
        <v>10083.3333333333</v>
      </c>
      <c r="DK34" s="13" t="n">
        <f aca="false">IF(DK$8=1,INDEX(Base_PDF!$F$89:$O$89,1,DK$7)/12*(1+e_CapAdic),0)</f>
        <v>10083.3333333333</v>
      </c>
      <c r="DL34" s="13" t="n">
        <f aca="false">IF(DL$8=1,INDEX(Base_PDF!$F$89:$O$89,1,DL$7)/12*(1+e_CapAdic),0)</f>
        <v>10083.3333333333</v>
      </c>
      <c r="DM34" s="13" t="n">
        <f aca="false">IF(DM$8=1,INDEX(Base_PDF!$F$89:$O$89,1,DM$7)/12*(1+e_CapAdic),0)</f>
        <v>10083.3333333333</v>
      </c>
      <c r="DN34" s="13" t="n">
        <f aca="false">IF(DN$8=1,INDEX(Base_PDF!$F$89:$O$89,1,DN$7)/12*(1+e_CapAdic),0)</f>
        <v>10083.3333333333</v>
      </c>
      <c r="DO34" s="13" t="n">
        <f aca="false">IF(DO$8=1,INDEX(Base_PDF!$F$89:$O$89,1,DO$7)/12*(1+e_CapAdic),0)</f>
        <v>10083.3333333333</v>
      </c>
      <c r="DP34" s="13" t="n">
        <f aca="false">IF(DP$8=1,INDEX(Base_PDF!$F$89:$O$89,1,DP$7)/12*(1+e_CapAdic),0)</f>
        <v>10083.3333333333</v>
      </c>
      <c r="DQ34" s="13" t="n">
        <f aca="false">IF(DQ$8=1,INDEX(Base_PDF!$F$89:$O$89,1,DQ$7)/12*(1+e_CapAdic),0)</f>
        <v>10083.3333333333</v>
      </c>
      <c r="DR34" s="13" t="n">
        <f aca="false">IF(DR$8=1,INDEX(Base_PDF!$F$89:$O$89,1,DR$7)/12*(1+e_CapAdic),0)</f>
        <v>10083.3333333333</v>
      </c>
      <c r="DS34" s="13" t="n">
        <f aca="false">IF(DS$8=1,INDEX(Base_PDF!$F$89:$O$89,1,DS$7)/12*(1+e_CapAdic),0)</f>
        <v>10083.3333333333</v>
      </c>
      <c r="DT34" s="13" t="n">
        <f aca="false">IF(DT$8=1,INDEX(Base_PDF!$F$89:$O$89,1,DT$7)/12*(1+e_CapAdic),0)</f>
        <v>10083.3333333333</v>
      </c>
      <c r="DU34" s="13" t="n">
        <f aca="false">IF(DU$8=1,INDEX(Base_PDF!$F$89:$O$89,1,DU$7)/12*(1+e_CapAdic),0)</f>
        <v>10083.3333333333</v>
      </c>
      <c r="DV34" s="13" t="n">
        <f aca="false">IF(DV$8=1,INDEX(Base_PDF!$F$89:$O$89,1,DV$7)/12*(1+e_CapAdic),0)</f>
        <v>10083.3333333333</v>
      </c>
      <c r="DW34" s="13" t="n">
        <f aca="false">IF(DW$8=1,INDEX(Base_PDF!$F$89:$O$89,1,DW$7)/12*(1+e_CapAdic),0)</f>
        <v>0</v>
      </c>
      <c r="DX34" s="13" t="n">
        <f aca="false">IF(DX$8=1,INDEX(Base_PDF!$F$89:$O$89,1,DX$7)/12*(1+e_CapAdic),0)</f>
        <v>0</v>
      </c>
      <c r="DY34" s="13" t="n">
        <f aca="false">IF(DY$8=1,INDEX(Base_PDF!$F$89:$O$89,1,DY$7)/12*(1+e_CapAdic),0)</f>
        <v>0</v>
      </c>
      <c r="DZ34" s="13" t="n">
        <f aca="false">IF(DZ$8=1,INDEX(Base_PDF!$F$89:$O$89,1,DZ$7)/12*(1+e_CapAdic),0)</f>
        <v>0</v>
      </c>
      <c r="EA34" s="13" t="n">
        <f aca="false">IF(EA$8=1,INDEX(Base_PDF!$F$89:$O$89,1,EA$7)/12*(1+e_CapAdic),0)</f>
        <v>0</v>
      </c>
      <c r="EB34" s="13" t="n">
        <f aca="false">IF(EB$8=1,INDEX(Base_PDF!$F$89:$O$89,1,EB$7)/12*(1+e_CapAdic),0)</f>
        <v>0</v>
      </c>
      <c r="EC34" s="13" t="n">
        <f aca="false">IF(EC$8=1,INDEX(Base_PDF!$F$89:$O$89,1,EC$7)/12*(1+e_CapAdic),0)</f>
        <v>0</v>
      </c>
      <c r="ED34" s="13" t="n">
        <f aca="false">IF(ED$8=1,INDEX(Base_PDF!$F$89:$O$89,1,ED$7)/12*(1+e_CapAdic),0)</f>
        <v>0</v>
      </c>
      <c r="EE34" s="13" t="n">
        <f aca="false">IF(EE$8=1,INDEX(Base_PDF!$F$89:$O$89,1,EE$7)/12*(1+e_CapAdic),0)</f>
        <v>0</v>
      </c>
      <c r="EF34" s="13" t="n">
        <f aca="false">IF(EF$8=1,INDEX(Base_PDF!$F$89:$O$89,1,EF$7)/12*(1+e_CapAdic),0)</f>
        <v>0</v>
      </c>
      <c r="EG34" s="13" t="n">
        <f aca="false">IF(EG$8=1,INDEX(Base_PDF!$F$89:$O$89,1,EG$7)/12*(1+e_CapAdic),0)</f>
        <v>0</v>
      </c>
      <c r="EH34" s="13" t="n">
        <f aca="false">IF(EH$8=1,INDEX(Base_PDF!$F$89:$O$89,1,EH$7)/12*(1+e_CapAdic),0)</f>
        <v>0</v>
      </c>
      <c r="EI34" s="13" t="n">
        <f aca="false">IF(EI$8=1,INDEX(Base_PDF!$F$89:$O$89,1,EI$7)/12*(1+e_CapAdic),0)</f>
        <v>0</v>
      </c>
      <c r="EJ34" s="13" t="n">
        <f aca="false">IF(EJ$8=1,INDEX(Base_PDF!$F$89:$O$89,1,EJ$7)/12*(1+e_CapAdic),0)</f>
        <v>0</v>
      </c>
      <c r="EK34" s="13" t="n">
        <f aca="false">IF(EK$8=1,INDEX(Base_PDF!$F$89:$O$89,1,EK$7)/12*(1+e_CapAdic),0)</f>
        <v>0</v>
      </c>
      <c r="EL34" s="13" t="n">
        <f aca="false">IF(EL$8=1,INDEX(Base_PDF!$F$89:$O$89,1,EL$7)/12*(1+e_CapAdic),0)</f>
        <v>0</v>
      </c>
      <c r="EM34" s="13" t="n">
        <f aca="false">IF(EM$8=1,INDEX(Base_PDF!$F$89:$O$89,1,EM$7)/12*(1+e_CapAdic),0)</f>
        <v>0</v>
      </c>
      <c r="EN34" s="13" t="n">
        <f aca="false">IF(EN$8=1,INDEX(Base_PDF!$F$89:$O$89,1,EN$7)/12*(1+e_CapAdic),0)</f>
        <v>0</v>
      </c>
      <c r="EO34" s="13" t="n">
        <f aca="false">IF(EO$8=1,INDEX(Base_PDF!$F$89:$O$89,1,EO$7)/12*(1+e_CapAdic),0)</f>
        <v>0</v>
      </c>
      <c r="EP34" s="13" t="n">
        <f aca="false">IF(EP$8=1,INDEX(Base_PDF!$F$89:$O$89,1,EP$7)/12*(1+e_CapAdic),0)</f>
        <v>0</v>
      </c>
      <c r="EQ34" s="13" t="n">
        <f aca="false">IF(EQ$8=1,INDEX(Base_PDF!$F$89:$O$89,1,EQ$7)/12*(1+e_CapAdic),0)</f>
        <v>0</v>
      </c>
      <c r="ER34" s="13" t="n">
        <f aca="false">IF(ER$8=1,INDEX(Base_PDF!$F$89:$O$89,1,ER$7)/12*(1+e_CapAdic),0)</f>
        <v>0</v>
      </c>
      <c r="ES34" s="13" t="n">
        <f aca="false">IF(ES$8=1,INDEX(Base_PDF!$F$89:$O$89,1,ES$7)/12*(1+e_CapAdic),0)</f>
        <v>0</v>
      </c>
      <c r="ET34" s="13" t="n">
        <f aca="false">IF(ET$8=1,INDEX(Base_PDF!$F$89:$O$89,1,ET$7)/12*(1+e_CapAdic),0)</f>
        <v>0</v>
      </c>
      <c r="EU34" s="13" t="n">
        <f aca="false">IF(EU$8=1,INDEX(Base_PDF!$F$89:$O$89,1,EU$7)/12*(1+e_CapAdic),0)</f>
        <v>0</v>
      </c>
      <c r="EV34" s="13" t="n">
        <f aca="false">IF(EV$8=1,INDEX(Base_PDF!$F$89:$O$89,1,EV$7)/12*(1+e_CapAdic),0)</f>
        <v>0</v>
      </c>
      <c r="EW34" s="13" t="n">
        <f aca="false">IF(EW$8=1,INDEX(Base_PDF!$F$89:$O$89,1,EW$7)/12*(1+e_CapAdic),0)</f>
        <v>0</v>
      </c>
      <c r="EX34" s="13" t="n">
        <f aca="false">IF(EX$8=1,INDEX(Base_PDF!$F$89:$O$89,1,EX$7)/12*(1+e_CapAdic),0)</f>
        <v>0</v>
      </c>
      <c r="EY34" s="13" t="n">
        <f aca="false">IF(EY$8=1,INDEX(Base_PDF!$F$89:$O$89,1,EY$7)/12*(1+e_CapAdic),0)</f>
        <v>0</v>
      </c>
      <c r="EZ34" s="13" t="n">
        <f aca="false">IF(EZ$8=1,INDEX(Base_PDF!$F$89:$O$89,1,EZ$7)/12*(1+e_CapAdic),0)</f>
        <v>0</v>
      </c>
      <c r="FA34" s="13" t="n">
        <f aca="false">IF(FA$8=1,INDEX(Base_PDF!$F$89:$O$89,1,FA$7)/12*(1+e_CapAdic),0)</f>
        <v>0</v>
      </c>
      <c r="FB34" s="13" t="n">
        <f aca="false">IF(FB$8=1,INDEX(Base_PDF!$F$89:$O$89,1,FB$7)/12*(1+e_CapAdic),0)</f>
        <v>0</v>
      </c>
      <c r="FC34" s="13" t="n">
        <f aca="false">IF(FC$8=1,INDEX(Base_PDF!$F$89:$O$89,1,FC$7)/12*(1+e_CapAdic),0)</f>
        <v>0</v>
      </c>
      <c r="FD34" s="13" t="n">
        <f aca="false">IF(FD$8=1,INDEX(Base_PDF!$F$89:$O$89,1,FD$7)/12*(1+e_CapAdic),0)</f>
        <v>0</v>
      </c>
      <c r="FE34" s="13" t="n">
        <f aca="false">IF(FE$8=1,INDEX(Base_PDF!$F$89:$O$89,1,FE$7)/12*(1+e_CapAdic),0)</f>
        <v>0</v>
      </c>
      <c r="FF34" s="13" t="n">
        <f aca="false">IF(FF$8=1,INDEX(Base_PDF!$F$89:$O$89,1,FF$7)/12*(1+e_CapAdic),0)</f>
        <v>0</v>
      </c>
    </row>
    <row r="35" customFormat="false" ht="15" hidden="false" customHeight="false" outlineLevel="0" collapsed="false">
      <c r="A35" s="2" t="s">
        <v>866</v>
      </c>
      <c r="B35" s="8" t="s">
        <v>827</v>
      </c>
      <c r="C35" s="8" t="s">
        <v>825</v>
      </c>
      <c r="E35" s="65" t="n">
        <f aca="false">SUM($F35:$FF35)</f>
        <v>1110000</v>
      </c>
      <c r="F35" s="13" t="n">
        <f aca="false">IF(F$8=1,INDEX(Base_PDF!$F$91:$O$91,1,F$7)/12,0)</f>
        <v>0</v>
      </c>
      <c r="G35" s="13" t="n">
        <f aca="false">IF(G$8=1,INDEX(Base_PDF!$F$91:$O$91,1,G$7)/12,0)</f>
        <v>5833.33333333333</v>
      </c>
      <c r="H35" s="13" t="n">
        <f aca="false">IF(H$8=1,INDEX(Base_PDF!$F$91:$O$91,1,H$7)/12,0)</f>
        <v>5833.33333333333</v>
      </c>
      <c r="I35" s="13" t="n">
        <f aca="false">IF(I$8=1,INDEX(Base_PDF!$F$91:$O$91,1,I$7)/12,0)</f>
        <v>5833.33333333333</v>
      </c>
      <c r="J35" s="13" t="n">
        <f aca="false">IF(J$8=1,INDEX(Base_PDF!$F$91:$O$91,1,J$7)/12,0)</f>
        <v>5833.33333333333</v>
      </c>
      <c r="K35" s="13" t="n">
        <f aca="false">IF(K$8=1,INDEX(Base_PDF!$F$91:$O$91,1,K$7)/12,0)</f>
        <v>5833.33333333333</v>
      </c>
      <c r="L35" s="13" t="n">
        <f aca="false">IF(L$8=1,INDEX(Base_PDF!$F$91:$O$91,1,L$7)/12,0)</f>
        <v>5833.33333333333</v>
      </c>
      <c r="M35" s="13" t="n">
        <f aca="false">IF(M$8=1,INDEX(Base_PDF!$F$91:$O$91,1,M$7)/12,0)</f>
        <v>5833.33333333333</v>
      </c>
      <c r="N35" s="13" t="n">
        <f aca="false">IF(N$8=1,INDEX(Base_PDF!$F$91:$O$91,1,N$7)/12,0)</f>
        <v>5833.33333333333</v>
      </c>
      <c r="O35" s="13" t="n">
        <f aca="false">IF(O$8=1,INDEX(Base_PDF!$F$91:$O$91,1,O$7)/12,0)</f>
        <v>5833.33333333333</v>
      </c>
      <c r="P35" s="13" t="n">
        <f aca="false">IF(P$8=1,INDEX(Base_PDF!$F$91:$O$91,1,P$7)/12,0)</f>
        <v>5833.33333333333</v>
      </c>
      <c r="Q35" s="13" t="n">
        <f aca="false">IF(Q$8=1,INDEX(Base_PDF!$F$91:$O$91,1,Q$7)/12,0)</f>
        <v>5833.33333333333</v>
      </c>
      <c r="R35" s="13" t="n">
        <f aca="false">IF(R$8=1,INDEX(Base_PDF!$F$91:$O$91,1,R$7)/12,0)</f>
        <v>5833.33333333333</v>
      </c>
      <c r="S35" s="13" t="n">
        <f aca="false">IF(S$8=1,INDEX(Base_PDF!$F$91:$O$91,1,S$7)/12,0)</f>
        <v>7500</v>
      </c>
      <c r="T35" s="13" t="n">
        <f aca="false">IF(T$8=1,INDEX(Base_PDF!$F$91:$O$91,1,T$7)/12,0)</f>
        <v>7500</v>
      </c>
      <c r="U35" s="13" t="n">
        <f aca="false">IF(U$8=1,INDEX(Base_PDF!$F$91:$O$91,1,U$7)/12,0)</f>
        <v>7500</v>
      </c>
      <c r="V35" s="13" t="n">
        <f aca="false">IF(V$8=1,INDEX(Base_PDF!$F$91:$O$91,1,V$7)/12,0)</f>
        <v>7500</v>
      </c>
      <c r="W35" s="13" t="n">
        <f aca="false">IF(W$8=1,INDEX(Base_PDF!$F$91:$O$91,1,W$7)/12,0)</f>
        <v>7500</v>
      </c>
      <c r="X35" s="13" t="n">
        <f aca="false">IF(X$8=1,INDEX(Base_PDF!$F$91:$O$91,1,X$7)/12,0)</f>
        <v>7500</v>
      </c>
      <c r="Y35" s="13" t="n">
        <f aca="false">IF(Y$8=1,INDEX(Base_PDF!$F$91:$O$91,1,Y$7)/12,0)</f>
        <v>7500</v>
      </c>
      <c r="Z35" s="13" t="n">
        <f aca="false">IF(Z$8=1,INDEX(Base_PDF!$F$91:$O$91,1,Z$7)/12,0)</f>
        <v>7500</v>
      </c>
      <c r="AA35" s="13" t="n">
        <f aca="false">IF(AA$8=1,INDEX(Base_PDF!$F$91:$O$91,1,AA$7)/12,0)</f>
        <v>7500</v>
      </c>
      <c r="AB35" s="13" t="n">
        <f aca="false">IF(AB$8=1,INDEX(Base_PDF!$F$91:$O$91,1,AB$7)/12,0)</f>
        <v>7500</v>
      </c>
      <c r="AC35" s="13" t="n">
        <f aca="false">IF(AC$8=1,INDEX(Base_PDF!$F$91:$O$91,1,AC$7)/12,0)</f>
        <v>7500</v>
      </c>
      <c r="AD35" s="13" t="n">
        <f aca="false">IF(AD$8=1,INDEX(Base_PDF!$F$91:$O$91,1,AD$7)/12,0)</f>
        <v>7500</v>
      </c>
      <c r="AE35" s="13" t="n">
        <f aca="false">IF(AE$8=1,INDEX(Base_PDF!$F$91:$O$91,1,AE$7)/12,0)</f>
        <v>9166.66666666667</v>
      </c>
      <c r="AF35" s="13" t="n">
        <f aca="false">IF(AF$8=1,INDEX(Base_PDF!$F$91:$O$91,1,AF$7)/12,0)</f>
        <v>9166.66666666667</v>
      </c>
      <c r="AG35" s="13" t="n">
        <f aca="false">IF(AG$8=1,INDEX(Base_PDF!$F$91:$O$91,1,AG$7)/12,0)</f>
        <v>9166.66666666667</v>
      </c>
      <c r="AH35" s="13" t="n">
        <f aca="false">IF(AH$8=1,INDEX(Base_PDF!$F$91:$O$91,1,AH$7)/12,0)</f>
        <v>9166.66666666667</v>
      </c>
      <c r="AI35" s="13" t="n">
        <f aca="false">IF(AI$8=1,INDEX(Base_PDF!$F$91:$O$91,1,AI$7)/12,0)</f>
        <v>9166.66666666667</v>
      </c>
      <c r="AJ35" s="13" t="n">
        <f aca="false">IF(AJ$8=1,INDEX(Base_PDF!$F$91:$O$91,1,AJ$7)/12,0)</f>
        <v>9166.66666666667</v>
      </c>
      <c r="AK35" s="13" t="n">
        <f aca="false">IF(AK$8=1,INDEX(Base_PDF!$F$91:$O$91,1,AK$7)/12,0)</f>
        <v>9166.66666666667</v>
      </c>
      <c r="AL35" s="13" t="n">
        <f aca="false">IF(AL$8=1,INDEX(Base_PDF!$F$91:$O$91,1,AL$7)/12,0)</f>
        <v>9166.66666666667</v>
      </c>
      <c r="AM35" s="13" t="n">
        <f aca="false">IF(AM$8=1,INDEX(Base_PDF!$F$91:$O$91,1,AM$7)/12,0)</f>
        <v>9166.66666666667</v>
      </c>
      <c r="AN35" s="13" t="n">
        <f aca="false">IF(AN$8=1,INDEX(Base_PDF!$F$91:$O$91,1,AN$7)/12,0)</f>
        <v>9166.66666666667</v>
      </c>
      <c r="AO35" s="13" t="n">
        <f aca="false">IF(AO$8=1,INDEX(Base_PDF!$F$91:$O$91,1,AO$7)/12,0)</f>
        <v>9166.66666666667</v>
      </c>
      <c r="AP35" s="13" t="n">
        <f aca="false">IF(AP$8=1,INDEX(Base_PDF!$F$91:$O$91,1,AP$7)/12,0)</f>
        <v>9166.66666666667</v>
      </c>
      <c r="AQ35" s="13" t="n">
        <f aca="false">IF(AQ$8=1,INDEX(Base_PDF!$F$91:$O$91,1,AQ$7)/12,0)</f>
        <v>10000</v>
      </c>
      <c r="AR35" s="13" t="n">
        <f aca="false">IF(AR$8=1,INDEX(Base_PDF!$F$91:$O$91,1,AR$7)/12,0)</f>
        <v>10000</v>
      </c>
      <c r="AS35" s="13" t="n">
        <f aca="false">IF(AS$8=1,INDEX(Base_PDF!$F$91:$O$91,1,AS$7)/12,0)</f>
        <v>10000</v>
      </c>
      <c r="AT35" s="13" t="n">
        <f aca="false">IF(AT$8=1,INDEX(Base_PDF!$F$91:$O$91,1,AT$7)/12,0)</f>
        <v>10000</v>
      </c>
      <c r="AU35" s="13" t="n">
        <f aca="false">IF(AU$8=1,INDEX(Base_PDF!$F$91:$O$91,1,AU$7)/12,0)</f>
        <v>10000</v>
      </c>
      <c r="AV35" s="13" t="n">
        <f aca="false">IF(AV$8=1,INDEX(Base_PDF!$F$91:$O$91,1,AV$7)/12,0)</f>
        <v>10000</v>
      </c>
      <c r="AW35" s="13" t="n">
        <f aca="false">IF(AW$8=1,INDEX(Base_PDF!$F$91:$O$91,1,AW$7)/12,0)</f>
        <v>10000</v>
      </c>
      <c r="AX35" s="13" t="n">
        <f aca="false">IF(AX$8=1,INDEX(Base_PDF!$F$91:$O$91,1,AX$7)/12,0)</f>
        <v>10000</v>
      </c>
      <c r="AY35" s="13" t="n">
        <f aca="false">IF(AY$8=1,INDEX(Base_PDF!$F$91:$O$91,1,AY$7)/12,0)</f>
        <v>10000</v>
      </c>
      <c r="AZ35" s="13" t="n">
        <f aca="false">IF(AZ$8=1,INDEX(Base_PDF!$F$91:$O$91,1,AZ$7)/12,0)</f>
        <v>10000</v>
      </c>
      <c r="BA35" s="13" t="n">
        <f aca="false">IF(BA$8=1,INDEX(Base_PDF!$F$91:$O$91,1,BA$7)/12,0)</f>
        <v>10000</v>
      </c>
      <c r="BB35" s="13" t="n">
        <f aca="false">IF(BB$8=1,INDEX(Base_PDF!$F$91:$O$91,1,BB$7)/12,0)</f>
        <v>10000</v>
      </c>
      <c r="BC35" s="13" t="n">
        <f aca="false">IF(BC$8=1,INDEX(Base_PDF!$F$91:$O$91,1,BC$7)/12,0)</f>
        <v>10000</v>
      </c>
      <c r="BD35" s="13" t="n">
        <f aca="false">IF(BD$8=1,INDEX(Base_PDF!$F$91:$O$91,1,BD$7)/12,0)</f>
        <v>10000</v>
      </c>
      <c r="BE35" s="13" t="n">
        <f aca="false">IF(BE$8=1,INDEX(Base_PDF!$F$91:$O$91,1,BE$7)/12,0)</f>
        <v>10000</v>
      </c>
      <c r="BF35" s="13" t="n">
        <f aca="false">IF(BF$8=1,INDEX(Base_PDF!$F$91:$O$91,1,BF$7)/12,0)</f>
        <v>10000</v>
      </c>
      <c r="BG35" s="13" t="n">
        <f aca="false">IF(BG$8=1,INDEX(Base_PDF!$F$91:$O$91,1,BG$7)/12,0)</f>
        <v>10000</v>
      </c>
      <c r="BH35" s="13" t="n">
        <f aca="false">IF(BH$8=1,INDEX(Base_PDF!$F$91:$O$91,1,BH$7)/12,0)</f>
        <v>10000</v>
      </c>
      <c r="BI35" s="13" t="n">
        <f aca="false">IF(BI$8=1,INDEX(Base_PDF!$F$91:$O$91,1,BI$7)/12,0)</f>
        <v>10000</v>
      </c>
      <c r="BJ35" s="13" t="n">
        <f aca="false">IF(BJ$8=1,INDEX(Base_PDF!$F$91:$O$91,1,BJ$7)/12,0)</f>
        <v>10000</v>
      </c>
      <c r="BK35" s="13" t="n">
        <f aca="false">IF(BK$8=1,INDEX(Base_PDF!$F$91:$O$91,1,BK$7)/12,0)</f>
        <v>10000</v>
      </c>
      <c r="BL35" s="13" t="n">
        <f aca="false">IF(BL$8=1,INDEX(Base_PDF!$F$91:$O$91,1,BL$7)/12,0)</f>
        <v>10000</v>
      </c>
      <c r="BM35" s="13" t="n">
        <f aca="false">IF(BM$8=1,INDEX(Base_PDF!$F$91:$O$91,1,BM$7)/12,0)</f>
        <v>10000</v>
      </c>
      <c r="BN35" s="13" t="n">
        <f aca="false">IF(BN$8=1,INDEX(Base_PDF!$F$91:$O$91,1,BN$7)/12,0)</f>
        <v>10000</v>
      </c>
      <c r="BO35" s="13" t="n">
        <f aca="false">IF(BO$8=1,INDEX(Base_PDF!$F$91:$O$91,1,BO$7)/12,0)</f>
        <v>10000</v>
      </c>
      <c r="BP35" s="13" t="n">
        <f aca="false">IF(BP$8=1,INDEX(Base_PDF!$F$91:$O$91,1,BP$7)/12,0)</f>
        <v>10000</v>
      </c>
      <c r="BQ35" s="13" t="n">
        <f aca="false">IF(BQ$8=1,INDEX(Base_PDF!$F$91:$O$91,1,BQ$7)/12,0)</f>
        <v>10000</v>
      </c>
      <c r="BR35" s="13" t="n">
        <f aca="false">IF(BR$8=1,INDEX(Base_PDF!$F$91:$O$91,1,BR$7)/12,0)</f>
        <v>10000</v>
      </c>
      <c r="BS35" s="13" t="n">
        <f aca="false">IF(BS$8=1,INDEX(Base_PDF!$F$91:$O$91,1,BS$7)/12,0)</f>
        <v>10000</v>
      </c>
      <c r="BT35" s="13" t="n">
        <f aca="false">IF(BT$8=1,INDEX(Base_PDF!$F$91:$O$91,1,BT$7)/12,0)</f>
        <v>10000</v>
      </c>
      <c r="BU35" s="13" t="n">
        <f aca="false">IF(BU$8=1,INDEX(Base_PDF!$F$91:$O$91,1,BU$7)/12,0)</f>
        <v>10000</v>
      </c>
      <c r="BV35" s="13" t="n">
        <f aca="false">IF(BV$8=1,INDEX(Base_PDF!$F$91:$O$91,1,BV$7)/12,0)</f>
        <v>10000</v>
      </c>
      <c r="BW35" s="13" t="n">
        <f aca="false">IF(BW$8=1,INDEX(Base_PDF!$F$91:$O$91,1,BW$7)/12,0)</f>
        <v>10000</v>
      </c>
      <c r="BX35" s="13" t="n">
        <f aca="false">IF(BX$8=1,INDEX(Base_PDF!$F$91:$O$91,1,BX$7)/12,0)</f>
        <v>10000</v>
      </c>
      <c r="BY35" s="13" t="n">
        <f aca="false">IF(BY$8=1,INDEX(Base_PDF!$F$91:$O$91,1,BY$7)/12,0)</f>
        <v>10000</v>
      </c>
      <c r="BZ35" s="13" t="n">
        <f aca="false">IF(BZ$8=1,INDEX(Base_PDF!$F$91:$O$91,1,BZ$7)/12,0)</f>
        <v>10000</v>
      </c>
      <c r="CA35" s="13" t="n">
        <f aca="false">IF(CA$8=1,INDEX(Base_PDF!$F$91:$O$91,1,CA$7)/12,0)</f>
        <v>10000</v>
      </c>
      <c r="CB35" s="13" t="n">
        <f aca="false">IF(CB$8=1,INDEX(Base_PDF!$F$91:$O$91,1,CB$7)/12,0)</f>
        <v>10000</v>
      </c>
      <c r="CC35" s="13" t="n">
        <f aca="false">IF(CC$8=1,INDEX(Base_PDF!$F$91:$O$91,1,CC$7)/12,0)</f>
        <v>10000</v>
      </c>
      <c r="CD35" s="13" t="n">
        <f aca="false">IF(CD$8=1,INDEX(Base_PDF!$F$91:$O$91,1,CD$7)/12,0)</f>
        <v>10000</v>
      </c>
      <c r="CE35" s="13" t="n">
        <f aca="false">IF(CE$8=1,INDEX(Base_PDF!$F$91:$O$91,1,CE$7)/12,0)</f>
        <v>10000</v>
      </c>
      <c r="CF35" s="13" t="n">
        <f aca="false">IF(CF$8=1,INDEX(Base_PDF!$F$91:$O$91,1,CF$7)/12,0)</f>
        <v>10000</v>
      </c>
      <c r="CG35" s="13" t="n">
        <f aca="false">IF(CG$8=1,INDEX(Base_PDF!$F$91:$O$91,1,CG$7)/12,0)</f>
        <v>10000</v>
      </c>
      <c r="CH35" s="13" t="n">
        <f aca="false">IF(CH$8=1,INDEX(Base_PDF!$F$91:$O$91,1,CH$7)/12,0)</f>
        <v>10000</v>
      </c>
      <c r="CI35" s="13" t="n">
        <f aca="false">IF(CI$8=1,INDEX(Base_PDF!$F$91:$O$91,1,CI$7)/12,0)</f>
        <v>10000</v>
      </c>
      <c r="CJ35" s="13" t="n">
        <f aca="false">IF(CJ$8=1,INDEX(Base_PDF!$F$91:$O$91,1,CJ$7)/12,0)</f>
        <v>10000</v>
      </c>
      <c r="CK35" s="13" t="n">
        <f aca="false">IF(CK$8=1,INDEX(Base_PDF!$F$91:$O$91,1,CK$7)/12,0)</f>
        <v>10000</v>
      </c>
      <c r="CL35" s="13" t="n">
        <f aca="false">IF(CL$8=1,INDEX(Base_PDF!$F$91:$O$91,1,CL$7)/12,0)</f>
        <v>10000</v>
      </c>
      <c r="CM35" s="13" t="n">
        <f aca="false">IF(CM$8=1,INDEX(Base_PDF!$F$91:$O$91,1,CM$7)/12,0)</f>
        <v>10000</v>
      </c>
      <c r="CN35" s="13" t="n">
        <f aca="false">IF(CN$8=1,INDEX(Base_PDF!$F$91:$O$91,1,CN$7)/12,0)</f>
        <v>10000</v>
      </c>
      <c r="CO35" s="13" t="n">
        <f aca="false">IF(CO$8=1,INDEX(Base_PDF!$F$91:$O$91,1,CO$7)/12,0)</f>
        <v>10000</v>
      </c>
      <c r="CP35" s="13" t="n">
        <f aca="false">IF(CP$8=1,INDEX(Base_PDF!$F$91:$O$91,1,CP$7)/12,0)</f>
        <v>10000</v>
      </c>
      <c r="CQ35" s="13" t="n">
        <f aca="false">IF(CQ$8=1,INDEX(Base_PDF!$F$91:$O$91,1,CQ$7)/12,0)</f>
        <v>10000</v>
      </c>
      <c r="CR35" s="13" t="n">
        <f aca="false">IF(CR$8=1,INDEX(Base_PDF!$F$91:$O$91,1,CR$7)/12,0)</f>
        <v>10000</v>
      </c>
      <c r="CS35" s="13" t="n">
        <f aca="false">IF(CS$8=1,INDEX(Base_PDF!$F$91:$O$91,1,CS$7)/12,0)</f>
        <v>10000</v>
      </c>
      <c r="CT35" s="13" t="n">
        <f aca="false">IF(CT$8=1,INDEX(Base_PDF!$F$91:$O$91,1,CT$7)/12,0)</f>
        <v>10000</v>
      </c>
      <c r="CU35" s="13" t="n">
        <f aca="false">IF(CU$8=1,INDEX(Base_PDF!$F$91:$O$91,1,CU$7)/12,0)</f>
        <v>10000</v>
      </c>
      <c r="CV35" s="13" t="n">
        <f aca="false">IF(CV$8=1,INDEX(Base_PDF!$F$91:$O$91,1,CV$7)/12,0)</f>
        <v>10000</v>
      </c>
      <c r="CW35" s="13" t="n">
        <f aca="false">IF(CW$8=1,INDEX(Base_PDF!$F$91:$O$91,1,CW$7)/12,0)</f>
        <v>10000</v>
      </c>
      <c r="CX35" s="13" t="n">
        <f aca="false">IF(CX$8=1,INDEX(Base_PDF!$F$91:$O$91,1,CX$7)/12,0)</f>
        <v>10000</v>
      </c>
      <c r="CY35" s="13" t="n">
        <f aca="false">IF(CY$8=1,INDEX(Base_PDF!$F$91:$O$91,1,CY$7)/12,0)</f>
        <v>10000</v>
      </c>
      <c r="CZ35" s="13" t="n">
        <f aca="false">IF(CZ$8=1,INDEX(Base_PDF!$F$91:$O$91,1,CZ$7)/12,0)</f>
        <v>10000</v>
      </c>
      <c r="DA35" s="13" t="n">
        <f aca="false">IF(DA$8=1,INDEX(Base_PDF!$F$91:$O$91,1,DA$7)/12,0)</f>
        <v>10000</v>
      </c>
      <c r="DB35" s="13" t="n">
        <f aca="false">IF(DB$8=1,INDEX(Base_PDF!$F$91:$O$91,1,DB$7)/12,0)</f>
        <v>10000</v>
      </c>
      <c r="DC35" s="13" t="n">
        <f aca="false">IF(DC$8=1,INDEX(Base_PDF!$F$91:$O$91,1,DC$7)/12,0)</f>
        <v>10000</v>
      </c>
      <c r="DD35" s="13" t="n">
        <f aca="false">IF(DD$8=1,INDEX(Base_PDF!$F$91:$O$91,1,DD$7)/12,0)</f>
        <v>10000</v>
      </c>
      <c r="DE35" s="13" t="n">
        <f aca="false">IF(DE$8=1,INDEX(Base_PDF!$F$91:$O$91,1,DE$7)/12,0)</f>
        <v>10000</v>
      </c>
      <c r="DF35" s="13" t="n">
        <f aca="false">IF(DF$8=1,INDEX(Base_PDF!$F$91:$O$91,1,DF$7)/12,0)</f>
        <v>10000</v>
      </c>
      <c r="DG35" s="13" t="n">
        <f aca="false">IF(DG$8=1,INDEX(Base_PDF!$F$91:$O$91,1,DG$7)/12,0)</f>
        <v>10000</v>
      </c>
      <c r="DH35" s="13" t="n">
        <f aca="false">IF(DH$8=1,INDEX(Base_PDF!$F$91:$O$91,1,DH$7)/12,0)</f>
        <v>10000</v>
      </c>
      <c r="DI35" s="13" t="n">
        <f aca="false">IF(DI$8=1,INDEX(Base_PDF!$F$91:$O$91,1,DI$7)/12,0)</f>
        <v>10000</v>
      </c>
      <c r="DJ35" s="13" t="n">
        <f aca="false">IF(DJ$8=1,INDEX(Base_PDF!$F$91:$O$91,1,DJ$7)/12,0)</f>
        <v>10000</v>
      </c>
      <c r="DK35" s="13" t="n">
        <f aca="false">IF(DK$8=1,INDEX(Base_PDF!$F$91:$O$91,1,DK$7)/12,0)</f>
        <v>10000</v>
      </c>
      <c r="DL35" s="13" t="n">
        <f aca="false">IF(DL$8=1,INDEX(Base_PDF!$F$91:$O$91,1,DL$7)/12,0)</f>
        <v>10000</v>
      </c>
      <c r="DM35" s="13" t="n">
        <f aca="false">IF(DM$8=1,INDEX(Base_PDF!$F$91:$O$91,1,DM$7)/12,0)</f>
        <v>10000</v>
      </c>
      <c r="DN35" s="13" t="n">
        <f aca="false">IF(DN$8=1,INDEX(Base_PDF!$F$91:$O$91,1,DN$7)/12,0)</f>
        <v>10000</v>
      </c>
      <c r="DO35" s="13" t="n">
        <f aca="false">IF(DO$8=1,INDEX(Base_PDF!$F$91:$O$91,1,DO$7)/12,0)</f>
        <v>10000</v>
      </c>
      <c r="DP35" s="13" t="n">
        <f aca="false">IF(DP$8=1,INDEX(Base_PDF!$F$91:$O$91,1,DP$7)/12,0)</f>
        <v>10000</v>
      </c>
      <c r="DQ35" s="13" t="n">
        <f aca="false">IF(DQ$8=1,INDEX(Base_PDF!$F$91:$O$91,1,DQ$7)/12,0)</f>
        <v>10000</v>
      </c>
      <c r="DR35" s="13" t="n">
        <f aca="false">IF(DR$8=1,INDEX(Base_PDF!$F$91:$O$91,1,DR$7)/12,0)</f>
        <v>10000</v>
      </c>
      <c r="DS35" s="13" t="n">
        <f aca="false">IF(DS$8=1,INDEX(Base_PDF!$F$91:$O$91,1,DS$7)/12,0)</f>
        <v>10000</v>
      </c>
      <c r="DT35" s="13" t="n">
        <f aca="false">IF(DT$8=1,INDEX(Base_PDF!$F$91:$O$91,1,DT$7)/12,0)</f>
        <v>10000</v>
      </c>
      <c r="DU35" s="13" t="n">
        <f aca="false">IF(DU$8=1,INDEX(Base_PDF!$F$91:$O$91,1,DU$7)/12,0)</f>
        <v>10000</v>
      </c>
      <c r="DV35" s="13" t="n">
        <f aca="false">IF(DV$8=1,INDEX(Base_PDF!$F$91:$O$91,1,DV$7)/12,0)</f>
        <v>10000</v>
      </c>
      <c r="DW35" s="13" t="n">
        <f aca="false">IF(DW$8=1,INDEX(Base_PDF!$F$91:$O$91,1,DW$7)/12,0)</f>
        <v>0</v>
      </c>
      <c r="DX35" s="13" t="n">
        <f aca="false">IF(DX$8=1,INDEX(Base_PDF!$F$91:$O$91,1,DX$7)/12,0)</f>
        <v>0</v>
      </c>
      <c r="DY35" s="13" t="n">
        <f aca="false">IF(DY$8=1,INDEX(Base_PDF!$F$91:$O$91,1,DY$7)/12,0)</f>
        <v>0</v>
      </c>
      <c r="DZ35" s="13" t="n">
        <f aca="false">IF(DZ$8=1,INDEX(Base_PDF!$F$91:$O$91,1,DZ$7)/12,0)</f>
        <v>0</v>
      </c>
      <c r="EA35" s="13" t="n">
        <f aca="false">IF(EA$8=1,INDEX(Base_PDF!$F$91:$O$91,1,EA$7)/12,0)</f>
        <v>0</v>
      </c>
      <c r="EB35" s="13" t="n">
        <f aca="false">IF(EB$8=1,INDEX(Base_PDF!$F$91:$O$91,1,EB$7)/12,0)</f>
        <v>0</v>
      </c>
      <c r="EC35" s="13" t="n">
        <f aca="false">IF(EC$8=1,INDEX(Base_PDF!$F$91:$O$91,1,EC$7)/12,0)</f>
        <v>0</v>
      </c>
      <c r="ED35" s="13" t="n">
        <f aca="false">IF(ED$8=1,INDEX(Base_PDF!$F$91:$O$91,1,ED$7)/12,0)</f>
        <v>0</v>
      </c>
      <c r="EE35" s="13" t="n">
        <f aca="false">IF(EE$8=1,INDEX(Base_PDF!$F$91:$O$91,1,EE$7)/12,0)</f>
        <v>0</v>
      </c>
      <c r="EF35" s="13" t="n">
        <f aca="false">IF(EF$8=1,INDEX(Base_PDF!$F$91:$O$91,1,EF$7)/12,0)</f>
        <v>0</v>
      </c>
      <c r="EG35" s="13" t="n">
        <f aca="false">IF(EG$8=1,INDEX(Base_PDF!$F$91:$O$91,1,EG$7)/12,0)</f>
        <v>0</v>
      </c>
      <c r="EH35" s="13" t="n">
        <f aca="false">IF(EH$8=1,INDEX(Base_PDF!$F$91:$O$91,1,EH$7)/12,0)</f>
        <v>0</v>
      </c>
      <c r="EI35" s="13" t="n">
        <f aca="false">IF(EI$8=1,INDEX(Base_PDF!$F$91:$O$91,1,EI$7)/12,0)</f>
        <v>0</v>
      </c>
      <c r="EJ35" s="13" t="n">
        <f aca="false">IF(EJ$8=1,INDEX(Base_PDF!$F$91:$O$91,1,EJ$7)/12,0)</f>
        <v>0</v>
      </c>
      <c r="EK35" s="13" t="n">
        <f aca="false">IF(EK$8=1,INDEX(Base_PDF!$F$91:$O$91,1,EK$7)/12,0)</f>
        <v>0</v>
      </c>
      <c r="EL35" s="13" t="n">
        <f aca="false">IF(EL$8=1,INDEX(Base_PDF!$F$91:$O$91,1,EL$7)/12,0)</f>
        <v>0</v>
      </c>
      <c r="EM35" s="13" t="n">
        <f aca="false">IF(EM$8=1,INDEX(Base_PDF!$F$91:$O$91,1,EM$7)/12,0)</f>
        <v>0</v>
      </c>
      <c r="EN35" s="13" t="n">
        <f aca="false">IF(EN$8=1,INDEX(Base_PDF!$F$91:$O$91,1,EN$7)/12,0)</f>
        <v>0</v>
      </c>
      <c r="EO35" s="13" t="n">
        <f aca="false">IF(EO$8=1,INDEX(Base_PDF!$F$91:$O$91,1,EO$7)/12,0)</f>
        <v>0</v>
      </c>
      <c r="EP35" s="13" t="n">
        <f aca="false">IF(EP$8=1,INDEX(Base_PDF!$F$91:$O$91,1,EP$7)/12,0)</f>
        <v>0</v>
      </c>
      <c r="EQ35" s="13" t="n">
        <f aca="false">IF(EQ$8=1,INDEX(Base_PDF!$F$91:$O$91,1,EQ$7)/12,0)</f>
        <v>0</v>
      </c>
      <c r="ER35" s="13" t="n">
        <f aca="false">IF(ER$8=1,INDEX(Base_PDF!$F$91:$O$91,1,ER$7)/12,0)</f>
        <v>0</v>
      </c>
      <c r="ES35" s="13" t="n">
        <f aca="false">IF(ES$8=1,INDEX(Base_PDF!$F$91:$O$91,1,ES$7)/12,0)</f>
        <v>0</v>
      </c>
      <c r="ET35" s="13" t="n">
        <f aca="false">IF(ET$8=1,INDEX(Base_PDF!$F$91:$O$91,1,ET$7)/12,0)</f>
        <v>0</v>
      </c>
      <c r="EU35" s="13" t="n">
        <f aca="false">IF(EU$8=1,INDEX(Base_PDF!$F$91:$O$91,1,EU$7)/12,0)</f>
        <v>0</v>
      </c>
      <c r="EV35" s="13" t="n">
        <f aca="false">IF(EV$8=1,INDEX(Base_PDF!$F$91:$O$91,1,EV$7)/12,0)</f>
        <v>0</v>
      </c>
      <c r="EW35" s="13" t="n">
        <f aca="false">IF(EW$8=1,INDEX(Base_PDF!$F$91:$O$91,1,EW$7)/12,0)</f>
        <v>0</v>
      </c>
      <c r="EX35" s="13" t="n">
        <f aca="false">IF(EX$8=1,INDEX(Base_PDF!$F$91:$O$91,1,EX$7)/12,0)</f>
        <v>0</v>
      </c>
      <c r="EY35" s="13" t="n">
        <f aca="false">IF(EY$8=1,INDEX(Base_PDF!$F$91:$O$91,1,EY$7)/12,0)</f>
        <v>0</v>
      </c>
      <c r="EZ35" s="13" t="n">
        <f aca="false">IF(EZ$8=1,INDEX(Base_PDF!$F$91:$O$91,1,EZ$7)/12,0)</f>
        <v>0</v>
      </c>
      <c r="FA35" s="13" t="n">
        <f aca="false">IF(FA$8=1,INDEX(Base_PDF!$F$91:$O$91,1,FA$7)/12,0)</f>
        <v>0</v>
      </c>
      <c r="FB35" s="13" t="n">
        <f aca="false">IF(FB$8=1,INDEX(Base_PDF!$F$91:$O$91,1,FB$7)/12,0)</f>
        <v>0</v>
      </c>
      <c r="FC35" s="13" t="n">
        <f aca="false">IF(FC$8=1,INDEX(Base_PDF!$F$91:$O$91,1,FC$7)/12,0)</f>
        <v>0</v>
      </c>
      <c r="FD35" s="13" t="n">
        <f aca="false">IF(FD$8=1,INDEX(Base_PDF!$F$91:$O$91,1,FD$7)/12,0)</f>
        <v>0</v>
      </c>
      <c r="FE35" s="13" t="n">
        <f aca="false">IF(FE$8=1,INDEX(Base_PDF!$F$91:$O$91,1,FE$7)/12,0)</f>
        <v>0</v>
      </c>
      <c r="FF35" s="13" t="n">
        <f aca="false">IF(FF$8=1,INDEX(Base_PDF!$F$91:$O$91,1,FF$7)/12,0)</f>
        <v>0</v>
      </c>
    </row>
    <row r="36" customFormat="false" ht="15" hidden="false" customHeight="false" outlineLevel="0" collapsed="false">
      <c r="A36" s="2" t="s">
        <v>867</v>
      </c>
      <c r="B36" s="8" t="s">
        <v>829</v>
      </c>
      <c r="C36" s="8" t="s">
        <v>201</v>
      </c>
      <c r="F36" s="48" t="n">
        <f aca="false">IF(F$8=1,INDEX(e_VolC,F$7),0)</f>
        <v>0</v>
      </c>
      <c r="G36" s="48" t="n">
        <f aca="false">IF(G$8=1,INDEX(e_VolC,G$7),0)</f>
        <v>1</v>
      </c>
      <c r="H36" s="48" t="n">
        <f aca="false">IF(H$8=1,INDEX(e_VolC,H$7),0)</f>
        <v>1</v>
      </c>
      <c r="I36" s="48" t="n">
        <f aca="false">IF(I$8=1,INDEX(e_VolC,I$7),0)</f>
        <v>1</v>
      </c>
      <c r="J36" s="48" t="n">
        <f aca="false">IF(J$8=1,INDEX(e_VolC,J$7),0)</f>
        <v>1</v>
      </c>
      <c r="K36" s="48" t="n">
        <f aca="false">IF(K$8=1,INDEX(e_VolC,K$7),0)</f>
        <v>1</v>
      </c>
      <c r="L36" s="48" t="n">
        <f aca="false">IF(L$8=1,INDEX(e_VolC,L$7),0)</f>
        <v>1</v>
      </c>
      <c r="M36" s="48" t="n">
        <f aca="false">IF(M$8=1,INDEX(e_VolC,M$7),0)</f>
        <v>1</v>
      </c>
      <c r="N36" s="48" t="n">
        <f aca="false">IF(N$8=1,INDEX(e_VolC,N$7),0)</f>
        <v>1</v>
      </c>
      <c r="O36" s="48" t="n">
        <f aca="false">IF(O$8=1,INDEX(e_VolC,O$7),0)</f>
        <v>1</v>
      </c>
      <c r="P36" s="48" t="n">
        <f aca="false">IF(P$8=1,INDEX(e_VolC,P$7),0)</f>
        <v>1</v>
      </c>
      <c r="Q36" s="48" t="n">
        <f aca="false">IF(Q$8=1,INDEX(e_VolC,Q$7),0)</f>
        <v>1</v>
      </c>
      <c r="R36" s="48" t="n">
        <f aca="false">IF(R$8=1,INDEX(e_VolC,R$7),0)</f>
        <v>1</v>
      </c>
      <c r="S36" s="48" t="n">
        <f aca="false">IF(S$8=1,INDEX(e_VolC,S$7),0)</f>
        <v>1</v>
      </c>
      <c r="T36" s="48" t="n">
        <f aca="false">IF(T$8=1,INDEX(e_VolC,T$7),0)</f>
        <v>1</v>
      </c>
      <c r="U36" s="48" t="n">
        <f aca="false">IF(U$8=1,INDEX(e_VolC,U$7),0)</f>
        <v>1</v>
      </c>
      <c r="V36" s="48" t="n">
        <f aca="false">IF(V$8=1,INDEX(e_VolC,V$7),0)</f>
        <v>1</v>
      </c>
      <c r="W36" s="48" t="n">
        <f aca="false">IF(W$8=1,INDEX(e_VolC,W$7),0)</f>
        <v>1</v>
      </c>
      <c r="X36" s="48" t="n">
        <f aca="false">IF(X$8=1,INDEX(e_VolC,X$7),0)</f>
        <v>1</v>
      </c>
      <c r="Y36" s="48" t="n">
        <f aca="false">IF(Y$8=1,INDEX(e_VolC,Y$7),0)</f>
        <v>1</v>
      </c>
      <c r="Z36" s="48" t="n">
        <f aca="false">IF(Z$8=1,INDEX(e_VolC,Z$7),0)</f>
        <v>1</v>
      </c>
      <c r="AA36" s="48" t="n">
        <f aca="false">IF(AA$8=1,INDEX(e_VolC,AA$7),0)</f>
        <v>1</v>
      </c>
      <c r="AB36" s="48" t="n">
        <f aca="false">IF(AB$8=1,INDEX(e_VolC,AB$7),0)</f>
        <v>1</v>
      </c>
      <c r="AC36" s="48" t="n">
        <f aca="false">IF(AC$8=1,INDEX(e_VolC,AC$7),0)</f>
        <v>1</v>
      </c>
      <c r="AD36" s="48" t="n">
        <f aca="false">IF(AD$8=1,INDEX(e_VolC,AD$7),0)</f>
        <v>1</v>
      </c>
      <c r="AE36" s="48" t="n">
        <f aca="false">IF(AE$8=1,INDEX(e_VolC,AE$7),0)</f>
        <v>1</v>
      </c>
      <c r="AF36" s="48" t="n">
        <f aca="false">IF(AF$8=1,INDEX(e_VolC,AF$7),0)</f>
        <v>1</v>
      </c>
      <c r="AG36" s="48" t="n">
        <f aca="false">IF(AG$8=1,INDEX(e_VolC,AG$7),0)</f>
        <v>1</v>
      </c>
      <c r="AH36" s="48" t="n">
        <f aca="false">IF(AH$8=1,INDEX(e_VolC,AH$7),0)</f>
        <v>1</v>
      </c>
      <c r="AI36" s="48" t="n">
        <f aca="false">IF(AI$8=1,INDEX(e_VolC,AI$7),0)</f>
        <v>1</v>
      </c>
      <c r="AJ36" s="48" t="n">
        <f aca="false">IF(AJ$8=1,INDEX(e_VolC,AJ$7),0)</f>
        <v>1</v>
      </c>
      <c r="AK36" s="48" t="n">
        <f aca="false">IF(AK$8=1,INDEX(e_VolC,AK$7),0)</f>
        <v>1</v>
      </c>
      <c r="AL36" s="48" t="n">
        <f aca="false">IF(AL$8=1,INDEX(e_VolC,AL$7),0)</f>
        <v>1</v>
      </c>
      <c r="AM36" s="48" t="n">
        <f aca="false">IF(AM$8=1,INDEX(e_VolC,AM$7),0)</f>
        <v>1</v>
      </c>
      <c r="AN36" s="48" t="n">
        <f aca="false">IF(AN$8=1,INDEX(e_VolC,AN$7),0)</f>
        <v>1</v>
      </c>
      <c r="AO36" s="48" t="n">
        <f aca="false">IF(AO$8=1,INDEX(e_VolC,AO$7),0)</f>
        <v>1</v>
      </c>
      <c r="AP36" s="48" t="n">
        <f aca="false">IF(AP$8=1,INDEX(e_VolC,AP$7),0)</f>
        <v>1</v>
      </c>
      <c r="AQ36" s="48" t="n">
        <f aca="false">IF(AQ$8=1,INDEX(e_VolC,AQ$7),0)</f>
        <v>1</v>
      </c>
      <c r="AR36" s="48" t="n">
        <f aca="false">IF(AR$8=1,INDEX(e_VolC,AR$7),0)</f>
        <v>1</v>
      </c>
      <c r="AS36" s="48" t="n">
        <f aca="false">IF(AS$8=1,INDEX(e_VolC,AS$7),0)</f>
        <v>1</v>
      </c>
      <c r="AT36" s="48" t="n">
        <f aca="false">IF(AT$8=1,INDEX(e_VolC,AT$7),0)</f>
        <v>1</v>
      </c>
      <c r="AU36" s="48" t="n">
        <f aca="false">IF(AU$8=1,INDEX(e_VolC,AU$7),0)</f>
        <v>1</v>
      </c>
      <c r="AV36" s="48" t="n">
        <f aca="false">IF(AV$8=1,INDEX(e_VolC,AV$7),0)</f>
        <v>1</v>
      </c>
      <c r="AW36" s="48" t="n">
        <f aca="false">IF(AW$8=1,INDEX(e_VolC,AW$7),0)</f>
        <v>1</v>
      </c>
      <c r="AX36" s="48" t="n">
        <f aca="false">IF(AX$8=1,INDEX(e_VolC,AX$7),0)</f>
        <v>1</v>
      </c>
      <c r="AY36" s="48" t="n">
        <f aca="false">IF(AY$8=1,INDEX(e_VolC,AY$7),0)</f>
        <v>1</v>
      </c>
      <c r="AZ36" s="48" t="n">
        <f aca="false">IF(AZ$8=1,INDEX(e_VolC,AZ$7),0)</f>
        <v>1</v>
      </c>
      <c r="BA36" s="48" t="n">
        <f aca="false">IF(BA$8=1,INDEX(e_VolC,BA$7),0)</f>
        <v>1</v>
      </c>
      <c r="BB36" s="48" t="n">
        <f aca="false">IF(BB$8=1,INDEX(e_VolC,BB$7),0)</f>
        <v>1</v>
      </c>
      <c r="BC36" s="48" t="n">
        <f aca="false">IF(BC$8=1,INDEX(e_VolC,BC$7),0)</f>
        <v>1</v>
      </c>
      <c r="BD36" s="48" t="n">
        <f aca="false">IF(BD$8=1,INDEX(e_VolC,BD$7),0)</f>
        <v>1</v>
      </c>
      <c r="BE36" s="48" t="n">
        <f aca="false">IF(BE$8=1,INDEX(e_VolC,BE$7),0)</f>
        <v>1</v>
      </c>
      <c r="BF36" s="48" t="n">
        <f aca="false">IF(BF$8=1,INDEX(e_VolC,BF$7),0)</f>
        <v>1</v>
      </c>
      <c r="BG36" s="48" t="n">
        <f aca="false">IF(BG$8=1,INDEX(e_VolC,BG$7),0)</f>
        <v>1</v>
      </c>
      <c r="BH36" s="48" t="n">
        <f aca="false">IF(BH$8=1,INDEX(e_VolC,BH$7),0)</f>
        <v>1</v>
      </c>
      <c r="BI36" s="48" t="n">
        <f aca="false">IF(BI$8=1,INDEX(e_VolC,BI$7),0)</f>
        <v>1</v>
      </c>
      <c r="BJ36" s="48" t="n">
        <f aca="false">IF(BJ$8=1,INDEX(e_VolC,BJ$7),0)</f>
        <v>1</v>
      </c>
      <c r="BK36" s="48" t="n">
        <f aca="false">IF(BK$8=1,INDEX(e_VolC,BK$7),0)</f>
        <v>1</v>
      </c>
      <c r="BL36" s="48" t="n">
        <f aca="false">IF(BL$8=1,INDEX(e_VolC,BL$7),0)</f>
        <v>1</v>
      </c>
      <c r="BM36" s="48" t="n">
        <f aca="false">IF(BM$8=1,INDEX(e_VolC,BM$7),0)</f>
        <v>1</v>
      </c>
      <c r="BN36" s="48" t="n">
        <f aca="false">IF(BN$8=1,INDEX(e_VolC,BN$7),0)</f>
        <v>1</v>
      </c>
      <c r="BO36" s="48" t="n">
        <f aca="false">IF(BO$8=1,INDEX(e_VolC,BO$7),0)</f>
        <v>1</v>
      </c>
      <c r="BP36" s="48" t="n">
        <f aca="false">IF(BP$8=1,INDEX(e_VolC,BP$7),0)</f>
        <v>1</v>
      </c>
      <c r="BQ36" s="48" t="n">
        <f aca="false">IF(BQ$8=1,INDEX(e_VolC,BQ$7),0)</f>
        <v>1</v>
      </c>
      <c r="BR36" s="48" t="n">
        <f aca="false">IF(BR$8=1,INDEX(e_VolC,BR$7),0)</f>
        <v>1</v>
      </c>
      <c r="BS36" s="48" t="n">
        <f aca="false">IF(BS$8=1,INDEX(e_VolC,BS$7),0)</f>
        <v>1</v>
      </c>
      <c r="BT36" s="48" t="n">
        <f aca="false">IF(BT$8=1,INDEX(e_VolC,BT$7),0)</f>
        <v>1</v>
      </c>
      <c r="BU36" s="48" t="n">
        <f aca="false">IF(BU$8=1,INDEX(e_VolC,BU$7),0)</f>
        <v>1</v>
      </c>
      <c r="BV36" s="48" t="n">
        <f aca="false">IF(BV$8=1,INDEX(e_VolC,BV$7),0)</f>
        <v>1</v>
      </c>
      <c r="BW36" s="48" t="n">
        <f aca="false">IF(BW$8=1,INDEX(e_VolC,BW$7),0)</f>
        <v>1</v>
      </c>
      <c r="BX36" s="48" t="n">
        <f aca="false">IF(BX$8=1,INDEX(e_VolC,BX$7),0)</f>
        <v>1</v>
      </c>
      <c r="BY36" s="48" t="n">
        <f aca="false">IF(BY$8=1,INDEX(e_VolC,BY$7),0)</f>
        <v>1</v>
      </c>
      <c r="BZ36" s="48" t="n">
        <f aca="false">IF(BZ$8=1,INDEX(e_VolC,BZ$7),0)</f>
        <v>1</v>
      </c>
      <c r="CA36" s="48" t="n">
        <f aca="false">IF(CA$8=1,INDEX(e_VolC,CA$7),0)</f>
        <v>1</v>
      </c>
      <c r="CB36" s="48" t="n">
        <f aca="false">IF(CB$8=1,INDEX(e_VolC,CB$7),0)</f>
        <v>1</v>
      </c>
      <c r="CC36" s="48" t="n">
        <f aca="false">IF(CC$8=1,INDEX(e_VolC,CC$7),0)</f>
        <v>1</v>
      </c>
      <c r="CD36" s="48" t="n">
        <f aca="false">IF(CD$8=1,INDEX(e_VolC,CD$7),0)</f>
        <v>1</v>
      </c>
      <c r="CE36" s="48" t="n">
        <f aca="false">IF(CE$8=1,INDEX(e_VolC,CE$7),0)</f>
        <v>1</v>
      </c>
      <c r="CF36" s="48" t="n">
        <f aca="false">IF(CF$8=1,INDEX(e_VolC,CF$7),0)</f>
        <v>1</v>
      </c>
      <c r="CG36" s="48" t="n">
        <f aca="false">IF(CG$8=1,INDEX(e_VolC,CG$7),0)</f>
        <v>1</v>
      </c>
      <c r="CH36" s="48" t="n">
        <f aca="false">IF(CH$8=1,INDEX(e_VolC,CH$7),0)</f>
        <v>1</v>
      </c>
      <c r="CI36" s="48" t="n">
        <f aca="false">IF(CI$8=1,INDEX(e_VolC,CI$7),0)</f>
        <v>1</v>
      </c>
      <c r="CJ36" s="48" t="n">
        <f aca="false">IF(CJ$8=1,INDEX(e_VolC,CJ$7),0)</f>
        <v>1</v>
      </c>
      <c r="CK36" s="48" t="n">
        <f aca="false">IF(CK$8=1,INDEX(e_VolC,CK$7),0)</f>
        <v>1</v>
      </c>
      <c r="CL36" s="48" t="n">
        <f aca="false">IF(CL$8=1,INDEX(e_VolC,CL$7),0)</f>
        <v>1</v>
      </c>
      <c r="CM36" s="48" t="n">
        <f aca="false">IF(CM$8=1,INDEX(e_VolC,CM$7),0)</f>
        <v>1</v>
      </c>
      <c r="CN36" s="48" t="n">
        <f aca="false">IF(CN$8=1,INDEX(e_VolC,CN$7),0)</f>
        <v>1</v>
      </c>
      <c r="CO36" s="48" t="n">
        <f aca="false">IF(CO$8=1,INDEX(e_VolC,CO$7),0)</f>
        <v>1</v>
      </c>
      <c r="CP36" s="48" t="n">
        <f aca="false">IF(CP$8=1,INDEX(e_VolC,CP$7),0)</f>
        <v>1</v>
      </c>
      <c r="CQ36" s="48" t="n">
        <f aca="false">IF(CQ$8=1,INDEX(e_VolC,CQ$7),0)</f>
        <v>1</v>
      </c>
      <c r="CR36" s="48" t="n">
        <f aca="false">IF(CR$8=1,INDEX(e_VolC,CR$7),0)</f>
        <v>1</v>
      </c>
      <c r="CS36" s="48" t="n">
        <f aca="false">IF(CS$8=1,INDEX(e_VolC,CS$7),0)</f>
        <v>1</v>
      </c>
      <c r="CT36" s="48" t="n">
        <f aca="false">IF(CT$8=1,INDEX(e_VolC,CT$7),0)</f>
        <v>1</v>
      </c>
      <c r="CU36" s="48" t="n">
        <f aca="false">IF(CU$8=1,INDEX(e_VolC,CU$7),0)</f>
        <v>1</v>
      </c>
      <c r="CV36" s="48" t="n">
        <f aca="false">IF(CV$8=1,INDEX(e_VolC,CV$7),0)</f>
        <v>1</v>
      </c>
      <c r="CW36" s="48" t="n">
        <f aca="false">IF(CW$8=1,INDEX(e_VolC,CW$7),0)</f>
        <v>1</v>
      </c>
      <c r="CX36" s="48" t="n">
        <f aca="false">IF(CX$8=1,INDEX(e_VolC,CX$7),0)</f>
        <v>1</v>
      </c>
      <c r="CY36" s="48" t="n">
        <f aca="false">IF(CY$8=1,INDEX(e_VolC,CY$7),0)</f>
        <v>1</v>
      </c>
      <c r="CZ36" s="48" t="n">
        <f aca="false">IF(CZ$8=1,INDEX(e_VolC,CZ$7),0)</f>
        <v>1</v>
      </c>
      <c r="DA36" s="48" t="n">
        <f aca="false">IF(DA$8=1,INDEX(e_VolC,DA$7),0)</f>
        <v>1</v>
      </c>
      <c r="DB36" s="48" t="n">
        <f aca="false">IF(DB$8=1,INDEX(e_VolC,DB$7),0)</f>
        <v>1</v>
      </c>
      <c r="DC36" s="48" t="n">
        <f aca="false">IF(DC$8=1,INDEX(e_VolC,DC$7),0)</f>
        <v>1</v>
      </c>
      <c r="DD36" s="48" t="n">
        <f aca="false">IF(DD$8=1,INDEX(e_VolC,DD$7),0)</f>
        <v>1</v>
      </c>
      <c r="DE36" s="48" t="n">
        <f aca="false">IF(DE$8=1,INDEX(e_VolC,DE$7),0)</f>
        <v>1</v>
      </c>
      <c r="DF36" s="48" t="n">
        <f aca="false">IF(DF$8=1,INDEX(e_VolC,DF$7),0)</f>
        <v>1</v>
      </c>
      <c r="DG36" s="48" t="n">
        <f aca="false">IF(DG$8=1,INDEX(e_VolC,DG$7),0)</f>
        <v>1</v>
      </c>
      <c r="DH36" s="48" t="n">
        <f aca="false">IF(DH$8=1,INDEX(e_VolC,DH$7),0)</f>
        <v>1</v>
      </c>
      <c r="DI36" s="48" t="n">
        <f aca="false">IF(DI$8=1,INDEX(e_VolC,DI$7),0)</f>
        <v>1</v>
      </c>
      <c r="DJ36" s="48" t="n">
        <f aca="false">IF(DJ$8=1,INDEX(e_VolC,DJ$7),0)</f>
        <v>1</v>
      </c>
      <c r="DK36" s="48" t="n">
        <f aca="false">IF(DK$8=1,INDEX(e_VolC,DK$7),0)</f>
        <v>1</v>
      </c>
      <c r="DL36" s="48" t="n">
        <f aca="false">IF(DL$8=1,INDEX(e_VolC,DL$7),0)</f>
        <v>1</v>
      </c>
      <c r="DM36" s="48" t="n">
        <f aca="false">IF(DM$8=1,INDEX(e_VolC,DM$7),0)</f>
        <v>1</v>
      </c>
      <c r="DN36" s="48" t="n">
        <f aca="false">IF(DN$8=1,INDEX(e_VolC,DN$7),0)</f>
        <v>1</v>
      </c>
      <c r="DO36" s="48" t="n">
        <f aca="false">IF(DO$8=1,INDEX(e_VolC,DO$7),0)</f>
        <v>1</v>
      </c>
      <c r="DP36" s="48" t="n">
        <f aca="false">IF(DP$8=1,INDEX(e_VolC,DP$7),0)</f>
        <v>1</v>
      </c>
      <c r="DQ36" s="48" t="n">
        <f aca="false">IF(DQ$8=1,INDEX(e_VolC,DQ$7),0)</f>
        <v>1</v>
      </c>
      <c r="DR36" s="48" t="n">
        <f aca="false">IF(DR$8=1,INDEX(e_VolC,DR$7),0)</f>
        <v>1</v>
      </c>
      <c r="DS36" s="48" t="n">
        <f aca="false">IF(DS$8=1,INDEX(e_VolC,DS$7),0)</f>
        <v>1</v>
      </c>
      <c r="DT36" s="48" t="n">
        <f aca="false">IF(DT$8=1,INDEX(e_VolC,DT$7),0)</f>
        <v>1</v>
      </c>
      <c r="DU36" s="48" t="n">
        <f aca="false">IF(DU$8=1,INDEX(e_VolC,DU$7),0)</f>
        <v>1</v>
      </c>
      <c r="DV36" s="48" t="n">
        <f aca="false">IF(DV$8=1,INDEX(e_VolC,DV$7),0)</f>
        <v>1</v>
      </c>
      <c r="DW36" s="48" t="n">
        <f aca="false">IF(DW$8=1,INDEX(e_VolC,DW$7),0)</f>
        <v>0</v>
      </c>
      <c r="DX36" s="48" t="n">
        <f aca="false">IF(DX$8=1,INDEX(e_VolC,DX$7),0)</f>
        <v>0</v>
      </c>
      <c r="DY36" s="48" t="n">
        <f aca="false">IF(DY$8=1,INDEX(e_VolC,DY$7),0)</f>
        <v>0</v>
      </c>
      <c r="DZ36" s="48" t="n">
        <f aca="false">IF(DZ$8=1,INDEX(e_VolC,DZ$7),0)</f>
        <v>0</v>
      </c>
      <c r="EA36" s="48" t="n">
        <f aca="false">IF(EA$8=1,INDEX(e_VolC,EA$7),0)</f>
        <v>0</v>
      </c>
      <c r="EB36" s="48" t="n">
        <f aca="false">IF(EB$8=1,INDEX(e_VolC,EB$7),0)</f>
        <v>0</v>
      </c>
      <c r="EC36" s="48" t="n">
        <f aca="false">IF(EC$8=1,INDEX(e_VolC,EC$7),0)</f>
        <v>0</v>
      </c>
      <c r="ED36" s="48" t="n">
        <f aca="false">IF(ED$8=1,INDEX(e_VolC,ED$7),0)</f>
        <v>0</v>
      </c>
      <c r="EE36" s="48" t="n">
        <f aca="false">IF(EE$8=1,INDEX(e_VolC,EE$7),0)</f>
        <v>0</v>
      </c>
      <c r="EF36" s="48" t="n">
        <f aca="false">IF(EF$8=1,INDEX(e_VolC,EF$7),0)</f>
        <v>0</v>
      </c>
      <c r="EG36" s="48" t="n">
        <f aca="false">IF(EG$8=1,INDEX(e_VolC,EG$7),0)</f>
        <v>0</v>
      </c>
      <c r="EH36" s="48" t="n">
        <f aca="false">IF(EH$8=1,INDEX(e_VolC,EH$7),0)</f>
        <v>0</v>
      </c>
      <c r="EI36" s="48" t="n">
        <f aca="false">IF(EI$8=1,INDEX(e_VolC,EI$7),0)</f>
        <v>0</v>
      </c>
      <c r="EJ36" s="48" t="n">
        <f aca="false">IF(EJ$8=1,INDEX(e_VolC,EJ$7),0)</f>
        <v>0</v>
      </c>
      <c r="EK36" s="48" t="n">
        <f aca="false">IF(EK$8=1,INDEX(e_VolC,EK$7),0)</f>
        <v>0</v>
      </c>
      <c r="EL36" s="48" t="n">
        <f aca="false">IF(EL$8=1,INDEX(e_VolC,EL$7),0)</f>
        <v>0</v>
      </c>
      <c r="EM36" s="48" t="n">
        <f aca="false">IF(EM$8=1,INDEX(e_VolC,EM$7),0)</f>
        <v>0</v>
      </c>
      <c r="EN36" s="48" t="n">
        <f aca="false">IF(EN$8=1,INDEX(e_VolC,EN$7),0)</f>
        <v>0</v>
      </c>
      <c r="EO36" s="48" t="n">
        <f aca="false">IF(EO$8=1,INDEX(e_VolC,EO$7),0)</f>
        <v>0</v>
      </c>
      <c r="EP36" s="48" t="n">
        <f aca="false">IF(EP$8=1,INDEX(e_VolC,EP$7),0)</f>
        <v>0</v>
      </c>
      <c r="EQ36" s="48" t="n">
        <f aca="false">IF(EQ$8=1,INDEX(e_VolC,EQ$7),0)</f>
        <v>0</v>
      </c>
      <c r="ER36" s="48" t="n">
        <f aca="false">IF(ER$8=1,INDEX(e_VolC,ER$7),0)</f>
        <v>0</v>
      </c>
      <c r="ES36" s="48" t="n">
        <f aca="false">IF(ES$8=1,INDEX(e_VolC,ES$7),0)</f>
        <v>0</v>
      </c>
      <c r="ET36" s="48" t="n">
        <f aca="false">IF(ET$8=1,INDEX(e_VolC,ET$7),0)</f>
        <v>0</v>
      </c>
      <c r="EU36" s="48" t="n">
        <f aca="false">IF(EU$8=1,INDEX(e_VolC,EU$7),0)</f>
        <v>0</v>
      </c>
      <c r="EV36" s="48" t="n">
        <f aca="false">IF(EV$8=1,INDEX(e_VolC,EV$7),0)</f>
        <v>0</v>
      </c>
      <c r="EW36" s="48" t="n">
        <f aca="false">IF(EW$8=1,INDEX(e_VolC,EW$7),0)</f>
        <v>0</v>
      </c>
      <c r="EX36" s="48" t="n">
        <f aca="false">IF(EX$8=1,INDEX(e_VolC,EX$7),0)</f>
        <v>0</v>
      </c>
      <c r="EY36" s="48" t="n">
        <f aca="false">IF(EY$8=1,INDEX(e_VolC,EY$7),0)</f>
        <v>0</v>
      </c>
      <c r="EZ36" s="48" t="n">
        <f aca="false">IF(EZ$8=1,INDEX(e_VolC,EZ$7),0)</f>
        <v>0</v>
      </c>
      <c r="FA36" s="48" t="n">
        <f aca="false">IF(FA$8=1,INDEX(e_VolC,FA$7),0)</f>
        <v>0</v>
      </c>
      <c r="FB36" s="48" t="n">
        <f aca="false">IF(FB$8=1,INDEX(e_VolC,FB$7),0)</f>
        <v>0</v>
      </c>
      <c r="FC36" s="48" t="n">
        <f aca="false">IF(FC$8=1,INDEX(e_VolC,FC$7),0)</f>
        <v>0</v>
      </c>
      <c r="FD36" s="48" t="n">
        <f aca="false">IF(FD$8=1,INDEX(e_VolC,FD$7),0)</f>
        <v>0</v>
      </c>
      <c r="FE36" s="48" t="n">
        <f aca="false">IF(FE$8=1,INDEX(e_VolC,FE$7),0)</f>
        <v>0</v>
      </c>
      <c r="FF36" s="48" t="n">
        <f aca="false">IF(FF$8=1,INDEX(e_VolC,FF$7),0)</f>
        <v>0</v>
      </c>
    </row>
    <row r="37" customFormat="false" ht="15" hidden="false" customHeight="false" outlineLevel="0" collapsed="false">
      <c r="A37" s="2" t="s">
        <v>868</v>
      </c>
      <c r="B37" s="8" t="s">
        <v>831</v>
      </c>
      <c r="C37" s="8" t="s">
        <v>825</v>
      </c>
      <c r="E37" s="65" t="n">
        <f aca="false">SUM($F37:$FF37)</f>
        <v>1110000</v>
      </c>
      <c r="F37" s="13" t="n">
        <f aca="false">F$35*F$36</f>
        <v>0</v>
      </c>
      <c r="G37" s="13" t="n">
        <f aca="false">G$35*G$36</f>
        <v>5833.33333333333</v>
      </c>
      <c r="H37" s="13" t="n">
        <f aca="false">H$35*H$36</f>
        <v>5833.33333333333</v>
      </c>
      <c r="I37" s="13" t="n">
        <f aca="false">I$35*I$36</f>
        <v>5833.33333333333</v>
      </c>
      <c r="J37" s="13" t="n">
        <f aca="false">J$35*J$36</f>
        <v>5833.33333333333</v>
      </c>
      <c r="K37" s="13" t="n">
        <f aca="false">K$35*K$36</f>
        <v>5833.33333333333</v>
      </c>
      <c r="L37" s="13" t="n">
        <f aca="false">L$35*L$36</f>
        <v>5833.33333333333</v>
      </c>
      <c r="M37" s="13" t="n">
        <f aca="false">M$35*M$36</f>
        <v>5833.33333333333</v>
      </c>
      <c r="N37" s="13" t="n">
        <f aca="false">N$35*N$36</f>
        <v>5833.33333333333</v>
      </c>
      <c r="O37" s="13" t="n">
        <f aca="false">O$35*O$36</f>
        <v>5833.33333333333</v>
      </c>
      <c r="P37" s="13" t="n">
        <f aca="false">P$35*P$36</f>
        <v>5833.33333333333</v>
      </c>
      <c r="Q37" s="13" t="n">
        <f aca="false">Q$35*Q$36</f>
        <v>5833.33333333333</v>
      </c>
      <c r="R37" s="13" t="n">
        <f aca="false">R$35*R$36</f>
        <v>5833.33333333333</v>
      </c>
      <c r="S37" s="13" t="n">
        <f aca="false">S$35*S$36</f>
        <v>7500</v>
      </c>
      <c r="T37" s="13" t="n">
        <f aca="false">T$35*T$36</f>
        <v>7500</v>
      </c>
      <c r="U37" s="13" t="n">
        <f aca="false">U$35*U$36</f>
        <v>7500</v>
      </c>
      <c r="V37" s="13" t="n">
        <f aca="false">V$35*V$36</f>
        <v>7500</v>
      </c>
      <c r="W37" s="13" t="n">
        <f aca="false">W$35*W$36</f>
        <v>7500</v>
      </c>
      <c r="X37" s="13" t="n">
        <f aca="false">X$35*X$36</f>
        <v>7500</v>
      </c>
      <c r="Y37" s="13" t="n">
        <f aca="false">Y$35*Y$36</f>
        <v>7500</v>
      </c>
      <c r="Z37" s="13" t="n">
        <f aca="false">Z$35*Z$36</f>
        <v>7500</v>
      </c>
      <c r="AA37" s="13" t="n">
        <f aca="false">AA$35*AA$36</f>
        <v>7500</v>
      </c>
      <c r="AB37" s="13" t="n">
        <f aca="false">AB$35*AB$36</f>
        <v>7500</v>
      </c>
      <c r="AC37" s="13" t="n">
        <f aca="false">AC$35*AC$36</f>
        <v>7500</v>
      </c>
      <c r="AD37" s="13" t="n">
        <f aca="false">AD$35*AD$36</f>
        <v>7500</v>
      </c>
      <c r="AE37" s="13" t="n">
        <f aca="false">AE$35*AE$36</f>
        <v>9166.66666666667</v>
      </c>
      <c r="AF37" s="13" t="n">
        <f aca="false">AF$35*AF$36</f>
        <v>9166.66666666667</v>
      </c>
      <c r="AG37" s="13" t="n">
        <f aca="false">AG$35*AG$36</f>
        <v>9166.66666666667</v>
      </c>
      <c r="AH37" s="13" t="n">
        <f aca="false">AH$35*AH$36</f>
        <v>9166.66666666667</v>
      </c>
      <c r="AI37" s="13" t="n">
        <f aca="false">AI$35*AI$36</f>
        <v>9166.66666666667</v>
      </c>
      <c r="AJ37" s="13" t="n">
        <f aca="false">AJ$35*AJ$36</f>
        <v>9166.66666666667</v>
      </c>
      <c r="AK37" s="13" t="n">
        <f aca="false">AK$35*AK$36</f>
        <v>9166.66666666667</v>
      </c>
      <c r="AL37" s="13" t="n">
        <f aca="false">AL$35*AL$36</f>
        <v>9166.66666666667</v>
      </c>
      <c r="AM37" s="13" t="n">
        <f aca="false">AM$35*AM$36</f>
        <v>9166.66666666667</v>
      </c>
      <c r="AN37" s="13" t="n">
        <f aca="false">AN$35*AN$36</f>
        <v>9166.66666666667</v>
      </c>
      <c r="AO37" s="13" t="n">
        <f aca="false">AO$35*AO$36</f>
        <v>9166.66666666667</v>
      </c>
      <c r="AP37" s="13" t="n">
        <f aca="false">AP$35*AP$36</f>
        <v>9166.66666666667</v>
      </c>
      <c r="AQ37" s="13" t="n">
        <f aca="false">AQ$35*AQ$36</f>
        <v>10000</v>
      </c>
      <c r="AR37" s="13" t="n">
        <f aca="false">AR$35*AR$36</f>
        <v>10000</v>
      </c>
      <c r="AS37" s="13" t="n">
        <f aca="false">AS$35*AS$36</f>
        <v>10000</v>
      </c>
      <c r="AT37" s="13" t="n">
        <f aca="false">AT$35*AT$36</f>
        <v>10000</v>
      </c>
      <c r="AU37" s="13" t="n">
        <f aca="false">AU$35*AU$36</f>
        <v>10000</v>
      </c>
      <c r="AV37" s="13" t="n">
        <f aca="false">AV$35*AV$36</f>
        <v>10000</v>
      </c>
      <c r="AW37" s="13" t="n">
        <f aca="false">AW$35*AW$36</f>
        <v>10000</v>
      </c>
      <c r="AX37" s="13" t="n">
        <f aca="false">AX$35*AX$36</f>
        <v>10000</v>
      </c>
      <c r="AY37" s="13" t="n">
        <f aca="false">AY$35*AY$36</f>
        <v>10000</v>
      </c>
      <c r="AZ37" s="13" t="n">
        <f aca="false">AZ$35*AZ$36</f>
        <v>10000</v>
      </c>
      <c r="BA37" s="13" t="n">
        <f aca="false">BA$35*BA$36</f>
        <v>10000</v>
      </c>
      <c r="BB37" s="13" t="n">
        <f aca="false">BB$35*BB$36</f>
        <v>10000</v>
      </c>
      <c r="BC37" s="13" t="n">
        <f aca="false">BC$35*BC$36</f>
        <v>10000</v>
      </c>
      <c r="BD37" s="13" t="n">
        <f aca="false">BD$35*BD$36</f>
        <v>10000</v>
      </c>
      <c r="BE37" s="13" t="n">
        <f aca="false">BE$35*BE$36</f>
        <v>10000</v>
      </c>
      <c r="BF37" s="13" t="n">
        <f aca="false">BF$35*BF$36</f>
        <v>10000</v>
      </c>
      <c r="BG37" s="13" t="n">
        <f aca="false">BG$35*BG$36</f>
        <v>10000</v>
      </c>
      <c r="BH37" s="13" t="n">
        <f aca="false">BH$35*BH$36</f>
        <v>10000</v>
      </c>
      <c r="BI37" s="13" t="n">
        <f aca="false">BI$35*BI$36</f>
        <v>10000</v>
      </c>
      <c r="BJ37" s="13" t="n">
        <f aca="false">BJ$35*BJ$36</f>
        <v>10000</v>
      </c>
      <c r="BK37" s="13" t="n">
        <f aca="false">BK$35*BK$36</f>
        <v>10000</v>
      </c>
      <c r="BL37" s="13" t="n">
        <f aca="false">BL$35*BL$36</f>
        <v>10000</v>
      </c>
      <c r="BM37" s="13" t="n">
        <f aca="false">BM$35*BM$36</f>
        <v>10000</v>
      </c>
      <c r="BN37" s="13" t="n">
        <f aca="false">BN$35*BN$36</f>
        <v>10000</v>
      </c>
      <c r="BO37" s="13" t="n">
        <f aca="false">BO$35*BO$36</f>
        <v>10000</v>
      </c>
      <c r="BP37" s="13" t="n">
        <f aca="false">BP$35*BP$36</f>
        <v>10000</v>
      </c>
      <c r="BQ37" s="13" t="n">
        <f aca="false">BQ$35*BQ$36</f>
        <v>10000</v>
      </c>
      <c r="BR37" s="13" t="n">
        <f aca="false">BR$35*BR$36</f>
        <v>10000</v>
      </c>
      <c r="BS37" s="13" t="n">
        <f aca="false">BS$35*BS$36</f>
        <v>10000</v>
      </c>
      <c r="BT37" s="13" t="n">
        <f aca="false">BT$35*BT$36</f>
        <v>10000</v>
      </c>
      <c r="BU37" s="13" t="n">
        <f aca="false">BU$35*BU$36</f>
        <v>10000</v>
      </c>
      <c r="BV37" s="13" t="n">
        <f aca="false">BV$35*BV$36</f>
        <v>10000</v>
      </c>
      <c r="BW37" s="13" t="n">
        <f aca="false">BW$35*BW$36</f>
        <v>10000</v>
      </c>
      <c r="BX37" s="13" t="n">
        <f aca="false">BX$35*BX$36</f>
        <v>10000</v>
      </c>
      <c r="BY37" s="13" t="n">
        <f aca="false">BY$35*BY$36</f>
        <v>10000</v>
      </c>
      <c r="BZ37" s="13" t="n">
        <f aca="false">BZ$35*BZ$36</f>
        <v>10000</v>
      </c>
      <c r="CA37" s="13" t="n">
        <f aca="false">CA$35*CA$36</f>
        <v>10000</v>
      </c>
      <c r="CB37" s="13" t="n">
        <f aca="false">CB$35*CB$36</f>
        <v>10000</v>
      </c>
      <c r="CC37" s="13" t="n">
        <f aca="false">CC$35*CC$36</f>
        <v>10000</v>
      </c>
      <c r="CD37" s="13" t="n">
        <f aca="false">CD$35*CD$36</f>
        <v>10000</v>
      </c>
      <c r="CE37" s="13" t="n">
        <f aca="false">CE$35*CE$36</f>
        <v>10000</v>
      </c>
      <c r="CF37" s="13" t="n">
        <f aca="false">CF$35*CF$36</f>
        <v>10000</v>
      </c>
      <c r="CG37" s="13" t="n">
        <f aca="false">CG$35*CG$36</f>
        <v>10000</v>
      </c>
      <c r="CH37" s="13" t="n">
        <f aca="false">CH$35*CH$36</f>
        <v>10000</v>
      </c>
      <c r="CI37" s="13" t="n">
        <f aca="false">CI$35*CI$36</f>
        <v>10000</v>
      </c>
      <c r="CJ37" s="13" t="n">
        <f aca="false">CJ$35*CJ$36</f>
        <v>10000</v>
      </c>
      <c r="CK37" s="13" t="n">
        <f aca="false">CK$35*CK$36</f>
        <v>10000</v>
      </c>
      <c r="CL37" s="13" t="n">
        <f aca="false">CL$35*CL$36</f>
        <v>10000</v>
      </c>
      <c r="CM37" s="13" t="n">
        <f aca="false">CM$35*CM$36</f>
        <v>10000</v>
      </c>
      <c r="CN37" s="13" t="n">
        <f aca="false">CN$35*CN$36</f>
        <v>10000</v>
      </c>
      <c r="CO37" s="13" t="n">
        <f aca="false">CO$35*CO$36</f>
        <v>10000</v>
      </c>
      <c r="CP37" s="13" t="n">
        <f aca="false">CP$35*CP$36</f>
        <v>10000</v>
      </c>
      <c r="CQ37" s="13" t="n">
        <f aca="false">CQ$35*CQ$36</f>
        <v>10000</v>
      </c>
      <c r="CR37" s="13" t="n">
        <f aca="false">CR$35*CR$36</f>
        <v>10000</v>
      </c>
      <c r="CS37" s="13" t="n">
        <f aca="false">CS$35*CS$36</f>
        <v>10000</v>
      </c>
      <c r="CT37" s="13" t="n">
        <f aca="false">CT$35*CT$36</f>
        <v>10000</v>
      </c>
      <c r="CU37" s="13" t="n">
        <f aca="false">CU$35*CU$36</f>
        <v>10000</v>
      </c>
      <c r="CV37" s="13" t="n">
        <f aca="false">CV$35*CV$36</f>
        <v>10000</v>
      </c>
      <c r="CW37" s="13" t="n">
        <f aca="false">CW$35*CW$36</f>
        <v>10000</v>
      </c>
      <c r="CX37" s="13" t="n">
        <f aca="false">CX$35*CX$36</f>
        <v>10000</v>
      </c>
      <c r="CY37" s="13" t="n">
        <f aca="false">CY$35*CY$36</f>
        <v>10000</v>
      </c>
      <c r="CZ37" s="13" t="n">
        <f aca="false">CZ$35*CZ$36</f>
        <v>10000</v>
      </c>
      <c r="DA37" s="13" t="n">
        <f aca="false">DA$35*DA$36</f>
        <v>10000</v>
      </c>
      <c r="DB37" s="13" t="n">
        <f aca="false">DB$35*DB$36</f>
        <v>10000</v>
      </c>
      <c r="DC37" s="13" t="n">
        <f aca="false">DC$35*DC$36</f>
        <v>10000</v>
      </c>
      <c r="DD37" s="13" t="n">
        <f aca="false">DD$35*DD$36</f>
        <v>10000</v>
      </c>
      <c r="DE37" s="13" t="n">
        <f aca="false">DE$35*DE$36</f>
        <v>10000</v>
      </c>
      <c r="DF37" s="13" t="n">
        <f aca="false">DF$35*DF$36</f>
        <v>10000</v>
      </c>
      <c r="DG37" s="13" t="n">
        <f aca="false">DG$35*DG$36</f>
        <v>10000</v>
      </c>
      <c r="DH37" s="13" t="n">
        <f aca="false">DH$35*DH$36</f>
        <v>10000</v>
      </c>
      <c r="DI37" s="13" t="n">
        <f aca="false">DI$35*DI$36</f>
        <v>10000</v>
      </c>
      <c r="DJ37" s="13" t="n">
        <f aca="false">DJ$35*DJ$36</f>
        <v>10000</v>
      </c>
      <c r="DK37" s="13" t="n">
        <f aca="false">DK$35*DK$36</f>
        <v>10000</v>
      </c>
      <c r="DL37" s="13" t="n">
        <f aca="false">DL$35*DL$36</f>
        <v>10000</v>
      </c>
      <c r="DM37" s="13" t="n">
        <f aca="false">DM$35*DM$36</f>
        <v>10000</v>
      </c>
      <c r="DN37" s="13" t="n">
        <f aca="false">DN$35*DN$36</f>
        <v>10000</v>
      </c>
      <c r="DO37" s="13" t="n">
        <f aca="false">DO$35*DO$36</f>
        <v>10000</v>
      </c>
      <c r="DP37" s="13" t="n">
        <f aca="false">DP$35*DP$36</f>
        <v>10000</v>
      </c>
      <c r="DQ37" s="13" t="n">
        <f aca="false">DQ$35*DQ$36</f>
        <v>10000</v>
      </c>
      <c r="DR37" s="13" t="n">
        <f aca="false">DR$35*DR$36</f>
        <v>10000</v>
      </c>
      <c r="DS37" s="13" t="n">
        <f aca="false">DS$35*DS$36</f>
        <v>10000</v>
      </c>
      <c r="DT37" s="13" t="n">
        <f aca="false">DT$35*DT$36</f>
        <v>10000</v>
      </c>
      <c r="DU37" s="13" t="n">
        <f aca="false">DU$35*DU$36</f>
        <v>10000</v>
      </c>
      <c r="DV37" s="13" t="n">
        <f aca="false">DV$35*DV$36</f>
        <v>10000</v>
      </c>
      <c r="DW37" s="13" t="n">
        <f aca="false">DW$35*DW$36</f>
        <v>0</v>
      </c>
      <c r="DX37" s="13" t="n">
        <f aca="false">DX$35*DX$36</f>
        <v>0</v>
      </c>
      <c r="DY37" s="13" t="n">
        <f aca="false">DY$35*DY$36</f>
        <v>0</v>
      </c>
      <c r="DZ37" s="13" t="n">
        <f aca="false">DZ$35*DZ$36</f>
        <v>0</v>
      </c>
      <c r="EA37" s="13" t="n">
        <f aca="false">EA$35*EA$36</f>
        <v>0</v>
      </c>
      <c r="EB37" s="13" t="n">
        <f aca="false">EB$35*EB$36</f>
        <v>0</v>
      </c>
      <c r="EC37" s="13" t="n">
        <f aca="false">EC$35*EC$36</f>
        <v>0</v>
      </c>
      <c r="ED37" s="13" t="n">
        <f aca="false">ED$35*ED$36</f>
        <v>0</v>
      </c>
      <c r="EE37" s="13" t="n">
        <f aca="false">EE$35*EE$36</f>
        <v>0</v>
      </c>
      <c r="EF37" s="13" t="n">
        <f aca="false">EF$35*EF$36</f>
        <v>0</v>
      </c>
      <c r="EG37" s="13" t="n">
        <f aca="false">EG$35*EG$36</f>
        <v>0</v>
      </c>
      <c r="EH37" s="13" t="n">
        <f aca="false">EH$35*EH$36</f>
        <v>0</v>
      </c>
      <c r="EI37" s="13" t="n">
        <f aca="false">EI$35*EI$36</f>
        <v>0</v>
      </c>
      <c r="EJ37" s="13" t="n">
        <f aca="false">EJ$35*EJ$36</f>
        <v>0</v>
      </c>
      <c r="EK37" s="13" t="n">
        <f aca="false">EK$35*EK$36</f>
        <v>0</v>
      </c>
      <c r="EL37" s="13" t="n">
        <f aca="false">EL$35*EL$36</f>
        <v>0</v>
      </c>
      <c r="EM37" s="13" t="n">
        <f aca="false">EM$35*EM$36</f>
        <v>0</v>
      </c>
      <c r="EN37" s="13" t="n">
        <f aca="false">EN$35*EN$36</f>
        <v>0</v>
      </c>
      <c r="EO37" s="13" t="n">
        <f aca="false">EO$35*EO$36</f>
        <v>0</v>
      </c>
      <c r="EP37" s="13" t="n">
        <f aca="false">EP$35*EP$36</f>
        <v>0</v>
      </c>
      <c r="EQ37" s="13" t="n">
        <f aca="false">EQ$35*EQ$36</f>
        <v>0</v>
      </c>
      <c r="ER37" s="13" t="n">
        <f aca="false">ER$35*ER$36</f>
        <v>0</v>
      </c>
      <c r="ES37" s="13" t="n">
        <f aca="false">ES$35*ES$36</f>
        <v>0</v>
      </c>
      <c r="ET37" s="13" t="n">
        <f aca="false">ET$35*ET$36</f>
        <v>0</v>
      </c>
      <c r="EU37" s="13" t="n">
        <f aca="false">EU$35*EU$36</f>
        <v>0</v>
      </c>
      <c r="EV37" s="13" t="n">
        <f aca="false">EV$35*EV$36</f>
        <v>0</v>
      </c>
      <c r="EW37" s="13" t="n">
        <f aca="false">EW$35*EW$36</f>
        <v>0</v>
      </c>
      <c r="EX37" s="13" t="n">
        <f aca="false">EX$35*EX$36</f>
        <v>0</v>
      </c>
      <c r="EY37" s="13" t="n">
        <f aca="false">EY$35*EY$36</f>
        <v>0</v>
      </c>
      <c r="EZ37" s="13" t="n">
        <f aca="false">EZ$35*EZ$36</f>
        <v>0</v>
      </c>
      <c r="FA37" s="13" t="n">
        <f aca="false">FA$35*FA$36</f>
        <v>0</v>
      </c>
      <c r="FB37" s="13" t="n">
        <f aca="false">FB$35*FB$36</f>
        <v>0</v>
      </c>
      <c r="FC37" s="13" t="n">
        <f aca="false">FC$35*FC$36</f>
        <v>0</v>
      </c>
      <c r="FD37" s="13" t="n">
        <f aca="false">FD$35*FD$36</f>
        <v>0</v>
      </c>
      <c r="FE37" s="13" t="n">
        <f aca="false">FE$35*FE$36</f>
        <v>0</v>
      </c>
      <c r="FF37" s="13" t="n">
        <f aca="false">FF$35*FF$36</f>
        <v>0</v>
      </c>
    </row>
    <row r="38" customFormat="false" ht="15" hidden="false" customHeight="false" outlineLevel="0" collapsed="false">
      <c r="A38" s="2" t="s">
        <v>869</v>
      </c>
      <c r="B38" s="8" t="s">
        <v>833</v>
      </c>
      <c r="C38" s="8" t="s">
        <v>825</v>
      </c>
      <c r="E38" s="65" t="n">
        <f aca="false">SUM($F38:$FF38)</f>
        <v>1110000</v>
      </c>
      <c r="F38" s="13" t="n">
        <f aca="false">F$37*F$11</f>
        <v>0</v>
      </c>
      <c r="G38" s="13" t="n">
        <f aca="false">G$37*G$11</f>
        <v>5833.33333333333</v>
      </c>
      <c r="H38" s="13" t="n">
        <f aca="false">H$37*H$11</f>
        <v>5833.33333333333</v>
      </c>
      <c r="I38" s="13" t="n">
        <f aca="false">I$37*I$11</f>
        <v>5833.33333333333</v>
      </c>
      <c r="J38" s="13" t="n">
        <f aca="false">J$37*J$11</f>
        <v>5833.33333333333</v>
      </c>
      <c r="K38" s="13" t="n">
        <f aca="false">K$37*K$11</f>
        <v>5833.33333333333</v>
      </c>
      <c r="L38" s="13" t="n">
        <f aca="false">L$37*L$11</f>
        <v>5833.33333333333</v>
      </c>
      <c r="M38" s="13" t="n">
        <f aca="false">M$37*M$11</f>
        <v>5833.33333333333</v>
      </c>
      <c r="N38" s="13" t="n">
        <f aca="false">N$37*N$11</f>
        <v>5833.33333333333</v>
      </c>
      <c r="O38" s="13" t="n">
        <f aca="false">O$37*O$11</f>
        <v>5833.33333333333</v>
      </c>
      <c r="P38" s="13" t="n">
        <f aca="false">P$37*P$11</f>
        <v>5833.33333333333</v>
      </c>
      <c r="Q38" s="13" t="n">
        <f aca="false">Q$37*Q$11</f>
        <v>5833.33333333333</v>
      </c>
      <c r="R38" s="13" t="n">
        <f aca="false">R$37*R$11</f>
        <v>5833.33333333333</v>
      </c>
      <c r="S38" s="13" t="n">
        <f aca="false">S$37*S$11</f>
        <v>7500</v>
      </c>
      <c r="T38" s="13" t="n">
        <f aca="false">T$37*T$11</f>
        <v>7500</v>
      </c>
      <c r="U38" s="13" t="n">
        <f aca="false">U$37*U$11</f>
        <v>7500</v>
      </c>
      <c r="V38" s="13" t="n">
        <f aca="false">V$37*V$11</f>
        <v>7500</v>
      </c>
      <c r="W38" s="13" t="n">
        <f aca="false">W$37*W$11</f>
        <v>7500</v>
      </c>
      <c r="X38" s="13" t="n">
        <f aca="false">X$37*X$11</f>
        <v>7500</v>
      </c>
      <c r="Y38" s="13" t="n">
        <f aca="false">Y$37*Y$11</f>
        <v>7500</v>
      </c>
      <c r="Z38" s="13" t="n">
        <f aca="false">Z$37*Z$11</f>
        <v>7500</v>
      </c>
      <c r="AA38" s="13" t="n">
        <f aca="false">AA$37*AA$11</f>
        <v>7500</v>
      </c>
      <c r="AB38" s="13" t="n">
        <f aca="false">AB$37*AB$11</f>
        <v>7500</v>
      </c>
      <c r="AC38" s="13" t="n">
        <f aca="false">AC$37*AC$11</f>
        <v>7500</v>
      </c>
      <c r="AD38" s="13" t="n">
        <f aca="false">AD$37*AD$11</f>
        <v>7500</v>
      </c>
      <c r="AE38" s="13" t="n">
        <f aca="false">AE$37*AE$11</f>
        <v>9166.66666666667</v>
      </c>
      <c r="AF38" s="13" t="n">
        <f aca="false">AF$37*AF$11</f>
        <v>9166.66666666667</v>
      </c>
      <c r="AG38" s="13" t="n">
        <f aca="false">AG$37*AG$11</f>
        <v>9166.66666666667</v>
      </c>
      <c r="AH38" s="13" t="n">
        <f aca="false">AH$37*AH$11</f>
        <v>9166.66666666667</v>
      </c>
      <c r="AI38" s="13" t="n">
        <f aca="false">AI$37*AI$11</f>
        <v>9166.66666666667</v>
      </c>
      <c r="AJ38" s="13" t="n">
        <f aca="false">AJ$37*AJ$11</f>
        <v>9166.66666666667</v>
      </c>
      <c r="AK38" s="13" t="n">
        <f aca="false">AK$37*AK$11</f>
        <v>9166.66666666667</v>
      </c>
      <c r="AL38" s="13" t="n">
        <f aca="false">AL$37*AL$11</f>
        <v>9166.66666666667</v>
      </c>
      <c r="AM38" s="13" t="n">
        <f aca="false">AM$37*AM$11</f>
        <v>9166.66666666667</v>
      </c>
      <c r="AN38" s="13" t="n">
        <f aca="false">AN$37*AN$11</f>
        <v>9166.66666666667</v>
      </c>
      <c r="AO38" s="13" t="n">
        <f aca="false">AO$37*AO$11</f>
        <v>9166.66666666667</v>
      </c>
      <c r="AP38" s="13" t="n">
        <f aca="false">AP$37*AP$11</f>
        <v>9166.66666666667</v>
      </c>
      <c r="AQ38" s="13" t="n">
        <f aca="false">AQ$37*AQ$11</f>
        <v>10000</v>
      </c>
      <c r="AR38" s="13" t="n">
        <f aca="false">AR$37*AR$11</f>
        <v>10000</v>
      </c>
      <c r="AS38" s="13" t="n">
        <f aca="false">AS$37*AS$11</f>
        <v>10000</v>
      </c>
      <c r="AT38" s="13" t="n">
        <f aca="false">AT$37*AT$11</f>
        <v>10000</v>
      </c>
      <c r="AU38" s="13" t="n">
        <f aca="false">AU$37*AU$11</f>
        <v>10000</v>
      </c>
      <c r="AV38" s="13" t="n">
        <f aca="false">AV$37*AV$11</f>
        <v>10000</v>
      </c>
      <c r="AW38" s="13" t="n">
        <f aca="false">AW$37*AW$11</f>
        <v>10000</v>
      </c>
      <c r="AX38" s="13" t="n">
        <f aca="false">AX$37*AX$11</f>
        <v>10000</v>
      </c>
      <c r="AY38" s="13" t="n">
        <f aca="false">AY$37*AY$11</f>
        <v>10000</v>
      </c>
      <c r="AZ38" s="13" t="n">
        <f aca="false">AZ$37*AZ$11</f>
        <v>10000</v>
      </c>
      <c r="BA38" s="13" t="n">
        <f aca="false">BA$37*BA$11</f>
        <v>10000</v>
      </c>
      <c r="BB38" s="13" t="n">
        <f aca="false">BB$37*BB$11</f>
        <v>10000</v>
      </c>
      <c r="BC38" s="13" t="n">
        <f aca="false">BC$37*BC$11</f>
        <v>10000</v>
      </c>
      <c r="BD38" s="13" t="n">
        <f aca="false">BD$37*BD$11</f>
        <v>10000</v>
      </c>
      <c r="BE38" s="13" t="n">
        <f aca="false">BE$37*BE$11</f>
        <v>10000</v>
      </c>
      <c r="BF38" s="13" t="n">
        <f aca="false">BF$37*BF$11</f>
        <v>10000</v>
      </c>
      <c r="BG38" s="13" t="n">
        <f aca="false">BG$37*BG$11</f>
        <v>10000</v>
      </c>
      <c r="BH38" s="13" t="n">
        <f aca="false">BH$37*BH$11</f>
        <v>10000</v>
      </c>
      <c r="BI38" s="13" t="n">
        <f aca="false">BI$37*BI$11</f>
        <v>10000</v>
      </c>
      <c r="BJ38" s="13" t="n">
        <f aca="false">BJ$37*BJ$11</f>
        <v>10000</v>
      </c>
      <c r="BK38" s="13" t="n">
        <f aca="false">BK$37*BK$11</f>
        <v>10000</v>
      </c>
      <c r="BL38" s="13" t="n">
        <f aca="false">BL$37*BL$11</f>
        <v>10000</v>
      </c>
      <c r="BM38" s="13" t="n">
        <f aca="false">BM$37*BM$11</f>
        <v>10000</v>
      </c>
      <c r="BN38" s="13" t="n">
        <f aca="false">BN$37*BN$11</f>
        <v>10000</v>
      </c>
      <c r="BO38" s="13" t="n">
        <f aca="false">BO$37*BO$11</f>
        <v>10000</v>
      </c>
      <c r="BP38" s="13" t="n">
        <f aca="false">BP$37*BP$11</f>
        <v>10000</v>
      </c>
      <c r="BQ38" s="13" t="n">
        <f aca="false">BQ$37*BQ$11</f>
        <v>10000</v>
      </c>
      <c r="BR38" s="13" t="n">
        <f aca="false">BR$37*BR$11</f>
        <v>10000</v>
      </c>
      <c r="BS38" s="13" t="n">
        <f aca="false">BS$37*BS$11</f>
        <v>10000</v>
      </c>
      <c r="BT38" s="13" t="n">
        <f aca="false">BT$37*BT$11</f>
        <v>10000</v>
      </c>
      <c r="BU38" s="13" t="n">
        <f aca="false">BU$37*BU$11</f>
        <v>10000</v>
      </c>
      <c r="BV38" s="13" t="n">
        <f aca="false">BV$37*BV$11</f>
        <v>10000</v>
      </c>
      <c r="BW38" s="13" t="n">
        <f aca="false">BW$37*BW$11</f>
        <v>10000</v>
      </c>
      <c r="BX38" s="13" t="n">
        <f aca="false">BX$37*BX$11</f>
        <v>10000</v>
      </c>
      <c r="BY38" s="13" t="n">
        <f aca="false">BY$37*BY$11</f>
        <v>10000</v>
      </c>
      <c r="BZ38" s="13" t="n">
        <f aca="false">BZ$37*BZ$11</f>
        <v>10000</v>
      </c>
      <c r="CA38" s="13" t="n">
        <f aca="false">CA$37*CA$11</f>
        <v>10000</v>
      </c>
      <c r="CB38" s="13" t="n">
        <f aca="false">CB$37*CB$11</f>
        <v>10000</v>
      </c>
      <c r="CC38" s="13" t="n">
        <f aca="false">CC$37*CC$11</f>
        <v>10000</v>
      </c>
      <c r="CD38" s="13" t="n">
        <f aca="false">CD$37*CD$11</f>
        <v>10000</v>
      </c>
      <c r="CE38" s="13" t="n">
        <f aca="false">CE$37*CE$11</f>
        <v>10000</v>
      </c>
      <c r="CF38" s="13" t="n">
        <f aca="false">CF$37*CF$11</f>
        <v>10000</v>
      </c>
      <c r="CG38" s="13" t="n">
        <f aca="false">CG$37*CG$11</f>
        <v>10000</v>
      </c>
      <c r="CH38" s="13" t="n">
        <f aca="false">CH$37*CH$11</f>
        <v>10000</v>
      </c>
      <c r="CI38" s="13" t="n">
        <f aca="false">CI$37*CI$11</f>
        <v>10000</v>
      </c>
      <c r="CJ38" s="13" t="n">
        <f aca="false">CJ$37*CJ$11</f>
        <v>10000</v>
      </c>
      <c r="CK38" s="13" t="n">
        <f aca="false">CK$37*CK$11</f>
        <v>10000</v>
      </c>
      <c r="CL38" s="13" t="n">
        <f aca="false">CL$37*CL$11</f>
        <v>10000</v>
      </c>
      <c r="CM38" s="13" t="n">
        <f aca="false">CM$37*CM$11</f>
        <v>10000</v>
      </c>
      <c r="CN38" s="13" t="n">
        <f aca="false">CN$37*CN$11</f>
        <v>10000</v>
      </c>
      <c r="CO38" s="13" t="n">
        <f aca="false">CO$37*CO$11</f>
        <v>10000</v>
      </c>
      <c r="CP38" s="13" t="n">
        <f aca="false">CP$37*CP$11</f>
        <v>10000</v>
      </c>
      <c r="CQ38" s="13" t="n">
        <f aca="false">CQ$37*CQ$11</f>
        <v>10000</v>
      </c>
      <c r="CR38" s="13" t="n">
        <f aca="false">CR$37*CR$11</f>
        <v>10000</v>
      </c>
      <c r="CS38" s="13" t="n">
        <f aca="false">CS$37*CS$11</f>
        <v>10000</v>
      </c>
      <c r="CT38" s="13" t="n">
        <f aca="false">CT$37*CT$11</f>
        <v>10000</v>
      </c>
      <c r="CU38" s="13" t="n">
        <f aca="false">CU$37*CU$11</f>
        <v>10000</v>
      </c>
      <c r="CV38" s="13" t="n">
        <f aca="false">CV$37*CV$11</f>
        <v>10000</v>
      </c>
      <c r="CW38" s="13" t="n">
        <f aca="false">CW$37*CW$11</f>
        <v>10000</v>
      </c>
      <c r="CX38" s="13" t="n">
        <f aca="false">CX$37*CX$11</f>
        <v>10000</v>
      </c>
      <c r="CY38" s="13" t="n">
        <f aca="false">CY$37*CY$11</f>
        <v>10000</v>
      </c>
      <c r="CZ38" s="13" t="n">
        <f aca="false">CZ$37*CZ$11</f>
        <v>10000</v>
      </c>
      <c r="DA38" s="13" t="n">
        <f aca="false">DA$37*DA$11</f>
        <v>10000</v>
      </c>
      <c r="DB38" s="13" t="n">
        <f aca="false">DB$37*DB$11</f>
        <v>10000</v>
      </c>
      <c r="DC38" s="13" t="n">
        <f aca="false">DC$37*DC$11</f>
        <v>10000</v>
      </c>
      <c r="DD38" s="13" t="n">
        <f aca="false">DD$37*DD$11</f>
        <v>10000</v>
      </c>
      <c r="DE38" s="13" t="n">
        <f aca="false">DE$37*DE$11</f>
        <v>10000</v>
      </c>
      <c r="DF38" s="13" t="n">
        <f aca="false">DF$37*DF$11</f>
        <v>10000</v>
      </c>
      <c r="DG38" s="13" t="n">
        <f aca="false">DG$37*DG$11</f>
        <v>10000</v>
      </c>
      <c r="DH38" s="13" t="n">
        <f aca="false">DH$37*DH$11</f>
        <v>10000</v>
      </c>
      <c r="DI38" s="13" t="n">
        <f aca="false">DI$37*DI$11</f>
        <v>10000</v>
      </c>
      <c r="DJ38" s="13" t="n">
        <f aca="false">DJ$37*DJ$11</f>
        <v>10000</v>
      </c>
      <c r="DK38" s="13" t="n">
        <f aca="false">DK$37*DK$11</f>
        <v>10000</v>
      </c>
      <c r="DL38" s="13" t="n">
        <f aca="false">DL$37*DL$11</f>
        <v>10000</v>
      </c>
      <c r="DM38" s="13" t="n">
        <f aca="false">DM$37*DM$11</f>
        <v>10000</v>
      </c>
      <c r="DN38" s="13" t="n">
        <f aca="false">DN$37*DN$11</f>
        <v>10000</v>
      </c>
      <c r="DO38" s="13" t="n">
        <f aca="false">DO$37*DO$11</f>
        <v>10000</v>
      </c>
      <c r="DP38" s="13" t="n">
        <f aca="false">DP$37*DP$11</f>
        <v>10000</v>
      </c>
      <c r="DQ38" s="13" t="n">
        <f aca="false">DQ$37*DQ$11</f>
        <v>10000</v>
      </c>
      <c r="DR38" s="13" t="n">
        <f aca="false">DR$37*DR$11</f>
        <v>10000</v>
      </c>
      <c r="DS38" s="13" t="n">
        <f aca="false">DS$37*DS$11</f>
        <v>10000</v>
      </c>
      <c r="DT38" s="13" t="n">
        <f aca="false">DT$37*DT$11</f>
        <v>10000</v>
      </c>
      <c r="DU38" s="13" t="n">
        <f aca="false">DU$37*DU$11</f>
        <v>10000</v>
      </c>
      <c r="DV38" s="13" t="n">
        <f aca="false">DV$37*DV$11</f>
        <v>10000</v>
      </c>
      <c r="DW38" s="13" t="n">
        <f aca="false">DW$37*DW$11</f>
        <v>0</v>
      </c>
      <c r="DX38" s="13" t="n">
        <f aca="false">DX$37*DX$11</f>
        <v>0</v>
      </c>
      <c r="DY38" s="13" t="n">
        <f aca="false">DY$37*DY$11</f>
        <v>0</v>
      </c>
      <c r="DZ38" s="13" t="n">
        <f aca="false">DZ$37*DZ$11</f>
        <v>0</v>
      </c>
      <c r="EA38" s="13" t="n">
        <f aca="false">EA$37*EA$11</f>
        <v>0</v>
      </c>
      <c r="EB38" s="13" t="n">
        <f aca="false">EB$37*EB$11</f>
        <v>0</v>
      </c>
      <c r="EC38" s="13" t="n">
        <f aca="false">EC$37*EC$11</f>
        <v>0</v>
      </c>
      <c r="ED38" s="13" t="n">
        <f aca="false">ED$37*ED$11</f>
        <v>0</v>
      </c>
      <c r="EE38" s="13" t="n">
        <f aca="false">EE$37*EE$11</f>
        <v>0</v>
      </c>
      <c r="EF38" s="13" t="n">
        <f aca="false">EF$37*EF$11</f>
        <v>0</v>
      </c>
      <c r="EG38" s="13" t="n">
        <f aca="false">EG$37*EG$11</f>
        <v>0</v>
      </c>
      <c r="EH38" s="13" t="n">
        <f aca="false">EH$37*EH$11</f>
        <v>0</v>
      </c>
      <c r="EI38" s="13" t="n">
        <f aca="false">EI$37*EI$11</f>
        <v>0</v>
      </c>
      <c r="EJ38" s="13" t="n">
        <f aca="false">EJ$37*EJ$11</f>
        <v>0</v>
      </c>
      <c r="EK38" s="13" t="n">
        <f aca="false">EK$37*EK$11</f>
        <v>0</v>
      </c>
      <c r="EL38" s="13" t="n">
        <f aca="false">EL$37*EL$11</f>
        <v>0</v>
      </c>
      <c r="EM38" s="13" t="n">
        <f aca="false">EM$37*EM$11</f>
        <v>0</v>
      </c>
      <c r="EN38" s="13" t="n">
        <f aca="false">EN$37*EN$11</f>
        <v>0</v>
      </c>
      <c r="EO38" s="13" t="n">
        <f aca="false">EO$37*EO$11</f>
        <v>0</v>
      </c>
      <c r="EP38" s="13" t="n">
        <f aca="false">EP$37*EP$11</f>
        <v>0</v>
      </c>
      <c r="EQ38" s="13" t="n">
        <f aca="false">EQ$37*EQ$11</f>
        <v>0</v>
      </c>
      <c r="ER38" s="13" t="n">
        <f aca="false">ER$37*ER$11</f>
        <v>0</v>
      </c>
      <c r="ES38" s="13" t="n">
        <f aca="false">ES$37*ES$11</f>
        <v>0</v>
      </c>
      <c r="ET38" s="13" t="n">
        <f aca="false">ET$37*ET$11</f>
        <v>0</v>
      </c>
      <c r="EU38" s="13" t="n">
        <f aca="false">EU$37*EU$11</f>
        <v>0</v>
      </c>
      <c r="EV38" s="13" t="n">
        <f aca="false">EV$37*EV$11</f>
        <v>0</v>
      </c>
      <c r="EW38" s="13" t="n">
        <f aca="false">EW$37*EW$11</f>
        <v>0</v>
      </c>
      <c r="EX38" s="13" t="n">
        <f aca="false">EX$37*EX$11</f>
        <v>0</v>
      </c>
      <c r="EY38" s="13" t="n">
        <f aca="false">EY$37*EY$11</f>
        <v>0</v>
      </c>
      <c r="EZ38" s="13" t="n">
        <f aca="false">EZ$37*EZ$11</f>
        <v>0</v>
      </c>
      <c r="FA38" s="13" t="n">
        <f aca="false">FA$37*FA$11</f>
        <v>0</v>
      </c>
      <c r="FB38" s="13" t="n">
        <f aca="false">FB$37*FB$11</f>
        <v>0</v>
      </c>
      <c r="FC38" s="13" t="n">
        <f aca="false">FC$37*FC$11</f>
        <v>0</v>
      </c>
      <c r="FD38" s="13" t="n">
        <f aca="false">FD$37*FD$11</f>
        <v>0</v>
      </c>
      <c r="FE38" s="13" t="n">
        <f aca="false">FE$37*FE$11</f>
        <v>0</v>
      </c>
      <c r="FF38" s="13" t="n">
        <f aca="false">FF$37*FF$11</f>
        <v>0</v>
      </c>
    </row>
    <row r="39" customFormat="false" ht="15" hidden="false" customHeight="false" outlineLevel="0" collapsed="false">
      <c r="A39" s="2" t="s">
        <v>870</v>
      </c>
      <c r="B39" s="8" t="s">
        <v>835</v>
      </c>
      <c r="C39" s="8" t="s">
        <v>825</v>
      </c>
      <c r="E39" s="65" t="n">
        <f aca="false">SUM($F39:$FF39)</f>
        <v>0</v>
      </c>
      <c r="F39" s="13" t="n">
        <f aca="false">F$37-F$38</f>
        <v>0</v>
      </c>
      <c r="G39" s="13" t="n">
        <f aca="false">G$37-G$38</f>
        <v>0</v>
      </c>
      <c r="H39" s="13" t="n">
        <f aca="false">H$37-H$38</f>
        <v>0</v>
      </c>
      <c r="I39" s="13" t="n">
        <f aca="false">I$37-I$38</f>
        <v>0</v>
      </c>
      <c r="J39" s="13" t="n">
        <f aca="false">J$37-J$38</f>
        <v>0</v>
      </c>
      <c r="K39" s="13" t="n">
        <f aca="false">K$37-K$38</f>
        <v>0</v>
      </c>
      <c r="L39" s="13" t="n">
        <f aca="false">L$37-L$38</f>
        <v>0</v>
      </c>
      <c r="M39" s="13" t="n">
        <f aca="false">M$37-M$38</f>
        <v>0</v>
      </c>
      <c r="N39" s="13" t="n">
        <f aca="false">N$37-N$38</f>
        <v>0</v>
      </c>
      <c r="O39" s="13" t="n">
        <f aca="false">O$37-O$38</f>
        <v>0</v>
      </c>
      <c r="P39" s="13" t="n">
        <f aca="false">P$37-P$38</f>
        <v>0</v>
      </c>
      <c r="Q39" s="13" t="n">
        <f aca="false">Q$37-Q$38</f>
        <v>0</v>
      </c>
      <c r="R39" s="13" t="n">
        <f aca="false">R$37-R$38</f>
        <v>0</v>
      </c>
      <c r="S39" s="13" t="n">
        <f aca="false">S$37-S$38</f>
        <v>0</v>
      </c>
      <c r="T39" s="13" t="n">
        <f aca="false">T$37-T$38</f>
        <v>0</v>
      </c>
      <c r="U39" s="13" t="n">
        <f aca="false">U$37-U$38</f>
        <v>0</v>
      </c>
      <c r="V39" s="13" t="n">
        <f aca="false">V$37-V$38</f>
        <v>0</v>
      </c>
      <c r="W39" s="13" t="n">
        <f aca="false">W$37-W$38</f>
        <v>0</v>
      </c>
      <c r="X39" s="13" t="n">
        <f aca="false">X$37-X$38</f>
        <v>0</v>
      </c>
      <c r="Y39" s="13" t="n">
        <f aca="false">Y$37-Y$38</f>
        <v>0</v>
      </c>
      <c r="Z39" s="13" t="n">
        <f aca="false">Z$37-Z$38</f>
        <v>0</v>
      </c>
      <c r="AA39" s="13" t="n">
        <f aca="false">AA$37-AA$38</f>
        <v>0</v>
      </c>
      <c r="AB39" s="13" t="n">
        <f aca="false">AB$37-AB$38</f>
        <v>0</v>
      </c>
      <c r="AC39" s="13" t="n">
        <f aca="false">AC$37-AC$38</f>
        <v>0</v>
      </c>
      <c r="AD39" s="13" t="n">
        <f aca="false">AD$37-AD$38</f>
        <v>0</v>
      </c>
      <c r="AE39" s="13" t="n">
        <f aca="false">AE$37-AE$38</f>
        <v>0</v>
      </c>
      <c r="AF39" s="13" t="n">
        <f aca="false">AF$37-AF$38</f>
        <v>0</v>
      </c>
      <c r="AG39" s="13" t="n">
        <f aca="false">AG$37-AG$38</f>
        <v>0</v>
      </c>
      <c r="AH39" s="13" t="n">
        <f aca="false">AH$37-AH$38</f>
        <v>0</v>
      </c>
      <c r="AI39" s="13" t="n">
        <f aca="false">AI$37-AI$38</f>
        <v>0</v>
      </c>
      <c r="AJ39" s="13" t="n">
        <f aca="false">AJ$37-AJ$38</f>
        <v>0</v>
      </c>
      <c r="AK39" s="13" t="n">
        <f aca="false">AK$37-AK$38</f>
        <v>0</v>
      </c>
      <c r="AL39" s="13" t="n">
        <f aca="false">AL$37-AL$38</f>
        <v>0</v>
      </c>
      <c r="AM39" s="13" t="n">
        <f aca="false">AM$37-AM$38</f>
        <v>0</v>
      </c>
      <c r="AN39" s="13" t="n">
        <f aca="false">AN$37-AN$38</f>
        <v>0</v>
      </c>
      <c r="AO39" s="13" t="n">
        <f aca="false">AO$37-AO$38</f>
        <v>0</v>
      </c>
      <c r="AP39" s="13" t="n">
        <f aca="false">AP$37-AP$38</f>
        <v>0</v>
      </c>
      <c r="AQ39" s="13" t="n">
        <f aca="false">AQ$37-AQ$38</f>
        <v>0</v>
      </c>
      <c r="AR39" s="13" t="n">
        <f aca="false">AR$37-AR$38</f>
        <v>0</v>
      </c>
      <c r="AS39" s="13" t="n">
        <f aca="false">AS$37-AS$38</f>
        <v>0</v>
      </c>
      <c r="AT39" s="13" t="n">
        <f aca="false">AT$37-AT$38</f>
        <v>0</v>
      </c>
      <c r="AU39" s="13" t="n">
        <f aca="false">AU$37-AU$38</f>
        <v>0</v>
      </c>
      <c r="AV39" s="13" t="n">
        <f aca="false">AV$37-AV$38</f>
        <v>0</v>
      </c>
      <c r="AW39" s="13" t="n">
        <f aca="false">AW$37-AW$38</f>
        <v>0</v>
      </c>
      <c r="AX39" s="13" t="n">
        <f aca="false">AX$37-AX$38</f>
        <v>0</v>
      </c>
      <c r="AY39" s="13" t="n">
        <f aca="false">AY$37-AY$38</f>
        <v>0</v>
      </c>
      <c r="AZ39" s="13" t="n">
        <f aca="false">AZ$37-AZ$38</f>
        <v>0</v>
      </c>
      <c r="BA39" s="13" t="n">
        <f aca="false">BA$37-BA$38</f>
        <v>0</v>
      </c>
      <c r="BB39" s="13" t="n">
        <f aca="false">BB$37-BB$38</f>
        <v>0</v>
      </c>
      <c r="BC39" s="13" t="n">
        <f aca="false">BC$37-BC$38</f>
        <v>0</v>
      </c>
      <c r="BD39" s="13" t="n">
        <f aca="false">BD$37-BD$38</f>
        <v>0</v>
      </c>
      <c r="BE39" s="13" t="n">
        <f aca="false">BE$37-BE$38</f>
        <v>0</v>
      </c>
      <c r="BF39" s="13" t="n">
        <f aca="false">BF$37-BF$38</f>
        <v>0</v>
      </c>
      <c r="BG39" s="13" t="n">
        <f aca="false">BG$37-BG$38</f>
        <v>0</v>
      </c>
      <c r="BH39" s="13" t="n">
        <f aca="false">BH$37-BH$38</f>
        <v>0</v>
      </c>
      <c r="BI39" s="13" t="n">
        <f aca="false">BI$37-BI$38</f>
        <v>0</v>
      </c>
      <c r="BJ39" s="13" t="n">
        <f aca="false">BJ$37-BJ$38</f>
        <v>0</v>
      </c>
      <c r="BK39" s="13" t="n">
        <f aca="false">BK$37-BK$38</f>
        <v>0</v>
      </c>
      <c r="BL39" s="13" t="n">
        <f aca="false">BL$37-BL$38</f>
        <v>0</v>
      </c>
      <c r="BM39" s="13" t="n">
        <f aca="false">BM$37-BM$38</f>
        <v>0</v>
      </c>
      <c r="BN39" s="13" t="n">
        <f aca="false">BN$37-BN$38</f>
        <v>0</v>
      </c>
      <c r="BO39" s="13" t="n">
        <f aca="false">BO$37-BO$38</f>
        <v>0</v>
      </c>
      <c r="BP39" s="13" t="n">
        <f aca="false">BP$37-BP$38</f>
        <v>0</v>
      </c>
      <c r="BQ39" s="13" t="n">
        <f aca="false">BQ$37-BQ$38</f>
        <v>0</v>
      </c>
      <c r="BR39" s="13" t="n">
        <f aca="false">BR$37-BR$38</f>
        <v>0</v>
      </c>
      <c r="BS39" s="13" t="n">
        <f aca="false">BS$37-BS$38</f>
        <v>0</v>
      </c>
      <c r="BT39" s="13" t="n">
        <f aca="false">BT$37-BT$38</f>
        <v>0</v>
      </c>
      <c r="BU39" s="13" t="n">
        <f aca="false">BU$37-BU$38</f>
        <v>0</v>
      </c>
      <c r="BV39" s="13" t="n">
        <f aca="false">BV$37-BV$38</f>
        <v>0</v>
      </c>
      <c r="BW39" s="13" t="n">
        <f aca="false">BW$37-BW$38</f>
        <v>0</v>
      </c>
      <c r="BX39" s="13" t="n">
        <f aca="false">BX$37-BX$38</f>
        <v>0</v>
      </c>
      <c r="BY39" s="13" t="n">
        <f aca="false">BY$37-BY$38</f>
        <v>0</v>
      </c>
      <c r="BZ39" s="13" t="n">
        <f aca="false">BZ$37-BZ$38</f>
        <v>0</v>
      </c>
      <c r="CA39" s="13" t="n">
        <f aca="false">CA$37-CA$38</f>
        <v>0</v>
      </c>
      <c r="CB39" s="13" t="n">
        <f aca="false">CB$37-CB$38</f>
        <v>0</v>
      </c>
      <c r="CC39" s="13" t="n">
        <f aca="false">CC$37-CC$38</f>
        <v>0</v>
      </c>
      <c r="CD39" s="13" t="n">
        <f aca="false">CD$37-CD$38</f>
        <v>0</v>
      </c>
      <c r="CE39" s="13" t="n">
        <f aca="false">CE$37-CE$38</f>
        <v>0</v>
      </c>
      <c r="CF39" s="13" t="n">
        <f aca="false">CF$37-CF$38</f>
        <v>0</v>
      </c>
      <c r="CG39" s="13" t="n">
        <f aca="false">CG$37-CG$38</f>
        <v>0</v>
      </c>
      <c r="CH39" s="13" t="n">
        <f aca="false">CH$37-CH$38</f>
        <v>0</v>
      </c>
      <c r="CI39" s="13" t="n">
        <f aca="false">CI$37-CI$38</f>
        <v>0</v>
      </c>
      <c r="CJ39" s="13" t="n">
        <f aca="false">CJ$37-CJ$38</f>
        <v>0</v>
      </c>
      <c r="CK39" s="13" t="n">
        <f aca="false">CK$37-CK$38</f>
        <v>0</v>
      </c>
      <c r="CL39" s="13" t="n">
        <f aca="false">CL$37-CL$38</f>
        <v>0</v>
      </c>
      <c r="CM39" s="13" t="n">
        <f aca="false">CM$37-CM$38</f>
        <v>0</v>
      </c>
      <c r="CN39" s="13" t="n">
        <f aca="false">CN$37-CN$38</f>
        <v>0</v>
      </c>
      <c r="CO39" s="13" t="n">
        <f aca="false">CO$37-CO$38</f>
        <v>0</v>
      </c>
      <c r="CP39" s="13" t="n">
        <f aca="false">CP$37-CP$38</f>
        <v>0</v>
      </c>
      <c r="CQ39" s="13" t="n">
        <f aca="false">CQ$37-CQ$38</f>
        <v>0</v>
      </c>
      <c r="CR39" s="13" t="n">
        <f aca="false">CR$37-CR$38</f>
        <v>0</v>
      </c>
      <c r="CS39" s="13" t="n">
        <f aca="false">CS$37-CS$38</f>
        <v>0</v>
      </c>
      <c r="CT39" s="13" t="n">
        <f aca="false">CT$37-CT$38</f>
        <v>0</v>
      </c>
      <c r="CU39" s="13" t="n">
        <f aca="false">CU$37-CU$38</f>
        <v>0</v>
      </c>
      <c r="CV39" s="13" t="n">
        <f aca="false">CV$37-CV$38</f>
        <v>0</v>
      </c>
      <c r="CW39" s="13" t="n">
        <f aca="false">CW$37-CW$38</f>
        <v>0</v>
      </c>
      <c r="CX39" s="13" t="n">
        <f aca="false">CX$37-CX$38</f>
        <v>0</v>
      </c>
      <c r="CY39" s="13" t="n">
        <f aca="false">CY$37-CY$38</f>
        <v>0</v>
      </c>
      <c r="CZ39" s="13" t="n">
        <f aca="false">CZ$37-CZ$38</f>
        <v>0</v>
      </c>
      <c r="DA39" s="13" t="n">
        <f aca="false">DA$37-DA$38</f>
        <v>0</v>
      </c>
      <c r="DB39" s="13" t="n">
        <f aca="false">DB$37-DB$38</f>
        <v>0</v>
      </c>
      <c r="DC39" s="13" t="n">
        <f aca="false">DC$37-DC$38</f>
        <v>0</v>
      </c>
      <c r="DD39" s="13" t="n">
        <f aca="false">DD$37-DD$38</f>
        <v>0</v>
      </c>
      <c r="DE39" s="13" t="n">
        <f aca="false">DE$37-DE$38</f>
        <v>0</v>
      </c>
      <c r="DF39" s="13" t="n">
        <f aca="false">DF$37-DF$38</f>
        <v>0</v>
      </c>
      <c r="DG39" s="13" t="n">
        <f aca="false">DG$37-DG$38</f>
        <v>0</v>
      </c>
      <c r="DH39" s="13" t="n">
        <f aca="false">DH$37-DH$38</f>
        <v>0</v>
      </c>
      <c r="DI39" s="13" t="n">
        <f aca="false">DI$37-DI$38</f>
        <v>0</v>
      </c>
      <c r="DJ39" s="13" t="n">
        <f aca="false">DJ$37-DJ$38</f>
        <v>0</v>
      </c>
      <c r="DK39" s="13" t="n">
        <f aca="false">DK$37-DK$38</f>
        <v>0</v>
      </c>
      <c r="DL39" s="13" t="n">
        <f aca="false">DL$37-DL$38</f>
        <v>0</v>
      </c>
      <c r="DM39" s="13" t="n">
        <f aca="false">DM$37-DM$38</f>
        <v>0</v>
      </c>
      <c r="DN39" s="13" t="n">
        <f aca="false">DN$37-DN$38</f>
        <v>0</v>
      </c>
      <c r="DO39" s="13" t="n">
        <f aca="false">DO$37-DO$38</f>
        <v>0</v>
      </c>
      <c r="DP39" s="13" t="n">
        <f aca="false">DP$37-DP$38</f>
        <v>0</v>
      </c>
      <c r="DQ39" s="13" t="n">
        <f aca="false">DQ$37-DQ$38</f>
        <v>0</v>
      </c>
      <c r="DR39" s="13" t="n">
        <f aca="false">DR$37-DR$38</f>
        <v>0</v>
      </c>
      <c r="DS39" s="13" t="n">
        <f aca="false">DS$37-DS$38</f>
        <v>0</v>
      </c>
      <c r="DT39" s="13" t="n">
        <f aca="false">DT$37-DT$38</f>
        <v>0</v>
      </c>
      <c r="DU39" s="13" t="n">
        <f aca="false">DU$37-DU$38</f>
        <v>0</v>
      </c>
      <c r="DV39" s="13" t="n">
        <f aca="false">DV$37-DV$38</f>
        <v>0</v>
      </c>
      <c r="DW39" s="13" t="n">
        <f aca="false">DW$37-DW$38</f>
        <v>0</v>
      </c>
      <c r="DX39" s="13" t="n">
        <f aca="false">DX$37-DX$38</f>
        <v>0</v>
      </c>
      <c r="DY39" s="13" t="n">
        <f aca="false">DY$37-DY$38</f>
        <v>0</v>
      </c>
      <c r="DZ39" s="13" t="n">
        <f aca="false">DZ$37-DZ$38</f>
        <v>0</v>
      </c>
      <c r="EA39" s="13" t="n">
        <f aca="false">EA$37-EA$38</f>
        <v>0</v>
      </c>
      <c r="EB39" s="13" t="n">
        <f aca="false">EB$37-EB$38</f>
        <v>0</v>
      </c>
      <c r="EC39" s="13" t="n">
        <f aca="false">EC$37-EC$38</f>
        <v>0</v>
      </c>
      <c r="ED39" s="13" t="n">
        <f aca="false">ED$37-ED$38</f>
        <v>0</v>
      </c>
      <c r="EE39" s="13" t="n">
        <f aca="false">EE$37-EE$38</f>
        <v>0</v>
      </c>
      <c r="EF39" s="13" t="n">
        <f aca="false">EF$37-EF$38</f>
        <v>0</v>
      </c>
      <c r="EG39" s="13" t="n">
        <f aca="false">EG$37-EG$38</f>
        <v>0</v>
      </c>
      <c r="EH39" s="13" t="n">
        <f aca="false">EH$37-EH$38</f>
        <v>0</v>
      </c>
      <c r="EI39" s="13" t="n">
        <f aca="false">EI$37-EI$38</f>
        <v>0</v>
      </c>
      <c r="EJ39" s="13" t="n">
        <f aca="false">EJ$37-EJ$38</f>
        <v>0</v>
      </c>
      <c r="EK39" s="13" t="n">
        <f aca="false">EK$37-EK$38</f>
        <v>0</v>
      </c>
      <c r="EL39" s="13" t="n">
        <f aca="false">EL$37-EL$38</f>
        <v>0</v>
      </c>
      <c r="EM39" s="13" t="n">
        <f aca="false">EM$37-EM$38</f>
        <v>0</v>
      </c>
      <c r="EN39" s="13" t="n">
        <f aca="false">EN$37-EN$38</f>
        <v>0</v>
      </c>
      <c r="EO39" s="13" t="n">
        <f aca="false">EO$37-EO$38</f>
        <v>0</v>
      </c>
      <c r="EP39" s="13" t="n">
        <f aca="false">EP$37-EP$38</f>
        <v>0</v>
      </c>
      <c r="EQ39" s="13" t="n">
        <f aca="false">EQ$37-EQ$38</f>
        <v>0</v>
      </c>
      <c r="ER39" s="13" t="n">
        <f aca="false">ER$37-ER$38</f>
        <v>0</v>
      </c>
      <c r="ES39" s="13" t="n">
        <f aca="false">ES$37-ES$38</f>
        <v>0</v>
      </c>
      <c r="ET39" s="13" t="n">
        <f aca="false">ET$37-ET$38</f>
        <v>0</v>
      </c>
      <c r="EU39" s="13" t="n">
        <f aca="false">EU$37-EU$38</f>
        <v>0</v>
      </c>
      <c r="EV39" s="13" t="n">
        <f aca="false">EV$37-EV$38</f>
        <v>0</v>
      </c>
      <c r="EW39" s="13" t="n">
        <f aca="false">EW$37-EW$38</f>
        <v>0</v>
      </c>
      <c r="EX39" s="13" t="n">
        <f aca="false">EX$37-EX$38</f>
        <v>0</v>
      </c>
      <c r="EY39" s="13" t="n">
        <f aca="false">EY$37-EY$38</f>
        <v>0</v>
      </c>
      <c r="EZ39" s="13" t="n">
        <f aca="false">EZ$37-EZ$38</f>
        <v>0</v>
      </c>
      <c r="FA39" s="13" t="n">
        <f aca="false">FA$37-FA$38</f>
        <v>0</v>
      </c>
      <c r="FB39" s="13" t="n">
        <f aca="false">FB$37-FB$38</f>
        <v>0</v>
      </c>
      <c r="FC39" s="13" t="n">
        <f aca="false">FC$37-FC$38</f>
        <v>0</v>
      </c>
      <c r="FD39" s="13" t="n">
        <f aca="false">FD$37-FD$38</f>
        <v>0</v>
      </c>
      <c r="FE39" s="13" t="n">
        <f aca="false">FE$37-FE$38</f>
        <v>0</v>
      </c>
      <c r="FF39" s="13" t="n">
        <f aca="false">FF$37-FF$38</f>
        <v>0</v>
      </c>
    </row>
    <row r="40" customFormat="false" ht="15" hidden="false" customHeight="false" outlineLevel="0" collapsed="false">
      <c r="A40" s="2" t="s">
        <v>871</v>
      </c>
      <c r="B40" s="8" t="s">
        <v>837</v>
      </c>
      <c r="C40" s="8" t="s">
        <v>825</v>
      </c>
      <c r="E40" s="65" t="n">
        <f aca="false">SUM($F40:$FF40)</f>
        <v>0</v>
      </c>
      <c r="F40" s="13" t="n">
        <f aca="false">IF(AND(Calendario!F$16&gt;0,0&lt;p_MesArranque),INDEX(Base_PDF!$F$91:$O$91,1,Calendario!F$17)/12*INDEX(e_VolC,Calendario!F$17),0)</f>
        <v>0</v>
      </c>
      <c r="G40" s="13" t="n">
        <f aca="false">IF(AND(Calendario!G$16&gt;0,1&lt;p_MesArranque),INDEX(Base_PDF!$F$91:$O$91,1,Calendario!G$17)/12*INDEX(e_VolC,Calendario!G$17),0)</f>
        <v>0</v>
      </c>
      <c r="H40" s="13" t="n">
        <f aca="false">IF(AND(Calendario!H$16&gt;0,2&lt;p_MesArranque),INDEX(Base_PDF!$F$91:$O$91,1,Calendario!H$17)/12*INDEX(e_VolC,Calendario!H$17),0)</f>
        <v>0</v>
      </c>
      <c r="I40" s="13" t="n">
        <f aca="false">IF(AND(Calendario!I$16&gt;0,3&lt;p_MesArranque),INDEX(Base_PDF!$F$91:$O$91,1,Calendario!I$17)/12*INDEX(e_VolC,Calendario!I$17),0)</f>
        <v>0</v>
      </c>
      <c r="J40" s="13" t="n">
        <f aca="false">IF(AND(Calendario!J$16&gt;0,4&lt;p_MesArranque),INDEX(Base_PDF!$F$91:$O$91,1,Calendario!J$17)/12*INDEX(e_VolC,Calendario!J$17),0)</f>
        <v>0</v>
      </c>
      <c r="K40" s="13" t="n">
        <f aca="false">IF(AND(Calendario!K$16&gt;0,5&lt;p_MesArranque),INDEX(Base_PDF!$F$91:$O$91,1,Calendario!K$17)/12*INDEX(e_VolC,Calendario!K$17),0)</f>
        <v>0</v>
      </c>
      <c r="L40" s="13" t="n">
        <f aca="false">IF(AND(Calendario!L$16&gt;0,6&lt;p_MesArranque),INDEX(Base_PDF!$F$91:$O$91,1,Calendario!L$17)/12*INDEX(e_VolC,Calendario!L$17),0)</f>
        <v>0</v>
      </c>
      <c r="M40" s="13" t="n">
        <f aca="false">IF(AND(Calendario!M$16&gt;0,7&lt;p_MesArranque),INDEX(Base_PDF!$F$91:$O$91,1,Calendario!M$17)/12*INDEX(e_VolC,Calendario!M$17),0)</f>
        <v>0</v>
      </c>
      <c r="N40" s="13" t="n">
        <f aca="false">IF(AND(Calendario!N$16&gt;0,8&lt;p_MesArranque),INDEX(Base_PDF!$F$91:$O$91,1,Calendario!N$17)/12*INDEX(e_VolC,Calendario!N$17),0)</f>
        <v>0</v>
      </c>
      <c r="O40" s="13" t="n">
        <f aca="false">IF(AND(Calendario!O$16&gt;0,9&lt;p_MesArranque),INDEX(Base_PDF!$F$91:$O$91,1,Calendario!O$17)/12*INDEX(e_VolC,Calendario!O$17),0)</f>
        <v>0</v>
      </c>
      <c r="P40" s="13" t="n">
        <f aca="false">IF(AND(Calendario!P$16&gt;0,10&lt;p_MesArranque),INDEX(Base_PDF!$F$91:$O$91,1,Calendario!P$17)/12*INDEX(e_VolC,Calendario!P$17),0)</f>
        <v>0</v>
      </c>
      <c r="Q40" s="13" t="n">
        <f aca="false">IF(AND(Calendario!Q$16&gt;0,11&lt;p_MesArranque),INDEX(Base_PDF!$F$91:$O$91,1,Calendario!Q$17)/12*INDEX(e_VolC,Calendario!Q$17),0)</f>
        <v>0</v>
      </c>
      <c r="R40" s="13" t="n">
        <f aca="false">IF(AND(Calendario!R$16&gt;0,12&lt;p_MesArranque),INDEX(Base_PDF!$F$91:$O$91,1,Calendario!R$17)/12*INDEX(e_VolC,Calendario!R$17),0)</f>
        <v>0</v>
      </c>
      <c r="S40" s="13" t="n">
        <f aca="false">IF(AND(Calendario!S$16&gt;0,13&lt;p_MesArranque),INDEX(Base_PDF!$F$91:$O$91,1,Calendario!S$17)/12*INDEX(e_VolC,Calendario!S$17),0)</f>
        <v>0</v>
      </c>
      <c r="T40" s="13" t="n">
        <f aca="false">IF(AND(Calendario!T$16&gt;0,14&lt;p_MesArranque),INDEX(Base_PDF!$F$91:$O$91,1,Calendario!T$17)/12*INDEX(e_VolC,Calendario!T$17),0)</f>
        <v>0</v>
      </c>
      <c r="U40" s="13" t="n">
        <f aca="false">IF(AND(Calendario!U$16&gt;0,15&lt;p_MesArranque),INDEX(Base_PDF!$F$91:$O$91,1,Calendario!U$17)/12*INDEX(e_VolC,Calendario!U$17),0)</f>
        <v>0</v>
      </c>
      <c r="V40" s="13" t="n">
        <f aca="false">IF(AND(Calendario!V$16&gt;0,16&lt;p_MesArranque),INDEX(Base_PDF!$F$91:$O$91,1,Calendario!V$17)/12*INDEX(e_VolC,Calendario!V$17),0)</f>
        <v>0</v>
      </c>
      <c r="W40" s="13" t="n">
        <f aca="false">IF(AND(Calendario!W$16&gt;0,17&lt;p_MesArranque),INDEX(Base_PDF!$F$91:$O$91,1,Calendario!W$17)/12*INDEX(e_VolC,Calendario!W$17),0)</f>
        <v>0</v>
      </c>
      <c r="X40" s="13" t="n">
        <f aca="false">IF(AND(Calendario!X$16&gt;0,18&lt;p_MesArranque),INDEX(Base_PDF!$F$91:$O$91,1,Calendario!X$17)/12*INDEX(e_VolC,Calendario!X$17),0)</f>
        <v>0</v>
      </c>
      <c r="Y40" s="13" t="n">
        <f aca="false">IF(AND(Calendario!Y$16&gt;0,19&lt;p_MesArranque),INDEX(Base_PDF!$F$91:$O$91,1,Calendario!Y$17)/12*INDEX(e_VolC,Calendario!Y$17),0)</f>
        <v>0</v>
      </c>
      <c r="Z40" s="13" t="n">
        <f aca="false">IF(AND(Calendario!Z$16&gt;0,20&lt;p_MesArranque),INDEX(Base_PDF!$F$91:$O$91,1,Calendario!Z$17)/12*INDEX(e_VolC,Calendario!Z$17),0)</f>
        <v>0</v>
      </c>
      <c r="AA40" s="13" t="n">
        <f aca="false">IF(AND(Calendario!AA$16&gt;0,21&lt;p_MesArranque),INDEX(Base_PDF!$F$91:$O$91,1,Calendario!AA$17)/12*INDEX(e_VolC,Calendario!AA$17),0)</f>
        <v>0</v>
      </c>
      <c r="AB40" s="13" t="n">
        <f aca="false">IF(AND(Calendario!AB$16&gt;0,22&lt;p_MesArranque),INDEX(Base_PDF!$F$91:$O$91,1,Calendario!AB$17)/12*INDEX(e_VolC,Calendario!AB$17),0)</f>
        <v>0</v>
      </c>
      <c r="AC40" s="13" t="n">
        <f aca="false">IF(AND(Calendario!AC$16&gt;0,23&lt;p_MesArranque),INDEX(Base_PDF!$F$91:$O$91,1,Calendario!AC$17)/12*INDEX(e_VolC,Calendario!AC$17),0)</f>
        <v>0</v>
      </c>
      <c r="AD40" s="13" t="n">
        <f aca="false">IF(AND(Calendario!AD$16&gt;0,24&lt;p_MesArranque),INDEX(Base_PDF!$F$91:$O$91,1,Calendario!AD$17)/12*INDEX(e_VolC,Calendario!AD$17),0)</f>
        <v>0</v>
      </c>
      <c r="AE40" s="13" t="n">
        <f aca="false">IF(AND(Calendario!AE$16&gt;0,25&lt;p_MesArranque),INDEX(Base_PDF!$F$91:$O$91,1,Calendario!AE$17)/12*INDEX(e_VolC,Calendario!AE$17),0)</f>
        <v>0</v>
      </c>
      <c r="AF40" s="13" t="n">
        <f aca="false">IF(AND(Calendario!AF$16&gt;0,26&lt;p_MesArranque),INDEX(Base_PDF!$F$91:$O$91,1,Calendario!AF$17)/12*INDEX(e_VolC,Calendario!AF$17),0)</f>
        <v>0</v>
      </c>
      <c r="AG40" s="13" t="n">
        <f aca="false">IF(AND(Calendario!AG$16&gt;0,27&lt;p_MesArranque),INDEX(Base_PDF!$F$91:$O$91,1,Calendario!AG$17)/12*INDEX(e_VolC,Calendario!AG$17),0)</f>
        <v>0</v>
      </c>
      <c r="AH40" s="13" t="n">
        <f aca="false">IF(AND(Calendario!AH$16&gt;0,28&lt;p_MesArranque),INDEX(Base_PDF!$F$91:$O$91,1,Calendario!AH$17)/12*INDEX(e_VolC,Calendario!AH$17),0)</f>
        <v>0</v>
      </c>
      <c r="AI40" s="13" t="n">
        <f aca="false">IF(AND(Calendario!AI$16&gt;0,29&lt;p_MesArranque),INDEX(Base_PDF!$F$91:$O$91,1,Calendario!AI$17)/12*INDEX(e_VolC,Calendario!AI$17),0)</f>
        <v>0</v>
      </c>
      <c r="AJ40" s="13" t="n">
        <f aca="false">IF(AND(Calendario!AJ$16&gt;0,30&lt;p_MesArranque),INDEX(Base_PDF!$F$91:$O$91,1,Calendario!AJ$17)/12*INDEX(e_VolC,Calendario!AJ$17),0)</f>
        <v>0</v>
      </c>
      <c r="AK40" s="13" t="n">
        <f aca="false">IF(AND(Calendario!AK$16&gt;0,31&lt;p_MesArranque),INDEX(Base_PDF!$F$91:$O$91,1,Calendario!AK$17)/12*INDEX(e_VolC,Calendario!AK$17),0)</f>
        <v>0</v>
      </c>
      <c r="AL40" s="13" t="n">
        <f aca="false">IF(AND(Calendario!AL$16&gt;0,32&lt;p_MesArranque),INDEX(Base_PDF!$F$91:$O$91,1,Calendario!AL$17)/12*INDEX(e_VolC,Calendario!AL$17),0)</f>
        <v>0</v>
      </c>
      <c r="AM40" s="13" t="n">
        <f aca="false">IF(AND(Calendario!AM$16&gt;0,33&lt;p_MesArranque),INDEX(Base_PDF!$F$91:$O$91,1,Calendario!AM$17)/12*INDEX(e_VolC,Calendario!AM$17),0)</f>
        <v>0</v>
      </c>
      <c r="AN40" s="13" t="n">
        <f aca="false">IF(AND(Calendario!AN$16&gt;0,34&lt;p_MesArranque),INDEX(Base_PDF!$F$91:$O$91,1,Calendario!AN$17)/12*INDEX(e_VolC,Calendario!AN$17),0)</f>
        <v>0</v>
      </c>
      <c r="AO40" s="13" t="n">
        <f aca="false">IF(AND(Calendario!AO$16&gt;0,35&lt;p_MesArranque),INDEX(Base_PDF!$F$91:$O$91,1,Calendario!AO$17)/12*INDEX(e_VolC,Calendario!AO$17),0)</f>
        <v>0</v>
      </c>
      <c r="AP40" s="13" t="n">
        <f aca="false">IF(AND(Calendario!AP$16&gt;0,36&lt;p_MesArranque),INDEX(Base_PDF!$F$91:$O$91,1,Calendario!AP$17)/12*INDEX(e_VolC,Calendario!AP$17),0)</f>
        <v>0</v>
      </c>
      <c r="AQ40" s="13" t="n">
        <f aca="false">IF(AND(Calendario!AQ$16&gt;0,37&lt;p_MesArranque),INDEX(Base_PDF!$F$91:$O$91,1,Calendario!AQ$17)/12*INDEX(e_VolC,Calendario!AQ$17),0)</f>
        <v>0</v>
      </c>
      <c r="AR40" s="13" t="n">
        <f aca="false">IF(AND(Calendario!AR$16&gt;0,38&lt;p_MesArranque),INDEX(Base_PDF!$F$91:$O$91,1,Calendario!AR$17)/12*INDEX(e_VolC,Calendario!AR$17),0)</f>
        <v>0</v>
      </c>
      <c r="AS40" s="13" t="n">
        <f aca="false">IF(AND(Calendario!AS$16&gt;0,39&lt;p_MesArranque),INDEX(Base_PDF!$F$91:$O$91,1,Calendario!AS$17)/12*INDEX(e_VolC,Calendario!AS$17),0)</f>
        <v>0</v>
      </c>
      <c r="AT40" s="13" t="n">
        <f aca="false">IF(AND(Calendario!AT$16&gt;0,40&lt;p_MesArranque),INDEX(Base_PDF!$F$91:$O$91,1,Calendario!AT$17)/12*INDEX(e_VolC,Calendario!AT$17),0)</f>
        <v>0</v>
      </c>
      <c r="AU40" s="13" t="n">
        <f aca="false">IF(AND(Calendario!AU$16&gt;0,41&lt;p_MesArranque),INDEX(Base_PDF!$F$91:$O$91,1,Calendario!AU$17)/12*INDEX(e_VolC,Calendario!AU$17),0)</f>
        <v>0</v>
      </c>
      <c r="AV40" s="13" t="n">
        <f aca="false">IF(AND(Calendario!AV$16&gt;0,42&lt;p_MesArranque),INDEX(Base_PDF!$F$91:$O$91,1,Calendario!AV$17)/12*INDEX(e_VolC,Calendario!AV$17),0)</f>
        <v>0</v>
      </c>
      <c r="AW40" s="13" t="n">
        <f aca="false">IF(AND(Calendario!AW$16&gt;0,43&lt;p_MesArranque),INDEX(Base_PDF!$F$91:$O$91,1,Calendario!AW$17)/12*INDEX(e_VolC,Calendario!AW$17),0)</f>
        <v>0</v>
      </c>
      <c r="AX40" s="13" t="n">
        <f aca="false">IF(AND(Calendario!AX$16&gt;0,44&lt;p_MesArranque),INDEX(Base_PDF!$F$91:$O$91,1,Calendario!AX$17)/12*INDEX(e_VolC,Calendario!AX$17),0)</f>
        <v>0</v>
      </c>
      <c r="AY40" s="13" t="n">
        <f aca="false">IF(AND(Calendario!AY$16&gt;0,45&lt;p_MesArranque),INDEX(Base_PDF!$F$91:$O$91,1,Calendario!AY$17)/12*INDEX(e_VolC,Calendario!AY$17),0)</f>
        <v>0</v>
      </c>
      <c r="AZ40" s="13" t="n">
        <f aca="false">IF(AND(Calendario!AZ$16&gt;0,46&lt;p_MesArranque),INDEX(Base_PDF!$F$91:$O$91,1,Calendario!AZ$17)/12*INDEX(e_VolC,Calendario!AZ$17),0)</f>
        <v>0</v>
      </c>
      <c r="BA40" s="13" t="n">
        <f aca="false">IF(AND(Calendario!BA$16&gt;0,47&lt;p_MesArranque),INDEX(Base_PDF!$F$91:$O$91,1,Calendario!BA$17)/12*INDEX(e_VolC,Calendario!BA$17),0)</f>
        <v>0</v>
      </c>
      <c r="BB40" s="13" t="n">
        <f aca="false">IF(AND(Calendario!BB$16&gt;0,48&lt;p_MesArranque),INDEX(Base_PDF!$F$91:$O$91,1,Calendario!BB$17)/12*INDEX(e_VolC,Calendario!BB$17),0)</f>
        <v>0</v>
      </c>
      <c r="BC40" s="13" t="n">
        <f aca="false">IF(AND(Calendario!BC$16&gt;0,49&lt;p_MesArranque),INDEX(Base_PDF!$F$91:$O$91,1,Calendario!BC$17)/12*INDEX(e_VolC,Calendario!BC$17),0)</f>
        <v>0</v>
      </c>
      <c r="BD40" s="13" t="n">
        <f aca="false">IF(AND(Calendario!BD$16&gt;0,50&lt;p_MesArranque),INDEX(Base_PDF!$F$91:$O$91,1,Calendario!BD$17)/12*INDEX(e_VolC,Calendario!BD$17),0)</f>
        <v>0</v>
      </c>
      <c r="BE40" s="13" t="n">
        <f aca="false">IF(AND(Calendario!BE$16&gt;0,51&lt;p_MesArranque),INDEX(Base_PDF!$F$91:$O$91,1,Calendario!BE$17)/12*INDEX(e_VolC,Calendario!BE$17),0)</f>
        <v>0</v>
      </c>
      <c r="BF40" s="13" t="n">
        <f aca="false">IF(AND(Calendario!BF$16&gt;0,52&lt;p_MesArranque),INDEX(Base_PDF!$F$91:$O$91,1,Calendario!BF$17)/12*INDEX(e_VolC,Calendario!BF$17),0)</f>
        <v>0</v>
      </c>
      <c r="BG40" s="13" t="n">
        <f aca="false">IF(AND(Calendario!BG$16&gt;0,53&lt;p_MesArranque),INDEX(Base_PDF!$F$91:$O$91,1,Calendario!BG$17)/12*INDEX(e_VolC,Calendario!BG$17),0)</f>
        <v>0</v>
      </c>
      <c r="BH40" s="13" t="n">
        <f aca="false">IF(AND(Calendario!BH$16&gt;0,54&lt;p_MesArranque),INDEX(Base_PDF!$F$91:$O$91,1,Calendario!BH$17)/12*INDEX(e_VolC,Calendario!BH$17),0)</f>
        <v>0</v>
      </c>
      <c r="BI40" s="13" t="n">
        <f aca="false">IF(AND(Calendario!BI$16&gt;0,55&lt;p_MesArranque),INDEX(Base_PDF!$F$91:$O$91,1,Calendario!BI$17)/12*INDEX(e_VolC,Calendario!BI$17),0)</f>
        <v>0</v>
      </c>
      <c r="BJ40" s="13" t="n">
        <f aca="false">IF(AND(Calendario!BJ$16&gt;0,56&lt;p_MesArranque),INDEX(Base_PDF!$F$91:$O$91,1,Calendario!BJ$17)/12*INDEX(e_VolC,Calendario!BJ$17),0)</f>
        <v>0</v>
      </c>
      <c r="BK40" s="13" t="n">
        <f aca="false">IF(AND(Calendario!BK$16&gt;0,57&lt;p_MesArranque),INDEX(Base_PDF!$F$91:$O$91,1,Calendario!BK$17)/12*INDEX(e_VolC,Calendario!BK$17),0)</f>
        <v>0</v>
      </c>
      <c r="BL40" s="13" t="n">
        <f aca="false">IF(AND(Calendario!BL$16&gt;0,58&lt;p_MesArranque),INDEX(Base_PDF!$F$91:$O$91,1,Calendario!BL$17)/12*INDEX(e_VolC,Calendario!BL$17),0)</f>
        <v>0</v>
      </c>
      <c r="BM40" s="13" t="n">
        <f aca="false">IF(AND(Calendario!BM$16&gt;0,59&lt;p_MesArranque),INDEX(Base_PDF!$F$91:$O$91,1,Calendario!BM$17)/12*INDEX(e_VolC,Calendario!BM$17),0)</f>
        <v>0</v>
      </c>
      <c r="BN40" s="13" t="n">
        <f aca="false">IF(AND(Calendario!BN$16&gt;0,60&lt;p_MesArranque),INDEX(Base_PDF!$F$91:$O$91,1,Calendario!BN$17)/12*INDEX(e_VolC,Calendario!BN$17),0)</f>
        <v>0</v>
      </c>
      <c r="BO40" s="13" t="n">
        <f aca="false">IF(AND(Calendario!BO$16&gt;0,61&lt;p_MesArranque),INDEX(Base_PDF!$F$91:$O$91,1,Calendario!BO$17)/12*INDEX(e_VolC,Calendario!BO$17),0)</f>
        <v>0</v>
      </c>
      <c r="BP40" s="13" t="n">
        <f aca="false">IF(AND(Calendario!BP$16&gt;0,62&lt;p_MesArranque),INDEX(Base_PDF!$F$91:$O$91,1,Calendario!BP$17)/12*INDEX(e_VolC,Calendario!BP$17),0)</f>
        <v>0</v>
      </c>
      <c r="BQ40" s="13" t="n">
        <f aca="false">IF(AND(Calendario!BQ$16&gt;0,63&lt;p_MesArranque),INDEX(Base_PDF!$F$91:$O$91,1,Calendario!BQ$17)/12*INDEX(e_VolC,Calendario!BQ$17),0)</f>
        <v>0</v>
      </c>
      <c r="BR40" s="13" t="n">
        <f aca="false">IF(AND(Calendario!BR$16&gt;0,64&lt;p_MesArranque),INDEX(Base_PDF!$F$91:$O$91,1,Calendario!BR$17)/12*INDEX(e_VolC,Calendario!BR$17),0)</f>
        <v>0</v>
      </c>
      <c r="BS40" s="13" t="n">
        <f aca="false">IF(AND(Calendario!BS$16&gt;0,65&lt;p_MesArranque),INDEX(Base_PDF!$F$91:$O$91,1,Calendario!BS$17)/12*INDEX(e_VolC,Calendario!BS$17),0)</f>
        <v>0</v>
      </c>
      <c r="BT40" s="13" t="n">
        <f aca="false">IF(AND(Calendario!BT$16&gt;0,66&lt;p_MesArranque),INDEX(Base_PDF!$F$91:$O$91,1,Calendario!BT$17)/12*INDEX(e_VolC,Calendario!BT$17),0)</f>
        <v>0</v>
      </c>
      <c r="BU40" s="13" t="n">
        <f aca="false">IF(AND(Calendario!BU$16&gt;0,67&lt;p_MesArranque),INDEX(Base_PDF!$F$91:$O$91,1,Calendario!BU$17)/12*INDEX(e_VolC,Calendario!BU$17),0)</f>
        <v>0</v>
      </c>
      <c r="BV40" s="13" t="n">
        <f aca="false">IF(AND(Calendario!BV$16&gt;0,68&lt;p_MesArranque),INDEX(Base_PDF!$F$91:$O$91,1,Calendario!BV$17)/12*INDEX(e_VolC,Calendario!BV$17),0)</f>
        <v>0</v>
      </c>
      <c r="BW40" s="13" t="n">
        <f aca="false">IF(AND(Calendario!BW$16&gt;0,69&lt;p_MesArranque),INDEX(Base_PDF!$F$91:$O$91,1,Calendario!BW$17)/12*INDEX(e_VolC,Calendario!BW$17),0)</f>
        <v>0</v>
      </c>
      <c r="BX40" s="13" t="n">
        <f aca="false">IF(AND(Calendario!BX$16&gt;0,70&lt;p_MesArranque),INDEX(Base_PDF!$F$91:$O$91,1,Calendario!BX$17)/12*INDEX(e_VolC,Calendario!BX$17),0)</f>
        <v>0</v>
      </c>
      <c r="BY40" s="13" t="n">
        <f aca="false">IF(AND(Calendario!BY$16&gt;0,71&lt;p_MesArranque),INDEX(Base_PDF!$F$91:$O$91,1,Calendario!BY$17)/12*INDEX(e_VolC,Calendario!BY$17),0)</f>
        <v>0</v>
      </c>
      <c r="BZ40" s="13" t="n">
        <f aca="false">IF(AND(Calendario!BZ$16&gt;0,72&lt;p_MesArranque),INDEX(Base_PDF!$F$91:$O$91,1,Calendario!BZ$17)/12*INDEX(e_VolC,Calendario!BZ$17),0)</f>
        <v>0</v>
      </c>
      <c r="CA40" s="13" t="n">
        <f aca="false">IF(AND(Calendario!CA$16&gt;0,73&lt;p_MesArranque),INDEX(Base_PDF!$F$91:$O$91,1,Calendario!CA$17)/12*INDEX(e_VolC,Calendario!CA$17),0)</f>
        <v>0</v>
      </c>
      <c r="CB40" s="13" t="n">
        <f aca="false">IF(AND(Calendario!CB$16&gt;0,74&lt;p_MesArranque),INDEX(Base_PDF!$F$91:$O$91,1,Calendario!CB$17)/12*INDEX(e_VolC,Calendario!CB$17),0)</f>
        <v>0</v>
      </c>
      <c r="CC40" s="13" t="n">
        <f aca="false">IF(AND(Calendario!CC$16&gt;0,75&lt;p_MesArranque),INDEX(Base_PDF!$F$91:$O$91,1,Calendario!CC$17)/12*INDEX(e_VolC,Calendario!CC$17),0)</f>
        <v>0</v>
      </c>
      <c r="CD40" s="13" t="n">
        <f aca="false">IF(AND(Calendario!CD$16&gt;0,76&lt;p_MesArranque),INDEX(Base_PDF!$F$91:$O$91,1,Calendario!CD$17)/12*INDEX(e_VolC,Calendario!CD$17),0)</f>
        <v>0</v>
      </c>
      <c r="CE40" s="13" t="n">
        <f aca="false">IF(AND(Calendario!CE$16&gt;0,77&lt;p_MesArranque),INDEX(Base_PDF!$F$91:$O$91,1,Calendario!CE$17)/12*INDEX(e_VolC,Calendario!CE$17),0)</f>
        <v>0</v>
      </c>
      <c r="CF40" s="13" t="n">
        <f aca="false">IF(AND(Calendario!CF$16&gt;0,78&lt;p_MesArranque),INDEX(Base_PDF!$F$91:$O$91,1,Calendario!CF$17)/12*INDEX(e_VolC,Calendario!CF$17),0)</f>
        <v>0</v>
      </c>
      <c r="CG40" s="13" t="n">
        <f aca="false">IF(AND(Calendario!CG$16&gt;0,79&lt;p_MesArranque),INDEX(Base_PDF!$F$91:$O$91,1,Calendario!CG$17)/12*INDEX(e_VolC,Calendario!CG$17),0)</f>
        <v>0</v>
      </c>
      <c r="CH40" s="13" t="n">
        <f aca="false">IF(AND(Calendario!CH$16&gt;0,80&lt;p_MesArranque),INDEX(Base_PDF!$F$91:$O$91,1,Calendario!CH$17)/12*INDEX(e_VolC,Calendario!CH$17),0)</f>
        <v>0</v>
      </c>
      <c r="CI40" s="13" t="n">
        <f aca="false">IF(AND(Calendario!CI$16&gt;0,81&lt;p_MesArranque),INDEX(Base_PDF!$F$91:$O$91,1,Calendario!CI$17)/12*INDEX(e_VolC,Calendario!CI$17),0)</f>
        <v>0</v>
      </c>
      <c r="CJ40" s="13" t="n">
        <f aca="false">IF(AND(Calendario!CJ$16&gt;0,82&lt;p_MesArranque),INDEX(Base_PDF!$F$91:$O$91,1,Calendario!CJ$17)/12*INDEX(e_VolC,Calendario!CJ$17),0)</f>
        <v>0</v>
      </c>
      <c r="CK40" s="13" t="n">
        <f aca="false">IF(AND(Calendario!CK$16&gt;0,83&lt;p_MesArranque),INDEX(Base_PDF!$F$91:$O$91,1,Calendario!CK$17)/12*INDEX(e_VolC,Calendario!CK$17),0)</f>
        <v>0</v>
      </c>
      <c r="CL40" s="13" t="n">
        <f aca="false">IF(AND(Calendario!CL$16&gt;0,84&lt;p_MesArranque),INDEX(Base_PDF!$F$91:$O$91,1,Calendario!CL$17)/12*INDEX(e_VolC,Calendario!CL$17),0)</f>
        <v>0</v>
      </c>
      <c r="CM40" s="13" t="n">
        <f aca="false">IF(AND(Calendario!CM$16&gt;0,85&lt;p_MesArranque),INDEX(Base_PDF!$F$91:$O$91,1,Calendario!CM$17)/12*INDEX(e_VolC,Calendario!CM$17),0)</f>
        <v>0</v>
      </c>
      <c r="CN40" s="13" t="n">
        <f aca="false">IF(AND(Calendario!CN$16&gt;0,86&lt;p_MesArranque),INDEX(Base_PDF!$F$91:$O$91,1,Calendario!CN$17)/12*INDEX(e_VolC,Calendario!CN$17),0)</f>
        <v>0</v>
      </c>
      <c r="CO40" s="13" t="n">
        <f aca="false">IF(AND(Calendario!CO$16&gt;0,87&lt;p_MesArranque),INDEX(Base_PDF!$F$91:$O$91,1,Calendario!CO$17)/12*INDEX(e_VolC,Calendario!CO$17),0)</f>
        <v>0</v>
      </c>
      <c r="CP40" s="13" t="n">
        <f aca="false">IF(AND(Calendario!CP$16&gt;0,88&lt;p_MesArranque),INDEX(Base_PDF!$F$91:$O$91,1,Calendario!CP$17)/12*INDEX(e_VolC,Calendario!CP$17),0)</f>
        <v>0</v>
      </c>
      <c r="CQ40" s="13" t="n">
        <f aca="false">IF(AND(Calendario!CQ$16&gt;0,89&lt;p_MesArranque),INDEX(Base_PDF!$F$91:$O$91,1,Calendario!CQ$17)/12*INDEX(e_VolC,Calendario!CQ$17),0)</f>
        <v>0</v>
      </c>
      <c r="CR40" s="13" t="n">
        <f aca="false">IF(AND(Calendario!CR$16&gt;0,90&lt;p_MesArranque),INDEX(Base_PDF!$F$91:$O$91,1,Calendario!CR$17)/12*INDEX(e_VolC,Calendario!CR$17),0)</f>
        <v>0</v>
      </c>
      <c r="CS40" s="13" t="n">
        <f aca="false">IF(AND(Calendario!CS$16&gt;0,91&lt;p_MesArranque),INDEX(Base_PDF!$F$91:$O$91,1,Calendario!CS$17)/12*INDEX(e_VolC,Calendario!CS$17),0)</f>
        <v>0</v>
      </c>
      <c r="CT40" s="13" t="n">
        <f aca="false">IF(AND(Calendario!CT$16&gt;0,92&lt;p_MesArranque),INDEX(Base_PDF!$F$91:$O$91,1,Calendario!CT$17)/12*INDEX(e_VolC,Calendario!CT$17),0)</f>
        <v>0</v>
      </c>
      <c r="CU40" s="13" t="n">
        <f aca="false">IF(AND(Calendario!CU$16&gt;0,93&lt;p_MesArranque),INDEX(Base_PDF!$F$91:$O$91,1,Calendario!CU$17)/12*INDEX(e_VolC,Calendario!CU$17),0)</f>
        <v>0</v>
      </c>
      <c r="CV40" s="13" t="n">
        <f aca="false">IF(AND(Calendario!CV$16&gt;0,94&lt;p_MesArranque),INDEX(Base_PDF!$F$91:$O$91,1,Calendario!CV$17)/12*INDEX(e_VolC,Calendario!CV$17),0)</f>
        <v>0</v>
      </c>
      <c r="CW40" s="13" t="n">
        <f aca="false">IF(AND(Calendario!CW$16&gt;0,95&lt;p_MesArranque),INDEX(Base_PDF!$F$91:$O$91,1,Calendario!CW$17)/12*INDEX(e_VolC,Calendario!CW$17),0)</f>
        <v>0</v>
      </c>
      <c r="CX40" s="13" t="n">
        <f aca="false">IF(AND(Calendario!CX$16&gt;0,96&lt;p_MesArranque),INDEX(Base_PDF!$F$91:$O$91,1,Calendario!CX$17)/12*INDEX(e_VolC,Calendario!CX$17),0)</f>
        <v>0</v>
      </c>
      <c r="CY40" s="13" t="n">
        <f aca="false">IF(AND(Calendario!CY$16&gt;0,97&lt;p_MesArranque),INDEX(Base_PDF!$F$91:$O$91,1,Calendario!CY$17)/12*INDEX(e_VolC,Calendario!CY$17),0)</f>
        <v>0</v>
      </c>
      <c r="CZ40" s="13" t="n">
        <f aca="false">IF(AND(Calendario!CZ$16&gt;0,98&lt;p_MesArranque),INDEX(Base_PDF!$F$91:$O$91,1,Calendario!CZ$17)/12*INDEX(e_VolC,Calendario!CZ$17),0)</f>
        <v>0</v>
      </c>
      <c r="DA40" s="13" t="n">
        <f aca="false">IF(AND(Calendario!DA$16&gt;0,99&lt;p_MesArranque),INDEX(Base_PDF!$F$91:$O$91,1,Calendario!DA$17)/12*INDEX(e_VolC,Calendario!DA$17),0)</f>
        <v>0</v>
      </c>
      <c r="DB40" s="13" t="n">
        <f aca="false">IF(AND(Calendario!DB$16&gt;0,100&lt;p_MesArranque),INDEX(Base_PDF!$F$91:$O$91,1,Calendario!DB$17)/12*INDEX(e_VolC,Calendario!DB$17),0)</f>
        <v>0</v>
      </c>
      <c r="DC40" s="13" t="n">
        <f aca="false">IF(AND(Calendario!DC$16&gt;0,101&lt;p_MesArranque),INDEX(Base_PDF!$F$91:$O$91,1,Calendario!DC$17)/12*INDEX(e_VolC,Calendario!DC$17),0)</f>
        <v>0</v>
      </c>
      <c r="DD40" s="13" t="n">
        <f aca="false">IF(AND(Calendario!DD$16&gt;0,102&lt;p_MesArranque),INDEX(Base_PDF!$F$91:$O$91,1,Calendario!DD$17)/12*INDEX(e_VolC,Calendario!DD$17),0)</f>
        <v>0</v>
      </c>
      <c r="DE40" s="13" t="n">
        <f aca="false">IF(AND(Calendario!DE$16&gt;0,103&lt;p_MesArranque),INDEX(Base_PDF!$F$91:$O$91,1,Calendario!DE$17)/12*INDEX(e_VolC,Calendario!DE$17),0)</f>
        <v>0</v>
      </c>
      <c r="DF40" s="13" t="n">
        <f aca="false">IF(AND(Calendario!DF$16&gt;0,104&lt;p_MesArranque),INDEX(Base_PDF!$F$91:$O$91,1,Calendario!DF$17)/12*INDEX(e_VolC,Calendario!DF$17),0)</f>
        <v>0</v>
      </c>
      <c r="DG40" s="13" t="n">
        <f aca="false">IF(AND(Calendario!DG$16&gt;0,105&lt;p_MesArranque),INDEX(Base_PDF!$F$91:$O$91,1,Calendario!DG$17)/12*INDEX(e_VolC,Calendario!DG$17),0)</f>
        <v>0</v>
      </c>
      <c r="DH40" s="13" t="n">
        <f aca="false">IF(AND(Calendario!DH$16&gt;0,106&lt;p_MesArranque),INDEX(Base_PDF!$F$91:$O$91,1,Calendario!DH$17)/12*INDEX(e_VolC,Calendario!DH$17),0)</f>
        <v>0</v>
      </c>
      <c r="DI40" s="13" t="n">
        <f aca="false">IF(AND(Calendario!DI$16&gt;0,107&lt;p_MesArranque),INDEX(Base_PDF!$F$91:$O$91,1,Calendario!DI$17)/12*INDEX(e_VolC,Calendario!DI$17),0)</f>
        <v>0</v>
      </c>
      <c r="DJ40" s="13" t="n">
        <f aca="false">IF(AND(Calendario!DJ$16&gt;0,108&lt;p_MesArranque),INDEX(Base_PDF!$F$91:$O$91,1,Calendario!DJ$17)/12*INDEX(e_VolC,Calendario!DJ$17),0)</f>
        <v>0</v>
      </c>
      <c r="DK40" s="13" t="n">
        <f aca="false">IF(AND(Calendario!DK$16&gt;0,109&lt;p_MesArranque),INDEX(Base_PDF!$F$91:$O$91,1,Calendario!DK$17)/12*INDEX(e_VolC,Calendario!DK$17),0)</f>
        <v>0</v>
      </c>
      <c r="DL40" s="13" t="n">
        <f aca="false">IF(AND(Calendario!DL$16&gt;0,110&lt;p_MesArranque),INDEX(Base_PDF!$F$91:$O$91,1,Calendario!DL$17)/12*INDEX(e_VolC,Calendario!DL$17),0)</f>
        <v>0</v>
      </c>
      <c r="DM40" s="13" t="n">
        <f aca="false">IF(AND(Calendario!DM$16&gt;0,111&lt;p_MesArranque),INDEX(Base_PDF!$F$91:$O$91,1,Calendario!DM$17)/12*INDEX(e_VolC,Calendario!DM$17),0)</f>
        <v>0</v>
      </c>
      <c r="DN40" s="13" t="n">
        <f aca="false">IF(AND(Calendario!DN$16&gt;0,112&lt;p_MesArranque),INDEX(Base_PDF!$F$91:$O$91,1,Calendario!DN$17)/12*INDEX(e_VolC,Calendario!DN$17),0)</f>
        <v>0</v>
      </c>
      <c r="DO40" s="13" t="n">
        <f aca="false">IF(AND(Calendario!DO$16&gt;0,113&lt;p_MesArranque),INDEX(Base_PDF!$F$91:$O$91,1,Calendario!DO$17)/12*INDEX(e_VolC,Calendario!DO$17),0)</f>
        <v>0</v>
      </c>
      <c r="DP40" s="13" t="n">
        <f aca="false">IF(AND(Calendario!DP$16&gt;0,114&lt;p_MesArranque),INDEX(Base_PDF!$F$91:$O$91,1,Calendario!DP$17)/12*INDEX(e_VolC,Calendario!DP$17),0)</f>
        <v>0</v>
      </c>
      <c r="DQ40" s="13" t="n">
        <f aca="false">IF(AND(Calendario!DQ$16&gt;0,115&lt;p_MesArranque),INDEX(Base_PDF!$F$91:$O$91,1,Calendario!DQ$17)/12*INDEX(e_VolC,Calendario!DQ$17),0)</f>
        <v>0</v>
      </c>
      <c r="DR40" s="13" t="n">
        <f aca="false">IF(AND(Calendario!DR$16&gt;0,116&lt;p_MesArranque),INDEX(Base_PDF!$F$91:$O$91,1,Calendario!DR$17)/12*INDEX(e_VolC,Calendario!DR$17),0)</f>
        <v>0</v>
      </c>
      <c r="DS40" s="13" t="n">
        <f aca="false">IF(AND(Calendario!DS$16&gt;0,117&lt;p_MesArranque),INDEX(Base_PDF!$F$91:$O$91,1,Calendario!DS$17)/12*INDEX(e_VolC,Calendario!DS$17),0)</f>
        <v>0</v>
      </c>
      <c r="DT40" s="13" t="n">
        <f aca="false">IF(AND(Calendario!DT$16&gt;0,118&lt;p_MesArranque),INDEX(Base_PDF!$F$91:$O$91,1,Calendario!DT$17)/12*INDEX(e_VolC,Calendario!DT$17),0)</f>
        <v>0</v>
      </c>
      <c r="DU40" s="13" t="n">
        <f aca="false">IF(AND(Calendario!DU$16&gt;0,119&lt;p_MesArranque),INDEX(Base_PDF!$F$91:$O$91,1,Calendario!DU$17)/12*INDEX(e_VolC,Calendario!DU$17),0)</f>
        <v>0</v>
      </c>
      <c r="DV40" s="13" t="n">
        <f aca="false">IF(AND(Calendario!DV$16&gt;0,120&lt;p_MesArranque),INDEX(Base_PDF!$F$91:$O$91,1,Calendario!DV$17)/12*INDEX(e_VolC,Calendario!DV$17),0)</f>
        <v>0</v>
      </c>
      <c r="DW40" s="13" t="n">
        <f aca="false">IF(AND(Calendario!DW$16&gt;0,121&lt;p_MesArranque),INDEX(Base_PDF!$F$91:$O$91,1,Calendario!DW$17)/12*INDEX(e_VolC,Calendario!DW$17),0)</f>
        <v>0</v>
      </c>
      <c r="DX40" s="13" t="n">
        <f aca="false">IF(AND(Calendario!DX$16&gt;0,122&lt;p_MesArranque),INDEX(Base_PDF!$F$91:$O$91,1,Calendario!DX$17)/12*INDEX(e_VolC,Calendario!DX$17),0)</f>
        <v>0</v>
      </c>
      <c r="DY40" s="13" t="n">
        <f aca="false">IF(AND(Calendario!DY$16&gt;0,123&lt;p_MesArranque),INDEX(Base_PDF!$F$91:$O$91,1,Calendario!DY$17)/12*INDEX(e_VolC,Calendario!DY$17),0)</f>
        <v>0</v>
      </c>
      <c r="DZ40" s="13" t="n">
        <f aca="false">IF(AND(Calendario!DZ$16&gt;0,124&lt;p_MesArranque),INDEX(Base_PDF!$F$91:$O$91,1,Calendario!DZ$17)/12*INDEX(e_VolC,Calendario!DZ$17),0)</f>
        <v>0</v>
      </c>
      <c r="EA40" s="13" t="n">
        <f aca="false">IF(AND(Calendario!EA$16&gt;0,125&lt;p_MesArranque),INDEX(Base_PDF!$F$91:$O$91,1,Calendario!EA$17)/12*INDEX(e_VolC,Calendario!EA$17),0)</f>
        <v>0</v>
      </c>
      <c r="EB40" s="13" t="n">
        <f aca="false">IF(AND(Calendario!EB$16&gt;0,126&lt;p_MesArranque),INDEX(Base_PDF!$F$91:$O$91,1,Calendario!EB$17)/12*INDEX(e_VolC,Calendario!EB$17),0)</f>
        <v>0</v>
      </c>
      <c r="EC40" s="13" t="n">
        <f aca="false">IF(AND(Calendario!EC$16&gt;0,127&lt;p_MesArranque),INDEX(Base_PDF!$F$91:$O$91,1,Calendario!EC$17)/12*INDEX(e_VolC,Calendario!EC$17),0)</f>
        <v>0</v>
      </c>
      <c r="ED40" s="13" t="n">
        <f aca="false">IF(AND(Calendario!ED$16&gt;0,128&lt;p_MesArranque),INDEX(Base_PDF!$F$91:$O$91,1,Calendario!ED$17)/12*INDEX(e_VolC,Calendario!ED$17),0)</f>
        <v>0</v>
      </c>
      <c r="EE40" s="13" t="n">
        <f aca="false">IF(AND(Calendario!EE$16&gt;0,129&lt;p_MesArranque),INDEX(Base_PDF!$F$91:$O$91,1,Calendario!EE$17)/12*INDEX(e_VolC,Calendario!EE$17),0)</f>
        <v>0</v>
      </c>
      <c r="EF40" s="13" t="n">
        <f aca="false">IF(AND(Calendario!EF$16&gt;0,130&lt;p_MesArranque),INDEX(Base_PDF!$F$91:$O$91,1,Calendario!EF$17)/12*INDEX(e_VolC,Calendario!EF$17),0)</f>
        <v>0</v>
      </c>
      <c r="EG40" s="13" t="n">
        <f aca="false">IF(AND(Calendario!EG$16&gt;0,131&lt;p_MesArranque),INDEX(Base_PDF!$F$91:$O$91,1,Calendario!EG$17)/12*INDEX(e_VolC,Calendario!EG$17),0)</f>
        <v>0</v>
      </c>
      <c r="EH40" s="13" t="n">
        <f aca="false">IF(AND(Calendario!EH$16&gt;0,132&lt;p_MesArranque),INDEX(Base_PDF!$F$91:$O$91,1,Calendario!EH$17)/12*INDEX(e_VolC,Calendario!EH$17),0)</f>
        <v>0</v>
      </c>
      <c r="EI40" s="13" t="n">
        <f aca="false">IF(AND(Calendario!EI$16&gt;0,133&lt;p_MesArranque),INDEX(Base_PDF!$F$91:$O$91,1,Calendario!EI$17)/12*INDEX(e_VolC,Calendario!EI$17),0)</f>
        <v>0</v>
      </c>
      <c r="EJ40" s="13" t="n">
        <f aca="false">IF(AND(Calendario!EJ$16&gt;0,134&lt;p_MesArranque),INDEX(Base_PDF!$F$91:$O$91,1,Calendario!EJ$17)/12*INDEX(e_VolC,Calendario!EJ$17),0)</f>
        <v>0</v>
      </c>
      <c r="EK40" s="13" t="n">
        <f aca="false">IF(AND(Calendario!EK$16&gt;0,135&lt;p_MesArranque),INDEX(Base_PDF!$F$91:$O$91,1,Calendario!EK$17)/12*INDEX(e_VolC,Calendario!EK$17),0)</f>
        <v>0</v>
      </c>
      <c r="EL40" s="13" t="n">
        <f aca="false">IF(AND(Calendario!EL$16&gt;0,136&lt;p_MesArranque),INDEX(Base_PDF!$F$91:$O$91,1,Calendario!EL$17)/12*INDEX(e_VolC,Calendario!EL$17),0)</f>
        <v>0</v>
      </c>
      <c r="EM40" s="13" t="n">
        <f aca="false">IF(AND(Calendario!EM$16&gt;0,137&lt;p_MesArranque),INDEX(Base_PDF!$F$91:$O$91,1,Calendario!EM$17)/12*INDEX(e_VolC,Calendario!EM$17),0)</f>
        <v>0</v>
      </c>
      <c r="EN40" s="13" t="n">
        <f aca="false">IF(AND(Calendario!EN$16&gt;0,138&lt;p_MesArranque),INDEX(Base_PDF!$F$91:$O$91,1,Calendario!EN$17)/12*INDEX(e_VolC,Calendario!EN$17),0)</f>
        <v>0</v>
      </c>
      <c r="EO40" s="13" t="n">
        <f aca="false">IF(AND(Calendario!EO$16&gt;0,139&lt;p_MesArranque),INDEX(Base_PDF!$F$91:$O$91,1,Calendario!EO$17)/12*INDEX(e_VolC,Calendario!EO$17),0)</f>
        <v>0</v>
      </c>
      <c r="EP40" s="13" t="n">
        <f aca="false">IF(AND(Calendario!EP$16&gt;0,140&lt;p_MesArranque),INDEX(Base_PDF!$F$91:$O$91,1,Calendario!EP$17)/12*INDEX(e_VolC,Calendario!EP$17),0)</f>
        <v>0</v>
      </c>
      <c r="EQ40" s="13" t="n">
        <f aca="false">IF(AND(Calendario!EQ$16&gt;0,141&lt;p_MesArranque),INDEX(Base_PDF!$F$91:$O$91,1,Calendario!EQ$17)/12*INDEX(e_VolC,Calendario!EQ$17),0)</f>
        <v>0</v>
      </c>
      <c r="ER40" s="13" t="n">
        <f aca="false">IF(AND(Calendario!ER$16&gt;0,142&lt;p_MesArranque),INDEX(Base_PDF!$F$91:$O$91,1,Calendario!ER$17)/12*INDEX(e_VolC,Calendario!ER$17),0)</f>
        <v>0</v>
      </c>
      <c r="ES40" s="13" t="n">
        <f aca="false">IF(AND(Calendario!ES$16&gt;0,143&lt;p_MesArranque),INDEX(Base_PDF!$F$91:$O$91,1,Calendario!ES$17)/12*INDEX(e_VolC,Calendario!ES$17),0)</f>
        <v>0</v>
      </c>
      <c r="ET40" s="13" t="n">
        <f aca="false">IF(AND(Calendario!ET$16&gt;0,144&lt;p_MesArranque),INDEX(Base_PDF!$F$91:$O$91,1,Calendario!ET$17)/12*INDEX(e_VolC,Calendario!ET$17),0)</f>
        <v>0</v>
      </c>
      <c r="EU40" s="13" t="n">
        <f aca="false">IF(AND(Calendario!EU$16&gt;0,145&lt;p_MesArranque),INDEX(Base_PDF!$F$91:$O$91,1,Calendario!EU$17)/12*INDEX(e_VolC,Calendario!EU$17),0)</f>
        <v>0</v>
      </c>
      <c r="EV40" s="13" t="n">
        <f aca="false">IF(AND(Calendario!EV$16&gt;0,146&lt;p_MesArranque),INDEX(Base_PDF!$F$91:$O$91,1,Calendario!EV$17)/12*INDEX(e_VolC,Calendario!EV$17),0)</f>
        <v>0</v>
      </c>
      <c r="EW40" s="13" t="n">
        <f aca="false">IF(AND(Calendario!EW$16&gt;0,147&lt;p_MesArranque),INDEX(Base_PDF!$F$91:$O$91,1,Calendario!EW$17)/12*INDEX(e_VolC,Calendario!EW$17),0)</f>
        <v>0</v>
      </c>
      <c r="EX40" s="13" t="n">
        <f aca="false">IF(AND(Calendario!EX$16&gt;0,148&lt;p_MesArranque),INDEX(Base_PDF!$F$91:$O$91,1,Calendario!EX$17)/12*INDEX(e_VolC,Calendario!EX$17),0)</f>
        <v>0</v>
      </c>
      <c r="EY40" s="13" t="n">
        <f aca="false">IF(AND(Calendario!EY$16&gt;0,149&lt;p_MesArranque),INDEX(Base_PDF!$F$91:$O$91,1,Calendario!EY$17)/12*INDEX(e_VolC,Calendario!EY$17),0)</f>
        <v>0</v>
      </c>
      <c r="EZ40" s="13" t="n">
        <f aca="false">IF(AND(Calendario!EZ$16&gt;0,150&lt;p_MesArranque),INDEX(Base_PDF!$F$91:$O$91,1,Calendario!EZ$17)/12*INDEX(e_VolC,Calendario!EZ$17),0)</f>
        <v>0</v>
      </c>
      <c r="FA40" s="13" t="n">
        <f aca="false">IF(AND(Calendario!FA$16&gt;0,151&lt;p_MesArranque),INDEX(Base_PDF!$F$91:$O$91,1,Calendario!FA$17)/12*INDEX(e_VolC,Calendario!FA$17),0)</f>
        <v>0</v>
      </c>
      <c r="FB40" s="13" t="n">
        <f aca="false">IF(AND(Calendario!FB$16&gt;0,152&lt;p_MesArranque),INDEX(Base_PDF!$F$91:$O$91,1,Calendario!FB$17)/12*INDEX(e_VolC,Calendario!FB$17),0)</f>
        <v>0</v>
      </c>
      <c r="FC40" s="13" t="n">
        <f aca="false">IF(AND(Calendario!FC$16&gt;0,153&lt;p_MesArranque),INDEX(Base_PDF!$F$91:$O$91,1,Calendario!FC$17)/12*INDEX(e_VolC,Calendario!FC$17),0)</f>
        <v>0</v>
      </c>
      <c r="FD40" s="13" t="n">
        <f aca="false">IF(AND(Calendario!FD$16&gt;0,154&lt;p_MesArranque),INDEX(Base_PDF!$F$91:$O$91,1,Calendario!FD$17)/12*INDEX(e_VolC,Calendario!FD$17),0)</f>
        <v>0</v>
      </c>
      <c r="FE40" s="13" t="n">
        <f aca="false">IF(AND(Calendario!FE$16&gt;0,155&lt;p_MesArranque),INDEX(Base_PDF!$F$91:$O$91,1,Calendario!FE$17)/12*INDEX(e_VolC,Calendario!FE$17),0)</f>
        <v>0</v>
      </c>
      <c r="FF40" s="13" t="n">
        <f aca="false">IF(AND(Calendario!FF$16&gt;0,156&lt;p_MesArranque),INDEX(Base_PDF!$F$91:$O$91,1,Calendario!FF$17)/12*INDEX(e_VolC,Calendario!FF$17),0)</f>
        <v>0</v>
      </c>
    </row>
    <row r="41" customFormat="false" ht="15" hidden="false" customHeight="false" outlineLevel="0" collapsed="false">
      <c r="A41" s="2" t="s">
        <v>872</v>
      </c>
      <c r="B41" s="8" t="s">
        <v>839</v>
      </c>
      <c r="C41" s="8" t="s">
        <v>825</v>
      </c>
      <c r="E41" s="65" t="n">
        <f aca="false">SUM($F41:$FF41)</f>
        <v>38000.0000000001</v>
      </c>
      <c r="F41" s="13" t="n">
        <f aca="false">IF(F$8=1,MAX(0,F$34*F$11*(1-e_Rech)-F$38),0)</f>
        <v>0</v>
      </c>
      <c r="G41" s="13" t="n">
        <f aca="false">IF(G$8=1,MAX(0,G$34*G$11*(1-e_Rech)-G$38),0)</f>
        <v>1666.66666666667</v>
      </c>
      <c r="H41" s="13" t="n">
        <f aca="false">IF(H$8=1,MAX(0,H$34*H$11*(1-e_Rech)-H$38),0)</f>
        <v>1666.66666666667</v>
      </c>
      <c r="I41" s="13" t="n">
        <f aca="false">IF(I$8=1,MAX(0,I$34*I$11*(1-e_Rech)-I$38),0)</f>
        <v>1666.66666666667</v>
      </c>
      <c r="J41" s="13" t="n">
        <f aca="false">IF(J$8=1,MAX(0,J$34*J$11*(1-e_Rech)-J$38),0)</f>
        <v>1666.66666666667</v>
      </c>
      <c r="K41" s="13" t="n">
        <f aca="false">IF(K$8=1,MAX(0,K$34*K$11*(1-e_Rech)-K$38),0)</f>
        <v>1666.66666666667</v>
      </c>
      <c r="L41" s="13" t="n">
        <f aca="false">IF(L$8=1,MAX(0,L$34*L$11*(1-e_Rech)-L$38),0)</f>
        <v>1666.66666666667</v>
      </c>
      <c r="M41" s="13" t="n">
        <f aca="false">IF(M$8=1,MAX(0,M$34*M$11*(1-e_Rech)-M$38),0)</f>
        <v>1666.66666666667</v>
      </c>
      <c r="N41" s="13" t="n">
        <f aca="false">IF(N$8=1,MAX(0,N$34*N$11*(1-e_Rech)-N$38),0)</f>
        <v>1666.66666666667</v>
      </c>
      <c r="O41" s="13" t="n">
        <f aca="false">IF(O$8=1,MAX(0,O$34*O$11*(1-e_Rech)-O$38),0)</f>
        <v>1666.66666666667</v>
      </c>
      <c r="P41" s="13" t="n">
        <f aca="false">IF(P$8=1,MAX(0,P$34*P$11*(1-e_Rech)-P$38),0)</f>
        <v>1666.66666666667</v>
      </c>
      <c r="Q41" s="13" t="n">
        <f aca="false">IF(Q$8=1,MAX(0,Q$34*Q$11*(1-e_Rech)-Q$38),0)</f>
        <v>1666.66666666667</v>
      </c>
      <c r="R41" s="13" t="n">
        <f aca="false">IF(R$8=1,MAX(0,R$34*R$11*(1-e_Rech)-R$38),0)</f>
        <v>1666.66666666667</v>
      </c>
      <c r="S41" s="13" t="n">
        <f aca="false">IF(S$8=1,MAX(0,S$34*S$11*(1-e_Rech)-S$38),0)</f>
        <v>0</v>
      </c>
      <c r="T41" s="13" t="n">
        <f aca="false">IF(T$8=1,MAX(0,T$34*T$11*(1-e_Rech)-T$38),0)</f>
        <v>0</v>
      </c>
      <c r="U41" s="13" t="n">
        <f aca="false">IF(U$8=1,MAX(0,U$34*U$11*(1-e_Rech)-U$38),0)</f>
        <v>0</v>
      </c>
      <c r="V41" s="13" t="n">
        <f aca="false">IF(V$8=1,MAX(0,V$34*V$11*(1-e_Rech)-V$38),0)</f>
        <v>0</v>
      </c>
      <c r="W41" s="13" t="n">
        <f aca="false">IF(W$8=1,MAX(0,W$34*W$11*(1-e_Rech)-W$38),0)</f>
        <v>0</v>
      </c>
      <c r="X41" s="13" t="n">
        <f aca="false">IF(X$8=1,MAX(0,X$34*X$11*(1-e_Rech)-X$38),0)</f>
        <v>0</v>
      </c>
      <c r="Y41" s="13" t="n">
        <f aca="false">IF(Y$8=1,MAX(0,Y$34*Y$11*(1-e_Rech)-Y$38),0)</f>
        <v>0</v>
      </c>
      <c r="Z41" s="13" t="n">
        <f aca="false">IF(Z$8=1,MAX(0,Z$34*Z$11*(1-e_Rech)-Z$38),0)</f>
        <v>0</v>
      </c>
      <c r="AA41" s="13" t="n">
        <f aca="false">IF(AA$8=1,MAX(0,AA$34*AA$11*(1-e_Rech)-AA$38),0)</f>
        <v>0</v>
      </c>
      <c r="AB41" s="13" t="n">
        <f aca="false">IF(AB$8=1,MAX(0,AB$34*AB$11*(1-e_Rech)-AB$38),0)</f>
        <v>0</v>
      </c>
      <c r="AC41" s="13" t="n">
        <f aca="false">IF(AC$8=1,MAX(0,AC$34*AC$11*(1-e_Rech)-AC$38),0)</f>
        <v>0</v>
      </c>
      <c r="AD41" s="13" t="n">
        <f aca="false">IF(AD$8=1,MAX(0,AD$34*AD$11*(1-e_Rech)-AD$38),0)</f>
        <v>0</v>
      </c>
      <c r="AE41" s="13" t="n">
        <f aca="false">IF(AE$8=1,MAX(0,AE$34*AE$11*(1-e_Rech)-AE$38),0)</f>
        <v>916.666666666668</v>
      </c>
      <c r="AF41" s="13" t="n">
        <f aca="false">IF(AF$8=1,MAX(0,AF$34*AF$11*(1-e_Rech)-AF$38),0)</f>
        <v>916.666666666668</v>
      </c>
      <c r="AG41" s="13" t="n">
        <f aca="false">IF(AG$8=1,MAX(0,AG$34*AG$11*(1-e_Rech)-AG$38),0)</f>
        <v>916.666666666668</v>
      </c>
      <c r="AH41" s="13" t="n">
        <f aca="false">IF(AH$8=1,MAX(0,AH$34*AH$11*(1-e_Rech)-AH$38),0)</f>
        <v>916.666666666668</v>
      </c>
      <c r="AI41" s="13" t="n">
        <f aca="false">IF(AI$8=1,MAX(0,AI$34*AI$11*(1-e_Rech)-AI$38),0)</f>
        <v>916.666666666668</v>
      </c>
      <c r="AJ41" s="13" t="n">
        <f aca="false">IF(AJ$8=1,MAX(0,AJ$34*AJ$11*(1-e_Rech)-AJ$38),0)</f>
        <v>916.666666666668</v>
      </c>
      <c r="AK41" s="13" t="n">
        <f aca="false">IF(AK$8=1,MAX(0,AK$34*AK$11*(1-e_Rech)-AK$38),0)</f>
        <v>916.666666666668</v>
      </c>
      <c r="AL41" s="13" t="n">
        <f aca="false">IF(AL$8=1,MAX(0,AL$34*AL$11*(1-e_Rech)-AL$38),0)</f>
        <v>916.666666666668</v>
      </c>
      <c r="AM41" s="13" t="n">
        <f aca="false">IF(AM$8=1,MAX(0,AM$34*AM$11*(1-e_Rech)-AM$38),0)</f>
        <v>916.666666666668</v>
      </c>
      <c r="AN41" s="13" t="n">
        <f aca="false">IF(AN$8=1,MAX(0,AN$34*AN$11*(1-e_Rech)-AN$38),0)</f>
        <v>916.666666666668</v>
      </c>
      <c r="AO41" s="13" t="n">
        <f aca="false">IF(AO$8=1,MAX(0,AO$34*AO$11*(1-e_Rech)-AO$38),0)</f>
        <v>916.666666666668</v>
      </c>
      <c r="AP41" s="13" t="n">
        <f aca="false">IF(AP$8=1,MAX(0,AP$34*AP$11*(1-e_Rech)-AP$38),0)</f>
        <v>916.666666666668</v>
      </c>
      <c r="AQ41" s="13" t="n">
        <f aca="false">IF(AQ$8=1,MAX(0,AQ$34*AQ$11*(1-e_Rech)-AQ$38),0)</f>
        <v>83.3333333333339</v>
      </c>
      <c r="AR41" s="13" t="n">
        <f aca="false">IF(AR$8=1,MAX(0,AR$34*AR$11*(1-e_Rech)-AR$38),0)</f>
        <v>83.3333333333339</v>
      </c>
      <c r="AS41" s="13" t="n">
        <f aca="false">IF(AS$8=1,MAX(0,AS$34*AS$11*(1-e_Rech)-AS$38),0)</f>
        <v>83.3333333333339</v>
      </c>
      <c r="AT41" s="13" t="n">
        <f aca="false">IF(AT$8=1,MAX(0,AT$34*AT$11*(1-e_Rech)-AT$38),0)</f>
        <v>83.3333333333339</v>
      </c>
      <c r="AU41" s="13" t="n">
        <f aca="false">IF(AU$8=1,MAX(0,AU$34*AU$11*(1-e_Rech)-AU$38),0)</f>
        <v>83.3333333333339</v>
      </c>
      <c r="AV41" s="13" t="n">
        <f aca="false">IF(AV$8=1,MAX(0,AV$34*AV$11*(1-e_Rech)-AV$38),0)</f>
        <v>83.3333333333339</v>
      </c>
      <c r="AW41" s="13" t="n">
        <f aca="false">IF(AW$8=1,MAX(0,AW$34*AW$11*(1-e_Rech)-AW$38),0)</f>
        <v>83.3333333333339</v>
      </c>
      <c r="AX41" s="13" t="n">
        <f aca="false">IF(AX$8=1,MAX(0,AX$34*AX$11*(1-e_Rech)-AX$38),0)</f>
        <v>83.3333333333339</v>
      </c>
      <c r="AY41" s="13" t="n">
        <f aca="false">IF(AY$8=1,MAX(0,AY$34*AY$11*(1-e_Rech)-AY$38),0)</f>
        <v>83.3333333333339</v>
      </c>
      <c r="AZ41" s="13" t="n">
        <f aca="false">IF(AZ$8=1,MAX(0,AZ$34*AZ$11*(1-e_Rech)-AZ$38),0)</f>
        <v>83.3333333333339</v>
      </c>
      <c r="BA41" s="13" t="n">
        <f aca="false">IF(BA$8=1,MAX(0,BA$34*BA$11*(1-e_Rech)-BA$38),0)</f>
        <v>83.3333333333339</v>
      </c>
      <c r="BB41" s="13" t="n">
        <f aca="false">IF(BB$8=1,MAX(0,BB$34*BB$11*(1-e_Rech)-BB$38),0)</f>
        <v>83.3333333333339</v>
      </c>
      <c r="BC41" s="13" t="n">
        <f aca="false">IF(BC$8=1,MAX(0,BC$34*BC$11*(1-e_Rech)-BC$38),0)</f>
        <v>83.3333333333339</v>
      </c>
      <c r="BD41" s="13" t="n">
        <f aca="false">IF(BD$8=1,MAX(0,BD$34*BD$11*(1-e_Rech)-BD$38),0)</f>
        <v>83.3333333333339</v>
      </c>
      <c r="BE41" s="13" t="n">
        <f aca="false">IF(BE$8=1,MAX(0,BE$34*BE$11*(1-e_Rech)-BE$38),0)</f>
        <v>83.3333333333339</v>
      </c>
      <c r="BF41" s="13" t="n">
        <f aca="false">IF(BF$8=1,MAX(0,BF$34*BF$11*(1-e_Rech)-BF$38),0)</f>
        <v>83.3333333333339</v>
      </c>
      <c r="BG41" s="13" t="n">
        <f aca="false">IF(BG$8=1,MAX(0,BG$34*BG$11*(1-e_Rech)-BG$38),0)</f>
        <v>83.3333333333339</v>
      </c>
      <c r="BH41" s="13" t="n">
        <f aca="false">IF(BH$8=1,MAX(0,BH$34*BH$11*(1-e_Rech)-BH$38),0)</f>
        <v>83.3333333333339</v>
      </c>
      <c r="BI41" s="13" t="n">
        <f aca="false">IF(BI$8=1,MAX(0,BI$34*BI$11*(1-e_Rech)-BI$38),0)</f>
        <v>83.3333333333339</v>
      </c>
      <c r="BJ41" s="13" t="n">
        <f aca="false">IF(BJ$8=1,MAX(0,BJ$34*BJ$11*(1-e_Rech)-BJ$38),0)</f>
        <v>83.3333333333339</v>
      </c>
      <c r="BK41" s="13" t="n">
        <f aca="false">IF(BK$8=1,MAX(0,BK$34*BK$11*(1-e_Rech)-BK$38),0)</f>
        <v>83.3333333333339</v>
      </c>
      <c r="BL41" s="13" t="n">
        <f aca="false">IF(BL$8=1,MAX(0,BL$34*BL$11*(1-e_Rech)-BL$38),0)</f>
        <v>83.3333333333339</v>
      </c>
      <c r="BM41" s="13" t="n">
        <f aca="false">IF(BM$8=1,MAX(0,BM$34*BM$11*(1-e_Rech)-BM$38),0)</f>
        <v>83.3333333333339</v>
      </c>
      <c r="BN41" s="13" t="n">
        <f aca="false">IF(BN$8=1,MAX(0,BN$34*BN$11*(1-e_Rech)-BN$38),0)</f>
        <v>83.3333333333339</v>
      </c>
      <c r="BO41" s="13" t="n">
        <f aca="false">IF(BO$8=1,MAX(0,BO$34*BO$11*(1-e_Rech)-BO$38),0)</f>
        <v>83.3333333333339</v>
      </c>
      <c r="BP41" s="13" t="n">
        <f aca="false">IF(BP$8=1,MAX(0,BP$34*BP$11*(1-e_Rech)-BP$38),0)</f>
        <v>83.3333333333339</v>
      </c>
      <c r="BQ41" s="13" t="n">
        <f aca="false">IF(BQ$8=1,MAX(0,BQ$34*BQ$11*(1-e_Rech)-BQ$38),0)</f>
        <v>83.3333333333339</v>
      </c>
      <c r="BR41" s="13" t="n">
        <f aca="false">IF(BR$8=1,MAX(0,BR$34*BR$11*(1-e_Rech)-BR$38),0)</f>
        <v>83.3333333333339</v>
      </c>
      <c r="BS41" s="13" t="n">
        <f aca="false">IF(BS$8=1,MAX(0,BS$34*BS$11*(1-e_Rech)-BS$38),0)</f>
        <v>83.3333333333339</v>
      </c>
      <c r="BT41" s="13" t="n">
        <f aca="false">IF(BT$8=1,MAX(0,BT$34*BT$11*(1-e_Rech)-BT$38),0)</f>
        <v>83.3333333333339</v>
      </c>
      <c r="BU41" s="13" t="n">
        <f aca="false">IF(BU$8=1,MAX(0,BU$34*BU$11*(1-e_Rech)-BU$38),0)</f>
        <v>83.3333333333339</v>
      </c>
      <c r="BV41" s="13" t="n">
        <f aca="false">IF(BV$8=1,MAX(0,BV$34*BV$11*(1-e_Rech)-BV$38),0)</f>
        <v>83.3333333333339</v>
      </c>
      <c r="BW41" s="13" t="n">
        <f aca="false">IF(BW$8=1,MAX(0,BW$34*BW$11*(1-e_Rech)-BW$38),0)</f>
        <v>83.3333333333339</v>
      </c>
      <c r="BX41" s="13" t="n">
        <f aca="false">IF(BX$8=1,MAX(0,BX$34*BX$11*(1-e_Rech)-BX$38),0)</f>
        <v>83.3333333333339</v>
      </c>
      <c r="BY41" s="13" t="n">
        <f aca="false">IF(BY$8=1,MAX(0,BY$34*BY$11*(1-e_Rech)-BY$38),0)</f>
        <v>83.3333333333339</v>
      </c>
      <c r="BZ41" s="13" t="n">
        <f aca="false">IF(BZ$8=1,MAX(0,BZ$34*BZ$11*(1-e_Rech)-BZ$38),0)</f>
        <v>83.3333333333339</v>
      </c>
      <c r="CA41" s="13" t="n">
        <f aca="false">IF(CA$8=1,MAX(0,CA$34*CA$11*(1-e_Rech)-CA$38),0)</f>
        <v>83.3333333333339</v>
      </c>
      <c r="CB41" s="13" t="n">
        <f aca="false">IF(CB$8=1,MAX(0,CB$34*CB$11*(1-e_Rech)-CB$38),0)</f>
        <v>83.3333333333339</v>
      </c>
      <c r="CC41" s="13" t="n">
        <f aca="false">IF(CC$8=1,MAX(0,CC$34*CC$11*(1-e_Rech)-CC$38),0)</f>
        <v>83.3333333333339</v>
      </c>
      <c r="CD41" s="13" t="n">
        <f aca="false">IF(CD$8=1,MAX(0,CD$34*CD$11*(1-e_Rech)-CD$38),0)</f>
        <v>83.3333333333339</v>
      </c>
      <c r="CE41" s="13" t="n">
        <f aca="false">IF(CE$8=1,MAX(0,CE$34*CE$11*(1-e_Rech)-CE$38),0)</f>
        <v>83.3333333333339</v>
      </c>
      <c r="CF41" s="13" t="n">
        <f aca="false">IF(CF$8=1,MAX(0,CF$34*CF$11*(1-e_Rech)-CF$38),0)</f>
        <v>83.3333333333339</v>
      </c>
      <c r="CG41" s="13" t="n">
        <f aca="false">IF(CG$8=1,MAX(0,CG$34*CG$11*(1-e_Rech)-CG$38),0)</f>
        <v>83.3333333333339</v>
      </c>
      <c r="CH41" s="13" t="n">
        <f aca="false">IF(CH$8=1,MAX(0,CH$34*CH$11*(1-e_Rech)-CH$38),0)</f>
        <v>83.3333333333339</v>
      </c>
      <c r="CI41" s="13" t="n">
        <f aca="false">IF(CI$8=1,MAX(0,CI$34*CI$11*(1-e_Rech)-CI$38),0)</f>
        <v>83.3333333333339</v>
      </c>
      <c r="CJ41" s="13" t="n">
        <f aca="false">IF(CJ$8=1,MAX(0,CJ$34*CJ$11*(1-e_Rech)-CJ$38),0)</f>
        <v>83.3333333333339</v>
      </c>
      <c r="CK41" s="13" t="n">
        <f aca="false">IF(CK$8=1,MAX(0,CK$34*CK$11*(1-e_Rech)-CK$38),0)</f>
        <v>83.3333333333339</v>
      </c>
      <c r="CL41" s="13" t="n">
        <f aca="false">IF(CL$8=1,MAX(0,CL$34*CL$11*(1-e_Rech)-CL$38),0)</f>
        <v>83.3333333333339</v>
      </c>
      <c r="CM41" s="13" t="n">
        <f aca="false">IF(CM$8=1,MAX(0,CM$34*CM$11*(1-e_Rech)-CM$38),0)</f>
        <v>83.3333333333339</v>
      </c>
      <c r="CN41" s="13" t="n">
        <f aca="false">IF(CN$8=1,MAX(0,CN$34*CN$11*(1-e_Rech)-CN$38),0)</f>
        <v>83.3333333333339</v>
      </c>
      <c r="CO41" s="13" t="n">
        <f aca="false">IF(CO$8=1,MAX(0,CO$34*CO$11*(1-e_Rech)-CO$38),0)</f>
        <v>83.3333333333339</v>
      </c>
      <c r="CP41" s="13" t="n">
        <f aca="false">IF(CP$8=1,MAX(0,CP$34*CP$11*(1-e_Rech)-CP$38),0)</f>
        <v>83.3333333333339</v>
      </c>
      <c r="CQ41" s="13" t="n">
        <f aca="false">IF(CQ$8=1,MAX(0,CQ$34*CQ$11*(1-e_Rech)-CQ$38),0)</f>
        <v>83.3333333333339</v>
      </c>
      <c r="CR41" s="13" t="n">
        <f aca="false">IF(CR$8=1,MAX(0,CR$34*CR$11*(1-e_Rech)-CR$38),0)</f>
        <v>83.3333333333339</v>
      </c>
      <c r="CS41" s="13" t="n">
        <f aca="false">IF(CS$8=1,MAX(0,CS$34*CS$11*(1-e_Rech)-CS$38),0)</f>
        <v>83.3333333333339</v>
      </c>
      <c r="CT41" s="13" t="n">
        <f aca="false">IF(CT$8=1,MAX(0,CT$34*CT$11*(1-e_Rech)-CT$38),0)</f>
        <v>83.3333333333339</v>
      </c>
      <c r="CU41" s="13" t="n">
        <f aca="false">IF(CU$8=1,MAX(0,CU$34*CU$11*(1-e_Rech)-CU$38),0)</f>
        <v>83.3333333333339</v>
      </c>
      <c r="CV41" s="13" t="n">
        <f aca="false">IF(CV$8=1,MAX(0,CV$34*CV$11*(1-e_Rech)-CV$38),0)</f>
        <v>83.3333333333339</v>
      </c>
      <c r="CW41" s="13" t="n">
        <f aca="false">IF(CW$8=1,MAX(0,CW$34*CW$11*(1-e_Rech)-CW$38),0)</f>
        <v>83.3333333333339</v>
      </c>
      <c r="CX41" s="13" t="n">
        <f aca="false">IF(CX$8=1,MAX(0,CX$34*CX$11*(1-e_Rech)-CX$38),0)</f>
        <v>83.3333333333339</v>
      </c>
      <c r="CY41" s="13" t="n">
        <f aca="false">IF(CY$8=1,MAX(0,CY$34*CY$11*(1-e_Rech)-CY$38),0)</f>
        <v>83.3333333333339</v>
      </c>
      <c r="CZ41" s="13" t="n">
        <f aca="false">IF(CZ$8=1,MAX(0,CZ$34*CZ$11*(1-e_Rech)-CZ$38),0)</f>
        <v>83.3333333333339</v>
      </c>
      <c r="DA41" s="13" t="n">
        <f aca="false">IF(DA$8=1,MAX(0,DA$34*DA$11*(1-e_Rech)-DA$38),0)</f>
        <v>83.3333333333339</v>
      </c>
      <c r="DB41" s="13" t="n">
        <f aca="false">IF(DB$8=1,MAX(0,DB$34*DB$11*(1-e_Rech)-DB$38),0)</f>
        <v>83.3333333333339</v>
      </c>
      <c r="DC41" s="13" t="n">
        <f aca="false">IF(DC$8=1,MAX(0,DC$34*DC$11*(1-e_Rech)-DC$38),0)</f>
        <v>83.3333333333339</v>
      </c>
      <c r="DD41" s="13" t="n">
        <f aca="false">IF(DD$8=1,MAX(0,DD$34*DD$11*(1-e_Rech)-DD$38),0)</f>
        <v>83.3333333333339</v>
      </c>
      <c r="DE41" s="13" t="n">
        <f aca="false">IF(DE$8=1,MAX(0,DE$34*DE$11*(1-e_Rech)-DE$38),0)</f>
        <v>83.3333333333339</v>
      </c>
      <c r="DF41" s="13" t="n">
        <f aca="false">IF(DF$8=1,MAX(0,DF$34*DF$11*(1-e_Rech)-DF$38),0)</f>
        <v>83.3333333333339</v>
      </c>
      <c r="DG41" s="13" t="n">
        <f aca="false">IF(DG$8=1,MAX(0,DG$34*DG$11*(1-e_Rech)-DG$38),0)</f>
        <v>83.3333333333339</v>
      </c>
      <c r="DH41" s="13" t="n">
        <f aca="false">IF(DH$8=1,MAX(0,DH$34*DH$11*(1-e_Rech)-DH$38),0)</f>
        <v>83.3333333333339</v>
      </c>
      <c r="DI41" s="13" t="n">
        <f aca="false">IF(DI$8=1,MAX(0,DI$34*DI$11*(1-e_Rech)-DI$38),0)</f>
        <v>83.3333333333339</v>
      </c>
      <c r="DJ41" s="13" t="n">
        <f aca="false">IF(DJ$8=1,MAX(0,DJ$34*DJ$11*(1-e_Rech)-DJ$38),0)</f>
        <v>83.3333333333339</v>
      </c>
      <c r="DK41" s="13" t="n">
        <f aca="false">IF(DK$8=1,MAX(0,DK$34*DK$11*(1-e_Rech)-DK$38),0)</f>
        <v>83.3333333333339</v>
      </c>
      <c r="DL41" s="13" t="n">
        <f aca="false">IF(DL$8=1,MAX(0,DL$34*DL$11*(1-e_Rech)-DL$38),0)</f>
        <v>83.3333333333339</v>
      </c>
      <c r="DM41" s="13" t="n">
        <f aca="false">IF(DM$8=1,MAX(0,DM$34*DM$11*(1-e_Rech)-DM$38),0)</f>
        <v>83.3333333333339</v>
      </c>
      <c r="DN41" s="13" t="n">
        <f aca="false">IF(DN$8=1,MAX(0,DN$34*DN$11*(1-e_Rech)-DN$38),0)</f>
        <v>83.3333333333339</v>
      </c>
      <c r="DO41" s="13" t="n">
        <f aca="false">IF(DO$8=1,MAX(0,DO$34*DO$11*(1-e_Rech)-DO$38),0)</f>
        <v>83.3333333333339</v>
      </c>
      <c r="DP41" s="13" t="n">
        <f aca="false">IF(DP$8=1,MAX(0,DP$34*DP$11*(1-e_Rech)-DP$38),0)</f>
        <v>83.3333333333339</v>
      </c>
      <c r="DQ41" s="13" t="n">
        <f aca="false">IF(DQ$8=1,MAX(0,DQ$34*DQ$11*(1-e_Rech)-DQ$38),0)</f>
        <v>83.3333333333339</v>
      </c>
      <c r="DR41" s="13" t="n">
        <f aca="false">IF(DR$8=1,MAX(0,DR$34*DR$11*(1-e_Rech)-DR$38),0)</f>
        <v>83.3333333333339</v>
      </c>
      <c r="DS41" s="13" t="n">
        <f aca="false">IF(DS$8=1,MAX(0,DS$34*DS$11*(1-e_Rech)-DS$38),0)</f>
        <v>83.3333333333339</v>
      </c>
      <c r="DT41" s="13" t="n">
        <f aca="false">IF(DT$8=1,MAX(0,DT$34*DT$11*(1-e_Rech)-DT$38),0)</f>
        <v>83.3333333333339</v>
      </c>
      <c r="DU41" s="13" t="n">
        <f aca="false">IF(DU$8=1,MAX(0,DU$34*DU$11*(1-e_Rech)-DU$38),0)</f>
        <v>83.3333333333339</v>
      </c>
      <c r="DV41" s="13" t="n">
        <f aca="false">IF(DV$8=1,MAX(0,DV$34*DV$11*(1-e_Rech)-DV$38),0)</f>
        <v>83.3333333333339</v>
      </c>
      <c r="DW41" s="13" t="n">
        <f aca="false">IF(DW$8=1,MAX(0,DW$34*DW$11*(1-e_Rech)-DW$38),0)</f>
        <v>0</v>
      </c>
      <c r="DX41" s="13" t="n">
        <f aca="false">IF(DX$8=1,MAX(0,DX$34*DX$11*(1-e_Rech)-DX$38),0)</f>
        <v>0</v>
      </c>
      <c r="DY41" s="13" t="n">
        <f aca="false">IF(DY$8=1,MAX(0,DY$34*DY$11*(1-e_Rech)-DY$38),0)</f>
        <v>0</v>
      </c>
      <c r="DZ41" s="13" t="n">
        <f aca="false">IF(DZ$8=1,MAX(0,DZ$34*DZ$11*(1-e_Rech)-DZ$38),0)</f>
        <v>0</v>
      </c>
      <c r="EA41" s="13" t="n">
        <f aca="false">IF(EA$8=1,MAX(0,EA$34*EA$11*(1-e_Rech)-EA$38),0)</f>
        <v>0</v>
      </c>
      <c r="EB41" s="13" t="n">
        <f aca="false">IF(EB$8=1,MAX(0,EB$34*EB$11*(1-e_Rech)-EB$38),0)</f>
        <v>0</v>
      </c>
      <c r="EC41" s="13" t="n">
        <f aca="false">IF(EC$8=1,MAX(0,EC$34*EC$11*(1-e_Rech)-EC$38),0)</f>
        <v>0</v>
      </c>
      <c r="ED41" s="13" t="n">
        <f aca="false">IF(ED$8=1,MAX(0,ED$34*ED$11*(1-e_Rech)-ED$38),0)</f>
        <v>0</v>
      </c>
      <c r="EE41" s="13" t="n">
        <f aca="false">IF(EE$8=1,MAX(0,EE$34*EE$11*(1-e_Rech)-EE$38),0)</f>
        <v>0</v>
      </c>
      <c r="EF41" s="13" t="n">
        <f aca="false">IF(EF$8=1,MAX(0,EF$34*EF$11*(1-e_Rech)-EF$38),0)</f>
        <v>0</v>
      </c>
      <c r="EG41" s="13" t="n">
        <f aca="false">IF(EG$8=1,MAX(0,EG$34*EG$11*(1-e_Rech)-EG$38),0)</f>
        <v>0</v>
      </c>
      <c r="EH41" s="13" t="n">
        <f aca="false">IF(EH$8=1,MAX(0,EH$34*EH$11*(1-e_Rech)-EH$38),0)</f>
        <v>0</v>
      </c>
      <c r="EI41" s="13" t="n">
        <f aca="false">IF(EI$8=1,MAX(0,EI$34*EI$11*(1-e_Rech)-EI$38),0)</f>
        <v>0</v>
      </c>
      <c r="EJ41" s="13" t="n">
        <f aca="false">IF(EJ$8=1,MAX(0,EJ$34*EJ$11*(1-e_Rech)-EJ$38),0)</f>
        <v>0</v>
      </c>
      <c r="EK41" s="13" t="n">
        <f aca="false">IF(EK$8=1,MAX(0,EK$34*EK$11*(1-e_Rech)-EK$38),0)</f>
        <v>0</v>
      </c>
      <c r="EL41" s="13" t="n">
        <f aca="false">IF(EL$8=1,MAX(0,EL$34*EL$11*(1-e_Rech)-EL$38),0)</f>
        <v>0</v>
      </c>
      <c r="EM41" s="13" t="n">
        <f aca="false">IF(EM$8=1,MAX(0,EM$34*EM$11*(1-e_Rech)-EM$38),0)</f>
        <v>0</v>
      </c>
      <c r="EN41" s="13" t="n">
        <f aca="false">IF(EN$8=1,MAX(0,EN$34*EN$11*(1-e_Rech)-EN$38),0)</f>
        <v>0</v>
      </c>
      <c r="EO41" s="13" t="n">
        <f aca="false">IF(EO$8=1,MAX(0,EO$34*EO$11*(1-e_Rech)-EO$38),0)</f>
        <v>0</v>
      </c>
      <c r="EP41" s="13" t="n">
        <f aca="false">IF(EP$8=1,MAX(0,EP$34*EP$11*(1-e_Rech)-EP$38),0)</f>
        <v>0</v>
      </c>
      <c r="EQ41" s="13" t="n">
        <f aca="false">IF(EQ$8=1,MAX(0,EQ$34*EQ$11*(1-e_Rech)-EQ$38),0)</f>
        <v>0</v>
      </c>
      <c r="ER41" s="13" t="n">
        <f aca="false">IF(ER$8=1,MAX(0,ER$34*ER$11*(1-e_Rech)-ER$38),0)</f>
        <v>0</v>
      </c>
      <c r="ES41" s="13" t="n">
        <f aca="false">IF(ES$8=1,MAX(0,ES$34*ES$11*(1-e_Rech)-ES$38),0)</f>
        <v>0</v>
      </c>
      <c r="ET41" s="13" t="n">
        <f aca="false">IF(ET$8=1,MAX(0,ET$34*ET$11*(1-e_Rech)-ET$38),0)</f>
        <v>0</v>
      </c>
      <c r="EU41" s="13" t="n">
        <f aca="false">IF(EU$8=1,MAX(0,EU$34*EU$11*(1-e_Rech)-EU$38),0)</f>
        <v>0</v>
      </c>
      <c r="EV41" s="13" t="n">
        <f aca="false">IF(EV$8=1,MAX(0,EV$34*EV$11*(1-e_Rech)-EV$38),0)</f>
        <v>0</v>
      </c>
      <c r="EW41" s="13" t="n">
        <f aca="false">IF(EW$8=1,MAX(0,EW$34*EW$11*(1-e_Rech)-EW$38),0)</f>
        <v>0</v>
      </c>
      <c r="EX41" s="13" t="n">
        <f aca="false">IF(EX$8=1,MAX(0,EX$34*EX$11*(1-e_Rech)-EX$38),0)</f>
        <v>0</v>
      </c>
      <c r="EY41" s="13" t="n">
        <f aca="false">IF(EY$8=1,MAX(0,EY$34*EY$11*(1-e_Rech)-EY$38),0)</f>
        <v>0</v>
      </c>
      <c r="EZ41" s="13" t="n">
        <f aca="false">IF(EZ$8=1,MAX(0,EZ$34*EZ$11*(1-e_Rech)-EZ$38),0)</f>
        <v>0</v>
      </c>
      <c r="FA41" s="13" t="n">
        <f aca="false">IF(FA$8=1,MAX(0,FA$34*FA$11*(1-e_Rech)-FA$38),0)</f>
        <v>0</v>
      </c>
      <c r="FB41" s="13" t="n">
        <f aca="false">IF(FB$8=1,MAX(0,FB$34*FB$11*(1-e_Rech)-FB$38),0)</f>
        <v>0</v>
      </c>
      <c r="FC41" s="13" t="n">
        <f aca="false">IF(FC$8=1,MAX(0,FC$34*FC$11*(1-e_Rech)-FC$38),0)</f>
        <v>0</v>
      </c>
      <c r="FD41" s="13" t="n">
        <f aca="false">IF(FD$8=1,MAX(0,FD$34*FD$11*(1-e_Rech)-FD$38),0)</f>
        <v>0</v>
      </c>
      <c r="FE41" s="13" t="n">
        <f aca="false">IF(FE$8=1,MAX(0,FE$34*FE$11*(1-e_Rech)-FE$38),0)</f>
        <v>0</v>
      </c>
      <c r="FF41" s="13" t="n">
        <f aca="false">IF(FF$8=1,MAX(0,FF$34*FF$11*(1-e_Rech)-FF$38),0)</f>
        <v>0</v>
      </c>
    </row>
    <row r="42" customFormat="false" ht="15" hidden="false" customHeight="false" outlineLevel="0" collapsed="false">
      <c r="A42" s="2" t="s">
        <v>873</v>
      </c>
      <c r="B42" s="8" t="s">
        <v>841</v>
      </c>
      <c r="C42" s="8" t="s">
        <v>825</v>
      </c>
      <c r="E42" s="65" t="n">
        <f aca="false">SUM($F42:$FF42)</f>
        <v>0</v>
      </c>
      <c r="F42" s="13" t="n">
        <f aca="false">0</f>
        <v>0</v>
      </c>
      <c r="G42" s="13" t="n">
        <f aca="false">MIN(F$43,G$41)</f>
        <v>0</v>
      </c>
      <c r="H42" s="13" t="n">
        <f aca="false">MIN(G$43,H$41)</f>
        <v>0</v>
      </c>
      <c r="I42" s="13" t="n">
        <f aca="false">MIN(H$43,I$41)</f>
        <v>0</v>
      </c>
      <c r="J42" s="13" t="n">
        <f aca="false">MIN(I$43,J$41)</f>
        <v>0</v>
      </c>
      <c r="K42" s="13" t="n">
        <f aca="false">MIN(J$43,K$41)</f>
        <v>0</v>
      </c>
      <c r="L42" s="13" t="n">
        <f aca="false">MIN(K$43,L$41)</f>
        <v>0</v>
      </c>
      <c r="M42" s="13" t="n">
        <f aca="false">MIN(L$43,M$41)</f>
        <v>0</v>
      </c>
      <c r="N42" s="13" t="n">
        <f aca="false">MIN(M$43,N$41)</f>
        <v>0</v>
      </c>
      <c r="O42" s="13" t="n">
        <f aca="false">MIN(N$43,O$41)</f>
        <v>0</v>
      </c>
      <c r="P42" s="13" t="n">
        <f aca="false">MIN(O$43,P$41)</f>
        <v>0</v>
      </c>
      <c r="Q42" s="13" t="n">
        <f aca="false">MIN(P$43,Q$41)</f>
        <v>0</v>
      </c>
      <c r="R42" s="13" t="n">
        <f aca="false">MIN(Q$43,R$41)</f>
        <v>0</v>
      </c>
      <c r="S42" s="13" t="n">
        <f aca="false">MIN(R$43,S$41)</f>
        <v>0</v>
      </c>
      <c r="T42" s="13" t="n">
        <f aca="false">MIN(S$43,T$41)</f>
        <v>0</v>
      </c>
      <c r="U42" s="13" t="n">
        <f aca="false">MIN(T$43,U$41)</f>
        <v>0</v>
      </c>
      <c r="V42" s="13" t="n">
        <f aca="false">MIN(U$43,V$41)</f>
        <v>0</v>
      </c>
      <c r="W42" s="13" t="n">
        <f aca="false">MIN(V$43,W$41)</f>
        <v>0</v>
      </c>
      <c r="X42" s="13" t="n">
        <f aca="false">MIN(W$43,X$41)</f>
        <v>0</v>
      </c>
      <c r="Y42" s="13" t="n">
        <f aca="false">MIN(X$43,Y$41)</f>
        <v>0</v>
      </c>
      <c r="Z42" s="13" t="n">
        <f aca="false">MIN(Y$43,Z$41)</f>
        <v>0</v>
      </c>
      <c r="AA42" s="13" t="n">
        <f aca="false">MIN(Z$43,AA$41)</f>
        <v>0</v>
      </c>
      <c r="AB42" s="13" t="n">
        <f aca="false">MIN(AA$43,AB$41)</f>
        <v>0</v>
      </c>
      <c r="AC42" s="13" t="n">
        <f aca="false">MIN(AB$43,AC$41)</f>
        <v>0</v>
      </c>
      <c r="AD42" s="13" t="n">
        <f aca="false">MIN(AC$43,AD$41)</f>
        <v>0</v>
      </c>
      <c r="AE42" s="13" t="n">
        <f aca="false">MIN(AD$43,AE$41)</f>
        <v>0</v>
      </c>
      <c r="AF42" s="13" t="n">
        <f aca="false">MIN(AE$43,AF$41)</f>
        <v>0</v>
      </c>
      <c r="AG42" s="13" t="n">
        <f aca="false">MIN(AF$43,AG$41)</f>
        <v>0</v>
      </c>
      <c r="AH42" s="13" t="n">
        <f aca="false">MIN(AG$43,AH$41)</f>
        <v>0</v>
      </c>
      <c r="AI42" s="13" t="n">
        <f aca="false">MIN(AH$43,AI$41)</f>
        <v>0</v>
      </c>
      <c r="AJ42" s="13" t="n">
        <f aca="false">MIN(AI$43,AJ$41)</f>
        <v>0</v>
      </c>
      <c r="AK42" s="13" t="n">
        <f aca="false">MIN(AJ$43,AK$41)</f>
        <v>0</v>
      </c>
      <c r="AL42" s="13" t="n">
        <f aca="false">MIN(AK$43,AL$41)</f>
        <v>0</v>
      </c>
      <c r="AM42" s="13" t="n">
        <f aca="false">MIN(AL$43,AM$41)</f>
        <v>0</v>
      </c>
      <c r="AN42" s="13" t="n">
        <f aca="false">MIN(AM$43,AN$41)</f>
        <v>0</v>
      </c>
      <c r="AO42" s="13" t="n">
        <f aca="false">MIN(AN$43,AO$41)</f>
        <v>0</v>
      </c>
      <c r="AP42" s="13" t="n">
        <f aca="false">MIN(AO$43,AP$41)</f>
        <v>0</v>
      </c>
      <c r="AQ42" s="13" t="n">
        <f aca="false">MIN(AP$43,AQ$41)</f>
        <v>0</v>
      </c>
      <c r="AR42" s="13" t="n">
        <f aca="false">MIN(AQ$43,AR$41)</f>
        <v>0</v>
      </c>
      <c r="AS42" s="13" t="n">
        <f aca="false">MIN(AR$43,AS$41)</f>
        <v>0</v>
      </c>
      <c r="AT42" s="13" t="n">
        <f aca="false">MIN(AS$43,AT$41)</f>
        <v>0</v>
      </c>
      <c r="AU42" s="13" t="n">
        <f aca="false">MIN(AT$43,AU$41)</f>
        <v>0</v>
      </c>
      <c r="AV42" s="13" t="n">
        <f aca="false">MIN(AU$43,AV$41)</f>
        <v>0</v>
      </c>
      <c r="AW42" s="13" t="n">
        <f aca="false">MIN(AV$43,AW$41)</f>
        <v>0</v>
      </c>
      <c r="AX42" s="13" t="n">
        <f aca="false">MIN(AW$43,AX$41)</f>
        <v>0</v>
      </c>
      <c r="AY42" s="13" t="n">
        <f aca="false">MIN(AX$43,AY$41)</f>
        <v>0</v>
      </c>
      <c r="AZ42" s="13" t="n">
        <f aca="false">MIN(AY$43,AZ$41)</f>
        <v>0</v>
      </c>
      <c r="BA42" s="13" t="n">
        <f aca="false">MIN(AZ$43,BA$41)</f>
        <v>0</v>
      </c>
      <c r="BB42" s="13" t="n">
        <f aca="false">MIN(BA$43,BB$41)</f>
        <v>0</v>
      </c>
      <c r="BC42" s="13" t="n">
        <f aca="false">MIN(BB$43,BC$41)</f>
        <v>0</v>
      </c>
      <c r="BD42" s="13" t="n">
        <f aca="false">MIN(BC$43,BD$41)</f>
        <v>0</v>
      </c>
      <c r="BE42" s="13" t="n">
        <f aca="false">MIN(BD$43,BE$41)</f>
        <v>0</v>
      </c>
      <c r="BF42" s="13" t="n">
        <f aca="false">MIN(BE$43,BF$41)</f>
        <v>0</v>
      </c>
      <c r="BG42" s="13" t="n">
        <f aca="false">MIN(BF$43,BG$41)</f>
        <v>0</v>
      </c>
      <c r="BH42" s="13" t="n">
        <f aca="false">MIN(BG$43,BH$41)</f>
        <v>0</v>
      </c>
      <c r="BI42" s="13" t="n">
        <f aca="false">MIN(BH$43,BI$41)</f>
        <v>0</v>
      </c>
      <c r="BJ42" s="13" t="n">
        <f aca="false">MIN(BI$43,BJ$41)</f>
        <v>0</v>
      </c>
      <c r="BK42" s="13" t="n">
        <f aca="false">MIN(BJ$43,BK$41)</f>
        <v>0</v>
      </c>
      <c r="BL42" s="13" t="n">
        <f aca="false">MIN(BK$43,BL$41)</f>
        <v>0</v>
      </c>
      <c r="BM42" s="13" t="n">
        <f aca="false">MIN(BL$43,BM$41)</f>
        <v>0</v>
      </c>
      <c r="BN42" s="13" t="n">
        <f aca="false">MIN(BM$43,BN$41)</f>
        <v>0</v>
      </c>
      <c r="BO42" s="13" t="n">
        <f aca="false">MIN(BN$43,BO$41)</f>
        <v>0</v>
      </c>
      <c r="BP42" s="13" t="n">
        <f aca="false">MIN(BO$43,BP$41)</f>
        <v>0</v>
      </c>
      <c r="BQ42" s="13" t="n">
        <f aca="false">MIN(BP$43,BQ$41)</f>
        <v>0</v>
      </c>
      <c r="BR42" s="13" t="n">
        <f aca="false">MIN(BQ$43,BR$41)</f>
        <v>0</v>
      </c>
      <c r="BS42" s="13" t="n">
        <f aca="false">MIN(BR$43,BS$41)</f>
        <v>0</v>
      </c>
      <c r="BT42" s="13" t="n">
        <f aca="false">MIN(BS$43,BT$41)</f>
        <v>0</v>
      </c>
      <c r="BU42" s="13" t="n">
        <f aca="false">MIN(BT$43,BU$41)</f>
        <v>0</v>
      </c>
      <c r="BV42" s="13" t="n">
        <f aca="false">MIN(BU$43,BV$41)</f>
        <v>0</v>
      </c>
      <c r="BW42" s="13" t="n">
        <f aca="false">MIN(BV$43,BW$41)</f>
        <v>0</v>
      </c>
      <c r="BX42" s="13" t="n">
        <f aca="false">MIN(BW$43,BX$41)</f>
        <v>0</v>
      </c>
      <c r="BY42" s="13" t="n">
        <f aca="false">MIN(BX$43,BY$41)</f>
        <v>0</v>
      </c>
      <c r="BZ42" s="13" t="n">
        <f aca="false">MIN(BY$43,BZ$41)</f>
        <v>0</v>
      </c>
      <c r="CA42" s="13" t="n">
        <f aca="false">MIN(BZ$43,CA$41)</f>
        <v>0</v>
      </c>
      <c r="CB42" s="13" t="n">
        <f aca="false">MIN(CA$43,CB$41)</f>
        <v>0</v>
      </c>
      <c r="CC42" s="13" t="n">
        <f aca="false">MIN(CB$43,CC$41)</f>
        <v>0</v>
      </c>
      <c r="CD42" s="13" t="n">
        <f aca="false">MIN(CC$43,CD$41)</f>
        <v>0</v>
      </c>
      <c r="CE42" s="13" t="n">
        <f aca="false">MIN(CD$43,CE$41)</f>
        <v>0</v>
      </c>
      <c r="CF42" s="13" t="n">
        <f aca="false">MIN(CE$43,CF$41)</f>
        <v>0</v>
      </c>
      <c r="CG42" s="13" t="n">
        <f aca="false">MIN(CF$43,CG$41)</f>
        <v>0</v>
      </c>
      <c r="CH42" s="13" t="n">
        <f aca="false">MIN(CG$43,CH$41)</f>
        <v>0</v>
      </c>
      <c r="CI42" s="13" t="n">
        <f aca="false">MIN(CH$43,CI$41)</f>
        <v>0</v>
      </c>
      <c r="CJ42" s="13" t="n">
        <f aca="false">MIN(CI$43,CJ$41)</f>
        <v>0</v>
      </c>
      <c r="CK42" s="13" t="n">
        <f aca="false">MIN(CJ$43,CK$41)</f>
        <v>0</v>
      </c>
      <c r="CL42" s="13" t="n">
        <f aca="false">MIN(CK$43,CL$41)</f>
        <v>0</v>
      </c>
      <c r="CM42" s="13" t="n">
        <f aca="false">MIN(CL$43,CM$41)</f>
        <v>0</v>
      </c>
      <c r="CN42" s="13" t="n">
        <f aca="false">MIN(CM$43,CN$41)</f>
        <v>0</v>
      </c>
      <c r="CO42" s="13" t="n">
        <f aca="false">MIN(CN$43,CO$41)</f>
        <v>0</v>
      </c>
      <c r="CP42" s="13" t="n">
        <f aca="false">MIN(CO$43,CP$41)</f>
        <v>0</v>
      </c>
      <c r="CQ42" s="13" t="n">
        <f aca="false">MIN(CP$43,CQ$41)</f>
        <v>0</v>
      </c>
      <c r="CR42" s="13" t="n">
        <f aca="false">MIN(CQ$43,CR$41)</f>
        <v>0</v>
      </c>
      <c r="CS42" s="13" t="n">
        <f aca="false">MIN(CR$43,CS$41)</f>
        <v>0</v>
      </c>
      <c r="CT42" s="13" t="n">
        <f aca="false">MIN(CS$43,CT$41)</f>
        <v>0</v>
      </c>
      <c r="CU42" s="13" t="n">
        <f aca="false">MIN(CT$43,CU$41)</f>
        <v>0</v>
      </c>
      <c r="CV42" s="13" t="n">
        <f aca="false">MIN(CU$43,CV$41)</f>
        <v>0</v>
      </c>
      <c r="CW42" s="13" t="n">
        <f aca="false">MIN(CV$43,CW$41)</f>
        <v>0</v>
      </c>
      <c r="CX42" s="13" t="n">
        <f aca="false">MIN(CW$43,CX$41)</f>
        <v>0</v>
      </c>
      <c r="CY42" s="13" t="n">
        <f aca="false">MIN(CX$43,CY$41)</f>
        <v>0</v>
      </c>
      <c r="CZ42" s="13" t="n">
        <f aca="false">MIN(CY$43,CZ$41)</f>
        <v>0</v>
      </c>
      <c r="DA42" s="13" t="n">
        <f aca="false">MIN(CZ$43,DA$41)</f>
        <v>0</v>
      </c>
      <c r="DB42" s="13" t="n">
        <f aca="false">MIN(DA$43,DB$41)</f>
        <v>0</v>
      </c>
      <c r="DC42" s="13" t="n">
        <f aca="false">MIN(DB$43,DC$41)</f>
        <v>0</v>
      </c>
      <c r="DD42" s="13" t="n">
        <f aca="false">MIN(DC$43,DD$41)</f>
        <v>0</v>
      </c>
      <c r="DE42" s="13" t="n">
        <f aca="false">MIN(DD$43,DE$41)</f>
        <v>0</v>
      </c>
      <c r="DF42" s="13" t="n">
        <f aca="false">MIN(DE$43,DF$41)</f>
        <v>0</v>
      </c>
      <c r="DG42" s="13" t="n">
        <f aca="false">MIN(DF$43,DG$41)</f>
        <v>0</v>
      </c>
      <c r="DH42" s="13" t="n">
        <f aca="false">MIN(DG$43,DH$41)</f>
        <v>0</v>
      </c>
      <c r="DI42" s="13" t="n">
        <f aca="false">MIN(DH$43,DI$41)</f>
        <v>0</v>
      </c>
      <c r="DJ42" s="13" t="n">
        <f aca="false">MIN(DI$43,DJ$41)</f>
        <v>0</v>
      </c>
      <c r="DK42" s="13" t="n">
        <f aca="false">MIN(DJ$43,DK$41)</f>
        <v>0</v>
      </c>
      <c r="DL42" s="13" t="n">
        <f aca="false">MIN(DK$43,DL$41)</f>
        <v>0</v>
      </c>
      <c r="DM42" s="13" t="n">
        <f aca="false">MIN(DL$43,DM$41)</f>
        <v>0</v>
      </c>
      <c r="DN42" s="13" t="n">
        <f aca="false">MIN(DM$43,DN$41)</f>
        <v>0</v>
      </c>
      <c r="DO42" s="13" t="n">
        <f aca="false">MIN(DN$43,DO$41)</f>
        <v>0</v>
      </c>
      <c r="DP42" s="13" t="n">
        <f aca="false">MIN(DO$43,DP$41)</f>
        <v>0</v>
      </c>
      <c r="DQ42" s="13" t="n">
        <f aca="false">MIN(DP$43,DQ$41)</f>
        <v>0</v>
      </c>
      <c r="DR42" s="13" t="n">
        <f aca="false">MIN(DQ$43,DR$41)</f>
        <v>0</v>
      </c>
      <c r="DS42" s="13" t="n">
        <f aca="false">MIN(DR$43,DS$41)</f>
        <v>0</v>
      </c>
      <c r="DT42" s="13" t="n">
        <f aca="false">MIN(DS$43,DT$41)</f>
        <v>0</v>
      </c>
      <c r="DU42" s="13" t="n">
        <f aca="false">MIN(DT$43,DU$41)</f>
        <v>0</v>
      </c>
      <c r="DV42" s="13" t="n">
        <f aca="false">MIN(DU$43,DV$41)</f>
        <v>0</v>
      </c>
      <c r="DW42" s="13" t="n">
        <f aca="false">MIN(DV$43,DW$41)</f>
        <v>0</v>
      </c>
      <c r="DX42" s="13" t="n">
        <f aca="false">MIN(DW$43,DX$41)</f>
        <v>0</v>
      </c>
      <c r="DY42" s="13" t="n">
        <f aca="false">MIN(DX$43,DY$41)</f>
        <v>0</v>
      </c>
      <c r="DZ42" s="13" t="n">
        <f aca="false">MIN(DY$43,DZ$41)</f>
        <v>0</v>
      </c>
      <c r="EA42" s="13" t="n">
        <f aca="false">MIN(DZ$43,EA$41)</f>
        <v>0</v>
      </c>
      <c r="EB42" s="13" t="n">
        <f aca="false">MIN(EA$43,EB$41)</f>
        <v>0</v>
      </c>
      <c r="EC42" s="13" t="n">
        <f aca="false">MIN(EB$43,EC$41)</f>
        <v>0</v>
      </c>
      <c r="ED42" s="13" t="n">
        <f aca="false">MIN(EC$43,ED$41)</f>
        <v>0</v>
      </c>
      <c r="EE42" s="13" t="n">
        <f aca="false">MIN(ED$43,EE$41)</f>
        <v>0</v>
      </c>
      <c r="EF42" s="13" t="n">
        <f aca="false">MIN(EE$43,EF$41)</f>
        <v>0</v>
      </c>
      <c r="EG42" s="13" t="n">
        <f aca="false">MIN(EF$43,EG$41)</f>
        <v>0</v>
      </c>
      <c r="EH42" s="13" t="n">
        <f aca="false">MIN(EG$43,EH$41)</f>
        <v>0</v>
      </c>
      <c r="EI42" s="13" t="n">
        <f aca="false">MIN(EH$43,EI$41)</f>
        <v>0</v>
      </c>
      <c r="EJ42" s="13" t="n">
        <f aca="false">MIN(EI$43,EJ$41)</f>
        <v>0</v>
      </c>
      <c r="EK42" s="13" t="n">
        <f aca="false">MIN(EJ$43,EK$41)</f>
        <v>0</v>
      </c>
      <c r="EL42" s="13" t="n">
        <f aca="false">MIN(EK$43,EL$41)</f>
        <v>0</v>
      </c>
      <c r="EM42" s="13" t="n">
        <f aca="false">MIN(EL$43,EM$41)</f>
        <v>0</v>
      </c>
      <c r="EN42" s="13" t="n">
        <f aca="false">MIN(EM$43,EN$41)</f>
        <v>0</v>
      </c>
      <c r="EO42" s="13" t="n">
        <f aca="false">MIN(EN$43,EO$41)</f>
        <v>0</v>
      </c>
      <c r="EP42" s="13" t="n">
        <f aca="false">MIN(EO$43,EP$41)</f>
        <v>0</v>
      </c>
      <c r="EQ42" s="13" t="n">
        <f aca="false">MIN(EP$43,EQ$41)</f>
        <v>0</v>
      </c>
      <c r="ER42" s="13" t="n">
        <f aca="false">MIN(EQ$43,ER$41)</f>
        <v>0</v>
      </c>
      <c r="ES42" s="13" t="n">
        <f aca="false">MIN(ER$43,ES$41)</f>
        <v>0</v>
      </c>
      <c r="ET42" s="13" t="n">
        <f aca="false">MIN(ES$43,ET$41)</f>
        <v>0</v>
      </c>
      <c r="EU42" s="13" t="n">
        <f aca="false">MIN(ET$43,EU$41)</f>
        <v>0</v>
      </c>
      <c r="EV42" s="13" t="n">
        <f aca="false">MIN(EU$43,EV$41)</f>
        <v>0</v>
      </c>
      <c r="EW42" s="13" t="n">
        <f aca="false">MIN(EV$43,EW$41)</f>
        <v>0</v>
      </c>
      <c r="EX42" s="13" t="n">
        <f aca="false">MIN(EW$43,EX$41)</f>
        <v>0</v>
      </c>
      <c r="EY42" s="13" t="n">
        <f aca="false">MIN(EX$43,EY$41)</f>
        <v>0</v>
      </c>
      <c r="EZ42" s="13" t="n">
        <f aca="false">MIN(EY$43,EZ$41)</f>
        <v>0</v>
      </c>
      <c r="FA42" s="13" t="n">
        <f aca="false">MIN(EZ$43,FA$41)</f>
        <v>0</v>
      </c>
      <c r="FB42" s="13" t="n">
        <f aca="false">MIN(FA$43,FB$41)</f>
        <v>0</v>
      </c>
      <c r="FC42" s="13" t="n">
        <f aca="false">MIN(FB$43,FC$41)</f>
        <v>0</v>
      </c>
      <c r="FD42" s="13" t="n">
        <f aca="false">MIN(FC$43,FD$41)</f>
        <v>0</v>
      </c>
      <c r="FE42" s="13" t="n">
        <f aca="false">MIN(FD$43,FE$41)</f>
        <v>0</v>
      </c>
      <c r="FF42" s="13" t="n">
        <f aca="false">MIN(FE$43,FF$41)</f>
        <v>0</v>
      </c>
    </row>
    <row r="43" customFormat="false" ht="15" hidden="false" customHeight="false" outlineLevel="0" collapsed="false">
      <c r="A43" s="2" t="s">
        <v>874</v>
      </c>
      <c r="B43" s="8" t="s">
        <v>843</v>
      </c>
      <c r="C43" s="8" t="s">
        <v>825</v>
      </c>
      <c r="E43" s="65" t="n">
        <f aca="false">INDEX($F43:$FF43,1,p_MesFin+1)</f>
        <v>0</v>
      </c>
      <c r="F43" s="13" t="n">
        <f aca="false">0+(F$39+F$40)*e_Recup-F$42</f>
        <v>0</v>
      </c>
      <c r="G43" s="13" t="n">
        <f aca="false">F$43+(G$39+G$40)*e_Recup-G$42</f>
        <v>0</v>
      </c>
      <c r="H43" s="13" t="n">
        <f aca="false">G$43+(H$39+H$40)*e_Recup-H$42</f>
        <v>0</v>
      </c>
      <c r="I43" s="13" t="n">
        <f aca="false">H$43+(I$39+I$40)*e_Recup-I$42</f>
        <v>0</v>
      </c>
      <c r="J43" s="13" t="n">
        <f aca="false">I$43+(J$39+J$40)*e_Recup-J$42</f>
        <v>0</v>
      </c>
      <c r="K43" s="13" t="n">
        <f aca="false">J$43+(K$39+K$40)*e_Recup-K$42</f>
        <v>0</v>
      </c>
      <c r="L43" s="13" t="n">
        <f aca="false">K$43+(L$39+L$40)*e_Recup-L$42</f>
        <v>0</v>
      </c>
      <c r="M43" s="13" t="n">
        <f aca="false">L$43+(M$39+M$40)*e_Recup-M$42</f>
        <v>0</v>
      </c>
      <c r="N43" s="13" t="n">
        <f aca="false">M$43+(N$39+N$40)*e_Recup-N$42</f>
        <v>0</v>
      </c>
      <c r="O43" s="13" t="n">
        <f aca="false">N$43+(O$39+O$40)*e_Recup-O$42</f>
        <v>0</v>
      </c>
      <c r="P43" s="13" t="n">
        <f aca="false">O$43+(P$39+P$40)*e_Recup-P$42</f>
        <v>0</v>
      </c>
      <c r="Q43" s="13" t="n">
        <f aca="false">P$43+(Q$39+Q$40)*e_Recup-Q$42</f>
        <v>0</v>
      </c>
      <c r="R43" s="13" t="n">
        <f aca="false">Q$43+(R$39+R$40)*e_Recup-R$42</f>
        <v>0</v>
      </c>
      <c r="S43" s="13" t="n">
        <f aca="false">R$43+(S$39+S$40)*e_Recup-S$42</f>
        <v>0</v>
      </c>
      <c r="T43" s="13" t="n">
        <f aca="false">S$43+(T$39+T$40)*e_Recup-T$42</f>
        <v>0</v>
      </c>
      <c r="U43" s="13" t="n">
        <f aca="false">T$43+(U$39+U$40)*e_Recup-U$42</f>
        <v>0</v>
      </c>
      <c r="V43" s="13" t="n">
        <f aca="false">U$43+(V$39+V$40)*e_Recup-V$42</f>
        <v>0</v>
      </c>
      <c r="W43" s="13" t="n">
        <f aca="false">V$43+(W$39+W$40)*e_Recup-W$42</f>
        <v>0</v>
      </c>
      <c r="X43" s="13" t="n">
        <f aca="false">W$43+(X$39+X$40)*e_Recup-X$42</f>
        <v>0</v>
      </c>
      <c r="Y43" s="13" t="n">
        <f aca="false">X$43+(Y$39+Y$40)*e_Recup-Y$42</f>
        <v>0</v>
      </c>
      <c r="Z43" s="13" t="n">
        <f aca="false">Y$43+(Z$39+Z$40)*e_Recup-Z$42</f>
        <v>0</v>
      </c>
      <c r="AA43" s="13" t="n">
        <f aca="false">Z$43+(AA$39+AA$40)*e_Recup-AA$42</f>
        <v>0</v>
      </c>
      <c r="AB43" s="13" t="n">
        <f aca="false">AA$43+(AB$39+AB$40)*e_Recup-AB$42</f>
        <v>0</v>
      </c>
      <c r="AC43" s="13" t="n">
        <f aca="false">AB$43+(AC$39+AC$40)*e_Recup-AC$42</f>
        <v>0</v>
      </c>
      <c r="AD43" s="13" t="n">
        <f aca="false">AC$43+(AD$39+AD$40)*e_Recup-AD$42</f>
        <v>0</v>
      </c>
      <c r="AE43" s="13" t="n">
        <f aca="false">AD$43+(AE$39+AE$40)*e_Recup-AE$42</f>
        <v>0</v>
      </c>
      <c r="AF43" s="13" t="n">
        <f aca="false">AE$43+(AF$39+AF$40)*e_Recup-AF$42</f>
        <v>0</v>
      </c>
      <c r="AG43" s="13" t="n">
        <f aca="false">AF$43+(AG$39+AG$40)*e_Recup-AG$42</f>
        <v>0</v>
      </c>
      <c r="AH43" s="13" t="n">
        <f aca="false">AG$43+(AH$39+AH$40)*e_Recup-AH$42</f>
        <v>0</v>
      </c>
      <c r="AI43" s="13" t="n">
        <f aca="false">AH$43+(AI$39+AI$40)*e_Recup-AI$42</f>
        <v>0</v>
      </c>
      <c r="AJ43" s="13" t="n">
        <f aca="false">AI$43+(AJ$39+AJ$40)*e_Recup-AJ$42</f>
        <v>0</v>
      </c>
      <c r="AK43" s="13" t="n">
        <f aca="false">AJ$43+(AK$39+AK$40)*e_Recup-AK$42</f>
        <v>0</v>
      </c>
      <c r="AL43" s="13" t="n">
        <f aca="false">AK$43+(AL$39+AL$40)*e_Recup-AL$42</f>
        <v>0</v>
      </c>
      <c r="AM43" s="13" t="n">
        <f aca="false">AL$43+(AM$39+AM$40)*e_Recup-AM$42</f>
        <v>0</v>
      </c>
      <c r="AN43" s="13" t="n">
        <f aca="false">AM$43+(AN$39+AN$40)*e_Recup-AN$42</f>
        <v>0</v>
      </c>
      <c r="AO43" s="13" t="n">
        <f aca="false">AN$43+(AO$39+AO$40)*e_Recup-AO$42</f>
        <v>0</v>
      </c>
      <c r="AP43" s="13" t="n">
        <f aca="false">AO$43+(AP$39+AP$40)*e_Recup-AP$42</f>
        <v>0</v>
      </c>
      <c r="AQ43" s="13" t="n">
        <f aca="false">AP$43+(AQ$39+AQ$40)*e_Recup-AQ$42</f>
        <v>0</v>
      </c>
      <c r="AR43" s="13" t="n">
        <f aca="false">AQ$43+(AR$39+AR$40)*e_Recup-AR$42</f>
        <v>0</v>
      </c>
      <c r="AS43" s="13" t="n">
        <f aca="false">AR$43+(AS$39+AS$40)*e_Recup-AS$42</f>
        <v>0</v>
      </c>
      <c r="AT43" s="13" t="n">
        <f aca="false">AS$43+(AT$39+AT$40)*e_Recup-AT$42</f>
        <v>0</v>
      </c>
      <c r="AU43" s="13" t="n">
        <f aca="false">AT$43+(AU$39+AU$40)*e_Recup-AU$42</f>
        <v>0</v>
      </c>
      <c r="AV43" s="13" t="n">
        <f aca="false">AU$43+(AV$39+AV$40)*e_Recup-AV$42</f>
        <v>0</v>
      </c>
      <c r="AW43" s="13" t="n">
        <f aca="false">AV$43+(AW$39+AW$40)*e_Recup-AW$42</f>
        <v>0</v>
      </c>
      <c r="AX43" s="13" t="n">
        <f aca="false">AW$43+(AX$39+AX$40)*e_Recup-AX$42</f>
        <v>0</v>
      </c>
      <c r="AY43" s="13" t="n">
        <f aca="false">AX$43+(AY$39+AY$40)*e_Recup-AY$42</f>
        <v>0</v>
      </c>
      <c r="AZ43" s="13" t="n">
        <f aca="false">AY$43+(AZ$39+AZ$40)*e_Recup-AZ$42</f>
        <v>0</v>
      </c>
      <c r="BA43" s="13" t="n">
        <f aca="false">AZ$43+(BA$39+BA$40)*e_Recup-BA$42</f>
        <v>0</v>
      </c>
      <c r="BB43" s="13" t="n">
        <f aca="false">BA$43+(BB$39+BB$40)*e_Recup-BB$42</f>
        <v>0</v>
      </c>
      <c r="BC43" s="13" t="n">
        <f aca="false">BB$43+(BC$39+BC$40)*e_Recup-BC$42</f>
        <v>0</v>
      </c>
      <c r="BD43" s="13" t="n">
        <f aca="false">BC$43+(BD$39+BD$40)*e_Recup-BD$42</f>
        <v>0</v>
      </c>
      <c r="BE43" s="13" t="n">
        <f aca="false">BD$43+(BE$39+BE$40)*e_Recup-BE$42</f>
        <v>0</v>
      </c>
      <c r="BF43" s="13" t="n">
        <f aca="false">BE$43+(BF$39+BF$40)*e_Recup-BF$42</f>
        <v>0</v>
      </c>
      <c r="BG43" s="13" t="n">
        <f aca="false">BF$43+(BG$39+BG$40)*e_Recup-BG$42</f>
        <v>0</v>
      </c>
      <c r="BH43" s="13" t="n">
        <f aca="false">BG$43+(BH$39+BH$40)*e_Recup-BH$42</f>
        <v>0</v>
      </c>
      <c r="BI43" s="13" t="n">
        <f aca="false">BH$43+(BI$39+BI$40)*e_Recup-BI$42</f>
        <v>0</v>
      </c>
      <c r="BJ43" s="13" t="n">
        <f aca="false">BI$43+(BJ$39+BJ$40)*e_Recup-BJ$42</f>
        <v>0</v>
      </c>
      <c r="BK43" s="13" t="n">
        <f aca="false">BJ$43+(BK$39+BK$40)*e_Recup-BK$42</f>
        <v>0</v>
      </c>
      <c r="BL43" s="13" t="n">
        <f aca="false">BK$43+(BL$39+BL$40)*e_Recup-BL$42</f>
        <v>0</v>
      </c>
      <c r="BM43" s="13" t="n">
        <f aca="false">BL$43+(BM$39+BM$40)*e_Recup-BM$42</f>
        <v>0</v>
      </c>
      <c r="BN43" s="13" t="n">
        <f aca="false">BM$43+(BN$39+BN$40)*e_Recup-BN$42</f>
        <v>0</v>
      </c>
      <c r="BO43" s="13" t="n">
        <f aca="false">BN$43+(BO$39+BO$40)*e_Recup-BO$42</f>
        <v>0</v>
      </c>
      <c r="BP43" s="13" t="n">
        <f aca="false">BO$43+(BP$39+BP$40)*e_Recup-BP$42</f>
        <v>0</v>
      </c>
      <c r="BQ43" s="13" t="n">
        <f aca="false">BP$43+(BQ$39+BQ$40)*e_Recup-BQ$42</f>
        <v>0</v>
      </c>
      <c r="BR43" s="13" t="n">
        <f aca="false">BQ$43+(BR$39+BR$40)*e_Recup-BR$42</f>
        <v>0</v>
      </c>
      <c r="BS43" s="13" t="n">
        <f aca="false">BR$43+(BS$39+BS$40)*e_Recup-BS$42</f>
        <v>0</v>
      </c>
      <c r="BT43" s="13" t="n">
        <f aca="false">BS$43+(BT$39+BT$40)*e_Recup-BT$42</f>
        <v>0</v>
      </c>
      <c r="BU43" s="13" t="n">
        <f aca="false">BT$43+(BU$39+BU$40)*e_Recup-BU$42</f>
        <v>0</v>
      </c>
      <c r="BV43" s="13" t="n">
        <f aca="false">BU$43+(BV$39+BV$40)*e_Recup-BV$42</f>
        <v>0</v>
      </c>
      <c r="BW43" s="13" t="n">
        <f aca="false">BV$43+(BW$39+BW$40)*e_Recup-BW$42</f>
        <v>0</v>
      </c>
      <c r="BX43" s="13" t="n">
        <f aca="false">BW$43+(BX$39+BX$40)*e_Recup-BX$42</f>
        <v>0</v>
      </c>
      <c r="BY43" s="13" t="n">
        <f aca="false">BX$43+(BY$39+BY$40)*e_Recup-BY$42</f>
        <v>0</v>
      </c>
      <c r="BZ43" s="13" t="n">
        <f aca="false">BY$43+(BZ$39+BZ$40)*e_Recup-BZ$42</f>
        <v>0</v>
      </c>
      <c r="CA43" s="13" t="n">
        <f aca="false">BZ$43+(CA$39+CA$40)*e_Recup-CA$42</f>
        <v>0</v>
      </c>
      <c r="CB43" s="13" t="n">
        <f aca="false">CA$43+(CB$39+CB$40)*e_Recup-CB$42</f>
        <v>0</v>
      </c>
      <c r="CC43" s="13" t="n">
        <f aca="false">CB$43+(CC$39+CC$40)*e_Recup-CC$42</f>
        <v>0</v>
      </c>
      <c r="CD43" s="13" t="n">
        <f aca="false">CC$43+(CD$39+CD$40)*e_Recup-CD$42</f>
        <v>0</v>
      </c>
      <c r="CE43" s="13" t="n">
        <f aca="false">CD$43+(CE$39+CE$40)*e_Recup-CE$42</f>
        <v>0</v>
      </c>
      <c r="CF43" s="13" t="n">
        <f aca="false">CE$43+(CF$39+CF$40)*e_Recup-CF$42</f>
        <v>0</v>
      </c>
      <c r="CG43" s="13" t="n">
        <f aca="false">CF$43+(CG$39+CG$40)*e_Recup-CG$42</f>
        <v>0</v>
      </c>
      <c r="CH43" s="13" t="n">
        <f aca="false">CG$43+(CH$39+CH$40)*e_Recup-CH$42</f>
        <v>0</v>
      </c>
      <c r="CI43" s="13" t="n">
        <f aca="false">CH$43+(CI$39+CI$40)*e_Recup-CI$42</f>
        <v>0</v>
      </c>
      <c r="CJ43" s="13" t="n">
        <f aca="false">CI$43+(CJ$39+CJ$40)*e_Recup-CJ$42</f>
        <v>0</v>
      </c>
      <c r="CK43" s="13" t="n">
        <f aca="false">CJ$43+(CK$39+CK$40)*e_Recup-CK$42</f>
        <v>0</v>
      </c>
      <c r="CL43" s="13" t="n">
        <f aca="false">CK$43+(CL$39+CL$40)*e_Recup-CL$42</f>
        <v>0</v>
      </c>
      <c r="CM43" s="13" t="n">
        <f aca="false">CL$43+(CM$39+CM$40)*e_Recup-CM$42</f>
        <v>0</v>
      </c>
      <c r="CN43" s="13" t="n">
        <f aca="false">CM$43+(CN$39+CN$40)*e_Recup-CN$42</f>
        <v>0</v>
      </c>
      <c r="CO43" s="13" t="n">
        <f aca="false">CN$43+(CO$39+CO$40)*e_Recup-CO$42</f>
        <v>0</v>
      </c>
      <c r="CP43" s="13" t="n">
        <f aca="false">CO$43+(CP$39+CP$40)*e_Recup-CP$42</f>
        <v>0</v>
      </c>
      <c r="CQ43" s="13" t="n">
        <f aca="false">CP$43+(CQ$39+CQ$40)*e_Recup-CQ$42</f>
        <v>0</v>
      </c>
      <c r="CR43" s="13" t="n">
        <f aca="false">CQ$43+(CR$39+CR$40)*e_Recup-CR$42</f>
        <v>0</v>
      </c>
      <c r="CS43" s="13" t="n">
        <f aca="false">CR$43+(CS$39+CS$40)*e_Recup-CS$42</f>
        <v>0</v>
      </c>
      <c r="CT43" s="13" t="n">
        <f aca="false">CS$43+(CT$39+CT$40)*e_Recup-CT$42</f>
        <v>0</v>
      </c>
      <c r="CU43" s="13" t="n">
        <f aca="false">CT$43+(CU$39+CU$40)*e_Recup-CU$42</f>
        <v>0</v>
      </c>
      <c r="CV43" s="13" t="n">
        <f aca="false">CU$43+(CV$39+CV$40)*e_Recup-CV$42</f>
        <v>0</v>
      </c>
      <c r="CW43" s="13" t="n">
        <f aca="false">CV$43+(CW$39+CW$40)*e_Recup-CW$42</f>
        <v>0</v>
      </c>
      <c r="CX43" s="13" t="n">
        <f aca="false">CW$43+(CX$39+CX$40)*e_Recup-CX$42</f>
        <v>0</v>
      </c>
      <c r="CY43" s="13" t="n">
        <f aca="false">CX$43+(CY$39+CY$40)*e_Recup-CY$42</f>
        <v>0</v>
      </c>
      <c r="CZ43" s="13" t="n">
        <f aca="false">CY$43+(CZ$39+CZ$40)*e_Recup-CZ$42</f>
        <v>0</v>
      </c>
      <c r="DA43" s="13" t="n">
        <f aca="false">CZ$43+(DA$39+DA$40)*e_Recup-DA$42</f>
        <v>0</v>
      </c>
      <c r="DB43" s="13" t="n">
        <f aca="false">DA$43+(DB$39+DB$40)*e_Recup-DB$42</f>
        <v>0</v>
      </c>
      <c r="DC43" s="13" t="n">
        <f aca="false">DB$43+(DC$39+DC$40)*e_Recup-DC$42</f>
        <v>0</v>
      </c>
      <c r="DD43" s="13" t="n">
        <f aca="false">DC$43+(DD$39+DD$40)*e_Recup-DD$42</f>
        <v>0</v>
      </c>
      <c r="DE43" s="13" t="n">
        <f aca="false">DD$43+(DE$39+DE$40)*e_Recup-DE$42</f>
        <v>0</v>
      </c>
      <c r="DF43" s="13" t="n">
        <f aca="false">DE$43+(DF$39+DF$40)*e_Recup-DF$42</f>
        <v>0</v>
      </c>
      <c r="DG43" s="13" t="n">
        <f aca="false">DF$43+(DG$39+DG$40)*e_Recup-DG$42</f>
        <v>0</v>
      </c>
      <c r="DH43" s="13" t="n">
        <f aca="false">DG$43+(DH$39+DH$40)*e_Recup-DH$42</f>
        <v>0</v>
      </c>
      <c r="DI43" s="13" t="n">
        <f aca="false">DH$43+(DI$39+DI$40)*e_Recup-DI$42</f>
        <v>0</v>
      </c>
      <c r="DJ43" s="13" t="n">
        <f aca="false">DI$43+(DJ$39+DJ$40)*e_Recup-DJ$42</f>
        <v>0</v>
      </c>
      <c r="DK43" s="13" t="n">
        <f aca="false">DJ$43+(DK$39+DK$40)*e_Recup-DK$42</f>
        <v>0</v>
      </c>
      <c r="DL43" s="13" t="n">
        <f aca="false">DK$43+(DL$39+DL$40)*e_Recup-DL$42</f>
        <v>0</v>
      </c>
      <c r="DM43" s="13" t="n">
        <f aca="false">DL$43+(DM$39+DM$40)*e_Recup-DM$42</f>
        <v>0</v>
      </c>
      <c r="DN43" s="13" t="n">
        <f aca="false">DM$43+(DN$39+DN$40)*e_Recup-DN$42</f>
        <v>0</v>
      </c>
      <c r="DO43" s="13" t="n">
        <f aca="false">DN$43+(DO$39+DO$40)*e_Recup-DO$42</f>
        <v>0</v>
      </c>
      <c r="DP43" s="13" t="n">
        <f aca="false">DO$43+(DP$39+DP$40)*e_Recup-DP$42</f>
        <v>0</v>
      </c>
      <c r="DQ43" s="13" t="n">
        <f aca="false">DP$43+(DQ$39+DQ$40)*e_Recup-DQ$42</f>
        <v>0</v>
      </c>
      <c r="DR43" s="13" t="n">
        <f aca="false">DQ$43+(DR$39+DR$40)*e_Recup-DR$42</f>
        <v>0</v>
      </c>
      <c r="DS43" s="13" t="n">
        <f aca="false">DR$43+(DS$39+DS$40)*e_Recup-DS$42</f>
        <v>0</v>
      </c>
      <c r="DT43" s="13" t="n">
        <f aca="false">DS$43+(DT$39+DT$40)*e_Recup-DT$42</f>
        <v>0</v>
      </c>
      <c r="DU43" s="13" t="n">
        <f aca="false">DT$43+(DU$39+DU$40)*e_Recup-DU$42</f>
        <v>0</v>
      </c>
      <c r="DV43" s="13" t="n">
        <f aca="false">DU$43+(DV$39+DV$40)*e_Recup-DV$42</f>
        <v>0</v>
      </c>
      <c r="DW43" s="13" t="n">
        <f aca="false">DV$43+(DW$39+DW$40)*e_Recup-DW$42</f>
        <v>0</v>
      </c>
      <c r="DX43" s="13" t="n">
        <f aca="false">DW$43+(DX$39+DX$40)*e_Recup-DX$42</f>
        <v>0</v>
      </c>
      <c r="DY43" s="13" t="n">
        <f aca="false">DX$43+(DY$39+DY$40)*e_Recup-DY$42</f>
        <v>0</v>
      </c>
      <c r="DZ43" s="13" t="n">
        <f aca="false">DY$43+(DZ$39+DZ$40)*e_Recup-DZ$42</f>
        <v>0</v>
      </c>
      <c r="EA43" s="13" t="n">
        <f aca="false">DZ$43+(EA$39+EA$40)*e_Recup-EA$42</f>
        <v>0</v>
      </c>
      <c r="EB43" s="13" t="n">
        <f aca="false">EA$43+(EB$39+EB$40)*e_Recup-EB$42</f>
        <v>0</v>
      </c>
      <c r="EC43" s="13" t="n">
        <f aca="false">EB$43+(EC$39+EC$40)*e_Recup-EC$42</f>
        <v>0</v>
      </c>
      <c r="ED43" s="13" t="n">
        <f aca="false">EC$43+(ED$39+ED$40)*e_Recup-ED$42</f>
        <v>0</v>
      </c>
      <c r="EE43" s="13" t="n">
        <f aca="false">ED$43+(EE$39+EE$40)*e_Recup-EE$42</f>
        <v>0</v>
      </c>
      <c r="EF43" s="13" t="n">
        <f aca="false">EE$43+(EF$39+EF$40)*e_Recup-EF$42</f>
        <v>0</v>
      </c>
      <c r="EG43" s="13" t="n">
        <f aca="false">EF$43+(EG$39+EG$40)*e_Recup-EG$42</f>
        <v>0</v>
      </c>
      <c r="EH43" s="13" t="n">
        <f aca="false">EG$43+(EH$39+EH$40)*e_Recup-EH$42</f>
        <v>0</v>
      </c>
      <c r="EI43" s="13" t="n">
        <f aca="false">EH$43+(EI$39+EI$40)*e_Recup-EI$42</f>
        <v>0</v>
      </c>
      <c r="EJ43" s="13" t="n">
        <f aca="false">EI$43+(EJ$39+EJ$40)*e_Recup-EJ$42</f>
        <v>0</v>
      </c>
      <c r="EK43" s="13" t="n">
        <f aca="false">EJ$43+(EK$39+EK$40)*e_Recup-EK$42</f>
        <v>0</v>
      </c>
      <c r="EL43" s="13" t="n">
        <f aca="false">EK$43+(EL$39+EL$40)*e_Recup-EL$42</f>
        <v>0</v>
      </c>
      <c r="EM43" s="13" t="n">
        <f aca="false">EL$43+(EM$39+EM$40)*e_Recup-EM$42</f>
        <v>0</v>
      </c>
      <c r="EN43" s="13" t="n">
        <f aca="false">EM$43+(EN$39+EN$40)*e_Recup-EN$42</f>
        <v>0</v>
      </c>
      <c r="EO43" s="13" t="n">
        <f aca="false">EN$43+(EO$39+EO$40)*e_Recup-EO$42</f>
        <v>0</v>
      </c>
      <c r="EP43" s="13" t="n">
        <f aca="false">EO$43+(EP$39+EP$40)*e_Recup-EP$42</f>
        <v>0</v>
      </c>
      <c r="EQ43" s="13" t="n">
        <f aca="false">EP$43+(EQ$39+EQ$40)*e_Recup-EQ$42</f>
        <v>0</v>
      </c>
      <c r="ER43" s="13" t="n">
        <f aca="false">EQ$43+(ER$39+ER$40)*e_Recup-ER$42</f>
        <v>0</v>
      </c>
      <c r="ES43" s="13" t="n">
        <f aca="false">ER$43+(ES$39+ES$40)*e_Recup-ES$42</f>
        <v>0</v>
      </c>
      <c r="ET43" s="13" t="n">
        <f aca="false">ES$43+(ET$39+ET$40)*e_Recup-ET$42</f>
        <v>0</v>
      </c>
      <c r="EU43" s="13" t="n">
        <f aca="false">ET$43+(EU$39+EU$40)*e_Recup-EU$42</f>
        <v>0</v>
      </c>
      <c r="EV43" s="13" t="n">
        <f aca="false">EU$43+(EV$39+EV$40)*e_Recup-EV$42</f>
        <v>0</v>
      </c>
      <c r="EW43" s="13" t="n">
        <f aca="false">EV$43+(EW$39+EW$40)*e_Recup-EW$42</f>
        <v>0</v>
      </c>
      <c r="EX43" s="13" t="n">
        <f aca="false">EW$43+(EX$39+EX$40)*e_Recup-EX$42</f>
        <v>0</v>
      </c>
      <c r="EY43" s="13" t="n">
        <f aca="false">EX$43+(EY$39+EY$40)*e_Recup-EY$42</f>
        <v>0</v>
      </c>
      <c r="EZ43" s="13" t="n">
        <f aca="false">EY$43+(EZ$39+EZ$40)*e_Recup-EZ$42</f>
        <v>0</v>
      </c>
      <c r="FA43" s="13" t="n">
        <f aca="false">EZ$43+(FA$39+FA$40)*e_Recup-FA$42</f>
        <v>0</v>
      </c>
      <c r="FB43" s="13" t="n">
        <f aca="false">FA$43+(FB$39+FB$40)*e_Recup-FB$42</f>
        <v>0</v>
      </c>
      <c r="FC43" s="13" t="n">
        <f aca="false">FB$43+(FC$39+FC$40)*e_Recup-FC$42</f>
        <v>0</v>
      </c>
      <c r="FD43" s="13" t="n">
        <f aca="false">FC$43+(FD$39+FD$40)*e_Recup-FD$42</f>
        <v>0</v>
      </c>
      <c r="FE43" s="13" t="n">
        <f aca="false">FD$43+(FE$39+FE$40)*e_Recup-FE$42</f>
        <v>0</v>
      </c>
      <c r="FF43" s="13" t="n">
        <f aca="false">FE$43+(FF$39+FF$40)*e_Recup-FF$42</f>
        <v>0</v>
      </c>
    </row>
    <row r="44" customFormat="false" ht="15" hidden="false" customHeight="false" outlineLevel="0" collapsed="false">
      <c r="A44" s="2" t="s">
        <v>875</v>
      </c>
      <c r="B44" s="8" t="s">
        <v>845</v>
      </c>
      <c r="C44" s="8" t="s">
        <v>825</v>
      </c>
      <c r="E44" s="65" t="n">
        <f aca="false">SUM($F44:$FF44)</f>
        <v>0</v>
      </c>
      <c r="F44" s="13" t="n">
        <f aca="false">(F$39+F$40)*(1-e_Recup)</f>
        <v>0</v>
      </c>
      <c r="G44" s="13" t="n">
        <f aca="false">(G$39+G$40)*(1-e_Recup)</f>
        <v>0</v>
      </c>
      <c r="H44" s="13" t="n">
        <f aca="false">(H$39+H$40)*(1-e_Recup)</f>
        <v>0</v>
      </c>
      <c r="I44" s="13" t="n">
        <f aca="false">(I$39+I$40)*(1-e_Recup)</f>
        <v>0</v>
      </c>
      <c r="J44" s="13" t="n">
        <f aca="false">(J$39+J$40)*(1-e_Recup)</f>
        <v>0</v>
      </c>
      <c r="K44" s="13" t="n">
        <f aca="false">(K$39+K$40)*(1-e_Recup)</f>
        <v>0</v>
      </c>
      <c r="L44" s="13" t="n">
        <f aca="false">(L$39+L$40)*(1-e_Recup)</f>
        <v>0</v>
      </c>
      <c r="M44" s="13" t="n">
        <f aca="false">(M$39+M$40)*(1-e_Recup)</f>
        <v>0</v>
      </c>
      <c r="N44" s="13" t="n">
        <f aca="false">(N$39+N$40)*(1-e_Recup)</f>
        <v>0</v>
      </c>
      <c r="O44" s="13" t="n">
        <f aca="false">(O$39+O$40)*(1-e_Recup)</f>
        <v>0</v>
      </c>
      <c r="P44" s="13" t="n">
        <f aca="false">(P$39+P$40)*(1-e_Recup)</f>
        <v>0</v>
      </c>
      <c r="Q44" s="13" t="n">
        <f aca="false">(Q$39+Q$40)*(1-e_Recup)</f>
        <v>0</v>
      </c>
      <c r="R44" s="13" t="n">
        <f aca="false">(R$39+R$40)*(1-e_Recup)</f>
        <v>0</v>
      </c>
      <c r="S44" s="13" t="n">
        <f aca="false">(S$39+S$40)*(1-e_Recup)</f>
        <v>0</v>
      </c>
      <c r="T44" s="13" t="n">
        <f aca="false">(T$39+T$40)*(1-e_Recup)</f>
        <v>0</v>
      </c>
      <c r="U44" s="13" t="n">
        <f aca="false">(U$39+U$40)*(1-e_Recup)</f>
        <v>0</v>
      </c>
      <c r="V44" s="13" t="n">
        <f aca="false">(V$39+V$40)*(1-e_Recup)</f>
        <v>0</v>
      </c>
      <c r="W44" s="13" t="n">
        <f aca="false">(W$39+W$40)*(1-e_Recup)</f>
        <v>0</v>
      </c>
      <c r="X44" s="13" t="n">
        <f aca="false">(X$39+X$40)*(1-e_Recup)</f>
        <v>0</v>
      </c>
      <c r="Y44" s="13" t="n">
        <f aca="false">(Y$39+Y$40)*(1-e_Recup)</f>
        <v>0</v>
      </c>
      <c r="Z44" s="13" t="n">
        <f aca="false">(Z$39+Z$40)*(1-e_Recup)</f>
        <v>0</v>
      </c>
      <c r="AA44" s="13" t="n">
        <f aca="false">(AA$39+AA$40)*(1-e_Recup)</f>
        <v>0</v>
      </c>
      <c r="AB44" s="13" t="n">
        <f aca="false">(AB$39+AB$40)*(1-e_Recup)</f>
        <v>0</v>
      </c>
      <c r="AC44" s="13" t="n">
        <f aca="false">(AC$39+AC$40)*(1-e_Recup)</f>
        <v>0</v>
      </c>
      <c r="AD44" s="13" t="n">
        <f aca="false">(AD$39+AD$40)*(1-e_Recup)</f>
        <v>0</v>
      </c>
      <c r="AE44" s="13" t="n">
        <f aca="false">(AE$39+AE$40)*(1-e_Recup)</f>
        <v>0</v>
      </c>
      <c r="AF44" s="13" t="n">
        <f aca="false">(AF$39+AF$40)*(1-e_Recup)</f>
        <v>0</v>
      </c>
      <c r="AG44" s="13" t="n">
        <f aca="false">(AG$39+AG$40)*(1-e_Recup)</f>
        <v>0</v>
      </c>
      <c r="AH44" s="13" t="n">
        <f aca="false">(AH$39+AH$40)*(1-e_Recup)</f>
        <v>0</v>
      </c>
      <c r="AI44" s="13" t="n">
        <f aca="false">(AI$39+AI$40)*(1-e_Recup)</f>
        <v>0</v>
      </c>
      <c r="AJ44" s="13" t="n">
        <f aca="false">(AJ$39+AJ$40)*(1-e_Recup)</f>
        <v>0</v>
      </c>
      <c r="AK44" s="13" t="n">
        <f aca="false">(AK$39+AK$40)*(1-e_Recup)</f>
        <v>0</v>
      </c>
      <c r="AL44" s="13" t="n">
        <f aca="false">(AL$39+AL$40)*(1-e_Recup)</f>
        <v>0</v>
      </c>
      <c r="AM44" s="13" t="n">
        <f aca="false">(AM$39+AM$40)*(1-e_Recup)</f>
        <v>0</v>
      </c>
      <c r="AN44" s="13" t="n">
        <f aca="false">(AN$39+AN$40)*(1-e_Recup)</f>
        <v>0</v>
      </c>
      <c r="AO44" s="13" t="n">
        <f aca="false">(AO$39+AO$40)*(1-e_Recup)</f>
        <v>0</v>
      </c>
      <c r="AP44" s="13" t="n">
        <f aca="false">(AP$39+AP$40)*(1-e_Recup)</f>
        <v>0</v>
      </c>
      <c r="AQ44" s="13" t="n">
        <f aca="false">(AQ$39+AQ$40)*(1-e_Recup)</f>
        <v>0</v>
      </c>
      <c r="AR44" s="13" t="n">
        <f aca="false">(AR$39+AR$40)*(1-e_Recup)</f>
        <v>0</v>
      </c>
      <c r="AS44" s="13" t="n">
        <f aca="false">(AS$39+AS$40)*(1-e_Recup)</f>
        <v>0</v>
      </c>
      <c r="AT44" s="13" t="n">
        <f aca="false">(AT$39+AT$40)*(1-e_Recup)</f>
        <v>0</v>
      </c>
      <c r="AU44" s="13" t="n">
        <f aca="false">(AU$39+AU$40)*(1-e_Recup)</f>
        <v>0</v>
      </c>
      <c r="AV44" s="13" t="n">
        <f aca="false">(AV$39+AV$40)*(1-e_Recup)</f>
        <v>0</v>
      </c>
      <c r="AW44" s="13" t="n">
        <f aca="false">(AW$39+AW$40)*(1-e_Recup)</f>
        <v>0</v>
      </c>
      <c r="AX44" s="13" t="n">
        <f aca="false">(AX$39+AX$40)*(1-e_Recup)</f>
        <v>0</v>
      </c>
      <c r="AY44" s="13" t="n">
        <f aca="false">(AY$39+AY$40)*(1-e_Recup)</f>
        <v>0</v>
      </c>
      <c r="AZ44" s="13" t="n">
        <f aca="false">(AZ$39+AZ$40)*(1-e_Recup)</f>
        <v>0</v>
      </c>
      <c r="BA44" s="13" t="n">
        <f aca="false">(BA$39+BA$40)*(1-e_Recup)</f>
        <v>0</v>
      </c>
      <c r="BB44" s="13" t="n">
        <f aca="false">(BB$39+BB$40)*(1-e_Recup)</f>
        <v>0</v>
      </c>
      <c r="BC44" s="13" t="n">
        <f aca="false">(BC$39+BC$40)*(1-e_Recup)</f>
        <v>0</v>
      </c>
      <c r="BD44" s="13" t="n">
        <f aca="false">(BD$39+BD$40)*(1-e_Recup)</f>
        <v>0</v>
      </c>
      <c r="BE44" s="13" t="n">
        <f aca="false">(BE$39+BE$40)*(1-e_Recup)</f>
        <v>0</v>
      </c>
      <c r="BF44" s="13" t="n">
        <f aca="false">(BF$39+BF$40)*(1-e_Recup)</f>
        <v>0</v>
      </c>
      <c r="BG44" s="13" t="n">
        <f aca="false">(BG$39+BG$40)*(1-e_Recup)</f>
        <v>0</v>
      </c>
      <c r="BH44" s="13" t="n">
        <f aca="false">(BH$39+BH$40)*(1-e_Recup)</f>
        <v>0</v>
      </c>
      <c r="BI44" s="13" t="n">
        <f aca="false">(BI$39+BI$40)*(1-e_Recup)</f>
        <v>0</v>
      </c>
      <c r="BJ44" s="13" t="n">
        <f aca="false">(BJ$39+BJ$40)*(1-e_Recup)</f>
        <v>0</v>
      </c>
      <c r="BK44" s="13" t="n">
        <f aca="false">(BK$39+BK$40)*(1-e_Recup)</f>
        <v>0</v>
      </c>
      <c r="BL44" s="13" t="n">
        <f aca="false">(BL$39+BL$40)*(1-e_Recup)</f>
        <v>0</v>
      </c>
      <c r="BM44" s="13" t="n">
        <f aca="false">(BM$39+BM$40)*(1-e_Recup)</f>
        <v>0</v>
      </c>
      <c r="BN44" s="13" t="n">
        <f aca="false">(BN$39+BN$40)*(1-e_Recup)</f>
        <v>0</v>
      </c>
      <c r="BO44" s="13" t="n">
        <f aca="false">(BO$39+BO$40)*(1-e_Recup)</f>
        <v>0</v>
      </c>
      <c r="BP44" s="13" t="n">
        <f aca="false">(BP$39+BP$40)*(1-e_Recup)</f>
        <v>0</v>
      </c>
      <c r="BQ44" s="13" t="n">
        <f aca="false">(BQ$39+BQ$40)*(1-e_Recup)</f>
        <v>0</v>
      </c>
      <c r="BR44" s="13" t="n">
        <f aca="false">(BR$39+BR$40)*(1-e_Recup)</f>
        <v>0</v>
      </c>
      <c r="BS44" s="13" t="n">
        <f aca="false">(BS$39+BS$40)*(1-e_Recup)</f>
        <v>0</v>
      </c>
      <c r="BT44" s="13" t="n">
        <f aca="false">(BT$39+BT$40)*(1-e_Recup)</f>
        <v>0</v>
      </c>
      <c r="BU44" s="13" t="n">
        <f aca="false">(BU$39+BU$40)*(1-e_Recup)</f>
        <v>0</v>
      </c>
      <c r="BV44" s="13" t="n">
        <f aca="false">(BV$39+BV$40)*(1-e_Recup)</f>
        <v>0</v>
      </c>
      <c r="BW44" s="13" t="n">
        <f aca="false">(BW$39+BW$40)*(1-e_Recup)</f>
        <v>0</v>
      </c>
      <c r="BX44" s="13" t="n">
        <f aca="false">(BX$39+BX$40)*(1-e_Recup)</f>
        <v>0</v>
      </c>
      <c r="BY44" s="13" t="n">
        <f aca="false">(BY$39+BY$40)*(1-e_Recup)</f>
        <v>0</v>
      </c>
      <c r="BZ44" s="13" t="n">
        <f aca="false">(BZ$39+BZ$40)*(1-e_Recup)</f>
        <v>0</v>
      </c>
      <c r="CA44" s="13" t="n">
        <f aca="false">(CA$39+CA$40)*(1-e_Recup)</f>
        <v>0</v>
      </c>
      <c r="CB44" s="13" t="n">
        <f aca="false">(CB$39+CB$40)*(1-e_Recup)</f>
        <v>0</v>
      </c>
      <c r="CC44" s="13" t="n">
        <f aca="false">(CC$39+CC$40)*(1-e_Recup)</f>
        <v>0</v>
      </c>
      <c r="CD44" s="13" t="n">
        <f aca="false">(CD$39+CD$40)*(1-e_Recup)</f>
        <v>0</v>
      </c>
      <c r="CE44" s="13" t="n">
        <f aca="false">(CE$39+CE$40)*(1-e_Recup)</f>
        <v>0</v>
      </c>
      <c r="CF44" s="13" t="n">
        <f aca="false">(CF$39+CF$40)*(1-e_Recup)</f>
        <v>0</v>
      </c>
      <c r="CG44" s="13" t="n">
        <f aca="false">(CG$39+CG$40)*(1-e_Recup)</f>
        <v>0</v>
      </c>
      <c r="CH44" s="13" t="n">
        <f aca="false">(CH$39+CH$40)*(1-e_Recup)</f>
        <v>0</v>
      </c>
      <c r="CI44" s="13" t="n">
        <f aca="false">(CI$39+CI$40)*(1-e_Recup)</f>
        <v>0</v>
      </c>
      <c r="CJ44" s="13" t="n">
        <f aca="false">(CJ$39+CJ$40)*(1-e_Recup)</f>
        <v>0</v>
      </c>
      <c r="CK44" s="13" t="n">
        <f aca="false">(CK$39+CK$40)*(1-e_Recup)</f>
        <v>0</v>
      </c>
      <c r="CL44" s="13" t="n">
        <f aca="false">(CL$39+CL$40)*(1-e_Recup)</f>
        <v>0</v>
      </c>
      <c r="CM44" s="13" t="n">
        <f aca="false">(CM$39+CM$40)*(1-e_Recup)</f>
        <v>0</v>
      </c>
      <c r="CN44" s="13" t="n">
        <f aca="false">(CN$39+CN$40)*(1-e_Recup)</f>
        <v>0</v>
      </c>
      <c r="CO44" s="13" t="n">
        <f aca="false">(CO$39+CO$40)*(1-e_Recup)</f>
        <v>0</v>
      </c>
      <c r="CP44" s="13" t="n">
        <f aca="false">(CP$39+CP$40)*(1-e_Recup)</f>
        <v>0</v>
      </c>
      <c r="CQ44" s="13" t="n">
        <f aca="false">(CQ$39+CQ$40)*(1-e_Recup)</f>
        <v>0</v>
      </c>
      <c r="CR44" s="13" t="n">
        <f aca="false">(CR$39+CR$40)*(1-e_Recup)</f>
        <v>0</v>
      </c>
      <c r="CS44" s="13" t="n">
        <f aca="false">(CS$39+CS$40)*(1-e_Recup)</f>
        <v>0</v>
      </c>
      <c r="CT44" s="13" t="n">
        <f aca="false">(CT$39+CT$40)*(1-e_Recup)</f>
        <v>0</v>
      </c>
      <c r="CU44" s="13" t="n">
        <f aca="false">(CU$39+CU$40)*(1-e_Recup)</f>
        <v>0</v>
      </c>
      <c r="CV44" s="13" t="n">
        <f aca="false">(CV$39+CV$40)*(1-e_Recup)</f>
        <v>0</v>
      </c>
      <c r="CW44" s="13" t="n">
        <f aca="false">(CW$39+CW$40)*(1-e_Recup)</f>
        <v>0</v>
      </c>
      <c r="CX44" s="13" t="n">
        <f aca="false">(CX$39+CX$40)*(1-e_Recup)</f>
        <v>0</v>
      </c>
      <c r="CY44" s="13" t="n">
        <f aca="false">(CY$39+CY$40)*(1-e_Recup)</f>
        <v>0</v>
      </c>
      <c r="CZ44" s="13" t="n">
        <f aca="false">(CZ$39+CZ$40)*(1-e_Recup)</f>
        <v>0</v>
      </c>
      <c r="DA44" s="13" t="n">
        <f aca="false">(DA$39+DA$40)*(1-e_Recup)</f>
        <v>0</v>
      </c>
      <c r="DB44" s="13" t="n">
        <f aca="false">(DB$39+DB$40)*(1-e_Recup)</f>
        <v>0</v>
      </c>
      <c r="DC44" s="13" t="n">
        <f aca="false">(DC$39+DC$40)*(1-e_Recup)</f>
        <v>0</v>
      </c>
      <c r="DD44" s="13" t="n">
        <f aca="false">(DD$39+DD$40)*(1-e_Recup)</f>
        <v>0</v>
      </c>
      <c r="DE44" s="13" t="n">
        <f aca="false">(DE$39+DE$40)*(1-e_Recup)</f>
        <v>0</v>
      </c>
      <c r="DF44" s="13" t="n">
        <f aca="false">(DF$39+DF$40)*(1-e_Recup)</f>
        <v>0</v>
      </c>
      <c r="DG44" s="13" t="n">
        <f aca="false">(DG$39+DG$40)*(1-e_Recup)</f>
        <v>0</v>
      </c>
      <c r="DH44" s="13" t="n">
        <f aca="false">(DH$39+DH$40)*(1-e_Recup)</f>
        <v>0</v>
      </c>
      <c r="DI44" s="13" t="n">
        <f aca="false">(DI$39+DI$40)*(1-e_Recup)</f>
        <v>0</v>
      </c>
      <c r="DJ44" s="13" t="n">
        <f aca="false">(DJ$39+DJ$40)*(1-e_Recup)</f>
        <v>0</v>
      </c>
      <c r="DK44" s="13" t="n">
        <f aca="false">(DK$39+DK$40)*(1-e_Recup)</f>
        <v>0</v>
      </c>
      <c r="DL44" s="13" t="n">
        <f aca="false">(DL$39+DL$40)*(1-e_Recup)</f>
        <v>0</v>
      </c>
      <c r="DM44" s="13" t="n">
        <f aca="false">(DM$39+DM$40)*(1-e_Recup)</f>
        <v>0</v>
      </c>
      <c r="DN44" s="13" t="n">
        <f aca="false">(DN$39+DN$40)*(1-e_Recup)</f>
        <v>0</v>
      </c>
      <c r="DO44" s="13" t="n">
        <f aca="false">(DO$39+DO$40)*(1-e_Recup)</f>
        <v>0</v>
      </c>
      <c r="DP44" s="13" t="n">
        <f aca="false">(DP$39+DP$40)*(1-e_Recup)</f>
        <v>0</v>
      </c>
      <c r="DQ44" s="13" t="n">
        <f aca="false">(DQ$39+DQ$40)*(1-e_Recup)</f>
        <v>0</v>
      </c>
      <c r="DR44" s="13" t="n">
        <f aca="false">(DR$39+DR$40)*(1-e_Recup)</f>
        <v>0</v>
      </c>
      <c r="DS44" s="13" t="n">
        <f aca="false">(DS$39+DS$40)*(1-e_Recup)</f>
        <v>0</v>
      </c>
      <c r="DT44" s="13" t="n">
        <f aca="false">(DT$39+DT$40)*(1-e_Recup)</f>
        <v>0</v>
      </c>
      <c r="DU44" s="13" t="n">
        <f aca="false">(DU$39+DU$40)*(1-e_Recup)</f>
        <v>0</v>
      </c>
      <c r="DV44" s="13" t="n">
        <f aca="false">(DV$39+DV$40)*(1-e_Recup)</f>
        <v>0</v>
      </c>
      <c r="DW44" s="13" t="n">
        <f aca="false">(DW$39+DW$40)*(1-e_Recup)</f>
        <v>0</v>
      </c>
      <c r="DX44" s="13" t="n">
        <f aca="false">(DX$39+DX$40)*(1-e_Recup)</f>
        <v>0</v>
      </c>
      <c r="DY44" s="13" t="n">
        <f aca="false">(DY$39+DY$40)*(1-e_Recup)</f>
        <v>0</v>
      </c>
      <c r="DZ44" s="13" t="n">
        <f aca="false">(DZ$39+DZ$40)*(1-e_Recup)</f>
        <v>0</v>
      </c>
      <c r="EA44" s="13" t="n">
        <f aca="false">(EA$39+EA$40)*(1-e_Recup)</f>
        <v>0</v>
      </c>
      <c r="EB44" s="13" t="n">
        <f aca="false">(EB$39+EB$40)*(1-e_Recup)</f>
        <v>0</v>
      </c>
      <c r="EC44" s="13" t="n">
        <f aca="false">(EC$39+EC$40)*(1-e_Recup)</f>
        <v>0</v>
      </c>
      <c r="ED44" s="13" t="n">
        <f aca="false">(ED$39+ED$40)*(1-e_Recup)</f>
        <v>0</v>
      </c>
      <c r="EE44" s="13" t="n">
        <f aca="false">(EE$39+EE$40)*(1-e_Recup)</f>
        <v>0</v>
      </c>
      <c r="EF44" s="13" t="n">
        <f aca="false">(EF$39+EF$40)*(1-e_Recup)</f>
        <v>0</v>
      </c>
      <c r="EG44" s="13" t="n">
        <f aca="false">(EG$39+EG$40)*(1-e_Recup)</f>
        <v>0</v>
      </c>
      <c r="EH44" s="13" t="n">
        <f aca="false">(EH$39+EH$40)*(1-e_Recup)</f>
        <v>0</v>
      </c>
      <c r="EI44" s="13" t="n">
        <f aca="false">(EI$39+EI$40)*(1-e_Recup)</f>
        <v>0</v>
      </c>
      <c r="EJ44" s="13" t="n">
        <f aca="false">(EJ$39+EJ$40)*(1-e_Recup)</f>
        <v>0</v>
      </c>
      <c r="EK44" s="13" t="n">
        <f aca="false">(EK$39+EK$40)*(1-e_Recup)</f>
        <v>0</v>
      </c>
      <c r="EL44" s="13" t="n">
        <f aca="false">(EL$39+EL$40)*(1-e_Recup)</f>
        <v>0</v>
      </c>
      <c r="EM44" s="13" t="n">
        <f aca="false">(EM$39+EM$40)*(1-e_Recup)</f>
        <v>0</v>
      </c>
      <c r="EN44" s="13" t="n">
        <f aca="false">(EN$39+EN$40)*(1-e_Recup)</f>
        <v>0</v>
      </c>
      <c r="EO44" s="13" t="n">
        <f aca="false">(EO$39+EO$40)*(1-e_Recup)</f>
        <v>0</v>
      </c>
      <c r="EP44" s="13" t="n">
        <f aca="false">(EP$39+EP$40)*(1-e_Recup)</f>
        <v>0</v>
      </c>
      <c r="EQ44" s="13" t="n">
        <f aca="false">(EQ$39+EQ$40)*(1-e_Recup)</f>
        <v>0</v>
      </c>
      <c r="ER44" s="13" t="n">
        <f aca="false">(ER$39+ER$40)*(1-e_Recup)</f>
        <v>0</v>
      </c>
      <c r="ES44" s="13" t="n">
        <f aca="false">(ES$39+ES$40)*(1-e_Recup)</f>
        <v>0</v>
      </c>
      <c r="ET44" s="13" t="n">
        <f aca="false">(ET$39+ET$40)*(1-e_Recup)</f>
        <v>0</v>
      </c>
      <c r="EU44" s="13" t="n">
        <f aca="false">(EU$39+EU$40)*(1-e_Recup)</f>
        <v>0</v>
      </c>
      <c r="EV44" s="13" t="n">
        <f aca="false">(EV$39+EV$40)*(1-e_Recup)</f>
        <v>0</v>
      </c>
      <c r="EW44" s="13" t="n">
        <f aca="false">(EW$39+EW$40)*(1-e_Recup)</f>
        <v>0</v>
      </c>
      <c r="EX44" s="13" t="n">
        <f aca="false">(EX$39+EX$40)*(1-e_Recup)</f>
        <v>0</v>
      </c>
      <c r="EY44" s="13" t="n">
        <f aca="false">(EY$39+EY$40)*(1-e_Recup)</f>
        <v>0</v>
      </c>
      <c r="EZ44" s="13" t="n">
        <f aca="false">(EZ$39+EZ$40)*(1-e_Recup)</f>
        <v>0</v>
      </c>
      <c r="FA44" s="13" t="n">
        <f aca="false">(FA$39+FA$40)*(1-e_Recup)</f>
        <v>0</v>
      </c>
      <c r="FB44" s="13" t="n">
        <f aca="false">(FB$39+FB$40)*(1-e_Recup)</f>
        <v>0</v>
      </c>
      <c r="FC44" s="13" t="n">
        <f aca="false">(FC$39+FC$40)*(1-e_Recup)</f>
        <v>0</v>
      </c>
      <c r="FD44" s="13" t="n">
        <f aca="false">(FD$39+FD$40)*(1-e_Recup)</f>
        <v>0</v>
      </c>
      <c r="FE44" s="13" t="n">
        <f aca="false">(FE$39+FE$40)*(1-e_Recup)</f>
        <v>0</v>
      </c>
      <c r="FF44" s="13" t="n">
        <f aca="false">(FF$39+FF$40)*(1-e_Recup)</f>
        <v>0</v>
      </c>
    </row>
    <row r="45" customFormat="false" ht="15" hidden="false" customHeight="false" outlineLevel="0" collapsed="false">
      <c r="A45" s="2" t="s">
        <v>876</v>
      </c>
      <c r="B45" s="66" t="s">
        <v>847</v>
      </c>
      <c r="C45" s="8" t="s">
        <v>825</v>
      </c>
      <c r="E45" s="67" t="n">
        <f aca="false">SUM($F45:$FF45)</f>
        <v>1110000</v>
      </c>
      <c r="F45" s="12" t="n">
        <f aca="false">IF(F$9=1,SUMIFS(dr_Cant,dr_Mes,0,dr_Cod,"U_VTA_C",dr_Est,"&lt;&gt;Excluido"),F$38+F$42)</f>
        <v>0</v>
      </c>
      <c r="G45" s="12" t="n">
        <f aca="false">IF(G$9=1,SUMIFS(dr_Cant,dr_Mes,1,dr_Cod,"U_VTA_C",dr_Est,"&lt;&gt;Excluido"),G$38+G$42)</f>
        <v>5833.33333333333</v>
      </c>
      <c r="H45" s="12" t="n">
        <f aca="false">IF(H$9=1,SUMIFS(dr_Cant,dr_Mes,2,dr_Cod,"U_VTA_C",dr_Est,"&lt;&gt;Excluido"),H$38+H$42)</f>
        <v>5833.33333333333</v>
      </c>
      <c r="I45" s="12" t="n">
        <f aca="false">IF(I$9=1,SUMIFS(dr_Cant,dr_Mes,3,dr_Cod,"U_VTA_C",dr_Est,"&lt;&gt;Excluido"),I$38+I$42)</f>
        <v>5833.33333333333</v>
      </c>
      <c r="J45" s="12" t="n">
        <f aca="false">IF(J$9=1,SUMIFS(dr_Cant,dr_Mes,4,dr_Cod,"U_VTA_C",dr_Est,"&lt;&gt;Excluido"),J$38+J$42)</f>
        <v>5833.33333333333</v>
      </c>
      <c r="K45" s="12" t="n">
        <f aca="false">IF(K$9=1,SUMIFS(dr_Cant,dr_Mes,5,dr_Cod,"U_VTA_C",dr_Est,"&lt;&gt;Excluido"),K$38+K$42)</f>
        <v>5833.33333333333</v>
      </c>
      <c r="L45" s="12" t="n">
        <f aca="false">IF(L$9=1,SUMIFS(dr_Cant,dr_Mes,6,dr_Cod,"U_VTA_C",dr_Est,"&lt;&gt;Excluido"),L$38+L$42)</f>
        <v>5833.33333333333</v>
      </c>
      <c r="M45" s="12" t="n">
        <f aca="false">IF(M$9=1,SUMIFS(dr_Cant,dr_Mes,7,dr_Cod,"U_VTA_C",dr_Est,"&lt;&gt;Excluido"),M$38+M$42)</f>
        <v>5833.33333333333</v>
      </c>
      <c r="N45" s="12" t="n">
        <f aca="false">IF(N$9=1,SUMIFS(dr_Cant,dr_Mes,8,dr_Cod,"U_VTA_C",dr_Est,"&lt;&gt;Excluido"),N$38+N$42)</f>
        <v>5833.33333333333</v>
      </c>
      <c r="O45" s="12" t="n">
        <f aca="false">IF(O$9=1,SUMIFS(dr_Cant,dr_Mes,9,dr_Cod,"U_VTA_C",dr_Est,"&lt;&gt;Excluido"),O$38+O$42)</f>
        <v>5833.33333333333</v>
      </c>
      <c r="P45" s="12" t="n">
        <f aca="false">IF(P$9=1,SUMIFS(dr_Cant,dr_Mes,10,dr_Cod,"U_VTA_C",dr_Est,"&lt;&gt;Excluido"),P$38+P$42)</f>
        <v>5833.33333333333</v>
      </c>
      <c r="Q45" s="12" t="n">
        <f aca="false">IF(Q$9=1,SUMIFS(dr_Cant,dr_Mes,11,dr_Cod,"U_VTA_C",dr_Est,"&lt;&gt;Excluido"),Q$38+Q$42)</f>
        <v>5833.33333333333</v>
      </c>
      <c r="R45" s="12" t="n">
        <f aca="false">IF(R$9=1,SUMIFS(dr_Cant,dr_Mes,12,dr_Cod,"U_VTA_C",dr_Est,"&lt;&gt;Excluido"),R$38+R$42)</f>
        <v>5833.33333333333</v>
      </c>
      <c r="S45" s="12" t="n">
        <f aca="false">IF(S$9=1,SUMIFS(dr_Cant,dr_Mes,13,dr_Cod,"U_VTA_C",dr_Est,"&lt;&gt;Excluido"),S$38+S$42)</f>
        <v>7500</v>
      </c>
      <c r="T45" s="12" t="n">
        <f aca="false">IF(T$9=1,SUMIFS(dr_Cant,dr_Mes,14,dr_Cod,"U_VTA_C",dr_Est,"&lt;&gt;Excluido"),T$38+T$42)</f>
        <v>7500</v>
      </c>
      <c r="U45" s="12" t="n">
        <f aca="false">IF(U$9=1,SUMIFS(dr_Cant,dr_Mes,15,dr_Cod,"U_VTA_C",dr_Est,"&lt;&gt;Excluido"),U$38+U$42)</f>
        <v>7500</v>
      </c>
      <c r="V45" s="12" t="n">
        <f aca="false">IF(V$9=1,SUMIFS(dr_Cant,dr_Mes,16,dr_Cod,"U_VTA_C",dr_Est,"&lt;&gt;Excluido"),V$38+V$42)</f>
        <v>7500</v>
      </c>
      <c r="W45" s="12" t="n">
        <f aca="false">IF(W$9=1,SUMIFS(dr_Cant,dr_Mes,17,dr_Cod,"U_VTA_C",dr_Est,"&lt;&gt;Excluido"),W$38+W$42)</f>
        <v>7500</v>
      </c>
      <c r="X45" s="12" t="n">
        <f aca="false">IF(X$9=1,SUMIFS(dr_Cant,dr_Mes,18,dr_Cod,"U_VTA_C",dr_Est,"&lt;&gt;Excluido"),X$38+X$42)</f>
        <v>7500</v>
      </c>
      <c r="Y45" s="12" t="n">
        <f aca="false">IF(Y$9=1,SUMIFS(dr_Cant,dr_Mes,19,dr_Cod,"U_VTA_C",dr_Est,"&lt;&gt;Excluido"),Y$38+Y$42)</f>
        <v>7500</v>
      </c>
      <c r="Z45" s="12" t="n">
        <f aca="false">IF(Z$9=1,SUMIFS(dr_Cant,dr_Mes,20,dr_Cod,"U_VTA_C",dr_Est,"&lt;&gt;Excluido"),Z$38+Z$42)</f>
        <v>7500</v>
      </c>
      <c r="AA45" s="12" t="n">
        <f aca="false">IF(AA$9=1,SUMIFS(dr_Cant,dr_Mes,21,dr_Cod,"U_VTA_C",dr_Est,"&lt;&gt;Excluido"),AA$38+AA$42)</f>
        <v>7500</v>
      </c>
      <c r="AB45" s="12" t="n">
        <f aca="false">IF(AB$9=1,SUMIFS(dr_Cant,dr_Mes,22,dr_Cod,"U_VTA_C",dr_Est,"&lt;&gt;Excluido"),AB$38+AB$42)</f>
        <v>7500</v>
      </c>
      <c r="AC45" s="12" t="n">
        <f aca="false">IF(AC$9=1,SUMIFS(dr_Cant,dr_Mes,23,dr_Cod,"U_VTA_C",dr_Est,"&lt;&gt;Excluido"),AC$38+AC$42)</f>
        <v>7500</v>
      </c>
      <c r="AD45" s="12" t="n">
        <f aca="false">IF(AD$9=1,SUMIFS(dr_Cant,dr_Mes,24,dr_Cod,"U_VTA_C",dr_Est,"&lt;&gt;Excluido"),AD$38+AD$42)</f>
        <v>7500</v>
      </c>
      <c r="AE45" s="12" t="n">
        <f aca="false">IF(AE$9=1,SUMIFS(dr_Cant,dr_Mes,25,dr_Cod,"U_VTA_C",dr_Est,"&lt;&gt;Excluido"),AE$38+AE$42)</f>
        <v>9166.66666666667</v>
      </c>
      <c r="AF45" s="12" t="n">
        <f aca="false">IF(AF$9=1,SUMIFS(dr_Cant,dr_Mes,26,dr_Cod,"U_VTA_C",dr_Est,"&lt;&gt;Excluido"),AF$38+AF$42)</f>
        <v>9166.66666666667</v>
      </c>
      <c r="AG45" s="12" t="n">
        <f aca="false">IF(AG$9=1,SUMIFS(dr_Cant,dr_Mes,27,dr_Cod,"U_VTA_C",dr_Est,"&lt;&gt;Excluido"),AG$38+AG$42)</f>
        <v>9166.66666666667</v>
      </c>
      <c r="AH45" s="12" t="n">
        <f aca="false">IF(AH$9=1,SUMIFS(dr_Cant,dr_Mes,28,dr_Cod,"U_VTA_C",dr_Est,"&lt;&gt;Excluido"),AH$38+AH$42)</f>
        <v>9166.66666666667</v>
      </c>
      <c r="AI45" s="12" t="n">
        <f aca="false">IF(AI$9=1,SUMIFS(dr_Cant,dr_Mes,29,dr_Cod,"U_VTA_C",dr_Est,"&lt;&gt;Excluido"),AI$38+AI$42)</f>
        <v>9166.66666666667</v>
      </c>
      <c r="AJ45" s="12" t="n">
        <f aca="false">IF(AJ$9=1,SUMIFS(dr_Cant,dr_Mes,30,dr_Cod,"U_VTA_C",dr_Est,"&lt;&gt;Excluido"),AJ$38+AJ$42)</f>
        <v>9166.66666666667</v>
      </c>
      <c r="AK45" s="12" t="n">
        <f aca="false">IF(AK$9=1,SUMIFS(dr_Cant,dr_Mes,31,dr_Cod,"U_VTA_C",dr_Est,"&lt;&gt;Excluido"),AK$38+AK$42)</f>
        <v>9166.66666666667</v>
      </c>
      <c r="AL45" s="12" t="n">
        <f aca="false">IF(AL$9=1,SUMIFS(dr_Cant,dr_Mes,32,dr_Cod,"U_VTA_C",dr_Est,"&lt;&gt;Excluido"),AL$38+AL$42)</f>
        <v>9166.66666666667</v>
      </c>
      <c r="AM45" s="12" t="n">
        <f aca="false">IF(AM$9=1,SUMIFS(dr_Cant,dr_Mes,33,dr_Cod,"U_VTA_C",dr_Est,"&lt;&gt;Excluido"),AM$38+AM$42)</f>
        <v>9166.66666666667</v>
      </c>
      <c r="AN45" s="12" t="n">
        <f aca="false">IF(AN$9=1,SUMIFS(dr_Cant,dr_Mes,34,dr_Cod,"U_VTA_C",dr_Est,"&lt;&gt;Excluido"),AN$38+AN$42)</f>
        <v>9166.66666666667</v>
      </c>
      <c r="AO45" s="12" t="n">
        <f aca="false">IF(AO$9=1,SUMIFS(dr_Cant,dr_Mes,35,dr_Cod,"U_VTA_C",dr_Est,"&lt;&gt;Excluido"),AO$38+AO$42)</f>
        <v>9166.66666666667</v>
      </c>
      <c r="AP45" s="12" t="n">
        <f aca="false">IF(AP$9=1,SUMIFS(dr_Cant,dr_Mes,36,dr_Cod,"U_VTA_C",dr_Est,"&lt;&gt;Excluido"),AP$38+AP$42)</f>
        <v>9166.66666666667</v>
      </c>
      <c r="AQ45" s="12" t="n">
        <f aca="false">IF(AQ$9=1,SUMIFS(dr_Cant,dr_Mes,37,dr_Cod,"U_VTA_C",dr_Est,"&lt;&gt;Excluido"),AQ$38+AQ$42)</f>
        <v>10000</v>
      </c>
      <c r="AR45" s="12" t="n">
        <f aca="false">IF(AR$9=1,SUMIFS(dr_Cant,dr_Mes,38,dr_Cod,"U_VTA_C",dr_Est,"&lt;&gt;Excluido"),AR$38+AR$42)</f>
        <v>10000</v>
      </c>
      <c r="AS45" s="12" t="n">
        <f aca="false">IF(AS$9=1,SUMIFS(dr_Cant,dr_Mes,39,dr_Cod,"U_VTA_C",dr_Est,"&lt;&gt;Excluido"),AS$38+AS$42)</f>
        <v>10000</v>
      </c>
      <c r="AT45" s="12" t="n">
        <f aca="false">IF(AT$9=1,SUMIFS(dr_Cant,dr_Mes,40,dr_Cod,"U_VTA_C",dr_Est,"&lt;&gt;Excluido"),AT$38+AT$42)</f>
        <v>10000</v>
      </c>
      <c r="AU45" s="12" t="n">
        <f aca="false">IF(AU$9=1,SUMIFS(dr_Cant,dr_Mes,41,dr_Cod,"U_VTA_C",dr_Est,"&lt;&gt;Excluido"),AU$38+AU$42)</f>
        <v>10000</v>
      </c>
      <c r="AV45" s="12" t="n">
        <f aca="false">IF(AV$9=1,SUMIFS(dr_Cant,dr_Mes,42,dr_Cod,"U_VTA_C",dr_Est,"&lt;&gt;Excluido"),AV$38+AV$42)</f>
        <v>10000</v>
      </c>
      <c r="AW45" s="12" t="n">
        <f aca="false">IF(AW$9=1,SUMIFS(dr_Cant,dr_Mes,43,dr_Cod,"U_VTA_C",dr_Est,"&lt;&gt;Excluido"),AW$38+AW$42)</f>
        <v>10000</v>
      </c>
      <c r="AX45" s="12" t="n">
        <f aca="false">IF(AX$9=1,SUMIFS(dr_Cant,dr_Mes,44,dr_Cod,"U_VTA_C",dr_Est,"&lt;&gt;Excluido"),AX$38+AX$42)</f>
        <v>10000</v>
      </c>
      <c r="AY45" s="12" t="n">
        <f aca="false">IF(AY$9=1,SUMIFS(dr_Cant,dr_Mes,45,dr_Cod,"U_VTA_C",dr_Est,"&lt;&gt;Excluido"),AY$38+AY$42)</f>
        <v>10000</v>
      </c>
      <c r="AZ45" s="12" t="n">
        <f aca="false">IF(AZ$9=1,SUMIFS(dr_Cant,dr_Mes,46,dr_Cod,"U_VTA_C",dr_Est,"&lt;&gt;Excluido"),AZ$38+AZ$42)</f>
        <v>10000</v>
      </c>
      <c r="BA45" s="12" t="n">
        <f aca="false">IF(BA$9=1,SUMIFS(dr_Cant,dr_Mes,47,dr_Cod,"U_VTA_C",dr_Est,"&lt;&gt;Excluido"),BA$38+BA$42)</f>
        <v>10000</v>
      </c>
      <c r="BB45" s="12" t="n">
        <f aca="false">IF(BB$9=1,SUMIFS(dr_Cant,dr_Mes,48,dr_Cod,"U_VTA_C",dr_Est,"&lt;&gt;Excluido"),BB$38+BB$42)</f>
        <v>10000</v>
      </c>
      <c r="BC45" s="12" t="n">
        <f aca="false">IF(BC$9=1,SUMIFS(dr_Cant,dr_Mes,49,dr_Cod,"U_VTA_C",dr_Est,"&lt;&gt;Excluido"),BC$38+BC$42)</f>
        <v>10000</v>
      </c>
      <c r="BD45" s="12" t="n">
        <f aca="false">IF(BD$9=1,SUMIFS(dr_Cant,dr_Mes,50,dr_Cod,"U_VTA_C",dr_Est,"&lt;&gt;Excluido"),BD$38+BD$42)</f>
        <v>10000</v>
      </c>
      <c r="BE45" s="12" t="n">
        <f aca="false">IF(BE$9=1,SUMIFS(dr_Cant,dr_Mes,51,dr_Cod,"U_VTA_C",dr_Est,"&lt;&gt;Excluido"),BE$38+BE$42)</f>
        <v>10000</v>
      </c>
      <c r="BF45" s="12" t="n">
        <f aca="false">IF(BF$9=1,SUMIFS(dr_Cant,dr_Mes,52,dr_Cod,"U_VTA_C",dr_Est,"&lt;&gt;Excluido"),BF$38+BF$42)</f>
        <v>10000</v>
      </c>
      <c r="BG45" s="12" t="n">
        <f aca="false">IF(BG$9=1,SUMIFS(dr_Cant,dr_Mes,53,dr_Cod,"U_VTA_C",dr_Est,"&lt;&gt;Excluido"),BG$38+BG$42)</f>
        <v>10000</v>
      </c>
      <c r="BH45" s="12" t="n">
        <f aca="false">IF(BH$9=1,SUMIFS(dr_Cant,dr_Mes,54,dr_Cod,"U_VTA_C",dr_Est,"&lt;&gt;Excluido"),BH$38+BH$42)</f>
        <v>10000</v>
      </c>
      <c r="BI45" s="12" t="n">
        <f aca="false">IF(BI$9=1,SUMIFS(dr_Cant,dr_Mes,55,dr_Cod,"U_VTA_C",dr_Est,"&lt;&gt;Excluido"),BI$38+BI$42)</f>
        <v>10000</v>
      </c>
      <c r="BJ45" s="12" t="n">
        <f aca="false">IF(BJ$9=1,SUMIFS(dr_Cant,dr_Mes,56,dr_Cod,"U_VTA_C",dr_Est,"&lt;&gt;Excluido"),BJ$38+BJ$42)</f>
        <v>10000</v>
      </c>
      <c r="BK45" s="12" t="n">
        <f aca="false">IF(BK$9=1,SUMIFS(dr_Cant,dr_Mes,57,dr_Cod,"U_VTA_C",dr_Est,"&lt;&gt;Excluido"),BK$38+BK$42)</f>
        <v>10000</v>
      </c>
      <c r="BL45" s="12" t="n">
        <f aca="false">IF(BL$9=1,SUMIFS(dr_Cant,dr_Mes,58,dr_Cod,"U_VTA_C",dr_Est,"&lt;&gt;Excluido"),BL$38+BL$42)</f>
        <v>10000</v>
      </c>
      <c r="BM45" s="12" t="n">
        <f aca="false">IF(BM$9=1,SUMIFS(dr_Cant,dr_Mes,59,dr_Cod,"U_VTA_C",dr_Est,"&lt;&gt;Excluido"),BM$38+BM$42)</f>
        <v>10000</v>
      </c>
      <c r="BN45" s="12" t="n">
        <f aca="false">IF(BN$9=1,SUMIFS(dr_Cant,dr_Mes,60,dr_Cod,"U_VTA_C",dr_Est,"&lt;&gt;Excluido"),BN$38+BN$42)</f>
        <v>10000</v>
      </c>
      <c r="BO45" s="12" t="n">
        <f aca="false">IF(BO$9=1,SUMIFS(dr_Cant,dr_Mes,61,dr_Cod,"U_VTA_C",dr_Est,"&lt;&gt;Excluido"),BO$38+BO$42)</f>
        <v>10000</v>
      </c>
      <c r="BP45" s="12" t="n">
        <f aca="false">IF(BP$9=1,SUMIFS(dr_Cant,dr_Mes,62,dr_Cod,"U_VTA_C",dr_Est,"&lt;&gt;Excluido"),BP$38+BP$42)</f>
        <v>10000</v>
      </c>
      <c r="BQ45" s="12" t="n">
        <f aca="false">IF(BQ$9=1,SUMIFS(dr_Cant,dr_Mes,63,dr_Cod,"U_VTA_C",dr_Est,"&lt;&gt;Excluido"),BQ$38+BQ$42)</f>
        <v>10000</v>
      </c>
      <c r="BR45" s="12" t="n">
        <f aca="false">IF(BR$9=1,SUMIFS(dr_Cant,dr_Mes,64,dr_Cod,"U_VTA_C",dr_Est,"&lt;&gt;Excluido"),BR$38+BR$42)</f>
        <v>10000</v>
      </c>
      <c r="BS45" s="12" t="n">
        <f aca="false">IF(BS$9=1,SUMIFS(dr_Cant,dr_Mes,65,dr_Cod,"U_VTA_C",dr_Est,"&lt;&gt;Excluido"),BS$38+BS$42)</f>
        <v>10000</v>
      </c>
      <c r="BT45" s="12" t="n">
        <f aca="false">IF(BT$9=1,SUMIFS(dr_Cant,dr_Mes,66,dr_Cod,"U_VTA_C",dr_Est,"&lt;&gt;Excluido"),BT$38+BT$42)</f>
        <v>10000</v>
      </c>
      <c r="BU45" s="12" t="n">
        <f aca="false">IF(BU$9=1,SUMIFS(dr_Cant,dr_Mes,67,dr_Cod,"U_VTA_C",dr_Est,"&lt;&gt;Excluido"),BU$38+BU$42)</f>
        <v>10000</v>
      </c>
      <c r="BV45" s="12" t="n">
        <f aca="false">IF(BV$9=1,SUMIFS(dr_Cant,dr_Mes,68,dr_Cod,"U_VTA_C",dr_Est,"&lt;&gt;Excluido"),BV$38+BV$42)</f>
        <v>10000</v>
      </c>
      <c r="BW45" s="12" t="n">
        <f aca="false">IF(BW$9=1,SUMIFS(dr_Cant,dr_Mes,69,dr_Cod,"U_VTA_C",dr_Est,"&lt;&gt;Excluido"),BW$38+BW$42)</f>
        <v>10000</v>
      </c>
      <c r="BX45" s="12" t="n">
        <f aca="false">IF(BX$9=1,SUMIFS(dr_Cant,dr_Mes,70,dr_Cod,"U_VTA_C",dr_Est,"&lt;&gt;Excluido"),BX$38+BX$42)</f>
        <v>10000</v>
      </c>
      <c r="BY45" s="12" t="n">
        <f aca="false">IF(BY$9=1,SUMIFS(dr_Cant,dr_Mes,71,dr_Cod,"U_VTA_C",dr_Est,"&lt;&gt;Excluido"),BY$38+BY$42)</f>
        <v>10000</v>
      </c>
      <c r="BZ45" s="12" t="n">
        <f aca="false">IF(BZ$9=1,SUMIFS(dr_Cant,dr_Mes,72,dr_Cod,"U_VTA_C",dr_Est,"&lt;&gt;Excluido"),BZ$38+BZ$42)</f>
        <v>10000</v>
      </c>
      <c r="CA45" s="12" t="n">
        <f aca="false">IF(CA$9=1,SUMIFS(dr_Cant,dr_Mes,73,dr_Cod,"U_VTA_C",dr_Est,"&lt;&gt;Excluido"),CA$38+CA$42)</f>
        <v>10000</v>
      </c>
      <c r="CB45" s="12" t="n">
        <f aca="false">IF(CB$9=1,SUMIFS(dr_Cant,dr_Mes,74,dr_Cod,"U_VTA_C",dr_Est,"&lt;&gt;Excluido"),CB$38+CB$42)</f>
        <v>10000</v>
      </c>
      <c r="CC45" s="12" t="n">
        <f aca="false">IF(CC$9=1,SUMIFS(dr_Cant,dr_Mes,75,dr_Cod,"U_VTA_C",dr_Est,"&lt;&gt;Excluido"),CC$38+CC$42)</f>
        <v>10000</v>
      </c>
      <c r="CD45" s="12" t="n">
        <f aca="false">IF(CD$9=1,SUMIFS(dr_Cant,dr_Mes,76,dr_Cod,"U_VTA_C",dr_Est,"&lt;&gt;Excluido"),CD$38+CD$42)</f>
        <v>10000</v>
      </c>
      <c r="CE45" s="12" t="n">
        <f aca="false">IF(CE$9=1,SUMIFS(dr_Cant,dr_Mes,77,dr_Cod,"U_VTA_C",dr_Est,"&lt;&gt;Excluido"),CE$38+CE$42)</f>
        <v>10000</v>
      </c>
      <c r="CF45" s="12" t="n">
        <f aca="false">IF(CF$9=1,SUMIFS(dr_Cant,dr_Mes,78,dr_Cod,"U_VTA_C",dr_Est,"&lt;&gt;Excluido"),CF$38+CF$42)</f>
        <v>10000</v>
      </c>
      <c r="CG45" s="12" t="n">
        <f aca="false">IF(CG$9=1,SUMIFS(dr_Cant,dr_Mes,79,dr_Cod,"U_VTA_C",dr_Est,"&lt;&gt;Excluido"),CG$38+CG$42)</f>
        <v>10000</v>
      </c>
      <c r="CH45" s="12" t="n">
        <f aca="false">IF(CH$9=1,SUMIFS(dr_Cant,dr_Mes,80,dr_Cod,"U_VTA_C",dr_Est,"&lt;&gt;Excluido"),CH$38+CH$42)</f>
        <v>10000</v>
      </c>
      <c r="CI45" s="12" t="n">
        <f aca="false">IF(CI$9=1,SUMIFS(dr_Cant,dr_Mes,81,dr_Cod,"U_VTA_C",dr_Est,"&lt;&gt;Excluido"),CI$38+CI$42)</f>
        <v>10000</v>
      </c>
      <c r="CJ45" s="12" t="n">
        <f aca="false">IF(CJ$9=1,SUMIFS(dr_Cant,dr_Mes,82,dr_Cod,"U_VTA_C",dr_Est,"&lt;&gt;Excluido"),CJ$38+CJ$42)</f>
        <v>10000</v>
      </c>
      <c r="CK45" s="12" t="n">
        <f aca="false">IF(CK$9=1,SUMIFS(dr_Cant,dr_Mes,83,dr_Cod,"U_VTA_C",dr_Est,"&lt;&gt;Excluido"),CK$38+CK$42)</f>
        <v>10000</v>
      </c>
      <c r="CL45" s="12" t="n">
        <f aca="false">IF(CL$9=1,SUMIFS(dr_Cant,dr_Mes,84,dr_Cod,"U_VTA_C",dr_Est,"&lt;&gt;Excluido"),CL$38+CL$42)</f>
        <v>10000</v>
      </c>
      <c r="CM45" s="12" t="n">
        <f aca="false">IF(CM$9=1,SUMIFS(dr_Cant,dr_Mes,85,dr_Cod,"U_VTA_C",dr_Est,"&lt;&gt;Excluido"),CM$38+CM$42)</f>
        <v>10000</v>
      </c>
      <c r="CN45" s="12" t="n">
        <f aca="false">IF(CN$9=1,SUMIFS(dr_Cant,dr_Mes,86,dr_Cod,"U_VTA_C",dr_Est,"&lt;&gt;Excluido"),CN$38+CN$42)</f>
        <v>10000</v>
      </c>
      <c r="CO45" s="12" t="n">
        <f aca="false">IF(CO$9=1,SUMIFS(dr_Cant,dr_Mes,87,dr_Cod,"U_VTA_C",dr_Est,"&lt;&gt;Excluido"),CO$38+CO$42)</f>
        <v>10000</v>
      </c>
      <c r="CP45" s="12" t="n">
        <f aca="false">IF(CP$9=1,SUMIFS(dr_Cant,dr_Mes,88,dr_Cod,"U_VTA_C",dr_Est,"&lt;&gt;Excluido"),CP$38+CP$42)</f>
        <v>10000</v>
      </c>
      <c r="CQ45" s="12" t="n">
        <f aca="false">IF(CQ$9=1,SUMIFS(dr_Cant,dr_Mes,89,dr_Cod,"U_VTA_C",dr_Est,"&lt;&gt;Excluido"),CQ$38+CQ$42)</f>
        <v>10000</v>
      </c>
      <c r="CR45" s="12" t="n">
        <f aca="false">IF(CR$9=1,SUMIFS(dr_Cant,dr_Mes,90,dr_Cod,"U_VTA_C",dr_Est,"&lt;&gt;Excluido"),CR$38+CR$42)</f>
        <v>10000</v>
      </c>
      <c r="CS45" s="12" t="n">
        <f aca="false">IF(CS$9=1,SUMIFS(dr_Cant,dr_Mes,91,dr_Cod,"U_VTA_C",dr_Est,"&lt;&gt;Excluido"),CS$38+CS$42)</f>
        <v>10000</v>
      </c>
      <c r="CT45" s="12" t="n">
        <f aca="false">IF(CT$9=1,SUMIFS(dr_Cant,dr_Mes,92,dr_Cod,"U_VTA_C",dr_Est,"&lt;&gt;Excluido"),CT$38+CT$42)</f>
        <v>10000</v>
      </c>
      <c r="CU45" s="12" t="n">
        <f aca="false">IF(CU$9=1,SUMIFS(dr_Cant,dr_Mes,93,dr_Cod,"U_VTA_C",dr_Est,"&lt;&gt;Excluido"),CU$38+CU$42)</f>
        <v>10000</v>
      </c>
      <c r="CV45" s="12" t="n">
        <f aca="false">IF(CV$9=1,SUMIFS(dr_Cant,dr_Mes,94,dr_Cod,"U_VTA_C",dr_Est,"&lt;&gt;Excluido"),CV$38+CV$42)</f>
        <v>10000</v>
      </c>
      <c r="CW45" s="12" t="n">
        <f aca="false">IF(CW$9=1,SUMIFS(dr_Cant,dr_Mes,95,dr_Cod,"U_VTA_C",dr_Est,"&lt;&gt;Excluido"),CW$38+CW$42)</f>
        <v>10000</v>
      </c>
      <c r="CX45" s="12" t="n">
        <f aca="false">IF(CX$9=1,SUMIFS(dr_Cant,dr_Mes,96,dr_Cod,"U_VTA_C",dr_Est,"&lt;&gt;Excluido"),CX$38+CX$42)</f>
        <v>10000</v>
      </c>
      <c r="CY45" s="12" t="n">
        <f aca="false">IF(CY$9=1,SUMIFS(dr_Cant,dr_Mes,97,dr_Cod,"U_VTA_C",dr_Est,"&lt;&gt;Excluido"),CY$38+CY$42)</f>
        <v>10000</v>
      </c>
      <c r="CZ45" s="12" t="n">
        <f aca="false">IF(CZ$9=1,SUMIFS(dr_Cant,dr_Mes,98,dr_Cod,"U_VTA_C",dr_Est,"&lt;&gt;Excluido"),CZ$38+CZ$42)</f>
        <v>10000</v>
      </c>
      <c r="DA45" s="12" t="n">
        <f aca="false">IF(DA$9=1,SUMIFS(dr_Cant,dr_Mes,99,dr_Cod,"U_VTA_C",dr_Est,"&lt;&gt;Excluido"),DA$38+DA$42)</f>
        <v>10000</v>
      </c>
      <c r="DB45" s="12" t="n">
        <f aca="false">IF(DB$9=1,SUMIFS(dr_Cant,dr_Mes,100,dr_Cod,"U_VTA_C",dr_Est,"&lt;&gt;Excluido"),DB$38+DB$42)</f>
        <v>10000</v>
      </c>
      <c r="DC45" s="12" t="n">
        <f aca="false">IF(DC$9=1,SUMIFS(dr_Cant,dr_Mes,101,dr_Cod,"U_VTA_C",dr_Est,"&lt;&gt;Excluido"),DC$38+DC$42)</f>
        <v>10000</v>
      </c>
      <c r="DD45" s="12" t="n">
        <f aca="false">IF(DD$9=1,SUMIFS(dr_Cant,dr_Mes,102,dr_Cod,"U_VTA_C",dr_Est,"&lt;&gt;Excluido"),DD$38+DD$42)</f>
        <v>10000</v>
      </c>
      <c r="DE45" s="12" t="n">
        <f aca="false">IF(DE$9=1,SUMIFS(dr_Cant,dr_Mes,103,dr_Cod,"U_VTA_C",dr_Est,"&lt;&gt;Excluido"),DE$38+DE$42)</f>
        <v>10000</v>
      </c>
      <c r="DF45" s="12" t="n">
        <f aca="false">IF(DF$9=1,SUMIFS(dr_Cant,dr_Mes,104,dr_Cod,"U_VTA_C",dr_Est,"&lt;&gt;Excluido"),DF$38+DF$42)</f>
        <v>10000</v>
      </c>
      <c r="DG45" s="12" t="n">
        <f aca="false">IF(DG$9=1,SUMIFS(dr_Cant,dr_Mes,105,dr_Cod,"U_VTA_C",dr_Est,"&lt;&gt;Excluido"),DG$38+DG$42)</f>
        <v>10000</v>
      </c>
      <c r="DH45" s="12" t="n">
        <f aca="false">IF(DH$9=1,SUMIFS(dr_Cant,dr_Mes,106,dr_Cod,"U_VTA_C",dr_Est,"&lt;&gt;Excluido"),DH$38+DH$42)</f>
        <v>10000</v>
      </c>
      <c r="DI45" s="12" t="n">
        <f aca="false">IF(DI$9=1,SUMIFS(dr_Cant,dr_Mes,107,dr_Cod,"U_VTA_C",dr_Est,"&lt;&gt;Excluido"),DI$38+DI$42)</f>
        <v>10000</v>
      </c>
      <c r="DJ45" s="12" t="n">
        <f aca="false">IF(DJ$9=1,SUMIFS(dr_Cant,dr_Mes,108,dr_Cod,"U_VTA_C",dr_Est,"&lt;&gt;Excluido"),DJ$38+DJ$42)</f>
        <v>10000</v>
      </c>
      <c r="DK45" s="12" t="n">
        <f aca="false">IF(DK$9=1,SUMIFS(dr_Cant,dr_Mes,109,dr_Cod,"U_VTA_C",dr_Est,"&lt;&gt;Excluido"),DK$38+DK$42)</f>
        <v>10000</v>
      </c>
      <c r="DL45" s="12" t="n">
        <f aca="false">IF(DL$9=1,SUMIFS(dr_Cant,dr_Mes,110,dr_Cod,"U_VTA_C",dr_Est,"&lt;&gt;Excluido"),DL$38+DL$42)</f>
        <v>10000</v>
      </c>
      <c r="DM45" s="12" t="n">
        <f aca="false">IF(DM$9=1,SUMIFS(dr_Cant,dr_Mes,111,dr_Cod,"U_VTA_C",dr_Est,"&lt;&gt;Excluido"),DM$38+DM$42)</f>
        <v>10000</v>
      </c>
      <c r="DN45" s="12" t="n">
        <f aca="false">IF(DN$9=1,SUMIFS(dr_Cant,dr_Mes,112,dr_Cod,"U_VTA_C",dr_Est,"&lt;&gt;Excluido"),DN$38+DN$42)</f>
        <v>10000</v>
      </c>
      <c r="DO45" s="12" t="n">
        <f aca="false">IF(DO$9=1,SUMIFS(dr_Cant,dr_Mes,113,dr_Cod,"U_VTA_C",dr_Est,"&lt;&gt;Excluido"),DO$38+DO$42)</f>
        <v>10000</v>
      </c>
      <c r="DP45" s="12" t="n">
        <f aca="false">IF(DP$9=1,SUMIFS(dr_Cant,dr_Mes,114,dr_Cod,"U_VTA_C",dr_Est,"&lt;&gt;Excluido"),DP$38+DP$42)</f>
        <v>10000</v>
      </c>
      <c r="DQ45" s="12" t="n">
        <f aca="false">IF(DQ$9=1,SUMIFS(dr_Cant,dr_Mes,115,dr_Cod,"U_VTA_C",dr_Est,"&lt;&gt;Excluido"),DQ$38+DQ$42)</f>
        <v>10000</v>
      </c>
      <c r="DR45" s="12" t="n">
        <f aca="false">IF(DR$9=1,SUMIFS(dr_Cant,dr_Mes,116,dr_Cod,"U_VTA_C",dr_Est,"&lt;&gt;Excluido"),DR$38+DR$42)</f>
        <v>10000</v>
      </c>
      <c r="DS45" s="12" t="n">
        <f aca="false">IF(DS$9=1,SUMIFS(dr_Cant,dr_Mes,117,dr_Cod,"U_VTA_C",dr_Est,"&lt;&gt;Excluido"),DS$38+DS$42)</f>
        <v>10000</v>
      </c>
      <c r="DT45" s="12" t="n">
        <f aca="false">IF(DT$9=1,SUMIFS(dr_Cant,dr_Mes,118,dr_Cod,"U_VTA_C",dr_Est,"&lt;&gt;Excluido"),DT$38+DT$42)</f>
        <v>10000</v>
      </c>
      <c r="DU45" s="12" t="n">
        <f aca="false">IF(DU$9=1,SUMIFS(dr_Cant,dr_Mes,119,dr_Cod,"U_VTA_C",dr_Est,"&lt;&gt;Excluido"),DU$38+DU$42)</f>
        <v>10000</v>
      </c>
      <c r="DV45" s="12" t="n">
        <f aca="false">IF(DV$9=1,SUMIFS(dr_Cant,dr_Mes,120,dr_Cod,"U_VTA_C",dr_Est,"&lt;&gt;Excluido"),DV$38+DV$42)</f>
        <v>10000</v>
      </c>
      <c r="DW45" s="12" t="n">
        <f aca="false">IF(DW$9=1,SUMIFS(dr_Cant,dr_Mes,121,dr_Cod,"U_VTA_C",dr_Est,"&lt;&gt;Excluido"),DW$38+DW$42)</f>
        <v>0</v>
      </c>
      <c r="DX45" s="12" t="n">
        <f aca="false">IF(DX$9=1,SUMIFS(dr_Cant,dr_Mes,122,dr_Cod,"U_VTA_C",dr_Est,"&lt;&gt;Excluido"),DX$38+DX$42)</f>
        <v>0</v>
      </c>
      <c r="DY45" s="12" t="n">
        <f aca="false">IF(DY$9=1,SUMIFS(dr_Cant,dr_Mes,123,dr_Cod,"U_VTA_C",dr_Est,"&lt;&gt;Excluido"),DY$38+DY$42)</f>
        <v>0</v>
      </c>
      <c r="DZ45" s="12" t="n">
        <f aca="false">IF(DZ$9=1,SUMIFS(dr_Cant,dr_Mes,124,dr_Cod,"U_VTA_C",dr_Est,"&lt;&gt;Excluido"),DZ$38+DZ$42)</f>
        <v>0</v>
      </c>
      <c r="EA45" s="12" t="n">
        <f aca="false">IF(EA$9=1,SUMIFS(dr_Cant,dr_Mes,125,dr_Cod,"U_VTA_C",dr_Est,"&lt;&gt;Excluido"),EA$38+EA$42)</f>
        <v>0</v>
      </c>
      <c r="EB45" s="12" t="n">
        <f aca="false">IF(EB$9=1,SUMIFS(dr_Cant,dr_Mes,126,dr_Cod,"U_VTA_C",dr_Est,"&lt;&gt;Excluido"),EB$38+EB$42)</f>
        <v>0</v>
      </c>
      <c r="EC45" s="12" t="n">
        <f aca="false">IF(EC$9=1,SUMIFS(dr_Cant,dr_Mes,127,dr_Cod,"U_VTA_C",dr_Est,"&lt;&gt;Excluido"),EC$38+EC$42)</f>
        <v>0</v>
      </c>
      <c r="ED45" s="12" t="n">
        <f aca="false">IF(ED$9=1,SUMIFS(dr_Cant,dr_Mes,128,dr_Cod,"U_VTA_C",dr_Est,"&lt;&gt;Excluido"),ED$38+ED$42)</f>
        <v>0</v>
      </c>
      <c r="EE45" s="12" t="n">
        <f aca="false">IF(EE$9=1,SUMIFS(dr_Cant,dr_Mes,129,dr_Cod,"U_VTA_C",dr_Est,"&lt;&gt;Excluido"),EE$38+EE$42)</f>
        <v>0</v>
      </c>
      <c r="EF45" s="12" t="n">
        <f aca="false">IF(EF$9=1,SUMIFS(dr_Cant,dr_Mes,130,dr_Cod,"U_VTA_C",dr_Est,"&lt;&gt;Excluido"),EF$38+EF$42)</f>
        <v>0</v>
      </c>
      <c r="EG45" s="12" t="n">
        <f aca="false">IF(EG$9=1,SUMIFS(dr_Cant,dr_Mes,131,dr_Cod,"U_VTA_C",dr_Est,"&lt;&gt;Excluido"),EG$38+EG$42)</f>
        <v>0</v>
      </c>
      <c r="EH45" s="12" t="n">
        <f aca="false">IF(EH$9=1,SUMIFS(dr_Cant,dr_Mes,132,dr_Cod,"U_VTA_C",dr_Est,"&lt;&gt;Excluido"),EH$38+EH$42)</f>
        <v>0</v>
      </c>
      <c r="EI45" s="12" t="n">
        <f aca="false">IF(EI$9=1,SUMIFS(dr_Cant,dr_Mes,133,dr_Cod,"U_VTA_C",dr_Est,"&lt;&gt;Excluido"),EI$38+EI$42)</f>
        <v>0</v>
      </c>
      <c r="EJ45" s="12" t="n">
        <f aca="false">IF(EJ$9=1,SUMIFS(dr_Cant,dr_Mes,134,dr_Cod,"U_VTA_C",dr_Est,"&lt;&gt;Excluido"),EJ$38+EJ$42)</f>
        <v>0</v>
      </c>
      <c r="EK45" s="12" t="n">
        <f aca="false">IF(EK$9=1,SUMIFS(dr_Cant,dr_Mes,135,dr_Cod,"U_VTA_C",dr_Est,"&lt;&gt;Excluido"),EK$38+EK$42)</f>
        <v>0</v>
      </c>
      <c r="EL45" s="12" t="n">
        <f aca="false">IF(EL$9=1,SUMIFS(dr_Cant,dr_Mes,136,dr_Cod,"U_VTA_C",dr_Est,"&lt;&gt;Excluido"),EL$38+EL$42)</f>
        <v>0</v>
      </c>
      <c r="EM45" s="12" t="n">
        <f aca="false">IF(EM$9=1,SUMIFS(dr_Cant,dr_Mes,137,dr_Cod,"U_VTA_C",dr_Est,"&lt;&gt;Excluido"),EM$38+EM$42)</f>
        <v>0</v>
      </c>
      <c r="EN45" s="12" t="n">
        <f aca="false">IF(EN$9=1,SUMIFS(dr_Cant,dr_Mes,138,dr_Cod,"U_VTA_C",dr_Est,"&lt;&gt;Excluido"),EN$38+EN$42)</f>
        <v>0</v>
      </c>
      <c r="EO45" s="12" t="n">
        <f aca="false">IF(EO$9=1,SUMIFS(dr_Cant,dr_Mes,139,dr_Cod,"U_VTA_C",dr_Est,"&lt;&gt;Excluido"),EO$38+EO$42)</f>
        <v>0</v>
      </c>
      <c r="EP45" s="12" t="n">
        <f aca="false">IF(EP$9=1,SUMIFS(dr_Cant,dr_Mes,140,dr_Cod,"U_VTA_C",dr_Est,"&lt;&gt;Excluido"),EP$38+EP$42)</f>
        <v>0</v>
      </c>
      <c r="EQ45" s="12" t="n">
        <f aca="false">IF(EQ$9=1,SUMIFS(dr_Cant,dr_Mes,141,dr_Cod,"U_VTA_C",dr_Est,"&lt;&gt;Excluido"),EQ$38+EQ$42)</f>
        <v>0</v>
      </c>
      <c r="ER45" s="12" t="n">
        <f aca="false">IF(ER$9=1,SUMIFS(dr_Cant,dr_Mes,142,dr_Cod,"U_VTA_C",dr_Est,"&lt;&gt;Excluido"),ER$38+ER$42)</f>
        <v>0</v>
      </c>
      <c r="ES45" s="12" t="n">
        <f aca="false">IF(ES$9=1,SUMIFS(dr_Cant,dr_Mes,143,dr_Cod,"U_VTA_C",dr_Est,"&lt;&gt;Excluido"),ES$38+ES$42)</f>
        <v>0</v>
      </c>
      <c r="ET45" s="12" t="n">
        <f aca="false">IF(ET$9=1,SUMIFS(dr_Cant,dr_Mes,144,dr_Cod,"U_VTA_C",dr_Est,"&lt;&gt;Excluido"),ET$38+ET$42)</f>
        <v>0</v>
      </c>
      <c r="EU45" s="12" t="n">
        <f aca="false">IF(EU$9=1,SUMIFS(dr_Cant,dr_Mes,145,dr_Cod,"U_VTA_C",dr_Est,"&lt;&gt;Excluido"),EU$38+EU$42)</f>
        <v>0</v>
      </c>
      <c r="EV45" s="12" t="n">
        <f aca="false">IF(EV$9=1,SUMIFS(dr_Cant,dr_Mes,146,dr_Cod,"U_VTA_C",dr_Est,"&lt;&gt;Excluido"),EV$38+EV$42)</f>
        <v>0</v>
      </c>
      <c r="EW45" s="12" t="n">
        <f aca="false">IF(EW$9=1,SUMIFS(dr_Cant,dr_Mes,147,dr_Cod,"U_VTA_C",dr_Est,"&lt;&gt;Excluido"),EW$38+EW$42)</f>
        <v>0</v>
      </c>
      <c r="EX45" s="12" t="n">
        <f aca="false">IF(EX$9=1,SUMIFS(dr_Cant,dr_Mes,148,dr_Cod,"U_VTA_C",dr_Est,"&lt;&gt;Excluido"),EX$38+EX$42)</f>
        <v>0</v>
      </c>
      <c r="EY45" s="12" t="n">
        <f aca="false">IF(EY$9=1,SUMIFS(dr_Cant,dr_Mes,149,dr_Cod,"U_VTA_C",dr_Est,"&lt;&gt;Excluido"),EY$38+EY$42)</f>
        <v>0</v>
      </c>
      <c r="EZ45" s="12" t="n">
        <f aca="false">IF(EZ$9=1,SUMIFS(dr_Cant,dr_Mes,150,dr_Cod,"U_VTA_C",dr_Est,"&lt;&gt;Excluido"),EZ$38+EZ$42)</f>
        <v>0</v>
      </c>
      <c r="FA45" s="12" t="n">
        <f aca="false">IF(FA$9=1,SUMIFS(dr_Cant,dr_Mes,151,dr_Cod,"U_VTA_C",dr_Est,"&lt;&gt;Excluido"),FA$38+FA$42)</f>
        <v>0</v>
      </c>
      <c r="FB45" s="12" t="n">
        <f aca="false">IF(FB$9=1,SUMIFS(dr_Cant,dr_Mes,152,dr_Cod,"U_VTA_C",dr_Est,"&lt;&gt;Excluido"),FB$38+FB$42)</f>
        <v>0</v>
      </c>
      <c r="FC45" s="12" t="n">
        <f aca="false">IF(FC$9=1,SUMIFS(dr_Cant,dr_Mes,153,dr_Cod,"U_VTA_C",dr_Est,"&lt;&gt;Excluido"),FC$38+FC$42)</f>
        <v>0</v>
      </c>
      <c r="FD45" s="12" t="n">
        <f aca="false">IF(FD$9=1,SUMIFS(dr_Cant,dr_Mes,154,dr_Cod,"U_VTA_C",dr_Est,"&lt;&gt;Excluido"),FD$38+FD$42)</f>
        <v>0</v>
      </c>
      <c r="FE45" s="12" t="n">
        <f aca="false">IF(FE$9=1,SUMIFS(dr_Cant,dr_Mes,155,dr_Cod,"U_VTA_C",dr_Est,"&lt;&gt;Excluido"),FE$38+FE$42)</f>
        <v>0</v>
      </c>
      <c r="FF45" s="12" t="n">
        <f aca="false">IF(FF$9=1,SUMIFS(dr_Cant,dr_Mes,156,dr_Cod,"U_VTA_C",dr_Est,"&lt;&gt;Excluido"),FF$38+FF$42)</f>
        <v>0</v>
      </c>
    </row>
    <row r="46" customFormat="false" ht="15" hidden="false" customHeight="false" outlineLevel="0" collapsed="false">
      <c r="A46" s="2" t="s">
        <v>877</v>
      </c>
      <c r="B46" s="8" t="s">
        <v>849</v>
      </c>
      <c r="C46" s="8" t="s">
        <v>825</v>
      </c>
      <c r="F46" s="13" t="n">
        <f aca="false">IF(F$8=1,G$45*p_PTf,0)</f>
        <v>0</v>
      </c>
      <c r="G46" s="13" t="n">
        <f aca="false">IF(G$8=1,H$45*p_PTf,0)</f>
        <v>1917.80821917808</v>
      </c>
      <c r="H46" s="13" t="n">
        <f aca="false">IF(H$8=1,I$45*p_PTf,0)</f>
        <v>1917.80821917808</v>
      </c>
      <c r="I46" s="13" t="n">
        <f aca="false">IF(I$8=1,J$45*p_PTf,0)</f>
        <v>1917.80821917808</v>
      </c>
      <c r="J46" s="13" t="n">
        <f aca="false">IF(J$8=1,K$45*p_PTf,0)</f>
        <v>1917.80821917808</v>
      </c>
      <c r="K46" s="13" t="n">
        <f aca="false">IF(K$8=1,L$45*p_PTf,0)</f>
        <v>1917.80821917808</v>
      </c>
      <c r="L46" s="13" t="n">
        <f aca="false">IF(L$8=1,M$45*p_PTf,0)</f>
        <v>1917.80821917808</v>
      </c>
      <c r="M46" s="13" t="n">
        <f aca="false">IF(M$8=1,N$45*p_PTf,0)</f>
        <v>1917.80821917808</v>
      </c>
      <c r="N46" s="13" t="n">
        <f aca="false">IF(N$8=1,O$45*p_PTf,0)</f>
        <v>1917.80821917808</v>
      </c>
      <c r="O46" s="13" t="n">
        <f aca="false">IF(O$8=1,P$45*p_PTf,0)</f>
        <v>1917.80821917808</v>
      </c>
      <c r="P46" s="13" t="n">
        <f aca="false">IF(P$8=1,Q$45*p_PTf,0)</f>
        <v>1917.80821917808</v>
      </c>
      <c r="Q46" s="13" t="n">
        <f aca="false">IF(Q$8=1,R$45*p_PTf,0)</f>
        <v>1917.80821917808</v>
      </c>
      <c r="R46" s="13" t="n">
        <f aca="false">IF(R$8=1,S$45*p_PTf,0)</f>
        <v>2465.75342465753</v>
      </c>
      <c r="S46" s="13" t="n">
        <f aca="false">IF(S$8=1,T$45*p_PTf,0)</f>
        <v>2465.75342465753</v>
      </c>
      <c r="T46" s="13" t="n">
        <f aca="false">IF(T$8=1,U$45*p_PTf,0)</f>
        <v>2465.75342465753</v>
      </c>
      <c r="U46" s="13" t="n">
        <f aca="false">IF(U$8=1,V$45*p_PTf,0)</f>
        <v>2465.75342465753</v>
      </c>
      <c r="V46" s="13" t="n">
        <f aca="false">IF(V$8=1,W$45*p_PTf,0)</f>
        <v>2465.75342465753</v>
      </c>
      <c r="W46" s="13" t="n">
        <f aca="false">IF(W$8=1,X$45*p_PTf,0)</f>
        <v>2465.75342465753</v>
      </c>
      <c r="X46" s="13" t="n">
        <f aca="false">IF(X$8=1,Y$45*p_PTf,0)</f>
        <v>2465.75342465753</v>
      </c>
      <c r="Y46" s="13" t="n">
        <f aca="false">IF(Y$8=1,Z$45*p_PTf,0)</f>
        <v>2465.75342465753</v>
      </c>
      <c r="Z46" s="13" t="n">
        <f aca="false">IF(Z$8=1,AA$45*p_PTf,0)</f>
        <v>2465.75342465753</v>
      </c>
      <c r="AA46" s="13" t="n">
        <f aca="false">IF(AA$8=1,AB$45*p_PTf,0)</f>
        <v>2465.75342465753</v>
      </c>
      <c r="AB46" s="13" t="n">
        <f aca="false">IF(AB$8=1,AC$45*p_PTf,0)</f>
        <v>2465.75342465753</v>
      </c>
      <c r="AC46" s="13" t="n">
        <f aca="false">IF(AC$8=1,AD$45*p_PTf,0)</f>
        <v>2465.75342465753</v>
      </c>
      <c r="AD46" s="13" t="n">
        <f aca="false">IF(AD$8=1,AE$45*p_PTf,0)</f>
        <v>3013.69863013699</v>
      </c>
      <c r="AE46" s="13" t="n">
        <f aca="false">IF(AE$8=1,AF$45*p_PTf,0)</f>
        <v>3013.69863013699</v>
      </c>
      <c r="AF46" s="13" t="n">
        <f aca="false">IF(AF$8=1,AG$45*p_PTf,0)</f>
        <v>3013.69863013699</v>
      </c>
      <c r="AG46" s="13" t="n">
        <f aca="false">IF(AG$8=1,AH$45*p_PTf,0)</f>
        <v>3013.69863013699</v>
      </c>
      <c r="AH46" s="13" t="n">
        <f aca="false">IF(AH$8=1,AI$45*p_PTf,0)</f>
        <v>3013.69863013699</v>
      </c>
      <c r="AI46" s="13" t="n">
        <f aca="false">IF(AI$8=1,AJ$45*p_PTf,0)</f>
        <v>3013.69863013699</v>
      </c>
      <c r="AJ46" s="13" t="n">
        <f aca="false">IF(AJ$8=1,AK$45*p_PTf,0)</f>
        <v>3013.69863013699</v>
      </c>
      <c r="AK46" s="13" t="n">
        <f aca="false">IF(AK$8=1,AL$45*p_PTf,0)</f>
        <v>3013.69863013699</v>
      </c>
      <c r="AL46" s="13" t="n">
        <f aca="false">IF(AL$8=1,AM$45*p_PTf,0)</f>
        <v>3013.69863013699</v>
      </c>
      <c r="AM46" s="13" t="n">
        <f aca="false">IF(AM$8=1,AN$45*p_PTf,0)</f>
        <v>3013.69863013699</v>
      </c>
      <c r="AN46" s="13" t="n">
        <f aca="false">IF(AN$8=1,AO$45*p_PTf,0)</f>
        <v>3013.69863013699</v>
      </c>
      <c r="AO46" s="13" t="n">
        <f aca="false">IF(AO$8=1,AP$45*p_PTf,0)</f>
        <v>3013.69863013699</v>
      </c>
      <c r="AP46" s="13" t="n">
        <f aca="false">IF(AP$8=1,AQ$45*p_PTf,0)</f>
        <v>3287.67123287671</v>
      </c>
      <c r="AQ46" s="13" t="n">
        <f aca="false">IF(AQ$8=1,AR$45*p_PTf,0)</f>
        <v>3287.67123287671</v>
      </c>
      <c r="AR46" s="13" t="n">
        <f aca="false">IF(AR$8=1,AS$45*p_PTf,0)</f>
        <v>3287.67123287671</v>
      </c>
      <c r="AS46" s="13" t="n">
        <f aca="false">IF(AS$8=1,AT$45*p_PTf,0)</f>
        <v>3287.67123287671</v>
      </c>
      <c r="AT46" s="13" t="n">
        <f aca="false">IF(AT$8=1,AU$45*p_PTf,0)</f>
        <v>3287.67123287671</v>
      </c>
      <c r="AU46" s="13" t="n">
        <f aca="false">IF(AU$8=1,AV$45*p_PTf,0)</f>
        <v>3287.67123287671</v>
      </c>
      <c r="AV46" s="13" t="n">
        <f aca="false">IF(AV$8=1,AW$45*p_PTf,0)</f>
        <v>3287.67123287671</v>
      </c>
      <c r="AW46" s="13" t="n">
        <f aca="false">IF(AW$8=1,AX$45*p_PTf,0)</f>
        <v>3287.67123287671</v>
      </c>
      <c r="AX46" s="13" t="n">
        <f aca="false">IF(AX$8=1,AY$45*p_PTf,0)</f>
        <v>3287.67123287671</v>
      </c>
      <c r="AY46" s="13" t="n">
        <f aca="false">IF(AY$8=1,AZ$45*p_PTf,0)</f>
        <v>3287.67123287671</v>
      </c>
      <c r="AZ46" s="13" t="n">
        <f aca="false">IF(AZ$8=1,BA$45*p_PTf,0)</f>
        <v>3287.67123287671</v>
      </c>
      <c r="BA46" s="13" t="n">
        <f aca="false">IF(BA$8=1,BB$45*p_PTf,0)</f>
        <v>3287.67123287671</v>
      </c>
      <c r="BB46" s="13" t="n">
        <f aca="false">IF(BB$8=1,BC$45*p_PTf,0)</f>
        <v>3287.67123287671</v>
      </c>
      <c r="BC46" s="13" t="n">
        <f aca="false">IF(BC$8=1,BD$45*p_PTf,0)</f>
        <v>3287.67123287671</v>
      </c>
      <c r="BD46" s="13" t="n">
        <f aca="false">IF(BD$8=1,BE$45*p_PTf,0)</f>
        <v>3287.67123287671</v>
      </c>
      <c r="BE46" s="13" t="n">
        <f aca="false">IF(BE$8=1,BF$45*p_PTf,0)</f>
        <v>3287.67123287671</v>
      </c>
      <c r="BF46" s="13" t="n">
        <f aca="false">IF(BF$8=1,BG$45*p_PTf,0)</f>
        <v>3287.67123287671</v>
      </c>
      <c r="BG46" s="13" t="n">
        <f aca="false">IF(BG$8=1,BH$45*p_PTf,0)</f>
        <v>3287.67123287671</v>
      </c>
      <c r="BH46" s="13" t="n">
        <f aca="false">IF(BH$8=1,BI$45*p_PTf,0)</f>
        <v>3287.67123287671</v>
      </c>
      <c r="BI46" s="13" t="n">
        <f aca="false">IF(BI$8=1,BJ$45*p_PTf,0)</f>
        <v>3287.67123287671</v>
      </c>
      <c r="BJ46" s="13" t="n">
        <f aca="false">IF(BJ$8=1,BK$45*p_PTf,0)</f>
        <v>3287.67123287671</v>
      </c>
      <c r="BK46" s="13" t="n">
        <f aca="false">IF(BK$8=1,BL$45*p_PTf,0)</f>
        <v>3287.67123287671</v>
      </c>
      <c r="BL46" s="13" t="n">
        <f aca="false">IF(BL$8=1,BM$45*p_PTf,0)</f>
        <v>3287.67123287671</v>
      </c>
      <c r="BM46" s="13" t="n">
        <f aca="false">IF(BM$8=1,BN$45*p_PTf,0)</f>
        <v>3287.67123287671</v>
      </c>
      <c r="BN46" s="13" t="n">
        <f aca="false">IF(BN$8=1,BO$45*p_PTf,0)</f>
        <v>3287.67123287671</v>
      </c>
      <c r="BO46" s="13" t="n">
        <f aca="false">IF(BO$8=1,BP$45*p_PTf,0)</f>
        <v>3287.67123287671</v>
      </c>
      <c r="BP46" s="13" t="n">
        <f aca="false">IF(BP$8=1,BQ$45*p_PTf,0)</f>
        <v>3287.67123287671</v>
      </c>
      <c r="BQ46" s="13" t="n">
        <f aca="false">IF(BQ$8=1,BR$45*p_PTf,0)</f>
        <v>3287.67123287671</v>
      </c>
      <c r="BR46" s="13" t="n">
        <f aca="false">IF(BR$8=1,BS$45*p_PTf,0)</f>
        <v>3287.67123287671</v>
      </c>
      <c r="BS46" s="13" t="n">
        <f aca="false">IF(BS$8=1,BT$45*p_PTf,0)</f>
        <v>3287.67123287671</v>
      </c>
      <c r="BT46" s="13" t="n">
        <f aca="false">IF(BT$8=1,BU$45*p_PTf,0)</f>
        <v>3287.67123287671</v>
      </c>
      <c r="BU46" s="13" t="n">
        <f aca="false">IF(BU$8=1,BV$45*p_PTf,0)</f>
        <v>3287.67123287671</v>
      </c>
      <c r="BV46" s="13" t="n">
        <f aca="false">IF(BV$8=1,BW$45*p_PTf,0)</f>
        <v>3287.67123287671</v>
      </c>
      <c r="BW46" s="13" t="n">
        <f aca="false">IF(BW$8=1,BX$45*p_PTf,0)</f>
        <v>3287.67123287671</v>
      </c>
      <c r="BX46" s="13" t="n">
        <f aca="false">IF(BX$8=1,BY$45*p_PTf,0)</f>
        <v>3287.67123287671</v>
      </c>
      <c r="BY46" s="13" t="n">
        <f aca="false">IF(BY$8=1,BZ$45*p_PTf,0)</f>
        <v>3287.67123287671</v>
      </c>
      <c r="BZ46" s="13" t="n">
        <f aca="false">IF(BZ$8=1,CA$45*p_PTf,0)</f>
        <v>3287.67123287671</v>
      </c>
      <c r="CA46" s="13" t="n">
        <f aca="false">IF(CA$8=1,CB$45*p_PTf,0)</f>
        <v>3287.67123287671</v>
      </c>
      <c r="CB46" s="13" t="n">
        <f aca="false">IF(CB$8=1,CC$45*p_PTf,0)</f>
        <v>3287.67123287671</v>
      </c>
      <c r="CC46" s="13" t="n">
        <f aca="false">IF(CC$8=1,CD$45*p_PTf,0)</f>
        <v>3287.67123287671</v>
      </c>
      <c r="CD46" s="13" t="n">
        <f aca="false">IF(CD$8=1,CE$45*p_PTf,0)</f>
        <v>3287.67123287671</v>
      </c>
      <c r="CE46" s="13" t="n">
        <f aca="false">IF(CE$8=1,CF$45*p_PTf,0)</f>
        <v>3287.67123287671</v>
      </c>
      <c r="CF46" s="13" t="n">
        <f aca="false">IF(CF$8=1,CG$45*p_PTf,0)</f>
        <v>3287.67123287671</v>
      </c>
      <c r="CG46" s="13" t="n">
        <f aca="false">IF(CG$8=1,CH$45*p_PTf,0)</f>
        <v>3287.67123287671</v>
      </c>
      <c r="CH46" s="13" t="n">
        <f aca="false">IF(CH$8=1,CI$45*p_PTf,0)</f>
        <v>3287.67123287671</v>
      </c>
      <c r="CI46" s="13" t="n">
        <f aca="false">IF(CI$8=1,CJ$45*p_PTf,0)</f>
        <v>3287.67123287671</v>
      </c>
      <c r="CJ46" s="13" t="n">
        <f aca="false">IF(CJ$8=1,CK$45*p_PTf,0)</f>
        <v>3287.67123287671</v>
      </c>
      <c r="CK46" s="13" t="n">
        <f aca="false">IF(CK$8=1,CL$45*p_PTf,0)</f>
        <v>3287.67123287671</v>
      </c>
      <c r="CL46" s="13" t="n">
        <f aca="false">IF(CL$8=1,CM$45*p_PTf,0)</f>
        <v>3287.67123287671</v>
      </c>
      <c r="CM46" s="13" t="n">
        <f aca="false">IF(CM$8=1,CN$45*p_PTf,0)</f>
        <v>3287.67123287671</v>
      </c>
      <c r="CN46" s="13" t="n">
        <f aca="false">IF(CN$8=1,CO$45*p_PTf,0)</f>
        <v>3287.67123287671</v>
      </c>
      <c r="CO46" s="13" t="n">
        <f aca="false">IF(CO$8=1,CP$45*p_PTf,0)</f>
        <v>3287.67123287671</v>
      </c>
      <c r="CP46" s="13" t="n">
        <f aca="false">IF(CP$8=1,CQ$45*p_PTf,0)</f>
        <v>3287.67123287671</v>
      </c>
      <c r="CQ46" s="13" t="n">
        <f aca="false">IF(CQ$8=1,CR$45*p_PTf,0)</f>
        <v>3287.67123287671</v>
      </c>
      <c r="CR46" s="13" t="n">
        <f aca="false">IF(CR$8=1,CS$45*p_PTf,0)</f>
        <v>3287.67123287671</v>
      </c>
      <c r="CS46" s="13" t="n">
        <f aca="false">IF(CS$8=1,CT$45*p_PTf,0)</f>
        <v>3287.67123287671</v>
      </c>
      <c r="CT46" s="13" t="n">
        <f aca="false">IF(CT$8=1,CU$45*p_PTf,0)</f>
        <v>3287.67123287671</v>
      </c>
      <c r="CU46" s="13" t="n">
        <f aca="false">IF(CU$8=1,CV$45*p_PTf,0)</f>
        <v>3287.67123287671</v>
      </c>
      <c r="CV46" s="13" t="n">
        <f aca="false">IF(CV$8=1,CW$45*p_PTf,0)</f>
        <v>3287.67123287671</v>
      </c>
      <c r="CW46" s="13" t="n">
        <f aca="false">IF(CW$8=1,CX$45*p_PTf,0)</f>
        <v>3287.67123287671</v>
      </c>
      <c r="CX46" s="13" t="n">
        <f aca="false">IF(CX$8=1,CY$45*p_PTf,0)</f>
        <v>3287.67123287671</v>
      </c>
      <c r="CY46" s="13" t="n">
        <f aca="false">IF(CY$8=1,CZ$45*p_PTf,0)</f>
        <v>3287.67123287671</v>
      </c>
      <c r="CZ46" s="13" t="n">
        <f aca="false">IF(CZ$8=1,DA$45*p_PTf,0)</f>
        <v>3287.67123287671</v>
      </c>
      <c r="DA46" s="13" t="n">
        <f aca="false">IF(DA$8=1,DB$45*p_PTf,0)</f>
        <v>3287.67123287671</v>
      </c>
      <c r="DB46" s="13" t="n">
        <f aca="false">IF(DB$8=1,DC$45*p_PTf,0)</f>
        <v>3287.67123287671</v>
      </c>
      <c r="DC46" s="13" t="n">
        <f aca="false">IF(DC$8=1,DD$45*p_PTf,0)</f>
        <v>3287.67123287671</v>
      </c>
      <c r="DD46" s="13" t="n">
        <f aca="false">IF(DD$8=1,DE$45*p_PTf,0)</f>
        <v>3287.67123287671</v>
      </c>
      <c r="DE46" s="13" t="n">
        <f aca="false">IF(DE$8=1,DF$45*p_PTf,0)</f>
        <v>3287.67123287671</v>
      </c>
      <c r="DF46" s="13" t="n">
        <f aca="false">IF(DF$8=1,DG$45*p_PTf,0)</f>
        <v>3287.67123287671</v>
      </c>
      <c r="DG46" s="13" t="n">
        <f aca="false">IF(DG$8=1,DH$45*p_PTf,0)</f>
        <v>3287.67123287671</v>
      </c>
      <c r="DH46" s="13" t="n">
        <f aca="false">IF(DH$8=1,DI$45*p_PTf,0)</f>
        <v>3287.67123287671</v>
      </c>
      <c r="DI46" s="13" t="n">
        <f aca="false">IF(DI$8=1,DJ$45*p_PTf,0)</f>
        <v>3287.67123287671</v>
      </c>
      <c r="DJ46" s="13" t="n">
        <f aca="false">IF(DJ$8=1,DK$45*p_PTf,0)</f>
        <v>3287.67123287671</v>
      </c>
      <c r="DK46" s="13" t="n">
        <f aca="false">IF(DK$8=1,DL$45*p_PTf,0)</f>
        <v>3287.67123287671</v>
      </c>
      <c r="DL46" s="13" t="n">
        <f aca="false">IF(DL$8=1,DM$45*p_PTf,0)</f>
        <v>3287.67123287671</v>
      </c>
      <c r="DM46" s="13" t="n">
        <f aca="false">IF(DM$8=1,DN$45*p_PTf,0)</f>
        <v>3287.67123287671</v>
      </c>
      <c r="DN46" s="13" t="n">
        <f aca="false">IF(DN$8=1,DO$45*p_PTf,0)</f>
        <v>3287.67123287671</v>
      </c>
      <c r="DO46" s="13" t="n">
        <f aca="false">IF(DO$8=1,DP$45*p_PTf,0)</f>
        <v>3287.67123287671</v>
      </c>
      <c r="DP46" s="13" t="n">
        <f aca="false">IF(DP$8=1,DQ$45*p_PTf,0)</f>
        <v>3287.67123287671</v>
      </c>
      <c r="DQ46" s="13" t="n">
        <f aca="false">IF(DQ$8=1,DR$45*p_PTf,0)</f>
        <v>3287.67123287671</v>
      </c>
      <c r="DR46" s="13" t="n">
        <f aca="false">IF(DR$8=1,DS$45*p_PTf,0)</f>
        <v>3287.67123287671</v>
      </c>
      <c r="DS46" s="13" t="n">
        <f aca="false">IF(DS$8=1,DT$45*p_PTf,0)</f>
        <v>3287.67123287671</v>
      </c>
      <c r="DT46" s="13" t="n">
        <f aca="false">IF(DT$8=1,DU$45*p_PTf,0)</f>
        <v>3287.67123287671</v>
      </c>
      <c r="DU46" s="13" t="n">
        <f aca="false">IF(DU$8=1,DV$45*p_PTf,0)</f>
        <v>3287.67123287671</v>
      </c>
      <c r="DV46" s="13" t="n">
        <f aca="false">IF(DV$8=1,DW$45*p_PTf,0)</f>
        <v>0</v>
      </c>
      <c r="DW46" s="13" t="n">
        <f aca="false">IF(DW$8=1,DX$45*p_PTf,0)</f>
        <v>0</v>
      </c>
      <c r="DX46" s="13" t="n">
        <f aca="false">IF(DX$8=1,DY$45*p_PTf,0)</f>
        <v>0</v>
      </c>
      <c r="DY46" s="13" t="n">
        <f aca="false">IF(DY$8=1,DZ$45*p_PTf,0)</f>
        <v>0</v>
      </c>
      <c r="DZ46" s="13" t="n">
        <f aca="false">IF(DZ$8=1,EA$45*p_PTf,0)</f>
        <v>0</v>
      </c>
      <c r="EA46" s="13" t="n">
        <f aca="false">IF(EA$8=1,EB$45*p_PTf,0)</f>
        <v>0</v>
      </c>
      <c r="EB46" s="13" t="n">
        <f aca="false">IF(EB$8=1,EC$45*p_PTf,0)</f>
        <v>0</v>
      </c>
      <c r="EC46" s="13" t="n">
        <f aca="false">IF(EC$8=1,ED$45*p_PTf,0)</f>
        <v>0</v>
      </c>
      <c r="ED46" s="13" t="n">
        <f aca="false">IF(ED$8=1,EE$45*p_PTf,0)</f>
        <v>0</v>
      </c>
      <c r="EE46" s="13" t="n">
        <f aca="false">IF(EE$8=1,EF$45*p_PTf,0)</f>
        <v>0</v>
      </c>
      <c r="EF46" s="13" t="n">
        <f aca="false">IF(EF$8=1,EG$45*p_PTf,0)</f>
        <v>0</v>
      </c>
      <c r="EG46" s="13" t="n">
        <f aca="false">IF(EG$8=1,EH$45*p_PTf,0)</f>
        <v>0</v>
      </c>
      <c r="EH46" s="13" t="n">
        <f aca="false">IF(EH$8=1,EI$45*p_PTf,0)</f>
        <v>0</v>
      </c>
      <c r="EI46" s="13" t="n">
        <f aca="false">IF(EI$8=1,EJ$45*p_PTf,0)</f>
        <v>0</v>
      </c>
      <c r="EJ46" s="13" t="n">
        <f aca="false">IF(EJ$8=1,EK$45*p_PTf,0)</f>
        <v>0</v>
      </c>
      <c r="EK46" s="13" t="n">
        <f aca="false">IF(EK$8=1,EL$45*p_PTf,0)</f>
        <v>0</v>
      </c>
      <c r="EL46" s="13" t="n">
        <f aca="false">IF(EL$8=1,EM$45*p_PTf,0)</f>
        <v>0</v>
      </c>
      <c r="EM46" s="13" t="n">
        <f aca="false">IF(EM$8=1,EN$45*p_PTf,0)</f>
        <v>0</v>
      </c>
      <c r="EN46" s="13" t="n">
        <f aca="false">IF(EN$8=1,EO$45*p_PTf,0)</f>
        <v>0</v>
      </c>
      <c r="EO46" s="13" t="n">
        <f aca="false">IF(EO$8=1,EP$45*p_PTf,0)</f>
        <v>0</v>
      </c>
      <c r="EP46" s="13" t="n">
        <f aca="false">IF(EP$8=1,EQ$45*p_PTf,0)</f>
        <v>0</v>
      </c>
      <c r="EQ46" s="13" t="n">
        <f aca="false">IF(EQ$8=1,ER$45*p_PTf,0)</f>
        <v>0</v>
      </c>
      <c r="ER46" s="13" t="n">
        <f aca="false">IF(ER$8=1,ES$45*p_PTf,0)</f>
        <v>0</v>
      </c>
      <c r="ES46" s="13" t="n">
        <f aca="false">IF(ES$8=1,ET$45*p_PTf,0)</f>
        <v>0</v>
      </c>
      <c r="ET46" s="13" t="n">
        <f aca="false">IF(ET$8=1,EU$45*p_PTf,0)</f>
        <v>0</v>
      </c>
      <c r="EU46" s="13" t="n">
        <f aca="false">IF(EU$8=1,EV$45*p_PTf,0)</f>
        <v>0</v>
      </c>
      <c r="EV46" s="13" t="n">
        <f aca="false">IF(EV$8=1,EW$45*p_PTf,0)</f>
        <v>0</v>
      </c>
      <c r="EW46" s="13" t="n">
        <f aca="false">IF(EW$8=1,EX$45*p_PTf,0)</f>
        <v>0</v>
      </c>
      <c r="EX46" s="13" t="n">
        <f aca="false">IF(EX$8=1,EY$45*p_PTf,0)</f>
        <v>0</v>
      </c>
      <c r="EY46" s="13" t="n">
        <f aca="false">IF(EY$8=1,EZ$45*p_PTf,0)</f>
        <v>0</v>
      </c>
      <c r="EZ46" s="13" t="n">
        <f aca="false">IF(EZ$8=1,FA$45*p_PTf,0)</f>
        <v>0</v>
      </c>
      <c r="FA46" s="13" t="n">
        <f aca="false">IF(FA$8=1,FB$45*p_PTf,0)</f>
        <v>0</v>
      </c>
      <c r="FB46" s="13" t="n">
        <f aca="false">IF(FB$8=1,FC$45*p_PTf,0)</f>
        <v>0</v>
      </c>
      <c r="FC46" s="13" t="n">
        <f aca="false">IF(FC$8=1,FD$45*p_PTf,0)</f>
        <v>0</v>
      </c>
      <c r="FD46" s="13" t="n">
        <f aca="false">IF(FD$8=1,FE$45*p_PTf,0)</f>
        <v>0</v>
      </c>
      <c r="FE46" s="13" t="n">
        <f aca="false">IF(FE$8=1,FF$45*p_PTf,0)</f>
        <v>0</v>
      </c>
      <c r="FF46" s="13" t="n">
        <f aca="false">IF(FF$8=1,0*p_PTf,0)</f>
        <v>0</v>
      </c>
    </row>
    <row r="47" customFormat="false" ht="15" hidden="false" customHeight="false" outlineLevel="0" collapsed="false">
      <c r="A47" s="2" t="s">
        <v>878</v>
      </c>
      <c r="B47" s="66" t="s">
        <v>851</v>
      </c>
      <c r="C47" s="8" t="s">
        <v>825</v>
      </c>
      <c r="E47" s="67" t="n">
        <f aca="false">SUM($F47:$FF47)</f>
        <v>1110000</v>
      </c>
      <c r="F47" s="12" t="n">
        <f aca="false">IF(F$9=1,SUMIFS(dr_Cant,dr_Mes,0,dr_Cod,"U_PROD_C",dr_Est,"&lt;&gt;Excluido"),MAX(0,F$45+F$46-0))</f>
        <v>0</v>
      </c>
      <c r="G47" s="12" t="n">
        <f aca="false">IF(G$9=1,SUMIFS(dr_Cant,dr_Mes,1,dr_Cod,"U_PROD_C",dr_Est,"&lt;&gt;Excluido"),MAX(0,G$45+G$46-F$48))</f>
        <v>7751.14155251142</v>
      </c>
      <c r="H47" s="12" t="n">
        <f aca="false">IF(H$9=1,SUMIFS(dr_Cant,dr_Mes,2,dr_Cod,"U_PROD_C",dr_Est,"&lt;&gt;Excluido"),MAX(0,H$45+H$46-G$48))</f>
        <v>5833.33333333333</v>
      </c>
      <c r="I47" s="12" t="n">
        <f aca="false">IF(I$9=1,SUMIFS(dr_Cant,dr_Mes,3,dr_Cod,"U_PROD_C",dr_Est,"&lt;&gt;Excluido"),MAX(0,I$45+I$46-H$48))</f>
        <v>5833.33333333333</v>
      </c>
      <c r="J47" s="12" t="n">
        <f aca="false">IF(J$9=1,SUMIFS(dr_Cant,dr_Mes,4,dr_Cod,"U_PROD_C",dr_Est,"&lt;&gt;Excluido"),MAX(0,J$45+J$46-I$48))</f>
        <v>5833.33333333333</v>
      </c>
      <c r="K47" s="12" t="n">
        <f aca="false">IF(K$9=1,SUMIFS(dr_Cant,dr_Mes,5,dr_Cod,"U_PROD_C",dr_Est,"&lt;&gt;Excluido"),MAX(0,K$45+K$46-J$48))</f>
        <v>5833.33333333333</v>
      </c>
      <c r="L47" s="12" t="n">
        <f aca="false">IF(L$9=1,SUMIFS(dr_Cant,dr_Mes,6,dr_Cod,"U_PROD_C",dr_Est,"&lt;&gt;Excluido"),MAX(0,L$45+L$46-K$48))</f>
        <v>5833.33333333333</v>
      </c>
      <c r="M47" s="12" t="n">
        <f aca="false">IF(M$9=1,SUMIFS(dr_Cant,dr_Mes,7,dr_Cod,"U_PROD_C",dr_Est,"&lt;&gt;Excluido"),MAX(0,M$45+M$46-L$48))</f>
        <v>5833.33333333333</v>
      </c>
      <c r="N47" s="12" t="n">
        <f aca="false">IF(N$9=1,SUMIFS(dr_Cant,dr_Mes,8,dr_Cod,"U_PROD_C",dr_Est,"&lt;&gt;Excluido"),MAX(0,N$45+N$46-M$48))</f>
        <v>5833.33333333333</v>
      </c>
      <c r="O47" s="12" t="n">
        <f aca="false">IF(O$9=1,SUMIFS(dr_Cant,dr_Mes,9,dr_Cod,"U_PROD_C",dr_Est,"&lt;&gt;Excluido"),MAX(0,O$45+O$46-N$48))</f>
        <v>5833.33333333333</v>
      </c>
      <c r="P47" s="12" t="n">
        <f aca="false">IF(P$9=1,SUMIFS(dr_Cant,dr_Mes,10,dr_Cod,"U_PROD_C",dr_Est,"&lt;&gt;Excluido"),MAX(0,P$45+P$46-O$48))</f>
        <v>5833.33333333333</v>
      </c>
      <c r="Q47" s="12" t="n">
        <f aca="false">IF(Q$9=1,SUMIFS(dr_Cant,dr_Mes,11,dr_Cod,"U_PROD_C",dr_Est,"&lt;&gt;Excluido"),MAX(0,Q$45+Q$46-P$48))</f>
        <v>5833.33333333333</v>
      </c>
      <c r="R47" s="12" t="n">
        <f aca="false">IF(R$9=1,SUMIFS(dr_Cant,dr_Mes,12,dr_Cod,"U_PROD_C",dr_Est,"&lt;&gt;Excluido"),MAX(0,R$45+R$46-Q$48))</f>
        <v>6381.27853881278</v>
      </c>
      <c r="S47" s="12" t="n">
        <f aca="false">IF(S$9=1,SUMIFS(dr_Cant,dr_Mes,13,dr_Cod,"U_PROD_C",dr_Est,"&lt;&gt;Excluido"),MAX(0,S$45+S$46-R$48))</f>
        <v>7500</v>
      </c>
      <c r="T47" s="12" t="n">
        <f aca="false">IF(T$9=1,SUMIFS(dr_Cant,dr_Mes,14,dr_Cod,"U_PROD_C",dr_Est,"&lt;&gt;Excluido"),MAX(0,T$45+T$46-S$48))</f>
        <v>7500</v>
      </c>
      <c r="U47" s="12" t="n">
        <f aca="false">IF(U$9=1,SUMIFS(dr_Cant,dr_Mes,15,dr_Cod,"U_PROD_C",dr_Est,"&lt;&gt;Excluido"),MAX(0,U$45+U$46-T$48))</f>
        <v>7500</v>
      </c>
      <c r="V47" s="12" t="n">
        <f aca="false">IF(V$9=1,SUMIFS(dr_Cant,dr_Mes,16,dr_Cod,"U_PROD_C",dr_Est,"&lt;&gt;Excluido"),MAX(0,V$45+V$46-U$48))</f>
        <v>7500</v>
      </c>
      <c r="W47" s="12" t="n">
        <f aca="false">IF(W$9=1,SUMIFS(dr_Cant,dr_Mes,17,dr_Cod,"U_PROD_C",dr_Est,"&lt;&gt;Excluido"),MAX(0,W$45+W$46-V$48))</f>
        <v>7500</v>
      </c>
      <c r="X47" s="12" t="n">
        <f aca="false">IF(X$9=1,SUMIFS(dr_Cant,dr_Mes,18,dr_Cod,"U_PROD_C",dr_Est,"&lt;&gt;Excluido"),MAX(0,X$45+X$46-W$48))</f>
        <v>7500</v>
      </c>
      <c r="Y47" s="12" t="n">
        <f aca="false">IF(Y$9=1,SUMIFS(dr_Cant,dr_Mes,19,dr_Cod,"U_PROD_C",dr_Est,"&lt;&gt;Excluido"),MAX(0,Y$45+Y$46-X$48))</f>
        <v>7500</v>
      </c>
      <c r="Z47" s="12" t="n">
        <f aca="false">IF(Z$9=1,SUMIFS(dr_Cant,dr_Mes,20,dr_Cod,"U_PROD_C",dr_Est,"&lt;&gt;Excluido"),MAX(0,Z$45+Z$46-Y$48))</f>
        <v>7500</v>
      </c>
      <c r="AA47" s="12" t="n">
        <f aca="false">IF(AA$9=1,SUMIFS(dr_Cant,dr_Mes,21,dr_Cod,"U_PROD_C",dr_Est,"&lt;&gt;Excluido"),MAX(0,AA$45+AA$46-Z$48))</f>
        <v>7500</v>
      </c>
      <c r="AB47" s="12" t="n">
        <f aca="false">IF(AB$9=1,SUMIFS(dr_Cant,dr_Mes,22,dr_Cod,"U_PROD_C",dr_Est,"&lt;&gt;Excluido"),MAX(0,AB$45+AB$46-AA$48))</f>
        <v>7500</v>
      </c>
      <c r="AC47" s="12" t="n">
        <f aca="false">IF(AC$9=1,SUMIFS(dr_Cant,dr_Mes,23,dr_Cod,"U_PROD_C",dr_Est,"&lt;&gt;Excluido"),MAX(0,AC$45+AC$46-AB$48))</f>
        <v>7500</v>
      </c>
      <c r="AD47" s="12" t="n">
        <f aca="false">IF(AD$9=1,SUMIFS(dr_Cant,dr_Mes,24,dr_Cod,"U_PROD_C",dr_Est,"&lt;&gt;Excluido"),MAX(0,AD$45+AD$46-AC$48))</f>
        <v>8047.94520547945</v>
      </c>
      <c r="AE47" s="12" t="n">
        <f aca="false">IF(AE$9=1,SUMIFS(dr_Cant,dr_Mes,25,dr_Cod,"U_PROD_C",dr_Est,"&lt;&gt;Excluido"),MAX(0,AE$45+AE$46-AD$48))</f>
        <v>9166.66666666666</v>
      </c>
      <c r="AF47" s="12" t="n">
        <f aca="false">IF(AF$9=1,SUMIFS(dr_Cant,dr_Mes,26,dr_Cod,"U_PROD_C",dr_Est,"&lt;&gt;Excluido"),MAX(0,AF$45+AF$46-AE$48))</f>
        <v>9166.66666666667</v>
      </c>
      <c r="AG47" s="12" t="n">
        <f aca="false">IF(AG$9=1,SUMIFS(dr_Cant,dr_Mes,27,dr_Cod,"U_PROD_C",dr_Est,"&lt;&gt;Excluido"),MAX(0,AG$45+AG$46-AF$48))</f>
        <v>9166.66666666667</v>
      </c>
      <c r="AH47" s="12" t="n">
        <f aca="false">IF(AH$9=1,SUMIFS(dr_Cant,dr_Mes,28,dr_Cod,"U_PROD_C",dr_Est,"&lt;&gt;Excluido"),MAX(0,AH$45+AH$46-AG$48))</f>
        <v>9166.66666666667</v>
      </c>
      <c r="AI47" s="12" t="n">
        <f aca="false">IF(AI$9=1,SUMIFS(dr_Cant,dr_Mes,29,dr_Cod,"U_PROD_C",dr_Est,"&lt;&gt;Excluido"),MAX(0,AI$45+AI$46-AH$48))</f>
        <v>9166.66666666667</v>
      </c>
      <c r="AJ47" s="12" t="n">
        <f aca="false">IF(AJ$9=1,SUMIFS(dr_Cant,dr_Mes,30,dr_Cod,"U_PROD_C",dr_Est,"&lt;&gt;Excluido"),MAX(0,AJ$45+AJ$46-AI$48))</f>
        <v>9166.66666666667</v>
      </c>
      <c r="AK47" s="12" t="n">
        <f aca="false">IF(AK$9=1,SUMIFS(dr_Cant,dr_Mes,31,dr_Cod,"U_PROD_C",dr_Est,"&lt;&gt;Excluido"),MAX(0,AK$45+AK$46-AJ$48))</f>
        <v>9166.66666666667</v>
      </c>
      <c r="AL47" s="12" t="n">
        <f aca="false">IF(AL$9=1,SUMIFS(dr_Cant,dr_Mes,32,dr_Cod,"U_PROD_C",dr_Est,"&lt;&gt;Excluido"),MAX(0,AL$45+AL$46-AK$48))</f>
        <v>9166.66666666667</v>
      </c>
      <c r="AM47" s="12" t="n">
        <f aca="false">IF(AM$9=1,SUMIFS(dr_Cant,dr_Mes,33,dr_Cod,"U_PROD_C",dr_Est,"&lt;&gt;Excluido"),MAX(0,AM$45+AM$46-AL$48))</f>
        <v>9166.66666666667</v>
      </c>
      <c r="AN47" s="12" t="n">
        <f aca="false">IF(AN$9=1,SUMIFS(dr_Cant,dr_Mes,34,dr_Cod,"U_PROD_C",dr_Est,"&lt;&gt;Excluido"),MAX(0,AN$45+AN$46-AM$48))</f>
        <v>9166.66666666667</v>
      </c>
      <c r="AO47" s="12" t="n">
        <f aca="false">IF(AO$9=1,SUMIFS(dr_Cant,dr_Mes,35,dr_Cod,"U_PROD_C",dr_Est,"&lt;&gt;Excluido"),MAX(0,AO$45+AO$46-AN$48))</f>
        <v>9166.66666666667</v>
      </c>
      <c r="AP47" s="12" t="n">
        <f aca="false">IF(AP$9=1,SUMIFS(dr_Cant,dr_Mes,36,dr_Cod,"U_PROD_C",dr_Est,"&lt;&gt;Excluido"),MAX(0,AP$45+AP$46-AO$48))</f>
        <v>9440.63926940639</v>
      </c>
      <c r="AQ47" s="12" t="n">
        <f aca="false">IF(AQ$9=1,SUMIFS(dr_Cant,dr_Mes,37,dr_Cod,"U_PROD_C",dr_Est,"&lt;&gt;Excluido"),MAX(0,AQ$45+AQ$46-AP$48))</f>
        <v>10000</v>
      </c>
      <c r="AR47" s="12" t="n">
        <f aca="false">IF(AR$9=1,SUMIFS(dr_Cant,dr_Mes,38,dr_Cod,"U_PROD_C",dr_Est,"&lt;&gt;Excluido"),MAX(0,AR$45+AR$46-AQ$48))</f>
        <v>10000</v>
      </c>
      <c r="AS47" s="12" t="n">
        <f aca="false">IF(AS$9=1,SUMIFS(dr_Cant,dr_Mes,39,dr_Cod,"U_PROD_C",dr_Est,"&lt;&gt;Excluido"),MAX(0,AS$45+AS$46-AR$48))</f>
        <v>10000</v>
      </c>
      <c r="AT47" s="12" t="n">
        <f aca="false">IF(AT$9=1,SUMIFS(dr_Cant,dr_Mes,40,dr_Cod,"U_PROD_C",dr_Est,"&lt;&gt;Excluido"),MAX(0,AT$45+AT$46-AS$48))</f>
        <v>10000</v>
      </c>
      <c r="AU47" s="12" t="n">
        <f aca="false">IF(AU$9=1,SUMIFS(dr_Cant,dr_Mes,41,dr_Cod,"U_PROD_C",dr_Est,"&lt;&gt;Excluido"),MAX(0,AU$45+AU$46-AT$48))</f>
        <v>10000</v>
      </c>
      <c r="AV47" s="12" t="n">
        <f aca="false">IF(AV$9=1,SUMIFS(dr_Cant,dr_Mes,42,dr_Cod,"U_PROD_C",dr_Est,"&lt;&gt;Excluido"),MAX(0,AV$45+AV$46-AU$48))</f>
        <v>10000</v>
      </c>
      <c r="AW47" s="12" t="n">
        <f aca="false">IF(AW$9=1,SUMIFS(dr_Cant,dr_Mes,43,dr_Cod,"U_PROD_C",dr_Est,"&lt;&gt;Excluido"),MAX(0,AW$45+AW$46-AV$48))</f>
        <v>10000</v>
      </c>
      <c r="AX47" s="12" t="n">
        <f aca="false">IF(AX$9=1,SUMIFS(dr_Cant,dr_Mes,44,dr_Cod,"U_PROD_C",dr_Est,"&lt;&gt;Excluido"),MAX(0,AX$45+AX$46-AW$48))</f>
        <v>10000</v>
      </c>
      <c r="AY47" s="12" t="n">
        <f aca="false">IF(AY$9=1,SUMIFS(dr_Cant,dr_Mes,45,dr_Cod,"U_PROD_C",dr_Est,"&lt;&gt;Excluido"),MAX(0,AY$45+AY$46-AX$48))</f>
        <v>10000</v>
      </c>
      <c r="AZ47" s="12" t="n">
        <f aca="false">IF(AZ$9=1,SUMIFS(dr_Cant,dr_Mes,46,dr_Cod,"U_PROD_C",dr_Est,"&lt;&gt;Excluido"),MAX(0,AZ$45+AZ$46-AY$48))</f>
        <v>10000</v>
      </c>
      <c r="BA47" s="12" t="n">
        <f aca="false">IF(BA$9=1,SUMIFS(dr_Cant,dr_Mes,47,dr_Cod,"U_PROD_C",dr_Est,"&lt;&gt;Excluido"),MAX(0,BA$45+BA$46-AZ$48))</f>
        <v>10000</v>
      </c>
      <c r="BB47" s="12" t="n">
        <f aca="false">IF(BB$9=1,SUMIFS(dr_Cant,dr_Mes,48,dr_Cod,"U_PROD_C",dr_Est,"&lt;&gt;Excluido"),MAX(0,BB$45+BB$46-BA$48))</f>
        <v>10000</v>
      </c>
      <c r="BC47" s="12" t="n">
        <f aca="false">IF(BC$9=1,SUMIFS(dr_Cant,dr_Mes,49,dr_Cod,"U_PROD_C",dr_Est,"&lt;&gt;Excluido"),MAX(0,BC$45+BC$46-BB$48))</f>
        <v>10000</v>
      </c>
      <c r="BD47" s="12" t="n">
        <f aca="false">IF(BD$9=1,SUMIFS(dr_Cant,dr_Mes,50,dr_Cod,"U_PROD_C",dr_Est,"&lt;&gt;Excluido"),MAX(0,BD$45+BD$46-BC$48))</f>
        <v>10000</v>
      </c>
      <c r="BE47" s="12" t="n">
        <f aca="false">IF(BE$9=1,SUMIFS(dr_Cant,dr_Mes,51,dr_Cod,"U_PROD_C",dr_Est,"&lt;&gt;Excluido"),MAX(0,BE$45+BE$46-BD$48))</f>
        <v>10000</v>
      </c>
      <c r="BF47" s="12" t="n">
        <f aca="false">IF(BF$9=1,SUMIFS(dr_Cant,dr_Mes,52,dr_Cod,"U_PROD_C",dr_Est,"&lt;&gt;Excluido"),MAX(0,BF$45+BF$46-BE$48))</f>
        <v>10000</v>
      </c>
      <c r="BG47" s="12" t="n">
        <f aca="false">IF(BG$9=1,SUMIFS(dr_Cant,dr_Mes,53,dr_Cod,"U_PROD_C",dr_Est,"&lt;&gt;Excluido"),MAX(0,BG$45+BG$46-BF$48))</f>
        <v>10000</v>
      </c>
      <c r="BH47" s="12" t="n">
        <f aca="false">IF(BH$9=1,SUMIFS(dr_Cant,dr_Mes,54,dr_Cod,"U_PROD_C",dr_Est,"&lt;&gt;Excluido"),MAX(0,BH$45+BH$46-BG$48))</f>
        <v>10000</v>
      </c>
      <c r="BI47" s="12" t="n">
        <f aca="false">IF(BI$9=1,SUMIFS(dr_Cant,dr_Mes,55,dr_Cod,"U_PROD_C",dr_Est,"&lt;&gt;Excluido"),MAX(0,BI$45+BI$46-BH$48))</f>
        <v>10000</v>
      </c>
      <c r="BJ47" s="12" t="n">
        <f aca="false">IF(BJ$9=1,SUMIFS(dr_Cant,dr_Mes,56,dr_Cod,"U_PROD_C",dr_Est,"&lt;&gt;Excluido"),MAX(0,BJ$45+BJ$46-BI$48))</f>
        <v>10000</v>
      </c>
      <c r="BK47" s="12" t="n">
        <f aca="false">IF(BK$9=1,SUMIFS(dr_Cant,dr_Mes,57,dr_Cod,"U_PROD_C",dr_Est,"&lt;&gt;Excluido"),MAX(0,BK$45+BK$46-BJ$48))</f>
        <v>10000</v>
      </c>
      <c r="BL47" s="12" t="n">
        <f aca="false">IF(BL$9=1,SUMIFS(dr_Cant,dr_Mes,58,dr_Cod,"U_PROD_C",dr_Est,"&lt;&gt;Excluido"),MAX(0,BL$45+BL$46-BK$48))</f>
        <v>10000</v>
      </c>
      <c r="BM47" s="12" t="n">
        <f aca="false">IF(BM$9=1,SUMIFS(dr_Cant,dr_Mes,59,dr_Cod,"U_PROD_C",dr_Est,"&lt;&gt;Excluido"),MAX(0,BM$45+BM$46-BL$48))</f>
        <v>10000</v>
      </c>
      <c r="BN47" s="12" t="n">
        <f aca="false">IF(BN$9=1,SUMIFS(dr_Cant,dr_Mes,60,dr_Cod,"U_PROD_C",dr_Est,"&lt;&gt;Excluido"),MAX(0,BN$45+BN$46-BM$48))</f>
        <v>10000</v>
      </c>
      <c r="BO47" s="12" t="n">
        <f aca="false">IF(BO$9=1,SUMIFS(dr_Cant,dr_Mes,61,dr_Cod,"U_PROD_C",dr_Est,"&lt;&gt;Excluido"),MAX(0,BO$45+BO$46-BN$48))</f>
        <v>10000</v>
      </c>
      <c r="BP47" s="12" t="n">
        <f aca="false">IF(BP$9=1,SUMIFS(dr_Cant,dr_Mes,62,dr_Cod,"U_PROD_C",dr_Est,"&lt;&gt;Excluido"),MAX(0,BP$45+BP$46-BO$48))</f>
        <v>10000</v>
      </c>
      <c r="BQ47" s="12" t="n">
        <f aca="false">IF(BQ$9=1,SUMIFS(dr_Cant,dr_Mes,63,dr_Cod,"U_PROD_C",dr_Est,"&lt;&gt;Excluido"),MAX(0,BQ$45+BQ$46-BP$48))</f>
        <v>10000</v>
      </c>
      <c r="BR47" s="12" t="n">
        <f aca="false">IF(BR$9=1,SUMIFS(dr_Cant,dr_Mes,64,dr_Cod,"U_PROD_C",dr_Est,"&lt;&gt;Excluido"),MAX(0,BR$45+BR$46-BQ$48))</f>
        <v>10000</v>
      </c>
      <c r="BS47" s="12" t="n">
        <f aca="false">IF(BS$9=1,SUMIFS(dr_Cant,dr_Mes,65,dr_Cod,"U_PROD_C",dr_Est,"&lt;&gt;Excluido"),MAX(0,BS$45+BS$46-BR$48))</f>
        <v>10000</v>
      </c>
      <c r="BT47" s="12" t="n">
        <f aca="false">IF(BT$9=1,SUMIFS(dr_Cant,dr_Mes,66,dr_Cod,"U_PROD_C",dr_Est,"&lt;&gt;Excluido"),MAX(0,BT$45+BT$46-BS$48))</f>
        <v>10000</v>
      </c>
      <c r="BU47" s="12" t="n">
        <f aca="false">IF(BU$9=1,SUMIFS(dr_Cant,dr_Mes,67,dr_Cod,"U_PROD_C",dr_Est,"&lt;&gt;Excluido"),MAX(0,BU$45+BU$46-BT$48))</f>
        <v>10000</v>
      </c>
      <c r="BV47" s="12" t="n">
        <f aca="false">IF(BV$9=1,SUMIFS(dr_Cant,dr_Mes,68,dr_Cod,"U_PROD_C",dr_Est,"&lt;&gt;Excluido"),MAX(0,BV$45+BV$46-BU$48))</f>
        <v>10000</v>
      </c>
      <c r="BW47" s="12" t="n">
        <f aca="false">IF(BW$9=1,SUMIFS(dr_Cant,dr_Mes,69,dr_Cod,"U_PROD_C",dr_Est,"&lt;&gt;Excluido"),MAX(0,BW$45+BW$46-BV$48))</f>
        <v>10000</v>
      </c>
      <c r="BX47" s="12" t="n">
        <f aca="false">IF(BX$9=1,SUMIFS(dr_Cant,dr_Mes,70,dr_Cod,"U_PROD_C",dr_Est,"&lt;&gt;Excluido"),MAX(0,BX$45+BX$46-BW$48))</f>
        <v>10000</v>
      </c>
      <c r="BY47" s="12" t="n">
        <f aca="false">IF(BY$9=1,SUMIFS(dr_Cant,dr_Mes,71,dr_Cod,"U_PROD_C",dr_Est,"&lt;&gt;Excluido"),MAX(0,BY$45+BY$46-BX$48))</f>
        <v>10000</v>
      </c>
      <c r="BZ47" s="12" t="n">
        <f aca="false">IF(BZ$9=1,SUMIFS(dr_Cant,dr_Mes,72,dr_Cod,"U_PROD_C",dr_Est,"&lt;&gt;Excluido"),MAX(0,BZ$45+BZ$46-BY$48))</f>
        <v>10000</v>
      </c>
      <c r="CA47" s="12" t="n">
        <f aca="false">IF(CA$9=1,SUMIFS(dr_Cant,dr_Mes,73,dr_Cod,"U_PROD_C",dr_Est,"&lt;&gt;Excluido"),MAX(0,CA$45+CA$46-BZ$48))</f>
        <v>10000</v>
      </c>
      <c r="CB47" s="12" t="n">
        <f aca="false">IF(CB$9=1,SUMIFS(dr_Cant,dr_Mes,74,dr_Cod,"U_PROD_C",dr_Est,"&lt;&gt;Excluido"),MAX(0,CB$45+CB$46-CA$48))</f>
        <v>10000</v>
      </c>
      <c r="CC47" s="12" t="n">
        <f aca="false">IF(CC$9=1,SUMIFS(dr_Cant,dr_Mes,75,dr_Cod,"U_PROD_C",dr_Est,"&lt;&gt;Excluido"),MAX(0,CC$45+CC$46-CB$48))</f>
        <v>10000</v>
      </c>
      <c r="CD47" s="12" t="n">
        <f aca="false">IF(CD$9=1,SUMIFS(dr_Cant,dr_Mes,76,dr_Cod,"U_PROD_C",dr_Est,"&lt;&gt;Excluido"),MAX(0,CD$45+CD$46-CC$48))</f>
        <v>10000</v>
      </c>
      <c r="CE47" s="12" t="n">
        <f aca="false">IF(CE$9=1,SUMIFS(dr_Cant,dr_Mes,77,dr_Cod,"U_PROD_C",dr_Est,"&lt;&gt;Excluido"),MAX(0,CE$45+CE$46-CD$48))</f>
        <v>10000</v>
      </c>
      <c r="CF47" s="12" t="n">
        <f aca="false">IF(CF$9=1,SUMIFS(dr_Cant,dr_Mes,78,dr_Cod,"U_PROD_C",dr_Est,"&lt;&gt;Excluido"),MAX(0,CF$45+CF$46-CE$48))</f>
        <v>10000</v>
      </c>
      <c r="CG47" s="12" t="n">
        <f aca="false">IF(CG$9=1,SUMIFS(dr_Cant,dr_Mes,79,dr_Cod,"U_PROD_C",dr_Est,"&lt;&gt;Excluido"),MAX(0,CG$45+CG$46-CF$48))</f>
        <v>10000</v>
      </c>
      <c r="CH47" s="12" t="n">
        <f aca="false">IF(CH$9=1,SUMIFS(dr_Cant,dr_Mes,80,dr_Cod,"U_PROD_C",dr_Est,"&lt;&gt;Excluido"),MAX(0,CH$45+CH$46-CG$48))</f>
        <v>10000</v>
      </c>
      <c r="CI47" s="12" t="n">
        <f aca="false">IF(CI$9=1,SUMIFS(dr_Cant,dr_Mes,81,dr_Cod,"U_PROD_C",dr_Est,"&lt;&gt;Excluido"),MAX(0,CI$45+CI$46-CH$48))</f>
        <v>10000</v>
      </c>
      <c r="CJ47" s="12" t="n">
        <f aca="false">IF(CJ$9=1,SUMIFS(dr_Cant,dr_Mes,82,dr_Cod,"U_PROD_C",dr_Est,"&lt;&gt;Excluido"),MAX(0,CJ$45+CJ$46-CI$48))</f>
        <v>10000</v>
      </c>
      <c r="CK47" s="12" t="n">
        <f aca="false">IF(CK$9=1,SUMIFS(dr_Cant,dr_Mes,83,dr_Cod,"U_PROD_C",dr_Est,"&lt;&gt;Excluido"),MAX(0,CK$45+CK$46-CJ$48))</f>
        <v>10000</v>
      </c>
      <c r="CL47" s="12" t="n">
        <f aca="false">IF(CL$9=1,SUMIFS(dr_Cant,dr_Mes,84,dr_Cod,"U_PROD_C",dr_Est,"&lt;&gt;Excluido"),MAX(0,CL$45+CL$46-CK$48))</f>
        <v>10000</v>
      </c>
      <c r="CM47" s="12" t="n">
        <f aca="false">IF(CM$9=1,SUMIFS(dr_Cant,dr_Mes,85,dr_Cod,"U_PROD_C",dr_Est,"&lt;&gt;Excluido"),MAX(0,CM$45+CM$46-CL$48))</f>
        <v>10000</v>
      </c>
      <c r="CN47" s="12" t="n">
        <f aca="false">IF(CN$9=1,SUMIFS(dr_Cant,dr_Mes,86,dr_Cod,"U_PROD_C",dr_Est,"&lt;&gt;Excluido"),MAX(0,CN$45+CN$46-CM$48))</f>
        <v>10000</v>
      </c>
      <c r="CO47" s="12" t="n">
        <f aca="false">IF(CO$9=1,SUMIFS(dr_Cant,dr_Mes,87,dr_Cod,"U_PROD_C",dr_Est,"&lt;&gt;Excluido"),MAX(0,CO$45+CO$46-CN$48))</f>
        <v>10000</v>
      </c>
      <c r="CP47" s="12" t="n">
        <f aca="false">IF(CP$9=1,SUMIFS(dr_Cant,dr_Mes,88,dr_Cod,"U_PROD_C",dr_Est,"&lt;&gt;Excluido"),MAX(0,CP$45+CP$46-CO$48))</f>
        <v>10000</v>
      </c>
      <c r="CQ47" s="12" t="n">
        <f aca="false">IF(CQ$9=1,SUMIFS(dr_Cant,dr_Mes,89,dr_Cod,"U_PROD_C",dr_Est,"&lt;&gt;Excluido"),MAX(0,CQ$45+CQ$46-CP$48))</f>
        <v>10000</v>
      </c>
      <c r="CR47" s="12" t="n">
        <f aca="false">IF(CR$9=1,SUMIFS(dr_Cant,dr_Mes,90,dr_Cod,"U_PROD_C",dr_Est,"&lt;&gt;Excluido"),MAX(0,CR$45+CR$46-CQ$48))</f>
        <v>10000</v>
      </c>
      <c r="CS47" s="12" t="n">
        <f aca="false">IF(CS$9=1,SUMIFS(dr_Cant,dr_Mes,91,dr_Cod,"U_PROD_C",dr_Est,"&lt;&gt;Excluido"),MAX(0,CS$45+CS$46-CR$48))</f>
        <v>10000</v>
      </c>
      <c r="CT47" s="12" t="n">
        <f aca="false">IF(CT$9=1,SUMIFS(dr_Cant,dr_Mes,92,dr_Cod,"U_PROD_C",dr_Est,"&lt;&gt;Excluido"),MAX(0,CT$45+CT$46-CS$48))</f>
        <v>10000</v>
      </c>
      <c r="CU47" s="12" t="n">
        <f aca="false">IF(CU$9=1,SUMIFS(dr_Cant,dr_Mes,93,dr_Cod,"U_PROD_C",dr_Est,"&lt;&gt;Excluido"),MAX(0,CU$45+CU$46-CT$48))</f>
        <v>10000</v>
      </c>
      <c r="CV47" s="12" t="n">
        <f aca="false">IF(CV$9=1,SUMIFS(dr_Cant,dr_Mes,94,dr_Cod,"U_PROD_C",dr_Est,"&lt;&gt;Excluido"),MAX(0,CV$45+CV$46-CU$48))</f>
        <v>10000</v>
      </c>
      <c r="CW47" s="12" t="n">
        <f aca="false">IF(CW$9=1,SUMIFS(dr_Cant,dr_Mes,95,dr_Cod,"U_PROD_C",dr_Est,"&lt;&gt;Excluido"),MAX(0,CW$45+CW$46-CV$48))</f>
        <v>10000</v>
      </c>
      <c r="CX47" s="12" t="n">
        <f aca="false">IF(CX$9=1,SUMIFS(dr_Cant,dr_Mes,96,dr_Cod,"U_PROD_C",dr_Est,"&lt;&gt;Excluido"),MAX(0,CX$45+CX$46-CW$48))</f>
        <v>10000</v>
      </c>
      <c r="CY47" s="12" t="n">
        <f aca="false">IF(CY$9=1,SUMIFS(dr_Cant,dr_Mes,97,dr_Cod,"U_PROD_C",dr_Est,"&lt;&gt;Excluido"),MAX(0,CY$45+CY$46-CX$48))</f>
        <v>10000</v>
      </c>
      <c r="CZ47" s="12" t="n">
        <f aca="false">IF(CZ$9=1,SUMIFS(dr_Cant,dr_Mes,98,dr_Cod,"U_PROD_C",dr_Est,"&lt;&gt;Excluido"),MAX(0,CZ$45+CZ$46-CY$48))</f>
        <v>10000</v>
      </c>
      <c r="DA47" s="12" t="n">
        <f aca="false">IF(DA$9=1,SUMIFS(dr_Cant,dr_Mes,99,dr_Cod,"U_PROD_C",dr_Est,"&lt;&gt;Excluido"),MAX(0,DA$45+DA$46-CZ$48))</f>
        <v>10000</v>
      </c>
      <c r="DB47" s="12" t="n">
        <f aca="false">IF(DB$9=1,SUMIFS(dr_Cant,dr_Mes,100,dr_Cod,"U_PROD_C",dr_Est,"&lt;&gt;Excluido"),MAX(0,DB$45+DB$46-DA$48))</f>
        <v>10000</v>
      </c>
      <c r="DC47" s="12" t="n">
        <f aca="false">IF(DC$9=1,SUMIFS(dr_Cant,dr_Mes,101,dr_Cod,"U_PROD_C",dr_Est,"&lt;&gt;Excluido"),MAX(0,DC$45+DC$46-DB$48))</f>
        <v>10000</v>
      </c>
      <c r="DD47" s="12" t="n">
        <f aca="false">IF(DD$9=1,SUMIFS(dr_Cant,dr_Mes,102,dr_Cod,"U_PROD_C",dr_Est,"&lt;&gt;Excluido"),MAX(0,DD$45+DD$46-DC$48))</f>
        <v>10000</v>
      </c>
      <c r="DE47" s="12" t="n">
        <f aca="false">IF(DE$9=1,SUMIFS(dr_Cant,dr_Mes,103,dr_Cod,"U_PROD_C",dr_Est,"&lt;&gt;Excluido"),MAX(0,DE$45+DE$46-DD$48))</f>
        <v>10000</v>
      </c>
      <c r="DF47" s="12" t="n">
        <f aca="false">IF(DF$9=1,SUMIFS(dr_Cant,dr_Mes,104,dr_Cod,"U_PROD_C",dr_Est,"&lt;&gt;Excluido"),MAX(0,DF$45+DF$46-DE$48))</f>
        <v>10000</v>
      </c>
      <c r="DG47" s="12" t="n">
        <f aca="false">IF(DG$9=1,SUMIFS(dr_Cant,dr_Mes,105,dr_Cod,"U_PROD_C",dr_Est,"&lt;&gt;Excluido"),MAX(0,DG$45+DG$46-DF$48))</f>
        <v>10000</v>
      </c>
      <c r="DH47" s="12" t="n">
        <f aca="false">IF(DH$9=1,SUMIFS(dr_Cant,dr_Mes,106,dr_Cod,"U_PROD_C",dr_Est,"&lt;&gt;Excluido"),MAX(0,DH$45+DH$46-DG$48))</f>
        <v>10000</v>
      </c>
      <c r="DI47" s="12" t="n">
        <f aca="false">IF(DI$9=1,SUMIFS(dr_Cant,dr_Mes,107,dr_Cod,"U_PROD_C",dr_Est,"&lt;&gt;Excluido"),MAX(0,DI$45+DI$46-DH$48))</f>
        <v>10000</v>
      </c>
      <c r="DJ47" s="12" t="n">
        <f aca="false">IF(DJ$9=1,SUMIFS(dr_Cant,dr_Mes,108,dr_Cod,"U_PROD_C",dr_Est,"&lt;&gt;Excluido"),MAX(0,DJ$45+DJ$46-DI$48))</f>
        <v>10000</v>
      </c>
      <c r="DK47" s="12" t="n">
        <f aca="false">IF(DK$9=1,SUMIFS(dr_Cant,dr_Mes,109,dr_Cod,"U_PROD_C",dr_Est,"&lt;&gt;Excluido"),MAX(0,DK$45+DK$46-DJ$48))</f>
        <v>10000</v>
      </c>
      <c r="DL47" s="12" t="n">
        <f aca="false">IF(DL$9=1,SUMIFS(dr_Cant,dr_Mes,110,dr_Cod,"U_PROD_C",dr_Est,"&lt;&gt;Excluido"),MAX(0,DL$45+DL$46-DK$48))</f>
        <v>10000</v>
      </c>
      <c r="DM47" s="12" t="n">
        <f aca="false">IF(DM$9=1,SUMIFS(dr_Cant,dr_Mes,111,dr_Cod,"U_PROD_C",dr_Est,"&lt;&gt;Excluido"),MAX(0,DM$45+DM$46-DL$48))</f>
        <v>10000</v>
      </c>
      <c r="DN47" s="12" t="n">
        <f aca="false">IF(DN$9=1,SUMIFS(dr_Cant,dr_Mes,112,dr_Cod,"U_PROD_C",dr_Est,"&lt;&gt;Excluido"),MAX(0,DN$45+DN$46-DM$48))</f>
        <v>10000</v>
      </c>
      <c r="DO47" s="12" t="n">
        <f aca="false">IF(DO$9=1,SUMIFS(dr_Cant,dr_Mes,113,dr_Cod,"U_PROD_C",dr_Est,"&lt;&gt;Excluido"),MAX(0,DO$45+DO$46-DN$48))</f>
        <v>10000</v>
      </c>
      <c r="DP47" s="12" t="n">
        <f aca="false">IF(DP$9=1,SUMIFS(dr_Cant,dr_Mes,114,dr_Cod,"U_PROD_C",dr_Est,"&lt;&gt;Excluido"),MAX(0,DP$45+DP$46-DO$48))</f>
        <v>10000</v>
      </c>
      <c r="DQ47" s="12" t="n">
        <f aca="false">IF(DQ$9=1,SUMIFS(dr_Cant,dr_Mes,115,dr_Cod,"U_PROD_C",dr_Est,"&lt;&gt;Excluido"),MAX(0,DQ$45+DQ$46-DP$48))</f>
        <v>10000</v>
      </c>
      <c r="DR47" s="12" t="n">
        <f aca="false">IF(DR$9=1,SUMIFS(dr_Cant,dr_Mes,116,dr_Cod,"U_PROD_C",dr_Est,"&lt;&gt;Excluido"),MAX(0,DR$45+DR$46-DQ$48))</f>
        <v>10000</v>
      </c>
      <c r="DS47" s="12" t="n">
        <f aca="false">IF(DS$9=1,SUMIFS(dr_Cant,dr_Mes,117,dr_Cod,"U_PROD_C",dr_Est,"&lt;&gt;Excluido"),MAX(0,DS$45+DS$46-DR$48))</f>
        <v>10000</v>
      </c>
      <c r="DT47" s="12" t="n">
        <f aca="false">IF(DT$9=1,SUMIFS(dr_Cant,dr_Mes,118,dr_Cod,"U_PROD_C",dr_Est,"&lt;&gt;Excluido"),MAX(0,DT$45+DT$46-DS$48))</f>
        <v>10000</v>
      </c>
      <c r="DU47" s="12" t="n">
        <f aca="false">IF(DU$9=1,SUMIFS(dr_Cant,dr_Mes,119,dr_Cod,"U_PROD_C",dr_Est,"&lt;&gt;Excluido"),MAX(0,DU$45+DU$46-DT$48))</f>
        <v>10000</v>
      </c>
      <c r="DV47" s="12" t="n">
        <f aca="false">IF(DV$9=1,SUMIFS(dr_Cant,dr_Mes,120,dr_Cod,"U_PROD_C",dr_Est,"&lt;&gt;Excluido"),MAX(0,DV$45+DV$46-DU$48))</f>
        <v>6712.32876712329</v>
      </c>
      <c r="DW47" s="12" t="n">
        <f aca="false">IF(DW$9=1,SUMIFS(dr_Cant,dr_Mes,121,dr_Cod,"U_PROD_C",dr_Est,"&lt;&gt;Excluido"),MAX(0,DW$45+DW$46-DV$48))</f>
        <v>0</v>
      </c>
      <c r="DX47" s="12" t="n">
        <f aca="false">IF(DX$9=1,SUMIFS(dr_Cant,dr_Mes,122,dr_Cod,"U_PROD_C",dr_Est,"&lt;&gt;Excluido"),MAX(0,DX$45+DX$46-DW$48))</f>
        <v>0</v>
      </c>
      <c r="DY47" s="12" t="n">
        <f aca="false">IF(DY$9=1,SUMIFS(dr_Cant,dr_Mes,123,dr_Cod,"U_PROD_C",dr_Est,"&lt;&gt;Excluido"),MAX(0,DY$45+DY$46-DX$48))</f>
        <v>0</v>
      </c>
      <c r="DZ47" s="12" t="n">
        <f aca="false">IF(DZ$9=1,SUMIFS(dr_Cant,dr_Mes,124,dr_Cod,"U_PROD_C",dr_Est,"&lt;&gt;Excluido"),MAX(0,DZ$45+DZ$46-DY$48))</f>
        <v>0</v>
      </c>
      <c r="EA47" s="12" t="n">
        <f aca="false">IF(EA$9=1,SUMIFS(dr_Cant,dr_Mes,125,dr_Cod,"U_PROD_C",dr_Est,"&lt;&gt;Excluido"),MAX(0,EA$45+EA$46-DZ$48))</f>
        <v>0</v>
      </c>
      <c r="EB47" s="12" t="n">
        <f aca="false">IF(EB$9=1,SUMIFS(dr_Cant,dr_Mes,126,dr_Cod,"U_PROD_C",dr_Est,"&lt;&gt;Excluido"),MAX(0,EB$45+EB$46-EA$48))</f>
        <v>0</v>
      </c>
      <c r="EC47" s="12" t="n">
        <f aca="false">IF(EC$9=1,SUMIFS(dr_Cant,dr_Mes,127,dr_Cod,"U_PROD_C",dr_Est,"&lt;&gt;Excluido"),MAX(0,EC$45+EC$46-EB$48))</f>
        <v>0</v>
      </c>
      <c r="ED47" s="12" t="n">
        <f aca="false">IF(ED$9=1,SUMIFS(dr_Cant,dr_Mes,128,dr_Cod,"U_PROD_C",dr_Est,"&lt;&gt;Excluido"),MAX(0,ED$45+ED$46-EC$48))</f>
        <v>0</v>
      </c>
      <c r="EE47" s="12" t="n">
        <f aca="false">IF(EE$9=1,SUMIFS(dr_Cant,dr_Mes,129,dr_Cod,"U_PROD_C",dr_Est,"&lt;&gt;Excluido"),MAX(0,EE$45+EE$46-ED$48))</f>
        <v>0</v>
      </c>
      <c r="EF47" s="12" t="n">
        <f aca="false">IF(EF$9=1,SUMIFS(dr_Cant,dr_Mes,130,dr_Cod,"U_PROD_C",dr_Est,"&lt;&gt;Excluido"),MAX(0,EF$45+EF$46-EE$48))</f>
        <v>0</v>
      </c>
      <c r="EG47" s="12" t="n">
        <f aca="false">IF(EG$9=1,SUMIFS(dr_Cant,dr_Mes,131,dr_Cod,"U_PROD_C",dr_Est,"&lt;&gt;Excluido"),MAX(0,EG$45+EG$46-EF$48))</f>
        <v>0</v>
      </c>
      <c r="EH47" s="12" t="n">
        <f aca="false">IF(EH$9=1,SUMIFS(dr_Cant,dr_Mes,132,dr_Cod,"U_PROD_C",dr_Est,"&lt;&gt;Excluido"),MAX(0,EH$45+EH$46-EG$48))</f>
        <v>0</v>
      </c>
      <c r="EI47" s="12" t="n">
        <f aca="false">IF(EI$9=1,SUMIFS(dr_Cant,dr_Mes,133,dr_Cod,"U_PROD_C",dr_Est,"&lt;&gt;Excluido"),MAX(0,EI$45+EI$46-EH$48))</f>
        <v>0</v>
      </c>
      <c r="EJ47" s="12" t="n">
        <f aca="false">IF(EJ$9=1,SUMIFS(dr_Cant,dr_Mes,134,dr_Cod,"U_PROD_C",dr_Est,"&lt;&gt;Excluido"),MAX(0,EJ$45+EJ$46-EI$48))</f>
        <v>0</v>
      </c>
      <c r="EK47" s="12" t="n">
        <f aca="false">IF(EK$9=1,SUMIFS(dr_Cant,dr_Mes,135,dr_Cod,"U_PROD_C",dr_Est,"&lt;&gt;Excluido"),MAX(0,EK$45+EK$46-EJ$48))</f>
        <v>0</v>
      </c>
      <c r="EL47" s="12" t="n">
        <f aca="false">IF(EL$9=1,SUMIFS(dr_Cant,dr_Mes,136,dr_Cod,"U_PROD_C",dr_Est,"&lt;&gt;Excluido"),MAX(0,EL$45+EL$46-EK$48))</f>
        <v>0</v>
      </c>
      <c r="EM47" s="12" t="n">
        <f aca="false">IF(EM$9=1,SUMIFS(dr_Cant,dr_Mes,137,dr_Cod,"U_PROD_C",dr_Est,"&lt;&gt;Excluido"),MAX(0,EM$45+EM$46-EL$48))</f>
        <v>0</v>
      </c>
      <c r="EN47" s="12" t="n">
        <f aca="false">IF(EN$9=1,SUMIFS(dr_Cant,dr_Mes,138,dr_Cod,"U_PROD_C",dr_Est,"&lt;&gt;Excluido"),MAX(0,EN$45+EN$46-EM$48))</f>
        <v>0</v>
      </c>
      <c r="EO47" s="12" t="n">
        <f aca="false">IF(EO$9=1,SUMIFS(dr_Cant,dr_Mes,139,dr_Cod,"U_PROD_C",dr_Est,"&lt;&gt;Excluido"),MAX(0,EO$45+EO$46-EN$48))</f>
        <v>0</v>
      </c>
      <c r="EP47" s="12" t="n">
        <f aca="false">IF(EP$9=1,SUMIFS(dr_Cant,dr_Mes,140,dr_Cod,"U_PROD_C",dr_Est,"&lt;&gt;Excluido"),MAX(0,EP$45+EP$46-EO$48))</f>
        <v>0</v>
      </c>
      <c r="EQ47" s="12" t="n">
        <f aca="false">IF(EQ$9=1,SUMIFS(dr_Cant,dr_Mes,141,dr_Cod,"U_PROD_C",dr_Est,"&lt;&gt;Excluido"),MAX(0,EQ$45+EQ$46-EP$48))</f>
        <v>0</v>
      </c>
      <c r="ER47" s="12" t="n">
        <f aca="false">IF(ER$9=1,SUMIFS(dr_Cant,dr_Mes,142,dr_Cod,"U_PROD_C",dr_Est,"&lt;&gt;Excluido"),MAX(0,ER$45+ER$46-EQ$48))</f>
        <v>0</v>
      </c>
      <c r="ES47" s="12" t="n">
        <f aca="false">IF(ES$9=1,SUMIFS(dr_Cant,dr_Mes,143,dr_Cod,"U_PROD_C",dr_Est,"&lt;&gt;Excluido"),MAX(0,ES$45+ES$46-ER$48))</f>
        <v>0</v>
      </c>
      <c r="ET47" s="12" t="n">
        <f aca="false">IF(ET$9=1,SUMIFS(dr_Cant,dr_Mes,144,dr_Cod,"U_PROD_C",dr_Est,"&lt;&gt;Excluido"),MAX(0,ET$45+ET$46-ES$48))</f>
        <v>0</v>
      </c>
      <c r="EU47" s="12" t="n">
        <f aca="false">IF(EU$9=1,SUMIFS(dr_Cant,dr_Mes,145,dr_Cod,"U_PROD_C",dr_Est,"&lt;&gt;Excluido"),MAX(0,EU$45+EU$46-ET$48))</f>
        <v>0</v>
      </c>
      <c r="EV47" s="12" t="n">
        <f aca="false">IF(EV$9=1,SUMIFS(dr_Cant,dr_Mes,146,dr_Cod,"U_PROD_C",dr_Est,"&lt;&gt;Excluido"),MAX(0,EV$45+EV$46-EU$48))</f>
        <v>0</v>
      </c>
      <c r="EW47" s="12" t="n">
        <f aca="false">IF(EW$9=1,SUMIFS(dr_Cant,dr_Mes,147,dr_Cod,"U_PROD_C",dr_Est,"&lt;&gt;Excluido"),MAX(0,EW$45+EW$46-EV$48))</f>
        <v>0</v>
      </c>
      <c r="EX47" s="12" t="n">
        <f aca="false">IF(EX$9=1,SUMIFS(dr_Cant,dr_Mes,148,dr_Cod,"U_PROD_C",dr_Est,"&lt;&gt;Excluido"),MAX(0,EX$45+EX$46-EW$48))</f>
        <v>0</v>
      </c>
      <c r="EY47" s="12" t="n">
        <f aca="false">IF(EY$9=1,SUMIFS(dr_Cant,dr_Mes,149,dr_Cod,"U_PROD_C",dr_Est,"&lt;&gt;Excluido"),MAX(0,EY$45+EY$46-EX$48))</f>
        <v>0</v>
      </c>
      <c r="EZ47" s="12" t="n">
        <f aca="false">IF(EZ$9=1,SUMIFS(dr_Cant,dr_Mes,150,dr_Cod,"U_PROD_C",dr_Est,"&lt;&gt;Excluido"),MAX(0,EZ$45+EZ$46-EY$48))</f>
        <v>0</v>
      </c>
      <c r="FA47" s="12" t="n">
        <f aca="false">IF(FA$9=1,SUMIFS(dr_Cant,dr_Mes,151,dr_Cod,"U_PROD_C",dr_Est,"&lt;&gt;Excluido"),MAX(0,FA$45+FA$46-EZ$48))</f>
        <v>0</v>
      </c>
      <c r="FB47" s="12" t="n">
        <f aca="false">IF(FB$9=1,SUMIFS(dr_Cant,dr_Mes,152,dr_Cod,"U_PROD_C",dr_Est,"&lt;&gt;Excluido"),MAX(0,FB$45+FB$46-FA$48))</f>
        <v>0</v>
      </c>
      <c r="FC47" s="12" t="n">
        <f aca="false">IF(FC$9=1,SUMIFS(dr_Cant,dr_Mes,153,dr_Cod,"U_PROD_C",dr_Est,"&lt;&gt;Excluido"),MAX(0,FC$45+FC$46-FB$48))</f>
        <v>0</v>
      </c>
      <c r="FD47" s="12" t="n">
        <f aca="false">IF(FD$9=1,SUMIFS(dr_Cant,dr_Mes,154,dr_Cod,"U_PROD_C",dr_Est,"&lt;&gt;Excluido"),MAX(0,FD$45+FD$46-FC$48))</f>
        <v>0</v>
      </c>
      <c r="FE47" s="12" t="n">
        <f aca="false">IF(FE$9=1,SUMIFS(dr_Cant,dr_Mes,155,dr_Cod,"U_PROD_C",dr_Est,"&lt;&gt;Excluido"),MAX(0,FE$45+FE$46-FD$48))</f>
        <v>0</v>
      </c>
      <c r="FF47" s="12" t="n">
        <f aca="false">IF(FF$9=1,SUMIFS(dr_Cant,dr_Mes,156,dr_Cod,"U_PROD_C",dr_Est,"&lt;&gt;Excluido"),MAX(0,FF$45+FF$46-FE$48))</f>
        <v>0</v>
      </c>
    </row>
    <row r="48" customFormat="false" ht="15" hidden="false" customHeight="false" outlineLevel="0" collapsed="false">
      <c r="A48" s="2" t="s">
        <v>879</v>
      </c>
      <c r="B48" s="8" t="s">
        <v>853</v>
      </c>
      <c r="C48" s="8" t="s">
        <v>825</v>
      </c>
      <c r="E48" s="65" t="n">
        <f aca="false">INDEX($F48:$FF48,1,p_MesFin+1)</f>
        <v>0</v>
      </c>
      <c r="F48" s="13" t="n">
        <f aca="false">0+F$47-F$45</f>
        <v>0</v>
      </c>
      <c r="G48" s="13" t="n">
        <f aca="false">F$48+G$47-G$45</f>
        <v>1917.80821917808</v>
      </c>
      <c r="H48" s="13" t="n">
        <f aca="false">G$48+H$47-H$45</f>
        <v>1917.80821917808</v>
      </c>
      <c r="I48" s="13" t="n">
        <f aca="false">H$48+I$47-I$45</f>
        <v>1917.80821917808</v>
      </c>
      <c r="J48" s="13" t="n">
        <f aca="false">I$48+J$47-J$45</f>
        <v>1917.80821917808</v>
      </c>
      <c r="K48" s="13" t="n">
        <f aca="false">J$48+K$47-K$45</f>
        <v>1917.80821917808</v>
      </c>
      <c r="L48" s="13" t="n">
        <f aca="false">K$48+L$47-L$45</f>
        <v>1917.80821917808</v>
      </c>
      <c r="M48" s="13" t="n">
        <f aca="false">L$48+M$47-M$45</f>
        <v>1917.80821917808</v>
      </c>
      <c r="N48" s="13" t="n">
        <f aca="false">M$48+N$47-N$45</f>
        <v>1917.80821917808</v>
      </c>
      <c r="O48" s="13" t="n">
        <f aca="false">N$48+O$47-O$45</f>
        <v>1917.80821917808</v>
      </c>
      <c r="P48" s="13" t="n">
        <f aca="false">O$48+P$47-P$45</f>
        <v>1917.80821917808</v>
      </c>
      <c r="Q48" s="13" t="n">
        <f aca="false">P$48+Q$47-Q$45</f>
        <v>1917.80821917808</v>
      </c>
      <c r="R48" s="13" t="n">
        <f aca="false">Q$48+R$47-R$45</f>
        <v>2465.75342465753</v>
      </c>
      <c r="S48" s="13" t="n">
        <f aca="false">R$48+S$47-S$45</f>
        <v>2465.75342465753</v>
      </c>
      <c r="T48" s="13" t="n">
        <f aca="false">S$48+T$47-T$45</f>
        <v>2465.75342465753</v>
      </c>
      <c r="U48" s="13" t="n">
        <f aca="false">T$48+U$47-U$45</f>
        <v>2465.75342465753</v>
      </c>
      <c r="V48" s="13" t="n">
        <f aca="false">U$48+V$47-V$45</f>
        <v>2465.75342465753</v>
      </c>
      <c r="W48" s="13" t="n">
        <f aca="false">V$48+W$47-W$45</f>
        <v>2465.75342465753</v>
      </c>
      <c r="X48" s="13" t="n">
        <f aca="false">W$48+X$47-X$45</f>
        <v>2465.75342465753</v>
      </c>
      <c r="Y48" s="13" t="n">
        <f aca="false">X$48+Y$47-Y$45</f>
        <v>2465.75342465753</v>
      </c>
      <c r="Z48" s="13" t="n">
        <f aca="false">Y$48+Z$47-Z$45</f>
        <v>2465.75342465753</v>
      </c>
      <c r="AA48" s="13" t="n">
        <f aca="false">Z$48+AA$47-AA$45</f>
        <v>2465.75342465753</v>
      </c>
      <c r="AB48" s="13" t="n">
        <f aca="false">AA$48+AB$47-AB$45</f>
        <v>2465.75342465753</v>
      </c>
      <c r="AC48" s="13" t="n">
        <f aca="false">AB$48+AC$47-AC$45</f>
        <v>2465.75342465753</v>
      </c>
      <c r="AD48" s="13" t="n">
        <f aca="false">AC$48+AD$47-AD$45</f>
        <v>3013.69863013699</v>
      </c>
      <c r="AE48" s="13" t="n">
        <f aca="false">AD$48+AE$47-AE$45</f>
        <v>3013.69863013699</v>
      </c>
      <c r="AF48" s="13" t="n">
        <f aca="false">AE$48+AF$47-AF$45</f>
        <v>3013.69863013699</v>
      </c>
      <c r="AG48" s="13" t="n">
        <f aca="false">AF$48+AG$47-AG$45</f>
        <v>3013.69863013699</v>
      </c>
      <c r="AH48" s="13" t="n">
        <f aca="false">AG$48+AH$47-AH$45</f>
        <v>3013.69863013699</v>
      </c>
      <c r="AI48" s="13" t="n">
        <f aca="false">AH$48+AI$47-AI$45</f>
        <v>3013.69863013699</v>
      </c>
      <c r="AJ48" s="13" t="n">
        <f aca="false">AI$48+AJ$47-AJ$45</f>
        <v>3013.69863013699</v>
      </c>
      <c r="AK48" s="13" t="n">
        <f aca="false">AJ$48+AK$47-AK$45</f>
        <v>3013.69863013699</v>
      </c>
      <c r="AL48" s="13" t="n">
        <f aca="false">AK$48+AL$47-AL$45</f>
        <v>3013.69863013699</v>
      </c>
      <c r="AM48" s="13" t="n">
        <f aca="false">AL$48+AM$47-AM$45</f>
        <v>3013.69863013699</v>
      </c>
      <c r="AN48" s="13" t="n">
        <f aca="false">AM$48+AN$47-AN$45</f>
        <v>3013.69863013699</v>
      </c>
      <c r="AO48" s="13" t="n">
        <f aca="false">AN$48+AO$47-AO$45</f>
        <v>3013.69863013699</v>
      </c>
      <c r="AP48" s="13" t="n">
        <f aca="false">AO$48+AP$47-AP$45</f>
        <v>3287.67123287671</v>
      </c>
      <c r="AQ48" s="13" t="n">
        <f aca="false">AP$48+AQ$47-AQ$45</f>
        <v>3287.67123287671</v>
      </c>
      <c r="AR48" s="13" t="n">
        <f aca="false">AQ$48+AR$47-AR$45</f>
        <v>3287.67123287671</v>
      </c>
      <c r="AS48" s="13" t="n">
        <f aca="false">AR$48+AS$47-AS$45</f>
        <v>3287.67123287671</v>
      </c>
      <c r="AT48" s="13" t="n">
        <f aca="false">AS$48+AT$47-AT$45</f>
        <v>3287.67123287671</v>
      </c>
      <c r="AU48" s="13" t="n">
        <f aca="false">AT$48+AU$47-AU$45</f>
        <v>3287.67123287671</v>
      </c>
      <c r="AV48" s="13" t="n">
        <f aca="false">AU$48+AV$47-AV$45</f>
        <v>3287.67123287671</v>
      </c>
      <c r="AW48" s="13" t="n">
        <f aca="false">AV$48+AW$47-AW$45</f>
        <v>3287.67123287671</v>
      </c>
      <c r="AX48" s="13" t="n">
        <f aca="false">AW$48+AX$47-AX$45</f>
        <v>3287.67123287671</v>
      </c>
      <c r="AY48" s="13" t="n">
        <f aca="false">AX$48+AY$47-AY$45</f>
        <v>3287.67123287671</v>
      </c>
      <c r="AZ48" s="13" t="n">
        <f aca="false">AY$48+AZ$47-AZ$45</f>
        <v>3287.67123287671</v>
      </c>
      <c r="BA48" s="13" t="n">
        <f aca="false">AZ$48+BA$47-BA$45</f>
        <v>3287.67123287671</v>
      </c>
      <c r="BB48" s="13" t="n">
        <f aca="false">BA$48+BB$47-BB$45</f>
        <v>3287.67123287671</v>
      </c>
      <c r="BC48" s="13" t="n">
        <f aca="false">BB$48+BC$47-BC$45</f>
        <v>3287.67123287671</v>
      </c>
      <c r="BD48" s="13" t="n">
        <f aca="false">BC$48+BD$47-BD$45</f>
        <v>3287.67123287671</v>
      </c>
      <c r="BE48" s="13" t="n">
        <f aca="false">BD$48+BE$47-BE$45</f>
        <v>3287.67123287671</v>
      </c>
      <c r="BF48" s="13" t="n">
        <f aca="false">BE$48+BF$47-BF$45</f>
        <v>3287.67123287671</v>
      </c>
      <c r="BG48" s="13" t="n">
        <f aca="false">BF$48+BG$47-BG$45</f>
        <v>3287.67123287671</v>
      </c>
      <c r="BH48" s="13" t="n">
        <f aca="false">BG$48+BH$47-BH$45</f>
        <v>3287.67123287671</v>
      </c>
      <c r="BI48" s="13" t="n">
        <f aca="false">BH$48+BI$47-BI$45</f>
        <v>3287.67123287671</v>
      </c>
      <c r="BJ48" s="13" t="n">
        <f aca="false">BI$48+BJ$47-BJ$45</f>
        <v>3287.67123287671</v>
      </c>
      <c r="BK48" s="13" t="n">
        <f aca="false">BJ$48+BK$47-BK$45</f>
        <v>3287.67123287671</v>
      </c>
      <c r="BL48" s="13" t="n">
        <f aca="false">BK$48+BL$47-BL$45</f>
        <v>3287.67123287671</v>
      </c>
      <c r="BM48" s="13" t="n">
        <f aca="false">BL$48+BM$47-BM$45</f>
        <v>3287.67123287671</v>
      </c>
      <c r="BN48" s="13" t="n">
        <f aca="false">BM$48+BN$47-BN$45</f>
        <v>3287.67123287671</v>
      </c>
      <c r="BO48" s="13" t="n">
        <f aca="false">BN$48+BO$47-BO$45</f>
        <v>3287.67123287671</v>
      </c>
      <c r="BP48" s="13" t="n">
        <f aca="false">BO$48+BP$47-BP$45</f>
        <v>3287.67123287671</v>
      </c>
      <c r="BQ48" s="13" t="n">
        <f aca="false">BP$48+BQ$47-BQ$45</f>
        <v>3287.67123287671</v>
      </c>
      <c r="BR48" s="13" t="n">
        <f aca="false">BQ$48+BR$47-BR$45</f>
        <v>3287.67123287671</v>
      </c>
      <c r="BS48" s="13" t="n">
        <f aca="false">BR$48+BS$47-BS$45</f>
        <v>3287.67123287671</v>
      </c>
      <c r="BT48" s="13" t="n">
        <f aca="false">BS$48+BT$47-BT$45</f>
        <v>3287.67123287671</v>
      </c>
      <c r="BU48" s="13" t="n">
        <f aca="false">BT$48+BU$47-BU$45</f>
        <v>3287.67123287671</v>
      </c>
      <c r="BV48" s="13" t="n">
        <f aca="false">BU$48+BV$47-BV$45</f>
        <v>3287.67123287671</v>
      </c>
      <c r="BW48" s="13" t="n">
        <f aca="false">BV$48+BW$47-BW$45</f>
        <v>3287.67123287671</v>
      </c>
      <c r="BX48" s="13" t="n">
        <f aca="false">BW$48+BX$47-BX$45</f>
        <v>3287.67123287671</v>
      </c>
      <c r="BY48" s="13" t="n">
        <f aca="false">BX$48+BY$47-BY$45</f>
        <v>3287.67123287671</v>
      </c>
      <c r="BZ48" s="13" t="n">
        <f aca="false">BY$48+BZ$47-BZ$45</f>
        <v>3287.67123287671</v>
      </c>
      <c r="CA48" s="13" t="n">
        <f aca="false">BZ$48+CA$47-CA$45</f>
        <v>3287.67123287671</v>
      </c>
      <c r="CB48" s="13" t="n">
        <f aca="false">CA$48+CB$47-CB$45</f>
        <v>3287.67123287671</v>
      </c>
      <c r="CC48" s="13" t="n">
        <f aca="false">CB$48+CC$47-CC$45</f>
        <v>3287.67123287671</v>
      </c>
      <c r="CD48" s="13" t="n">
        <f aca="false">CC$48+CD$47-CD$45</f>
        <v>3287.67123287671</v>
      </c>
      <c r="CE48" s="13" t="n">
        <f aca="false">CD$48+CE$47-CE$45</f>
        <v>3287.67123287671</v>
      </c>
      <c r="CF48" s="13" t="n">
        <f aca="false">CE$48+CF$47-CF$45</f>
        <v>3287.67123287671</v>
      </c>
      <c r="CG48" s="13" t="n">
        <f aca="false">CF$48+CG$47-CG$45</f>
        <v>3287.67123287671</v>
      </c>
      <c r="CH48" s="13" t="n">
        <f aca="false">CG$48+CH$47-CH$45</f>
        <v>3287.67123287671</v>
      </c>
      <c r="CI48" s="13" t="n">
        <f aca="false">CH$48+CI$47-CI$45</f>
        <v>3287.67123287671</v>
      </c>
      <c r="CJ48" s="13" t="n">
        <f aca="false">CI$48+CJ$47-CJ$45</f>
        <v>3287.67123287671</v>
      </c>
      <c r="CK48" s="13" t="n">
        <f aca="false">CJ$48+CK$47-CK$45</f>
        <v>3287.67123287671</v>
      </c>
      <c r="CL48" s="13" t="n">
        <f aca="false">CK$48+CL$47-CL$45</f>
        <v>3287.67123287671</v>
      </c>
      <c r="CM48" s="13" t="n">
        <f aca="false">CL$48+CM$47-CM$45</f>
        <v>3287.67123287671</v>
      </c>
      <c r="CN48" s="13" t="n">
        <f aca="false">CM$48+CN$47-CN$45</f>
        <v>3287.67123287671</v>
      </c>
      <c r="CO48" s="13" t="n">
        <f aca="false">CN$48+CO$47-CO$45</f>
        <v>3287.67123287671</v>
      </c>
      <c r="CP48" s="13" t="n">
        <f aca="false">CO$48+CP$47-CP$45</f>
        <v>3287.67123287671</v>
      </c>
      <c r="CQ48" s="13" t="n">
        <f aca="false">CP$48+CQ$47-CQ$45</f>
        <v>3287.67123287671</v>
      </c>
      <c r="CR48" s="13" t="n">
        <f aca="false">CQ$48+CR$47-CR$45</f>
        <v>3287.67123287671</v>
      </c>
      <c r="CS48" s="13" t="n">
        <f aca="false">CR$48+CS$47-CS$45</f>
        <v>3287.67123287671</v>
      </c>
      <c r="CT48" s="13" t="n">
        <f aca="false">CS$48+CT$47-CT$45</f>
        <v>3287.67123287671</v>
      </c>
      <c r="CU48" s="13" t="n">
        <f aca="false">CT$48+CU$47-CU$45</f>
        <v>3287.67123287671</v>
      </c>
      <c r="CV48" s="13" t="n">
        <f aca="false">CU$48+CV$47-CV$45</f>
        <v>3287.67123287671</v>
      </c>
      <c r="CW48" s="13" t="n">
        <f aca="false">CV$48+CW$47-CW$45</f>
        <v>3287.67123287671</v>
      </c>
      <c r="CX48" s="13" t="n">
        <f aca="false">CW$48+CX$47-CX$45</f>
        <v>3287.67123287671</v>
      </c>
      <c r="CY48" s="13" t="n">
        <f aca="false">CX$48+CY$47-CY$45</f>
        <v>3287.67123287671</v>
      </c>
      <c r="CZ48" s="13" t="n">
        <f aca="false">CY$48+CZ$47-CZ$45</f>
        <v>3287.67123287671</v>
      </c>
      <c r="DA48" s="13" t="n">
        <f aca="false">CZ$48+DA$47-DA$45</f>
        <v>3287.67123287671</v>
      </c>
      <c r="DB48" s="13" t="n">
        <f aca="false">DA$48+DB$47-DB$45</f>
        <v>3287.67123287671</v>
      </c>
      <c r="DC48" s="13" t="n">
        <f aca="false">DB$48+DC$47-DC$45</f>
        <v>3287.67123287671</v>
      </c>
      <c r="DD48" s="13" t="n">
        <f aca="false">DC$48+DD$47-DD$45</f>
        <v>3287.67123287671</v>
      </c>
      <c r="DE48" s="13" t="n">
        <f aca="false">DD$48+DE$47-DE$45</f>
        <v>3287.67123287671</v>
      </c>
      <c r="DF48" s="13" t="n">
        <f aca="false">DE$48+DF$47-DF$45</f>
        <v>3287.67123287671</v>
      </c>
      <c r="DG48" s="13" t="n">
        <f aca="false">DF$48+DG$47-DG$45</f>
        <v>3287.67123287671</v>
      </c>
      <c r="DH48" s="13" t="n">
        <f aca="false">DG$48+DH$47-DH$45</f>
        <v>3287.67123287671</v>
      </c>
      <c r="DI48" s="13" t="n">
        <f aca="false">DH$48+DI$47-DI$45</f>
        <v>3287.67123287671</v>
      </c>
      <c r="DJ48" s="13" t="n">
        <f aca="false">DI$48+DJ$47-DJ$45</f>
        <v>3287.67123287671</v>
      </c>
      <c r="DK48" s="13" t="n">
        <f aca="false">DJ$48+DK$47-DK$45</f>
        <v>3287.67123287671</v>
      </c>
      <c r="DL48" s="13" t="n">
        <f aca="false">DK$48+DL$47-DL$45</f>
        <v>3287.67123287671</v>
      </c>
      <c r="DM48" s="13" t="n">
        <f aca="false">DL$48+DM$47-DM$45</f>
        <v>3287.67123287671</v>
      </c>
      <c r="DN48" s="13" t="n">
        <f aca="false">DM$48+DN$47-DN$45</f>
        <v>3287.67123287671</v>
      </c>
      <c r="DO48" s="13" t="n">
        <f aca="false">DN$48+DO$47-DO$45</f>
        <v>3287.67123287671</v>
      </c>
      <c r="DP48" s="13" t="n">
        <f aca="false">DO$48+DP$47-DP$45</f>
        <v>3287.67123287671</v>
      </c>
      <c r="DQ48" s="13" t="n">
        <f aca="false">DP$48+DQ$47-DQ$45</f>
        <v>3287.67123287671</v>
      </c>
      <c r="DR48" s="13" t="n">
        <f aca="false">DQ$48+DR$47-DR$45</f>
        <v>3287.67123287671</v>
      </c>
      <c r="DS48" s="13" t="n">
        <f aca="false">DR$48+DS$47-DS$45</f>
        <v>3287.67123287671</v>
      </c>
      <c r="DT48" s="13" t="n">
        <f aca="false">DS$48+DT$47-DT$45</f>
        <v>3287.67123287671</v>
      </c>
      <c r="DU48" s="13" t="n">
        <f aca="false">DT$48+DU$47-DU$45</f>
        <v>3287.67123287671</v>
      </c>
      <c r="DV48" s="13" t="n">
        <f aca="false">DU$48+DV$47-DV$45</f>
        <v>0</v>
      </c>
      <c r="DW48" s="13" t="n">
        <f aca="false">DV$48+DW$47-DW$45</f>
        <v>0</v>
      </c>
      <c r="DX48" s="13" t="n">
        <f aca="false">DW$48+DX$47-DX$45</f>
        <v>0</v>
      </c>
      <c r="DY48" s="13" t="n">
        <f aca="false">DX$48+DY$47-DY$45</f>
        <v>0</v>
      </c>
      <c r="DZ48" s="13" t="n">
        <f aca="false">DY$48+DZ$47-DZ$45</f>
        <v>0</v>
      </c>
      <c r="EA48" s="13" t="n">
        <f aca="false">DZ$48+EA$47-EA$45</f>
        <v>0</v>
      </c>
      <c r="EB48" s="13" t="n">
        <f aca="false">EA$48+EB$47-EB$45</f>
        <v>0</v>
      </c>
      <c r="EC48" s="13" t="n">
        <f aca="false">EB$48+EC$47-EC$45</f>
        <v>0</v>
      </c>
      <c r="ED48" s="13" t="n">
        <f aca="false">EC$48+ED$47-ED$45</f>
        <v>0</v>
      </c>
      <c r="EE48" s="13" t="n">
        <f aca="false">ED$48+EE$47-EE$45</f>
        <v>0</v>
      </c>
      <c r="EF48" s="13" t="n">
        <f aca="false">EE$48+EF$47-EF$45</f>
        <v>0</v>
      </c>
      <c r="EG48" s="13" t="n">
        <f aca="false">EF$48+EG$47-EG$45</f>
        <v>0</v>
      </c>
      <c r="EH48" s="13" t="n">
        <f aca="false">EG$48+EH$47-EH$45</f>
        <v>0</v>
      </c>
      <c r="EI48" s="13" t="n">
        <f aca="false">EH$48+EI$47-EI$45</f>
        <v>0</v>
      </c>
      <c r="EJ48" s="13" t="n">
        <f aca="false">EI$48+EJ$47-EJ$45</f>
        <v>0</v>
      </c>
      <c r="EK48" s="13" t="n">
        <f aca="false">EJ$48+EK$47-EK$45</f>
        <v>0</v>
      </c>
      <c r="EL48" s="13" t="n">
        <f aca="false">EK$48+EL$47-EL$45</f>
        <v>0</v>
      </c>
      <c r="EM48" s="13" t="n">
        <f aca="false">EL$48+EM$47-EM$45</f>
        <v>0</v>
      </c>
      <c r="EN48" s="13" t="n">
        <f aca="false">EM$48+EN$47-EN$45</f>
        <v>0</v>
      </c>
      <c r="EO48" s="13" t="n">
        <f aca="false">EN$48+EO$47-EO$45</f>
        <v>0</v>
      </c>
      <c r="EP48" s="13" t="n">
        <f aca="false">EO$48+EP$47-EP$45</f>
        <v>0</v>
      </c>
      <c r="EQ48" s="13" t="n">
        <f aca="false">EP$48+EQ$47-EQ$45</f>
        <v>0</v>
      </c>
      <c r="ER48" s="13" t="n">
        <f aca="false">EQ$48+ER$47-ER$45</f>
        <v>0</v>
      </c>
      <c r="ES48" s="13" t="n">
        <f aca="false">ER$48+ES$47-ES$45</f>
        <v>0</v>
      </c>
      <c r="ET48" s="13" t="n">
        <f aca="false">ES$48+ET$47-ET$45</f>
        <v>0</v>
      </c>
      <c r="EU48" s="13" t="n">
        <f aca="false">ET$48+EU$47-EU$45</f>
        <v>0</v>
      </c>
      <c r="EV48" s="13" t="n">
        <f aca="false">EU$48+EV$47-EV$45</f>
        <v>0</v>
      </c>
      <c r="EW48" s="13" t="n">
        <f aca="false">EV$48+EW$47-EW$45</f>
        <v>0</v>
      </c>
      <c r="EX48" s="13" t="n">
        <f aca="false">EW$48+EX$47-EX$45</f>
        <v>0</v>
      </c>
      <c r="EY48" s="13" t="n">
        <f aca="false">EX$48+EY$47-EY$45</f>
        <v>0</v>
      </c>
      <c r="EZ48" s="13" t="n">
        <f aca="false">EY$48+EZ$47-EZ$45</f>
        <v>0</v>
      </c>
      <c r="FA48" s="13" t="n">
        <f aca="false">EZ$48+FA$47-FA$45</f>
        <v>0</v>
      </c>
      <c r="FB48" s="13" t="n">
        <f aca="false">FA$48+FB$47-FB$45</f>
        <v>0</v>
      </c>
      <c r="FC48" s="13" t="n">
        <f aca="false">FB$48+FC$47-FC$45</f>
        <v>0</v>
      </c>
      <c r="FD48" s="13" t="n">
        <f aca="false">FC$48+FD$47-FD$45</f>
        <v>0</v>
      </c>
      <c r="FE48" s="13" t="n">
        <f aca="false">FD$48+FE$47-FE$45</f>
        <v>0</v>
      </c>
      <c r="FF48" s="13" t="n">
        <f aca="false">FE$48+FF$47-FF$45</f>
        <v>0</v>
      </c>
    </row>
    <row r="49" customFormat="false" ht="15" hidden="false" customHeight="false" outlineLevel="0" collapsed="false">
      <c r="A49" s="2" t="s">
        <v>880</v>
      </c>
      <c r="B49" s="8" t="s">
        <v>855</v>
      </c>
      <c r="C49" s="8" t="s">
        <v>825</v>
      </c>
      <c r="E49" s="65" t="n">
        <f aca="false">SUM($F49:$FF49)</f>
        <v>1110000</v>
      </c>
      <c r="F49" s="13" t="n">
        <f aca="false">IF(F$9=1,F$47+SUMIFS(dr_Cant,dr_Mes,0,dr_Cod,"U_RCH_C",dr_Est,"&lt;&gt;Excluido"),IF(e_Rech&lt;1,F$47/(1-e_Rech),0))</f>
        <v>0</v>
      </c>
      <c r="G49" s="13" t="n">
        <f aca="false">IF(G$9=1,G$47+SUMIFS(dr_Cant,dr_Mes,1,dr_Cod,"U_RCH_C",dr_Est,"&lt;&gt;Excluido"),IF(e_Rech&lt;1,G$47/(1-e_Rech),0))</f>
        <v>7751.14155251142</v>
      </c>
      <c r="H49" s="13" t="n">
        <f aca="false">IF(H$9=1,H$47+SUMIFS(dr_Cant,dr_Mes,2,dr_Cod,"U_RCH_C",dr_Est,"&lt;&gt;Excluido"),IF(e_Rech&lt;1,H$47/(1-e_Rech),0))</f>
        <v>5833.33333333333</v>
      </c>
      <c r="I49" s="13" t="n">
        <f aca="false">IF(I$9=1,I$47+SUMIFS(dr_Cant,dr_Mes,3,dr_Cod,"U_RCH_C",dr_Est,"&lt;&gt;Excluido"),IF(e_Rech&lt;1,I$47/(1-e_Rech),0))</f>
        <v>5833.33333333333</v>
      </c>
      <c r="J49" s="13" t="n">
        <f aca="false">IF(J$9=1,J$47+SUMIFS(dr_Cant,dr_Mes,4,dr_Cod,"U_RCH_C",dr_Est,"&lt;&gt;Excluido"),IF(e_Rech&lt;1,J$47/(1-e_Rech),0))</f>
        <v>5833.33333333333</v>
      </c>
      <c r="K49" s="13" t="n">
        <f aca="false">IF(K$9=1,K$47+SUMIFS(dr_Cant,dr_Mes,5,dr_Cod,"U_RCH_C",dr_Est,"&lt;&gt;Excluido"),IF(e_Rech&lt;1,K$47/(1-e_Rech),0))</f>
        <v>5833.33333333333</v>
      </c>
      <c r="L49" s="13" t="n">
        <f aca="false">IF(L$9=1,L$47+SUMIFS(dr_Cant,dr_Mes,6,dr_Cod,"U_RCH_C",dr_Est,"&lt;&gt;Excluido"),IF(e_Rech&lt;1,L$47/(1-e_Rech),0))</f>
        <v>5833.33333333333</v>
      </c>
      <c r="M49" s="13" t="n">
        <f aca="false">IF(M$9=1,M$47+SUMIFS(dr_Cant,dr_Mes,7,dr_Cod,"U_RCH_C",dr_Est,"&lt;&gt;Excluido"),IF(e_Rech&lt;1,M$47/(1-e_Rech),0))</f>
        <v>5833.33333333333</v>
      </c>
      <c r="N49" s="13" t="n">
        <f aca="false">IF(N$9=1,N$47+SUMIFS(dr_Cant,dr_Mes,8,dr_Cod,"U_RCH_C",dr_Est,"&lt;&gt;Excluido"),IF(e_Rech&lt;1,N$47/(1-e_Rech),0))</f>
        <v>5833.33333333333</v>
      </c>
      <c r="O49" s="13" t="n">
        <f aca="false">IF(O$9=1,O$47+SUMIFS(dr_Cant,dr_Mes,9,dr_Cod,"U_RCH_C",dr_Est,"&lt;&gt;Excluido"),IF(e_Rech&lt;1,O$47/(1-e_Rech),0))</f>
        <v>5833.33333333333</v>
      </c>
      <c r="P49" s="13" t="n">
        <f aca="false">IF(P$9=1,P$47+SUMIFS(dr_Cant,dr_Mes,10,dr_Cod,"U_RCH_C",dr_Est,"&lt;&gt;Excluido"),IF(e_Rech&lt;1,P$47/(1-e_Rech),0))</f>
        <v>5833.33333333333</v>
      </c>
      <c r="Q49" s="13" t="n">
        <f aca="false">IF(Q$9=1,Q$47+SUMIFS(dr_Cant,dr_Mes,11,dr_Cod,"U_RCH_C",dr_Est,"&lt;&gt;Excluido"),IF(e_Rech&lt;1,Q$47/(1-e_Rech),0))</f>
        <v>5833.33333333333</v>
      </c>
      <c r="R49" s="13" t="n">
        <f aca="false">IF(R$9=1,R$47+SUMIFS(dr_Cant,dr_Mes,12,dr_Cod,"U_RCH_C",dr_Est,"&lt;&gt;Excluido"),IF(e_Rech&lt;1,R$47/(1-e_Rech),0))</f>
        <v>6381.27853881278</v>
      </c>
      <c r="S49" s="13" t="n">
        <f aca="false">IF(S$9=1,S$47+SUMIFS(dr_Cant,dr_Mes,13,dr_Cod,"U_RCH_C",dr_Est,"&lt;&gt;Excluido"),IF(e_Rech&lt;1,S$47/(1-e_Rech),0))</f>
        <v>7500</v>
      </c>
      <c r="T49" s="13" t="n">
        <f aca="false">IF(T$9=1,T$47+SUMIFS(dr_Cant,dr_Mes,14,dr_Cod,"U_RCH_C",dr_Est,"&lt;&gt;Excluido"),IF(e_Rech&lt;1,T$47/(1-e_Rech),0))</f>
        <v>7500</v>
      </c>
      <c r="U49" s="13" t="n">
        <f aca="false">IF(U$9=1,U$47+SUMIFS(dr_Cant,dr_Mes,15,dr_Cod,"U_RCH_C",dr_Est,"&lt;&gt;Excluido"),IF(e_Rech&lt;1,U$47/(1-e_Rech),0))</f>
        <v>7500</v>
      </c>
      <c r="V49" s="13" t="n">
        <f aca="false">IF(V$9=1,V$47+SUMIFS(dr_Cant,dr_Mes,16,dr_Cod,"U_RCH_C",dr_Est,"&lt;&gt;Excluido"),IF(e_Rech&lt;1,V$47/(1-e_Rech),0))</f>
        <v>7500</v>
      </c>
      <c r="W49" s="13" t="n">
        <f aca="false">IF(W$9=1,W$47+SUMIFS(dr_Cant,dr_Mes,17,dr_Cod,"U_RCH_C",dr_Est,"&lt;&gt;Excluido"),IF(e_Rech&lt;1,W$47/(1-e_Rech),0))</f>
        <v>7500</v>
      </c>
      <c r="X49" s="13" t="n">
        <f aca="false">IF(X$9=1,X$47+SUMIFS(dr_Cant,dr_Mes,18,dr_Cod,"U_RCH_C",dr_Est,"&lt;&gt;Excluido"),IF(e_Rech&lt;1,X$47/(1-e_Rech),0))</f>
        <v>7500</v>
      </c>
      <c r="Y49" s="13" t="n">
        <f aca="false">IF(Y$9=1,Y$47+SUMIFS(dr_Cant,dr_Mes,19,dr_Cod,"U_RCH_C",dr_Est,"&lt;&gt;Excluido"),IF(e_Rech&lt;1,Y$47/(1-e_Rech),0))</f>
        <v>7500</v>
      </c>
      <c r="Z49" s="13" t="n">
        <f aca="false">IF(Z$9=1,Z$47+SUMIFS(dr_Cant,dr_Mes,20,dr_Cod,"U_RCH_C",dr_Est,"&lt;&gt;Excluido"),IF(e_Rech&lt;1,Z$47/(1-e_Rech),0))</f>
        <v>7500</v>
      </c>
      <c r="AA49" s="13" t="n">
        <f aca="false">IF(AA$9=1,AA$47+SUMIFS(dr_Cant,dr_Mes,21,dr_Cod,"U_RCH_C",dr_Est,"&lt;&gt;Excluido"),IF(e_Rech&lt;1,AA$47/(1-e_Rech),0))</f>
        <v>7500</v>
      </c>
      <c r="AB49" s="13" t="n">
        <f aca="false">IF(AB$9=1,AB$47+SUMIFS(dr_Cant,dr_Mes,22,dr_Cod,"U_RCH_C",dr_Est,"&lt;&gt;Excluido"),IF(e_Rech&lt;1,AB$47/(1-e_Rech),0))</f>
        <v>7500</v>
      </c>
      <c r="AC49" s="13" t="n">
        <f aca="false">IF(AC$9=1,AC$47+SUMIFS(dr_Cant,dr_Mes,23,dr_Cod,"U_RCH_C",dr_Est,"&lt;&gt;Excluido"),IF(e_Rech&lt;1,AC$47/(1-e_Rech),0))</f>
        <v>7500</v>
      </c>
      <c r="AD49" s="13" t="n">
        <f aca="false">IF(AD$9=1,AD$47+SUMIFS(dr_Cant,dr_Mes,24,dr_Cod,"U_RCH_C",dr_Est,"&lt;&gt;Excluido"),IF(e_Rech&lt;1,AD$47/(1-e_Rech),0))</f>
        <v>8047.94520547945</v>
      </c>
      <c r="AE49" s="13" t="n">
        <f aca="false">IF(AE$9=1,AE$47+SUMIFS(dr_Cant,dr_Mes,25,dr_Cod,"U_RCH_C",dr_Est,"&lt;&gt;Excluido"),IF(e_Rech&lt;1,AE$47/(1-e_Rech),0))</f>
        <v>9166.66666666666</v>
      </c>
      <c r="AF49" s="13" t="n">
        <f aca="false">IF(AF$9=1,AF$47+SUMIFS(dr_Cant,dr_Mes,26,dr_Cod,"U_RCH_C",dr_Est,"&lt;&gt;Excluido"),IF(e_Rech&lt;1,AF$47/(1-e_Rech),0))</f>
        <v>9166.66666666667</v>
      </c>
      <c r="AG49" s="13" t="n">
        <f aca="false">IF(AG$9=1,AG$47+SUMIFS(dr_Cant,dr_Mes,27,dr_Cod,"U_RCH_C",dr_Est,"&lt;&gt;Excluido"),IF(e_Rech&lt;1,AG$47/(1-e_Rech),0))</f>
        <v>9166.66666666667</v>
      </c>
      <c r="AH49" s="13" t="n">
        <f aca="false">IF(AH$9=1,AH$47+SUMIFS(dr_Cant,dr_Mes,28,dr_Cod,"U_RCH_C",dr_Est,"&lt;&gt;Excluido"),IF(e_Rech&lt;1,AH$47/(1-e_Rech),0))</f>
        <v>9166.66666666667</v>
      </c>
      <c r="AI49" s="13" t="n">
        <f aca="false">IF(AI$9=1,AI$47+SUMIFS(dr_Cant,dr_Mes,29,dr_Cod,"U_RCH_C",dr_Est,"&lt;&gt;Excluido"),IF(e_Rech&lt;1,AI$47/(1-e_Rech),0))</f>
        <v>9166.66666666667</v>
      </c>
      <c r="AJ49" s="13" t="n">
        <f aca="false">IF(AJ$9=1,AJ$47+SUMIFS(dr_Cant,dr_Mes,30,dr_Cod,"U_RCH_C",dr_Est,"&lt;&gt;Excluido"),IF(e_Rech&lt;1,AJ$47/(1-e_Rech),0))</f>
        <v>9166.66666666667</v>
      </c>
      <c r="AK49" s="13" t="n">
        <f aca="false">IF(AK$9=1,AK$47+SUMIFS(dr_Cant,dr_Mes,31,dr_Cod,"U_RCH_C",dr_Est,"&lt;&gt;Excluido"),IF(e_Rech&lt;1,AK$47/(1-e_Rech),0))</f>
        <v>9166.66666666667</v>
      </c>
      <c r="AL49" s="13" t="n">
        <f aca="false">IF(AL$9=1,AL$47+SUMIFS(dr_Cant,dr_Mes,32,dr_Cod,"U_RCH_C",dr_Est,"&lt;&gt;Excluido"),IF(e_Rech&lt;1,AL$47/(1-e_Rech),0))</f>
        <v>9166.66666666667</v>
      </c>
      <c r="AM49" s="13" t="n">
        <f aca="false">IF(AM$9=1,AM$47+SUMIFS(dr_Cant,dr_Mes,33,dr_Cod,"U_RCH_C",dr_Est,"&lt;&gt;Excluido"),IF(e_Rech&lt;1,AM$47/(1-e_Rech),0))</f>
        <v>9166.66666666667</v>
      </c>
      <c r="AN49" s="13" t="n">
        <f aca="false">IF(AN$9=1,AN$47+SUMIFS(dr_Cant,dr_Mes,34,dr_Cod,"U_RCH_C",dr_Est,"&lt;&gt;Excluido"),IF(e_Rech&lt;1,AN$47/(1-e_Rech),0))</f>
        <v>9166.66666666667</v>
      </c>
      <c r="AO49" s="13" t="n">
        <f aca="false">IF(AO$9=1,AO$47+SUMIFS(dr_Cant,dr_Mes,35,dr_Cod,"U_RCH_C",dr_Est,"&lt;&gt;Excluido"),IF(e_Rech&lt;1,AO$47/(1-e_Rech),0))</f>
        <v>9166.66666666667</v>
      </c>
      <c r="AP49" s="13" t="n">
        <f aca="false">IF(AP$9=1,AP$47+SUMIFS(dr_Cant,dr_Mes,36,dr_Cod,"U_RCH_C",dr_Est,"&lt;&gt;Excluido"),IF(e_Rech&lt;1,AP$47/(1-e_Rech),0))</f>
        <v>9440.63926940639</v>
      </c>
      <c r="AQ49" s="13" t="n">
        <f aca="false">IF(AQ$9=1,AQ$47+SUMIFS(dr_Cant,dr_Mes,37,dr_Cod,"U_RCH_C",dr_Est,"&lt;&gt;Excluido"),IF(e_Rech&lt;1,AQ$47/(1-e_Rech),0))</f>
        <v>10000</v>
      </c>
      <c r="AR49" s="13" t="n">
        <f aca="false">IF(AR$9=1,AR$47+SUMIFS(dr_Cant,dr_Mes,38,dr_Cod,"U_RCH_C",dr_Est,"&lt;&gt;Excluido"),IF(e_Rech&lt;1,AR$47/(1-e_Rech),0))</f>
        <v>10000</v>
      </c>
      <c r="AS49" s="13" t="n">
        <f aca="false">IF(AS$9=1,AS$47+SUMIFS(dr_Cant,dr_Mes,39,dr_Cod,"U_RCH_C",dr_Est,"&lt;&gt;Excluido"),IF(e_Rech&lt;1,AS$47/(1-e_Rech),0))</f>
        <v>10000</v>
      </c>
      <c r="AT49" s="13" t="n">
        <f aca="false">IF(AT$9=1,AT$47+SUMIFS(dr_Cant,dr_Mes,40,dr_Cod,"U_RCH_C",dr_Est,"&lt;&gt;Excluido"),IF(e_Rech&lt;1,AT$47/(1-e_Rech),0))</f>
        <v>10000</v>
      </c>
      <c r="AU49" s="13" t="n">
        <f aca="false">IF(AU$9=1,AU$47+SUMIFS(dr_Cant,dr_Mes,41,dr_Cod,"U_RCH_C",dr_Est,"&lt;&gt;Excluido"),IF(e_Rech&lt;1,AU$47/(1-e_Rech),0))</f>
        <v>10000</v>
      </c>
      <c r="AV49" s="13" t="n">
        <f aca="false">IF(AV$9=1,AV$47+SUMIFS(dr_Cant,dr_Mes,42,dr_Cod,"U_RCH_C",dr_Est,"&lt;&gt;Excluido"),IF(e_Rech&lt;1,AV$47/(1-e_Rech),0))</f>
        <v>10000</v>
      </c>
      <c r="AW49" s="13" t="n">
        <f aca="false">IF(AW$9=1,AW$47+SUMIFS(dr_Cant,dr_Mes,43,dr_Cod,"U_RCH_C",dr_Est,"&lt;&gt;Excluido"),IF(e_Rech&lt;1,AW$47/(1-e_Rech),0))</f>
        <v>10000</v>
      </c>
      <c r="AX49" s="13" t="n">
        <f aca="false">IF(AX$9=1,AX$47+SUMIFS(dr_Cant,dr_Mes,44,dr_Cod,"U_RCH_C",dr_Est,"&lt;&gt;Excluido"),IF(e_Rech&lt;1,AX$47/(1-e_Rech),0))</f>
        <v>10000</v>
      </c>
      <c r="AY49" s="13" t="n">
        <f aca="false">IF(AY$9=1,AY$47+SUMIFS(dr_Cant,dr_Mes,45,dr_Cod,"U_RCH_C",dr_Est,"&lt;&gt;Excluido"),IF(e_Rech&lt;1,AY$47/(1-e_Rech),0))</f>
        <v>10000</v>
      </c>
      <c r="AZ49" s="13" t="n">
        <f aca="false">IF(AZ$9=1,AZ$47+SUMIFS(dr_Cant,dr_Mes,46,dr_Cod,"U_RCH_C",dr_Est,"&lt;&gt;Excluido"),IF(e_Rech&lt;1,AZ$47/(1-e_Rech),0))</f>
        <v>10000</v>
      </c>
      <c r="BA49" s="13" t="n">
        <f aca="false">IF(BA$9=1,BA$47+SUMIFS(dr_Cant,dr_Mes,47,dr_Cod,"U_RCH_C",dr_Est,"&lt;&gt;Excluido"),IF(e_Rech&lt;1,BA$47/(1-e_Rech),0))</f>
        <v>10000</v>
      </c>
      <c r="BB49" s="13" t="n">
        <f aca="false">IF(BB$9=1,BB$47+SUMIFS(dr_Cant,dr_Mes,48,dr_Cod,"U_RCH_C",dr_Est,"&lt;&gt;Excluido"),IF(e_Rech&lt;1,BB$47/(1-e_Rech),0))</f>
        <v>10000</v>
      </c>
      <c r="BC49" s="13" t="n">
        <f aca="false">IF(BC$9=1,BC$47+SUMIFS(dr_Cant,dr_Mes,49,dr_Cod,"U_RCH_C",dr_Est,"&lt;&gt;Excluido"),IF(e_Rech&lt;1,BC$47/(1-e_Rech),0))</f>
        <v>10000</v>
      </c>
      <c r="BD49" s="13" t="n">
        <f aca="false">IF(BD$9=1,BD$47+SUMIFS(dr_Cant,dr_Mes,50,dr_Cod,"U_RCH_C",dr_Est,"&lt;&gt;Excluido"),IF(e_Rech&lt;1,BD$47/(1-e_Rech),0))</f>
        <v>10000</v>
      </c>
      <c r="BE49" s="13" t="n">
        <f aca="false">IF(BE$9=1,BE$47+SUMIFS(dr_Cant,dr_Mes,51,dr_Cod,"U_RCH_C",dr_Est,"&lt;&gt;Excluido"),IF(e_Rech&lt;1,BE$47/(1-e_Rech),0))</f>
        <v>10000</v>
      </c>
      <c r="BF49" s="13" t="n">
        <f aca="false">IF(BF$9=1,BF$47+SUMIFS(dr_Cant,dr_Mes,52,dr_Cod,"U_RCH_C",dr_Est,"&lt;&gt;Excluido"),IF(e_Rech&lt;1,BF$47/(1-e_Rech),0))</f>
        <v>10000</v>
      </c>
      <c r="BG49" s="13" t="n">
        <f aca="false">IF(BG$9=1,BG$47+SUMIFS(dr_Cant,dr_Mes,53,dr_Cod,"U_RCH_C",dr_Est,"&lt;&gt;Excluido"),IF(e_Rech&lt;1,BG$47/(1-e_Rech),0))</f>
        <v>10000</v>
      </c>
      <c r="BH49" s="13" t="n">
        <f aca="false">IF(BH$9=1,BH$47+SUMIFS(dr_Cant,dr_Mes,54,dr_Cod,"U_RCH_C",dr_Est,"&lt;&gt;Excluido"),IF(e_Rech&lt;1,BH$47/(1-e_Rech),0))</f>
        <v>10000</v>
      </c>
      <c r="BI49" s="13" t="n">
        <f aca="false">IF(BI$9=1,BI$47+SUMIFS(dr_Cant,dr_Mes,55,dr_Cod,"U_RCH_C",dr_Est,"&lt;&gt;Excluido"),IF(e_Rech&lt;1,BI$47/(1-e_Rech),0))</f>
        <v>10000</v>
      </c>
      <c r="BJ49" s="13" t="n">
        <f aca="false">IF(BJ$9=1,BJ$47+SUMIFS(dr_Cant,dr_Mes,56,dr_Cod,"U_RCH_C",dr_Est,"&lt;&gt;Excluido"),IF(e_Rech&lt;1,BJ$47/(1-e_Rech),0))</f>
        <v>10000</v>
      </c>
      <c r="BK49" s="13" t="n">
        <f aca="false">IF(BK$9=1,BK$47+SUMIFS(dr_Cant,dr_Mes,57,dr_Cod,"U_RCH_C",dr_Est,"&lt;&gt;Excluido"),IF(e_Rech&lt;1,BK$47/(1-e_Rech),0))</f>
        <v>10000</v>
      </c>
      <c r="BL49" s="13" t="n">
        <f aca="false">IF(BL$9=1,BL$47+SUMIFS(dr_Cant,dr_Mes,58,dr_Cod,"U_RCH_C",dr_Est,"&lt;&gt;Excluido"),IF(e_Rech&lt;1,BL$47/(1-e_Rech),0))</f>
        <v>10000</v>
      </c>
      <c r="BM49" s="13" t="n">
        <f aca="false">IF(BM$9=1,BM$47+SUMIFS(dr_Cant,dr_Mes,59,dr_Cod,"U_RCH_C",dr_Est,"&lt;&gt;Excluido"),IF(e_Rech&lt;1,BM$47/(1-e_Rech),0))</f>
        <v>10000</v>
      </c>
      <c r="BN49" s="13" t="n">
        <f aca="false">IF(BN$9=1,BN$47+SUMIFS(dr_Cant,dr_Mes,60,dr_Cod,"U_RCH_C",dr_Est,"&lt;&gt;Excluido"),IF(e_Rech&lt;1,BN$47/(1-e_Rech),0))</f>
        <v>10000</v>
      </c>
      <c r="BO49" s="13" t="n">
        <f aca="false">IF(BO$9=1,BO$47+SUMIFS(dr_Cant,dr_Mes,61,dr_Cod,"U_RCH_C",dr_Est,"&lt;&gt;Excluido"),IF(e_Rech&lt;1,BO$47/(1-e_Rech),0))</f>
        <v>10000</v>
      </c>
      <c r="BP49" s="13" t="n">
        <f aca="false">IF(BP$9=1,BP$47+SUMIFS(dr_Cant,dr_Mes,62,dr_Cod,"U_RCH_C",dr_Est,"&lt;&gt;Excluido"),IF(e_Rech&lt;1,BP$47/(1-e_Rech),0))</f>
        <v>10000</v>
      </c>
      <c r="BQ49" s="13" t="n">
        <f aca="false">IF(BQ$9=1,BQ$47+SUMIFS(dr_Cant,dr_Mes,63,dr_Cod,"U_RCH_C",dr_Est,"&lt;&gt;Excluido"),IF(e_Rech&lt;1,BQ$47/(1-e_Rech),0))</f>
        <v>10000</v>
      </c>
      <c r="BR49" s="13" t="n">
        <f aca="false">IF(BR$9=1,BR$47+SUMIFS(dr_Cant,dr_Mes,64,dr_Cod,"U_RCH_C",dr_Est,"&lt;&gt;Excluido"),IF(e_Rech&lt;1,BR$47/(1-e_Rech),0))</f>
        <v>10000</v>
      </c>
      <c r="BS49" s="13" t="n">
        <f aca="false">IF(BS$9=1,BS$47+SUMIFS(dr_Cant,dr_Mes,65,dr_Cod,"U_RCH_C",dr_Est,"&lt;&gt;Excluido"),IF(e_Rech&lt;1,BS$47/(1-e_Rech),0))</f>
        <v>10000</v>
      </c>
      <c r="BT49" s="13" t="n">
        <f aca="false">IF(BT$9=1,BT$47+SUMIFS(dr_Cant,dr_Mes,66,dr_Cod,"U_RCH_C",dr_Est,"&lt;&gt;Excluido"),IF(e_Rech&lt;1,BT$47/(1-e_Rech),0))</f>
        <v>10000</v>
      </c>
      <c r="BU49" s="13" t="n">
        <f aca="false">IF(BU$9=1,BU$47+SUMIFS(dr_Cant,dr_Mes,67,dr_Cod,"U_RCH_C",dr_Est,"&lt;&gt;Excluido"),IF(e_Rech&lt;1,BU$47/(1-e_Rech),0))</f>
        <v>10000</v>
      </c>
      <c r="BV49" s="13" t="n">
        <f aca="false">IF(BV$9=1,BV$47+SUMIFS(dr_Cant,dr_Mes,68,dr_Cod,"U_RCH_C",dr_Est,"&lt;&gt;Excluido"),IF(e_Rech&lt;1,BV$47/(1-e_Rech),0))</f>
        <v>10000</v>
      </c>
      <c r="BW49" s="13" t="n">
        <f aca="false">IF(BW$9=1,BW$47+SUMIFS(dr_Cant,dr_Mes,69,dr_Cod,"U_RCH_C",dr_Est,"&lt;&gt;Excluido"),IF(e_Rech&lt;1,BW$47/(1-e_Rech),0))</f>
        <v>10000</v>
      </c>
      <c r="BX49" s="13" t="n">
        <f aca="false">IF(BX$9=1,BX$47+SUMIFS(dr_Cant,dr_Mes,70,dr_Cod,"U_RCH_C",dr_Est,"&lt;&gt;Excluido"),IF(e_Rech&lt;1,BX$47/(1-e_Rech),0))</f>
        <v>10000</v>
      </c>
      <c r="BY49" s="13" t="n">
        <f aca="false">IF(BY$9=1,BY$47+SUMIFS(dr_Cant,dr_Mes,71,dr_Cod,"U_RCH_C",dr_Est,"&lt;&gt;Excluido"),IF(e_Rech&lt;1,BY$47/(1-e_Rech),0))</f>
        <v>10000</v>
      </c>
      <c r="BZ49" s="13" t="n">
        <f aca="false">IF(BZ$9=1,BZ$47+SUMIFS(dr_Cant,dr_Mes,72,dr_Cod,"U_RCH_C",dr_Est,"&lt;&gt;Excluido"),IF(e_Rech&lt;1,BZ$47/(1-e_Rech),0))</f>
        <v>10000</v>
      </c>
      <c r="CA49" s="13" t="n">
        <f aca="false">IF(CA$9=1,CA$47+SUMIFS(dr_Cant,dr_Mes,73,dr_Cod,"U_RCH_C",dr_Est,"&lt;&gt;Excluido"),IF(e_Rech&lt;1,CA$47/(1-e_Rech),0))</f>
        <v>10000</v>
      </c>
      <c r="CB49" s="13" t="n">
        <f aca="false">IF(CB$9=1,CB$47+SUMIFS(dr_Cant,dr_Mes,74,dr_Cod,"U_RCH_C",dr_Est,"&lt;&gt;Excluido"),IF(e_Rech&lt;1,CB$47/(1-e_Rech),0))</f>
        <v>10000</v>
      </c>
      <c r="CC49" s="13" t="n">
        <f aca="false">IF(CC$9=1,CC$47+SUMIFS(dr_Cant,dr_Mes,75,dr_Cod,"U_RCH_C",dr_Est,"&lt;&gt;Excluido"),IF(e_Rech&lt;1,CC$47/(1-e_Rech),0))</f>
        <v>10000</v>
      </c>
      <c r="CD49" s="13" t="n">
        <f aca="false">IF(CD$9=1,CD$47+SUMIFS(dr_Cant,dr_Mes,76,dr_Cod,"U_RCH_C",dr_Est,"&lt;&gt;Excluido"),IF(e_Rech&lt;1,CD$47/(1-e_Rech),0))</f>
        <v>10000</v>
      </c>
      <c r="CE49" s="13" t="n">
        <f aca="false">IF(CE$9=1,CE$47+SUMIFS(dr_Cant,dr_Mes,77,dr_Cod,"U_RCH_C",dr_Est,"&lt;&gt;Excluido"),IF(e_Rech&lt;1,CE$47/(1-e_Rech),0))</f>
        <v>10000</v>
      </c>
      <c r="CF49" s="13" t="n">
        <f aca="false">IF(CF$9=1,CF$47+SUMIFS(dr_Cant,dr_Mes,78,dr_Cod,"U_RCH_C",dr_Est,"&lt;&gt;Excluido"),IF(e_Rech&lt;1,CF$47/(1-e_Rech),0))</f>
        <v>10000</v>
      </c>
      <c r="CG49" s="13" t="n">
        <f aca="false">IF(CG$9=1,CG$47+SUMIFS(dr_Cant,dr_Mes,79,dr_Cod,"U_RCH_C",dr_Est,"&lt;&gt;Excluido"),IF(e_Rech&lt;1,CG$47/(1-e_Rech),0))</f>
        <v>10000</v>
      </c>
      <c r="CH49" s="13" t="n">
        <f aca="false">IF(CH$9=1,CH$47+SUMIFS(dr_Cant,dr_Mes,80,dr_Cod,"U_RCH_C",dr_Est,"&lt;&gt;Excluido"),IF(e_Rech&lt;1,CH$47/(1-e_Rech),0))</f>
        <v>10000</v>
      </c>
      <c r="CI49" s="13" t="n">
        <f aca="false">IF(CI$9=1,CI$47+SUMIFS(dr_Cant,dr_Mes,81,dr_Cod,"U_RCH_C",dr_Est,"&lt;&gt;Excluido"),IF(e_Rech&lt;1,CI$47/(1-e_Rech),0))</f>
        <v>10000</v>
      </c>
      <c r="CJ49" s="13" t="n">
        <f aca="false">IF(CJ$9=1,CJ$47+SUMIFS(dr_Cant,dr_Mes,82,dr_Cod,"U_RCH_C",dr_Est,"&lt;&gt;Excluido"),IF(e_Rech&lt;1,CJ$47/(1-e_Rech),0))</f>
        <v>10000</v>
      </c>
      <c r="CK49" s="13" t="n">
        <f aca="false">IF(CK$9=1,CK$47+SUMIFS(dr_Cant,dr_Mes,83,dr_Cod,"U_RCH_C",dr_Est,"&lt;&gt;Excluido"),IF(e_Rech&lt;1,CK$47/(1-e_Rech),0))</f>
        <v>10000</v>
      </c>
      <c r="CL49" s="13" t="n">
        <f aca="false">IF(CL$9=1,CL$47+SUMIFS(dr_Cant,dr_Mes,84,dr_Cod,"U_RCH_C",dr_Est,"&lt;&gt;Excluido"),IF(e_Rech&lt;1,CL$47/(1-e_Rech),0))</f>
        <v>10000</v>
      </c>
      <c r="CM49" s="13" t="n">
        <f aca="false">IF(CM$9=1,CM$47+SUMIFS(dr_Cant,dr_Mes,85,dr_Cod,"U_RCH_C",dr_Est,"&lt;&gt;Excluido"),IF(e_Rech&lt;1,CM$47/(1-e_Rech),0))</f>
        <v>10000</v>
      </c>
      <c r="CN49" s="13" t="n">
        <f aca="false">IF(CN$9=1,CN$47+SUMIFS(dr_Cant,dr_Mes,86,dr_Cod,"U_RCH_C",dr_Est,"&lt;&gt;Excluido"),IF(e_Rech&lt;1,CN$47/(1-e_Rech),0))</f>
        <v>10000</v>
      </c>
      <c r="CO49" s="13" t="n">
        <f aca="false">IF(CO$9=1,CO$47+SUMIFS(dr_Cant,dr_Mes,87,dr_Cod,"U_RCH_C",dr_Est,"&lt;&gt;Excluido"),IF(e_Rech&lt;1,CO$47/(1-e_Rech),0))</f>
        <v>10000</v>
      </c>
      <c r="CP49" s="13" t="n">
        <f aca="false">IF(CP$9=1,CP$47+SUMIFS(dr_Cant,dr_Mes,88,dr_Cod,"U_RCH_C",dr_Est,"&lt;&gt;Excluido"),IF(e_Rech&lt;1,CP$47/(1-e_Rech),0))</f>
        <v>10000</v>
      </c>
      <c r="CQ49" s="13" t="n">
        <f aca="false">IF(CQ$9=1,CQ$47+SUMIFS(dr_Cant,dr_Mes,89,dr_Cod,"U_RCH_C",dr_Est,"&lt;&gt;Excluido"),IF(e_Rech&lt;1,CQ$47/(1-e_Rech),0))</f>
        <v>10000</v>
      </c>
      <c r="CR49" s="13" t="n">
        <f aca="false">IF(CR$9=1,CR$47+SUMIFS(dr_Cant,dr_Mes,90,dr_Cod,"U_RCH_C",dr_Est,"&lt;&gt;Excluido"),IF(e_Rech&lt;1,CR$47/(1-e_Rech),0))</f>
        <v>10000</v>
      </c>
      <c r="CS49" s="13" t="n">
        <f aca="false">IF(CS$9=1,CS$47+SUMIFS(dr_Cant,dr_Mes,91,dr_Cod,"U_RCH_C",dr_Est,"&lt;&gt;Excluido"),IF(e_Rech&lt;1,CS$47/(1-e_Rech),0))</f>
        <v>10000</v>
      </c>
      <c r="CT49" s="13" t="n">
        <f aca="false">IF(CT$9=1,CT$47+SUMIFS(dr_Cant,dr_Mes,92,dr_Cod,"U_RCH_C",dr_Est,"&lt;&gt;Excluido"),IF(e_Rech&lt;1,CT$47/(1-e_Rech),0))</f>
        <v>10000</v>
      </c>
      <c r="CU49" s="13" t="n">
        <f aca="false">IF(CU$9=1,CU$47+SUMIFS(dr_Cant,dr_Mes,93,dr_Cod,"U_RCH_C",dr_Est,"&lt;&gt;Excluido"),IF(e_Rech&lt;1,CU$47/(1-e_Rech),0))</f>
        <v>10000</v>
      </c>
      <c r="CV49" s="13" t="n">
        <f aca="false">IF(CV$9=1,CV$47+SUMIFS(dr_Cant,dr_Mes,94,dr_Cod,"U_RCH_C",dr_Est,"&lt;&gt;Excluido"),IF(e_Rech&lt;1,CV$47/(1-e_Rech),0))</f>
        <v>10000</v>
      </c>
      <c r="CW49" s="13" t="n">
        <f aca="false">IF(CW$9=1,CW$47+SUMIFS(dr_Cant,dr_Mes,95,dr_Cod,"U_RCH_C",dr_Est,"&lt;&gt;Excluido"),IF(e_Rech&lt;1,CW$47/(1-e_Rech),0))</f>
        <v>10000</v>
      </c>
      <c r="CX49" s="13" t="n">
        <f aca="false">IF(CX$9=1,CX$47+SUMIFS(dr_Cant,dr_Mes,96,dr_Cod,"U_RCH_C",dr_Est,"&lt;&gt;Excluido"),IF(e_Rech&lt;1,CX$47/(1-e_Rech),0))</f>
        <v>10000</v>
      </c>
      <c r="CY49" s="13" t="n">
        <f aca="false">IF(CY$9=1,CY$47+SUMIFS(dr_Cant,dr_Mes,97,dr_Cod,"U_RCH_C",dr_Est,"&lt;&gt;Excluido"),IF(e_Rech&lt;1,CY$47/(1-e_Rech),0))</f>
        <v>10000</v>
      </c>
      <c r="CZ49" s="13" t="n">
        <f aca="false">IF(CZ$9=1,CZ$47+SUMIFS(dr_Cant,dr_Mes,98,dr_Cod,"U_RCH_C",dr_Est,"&lt;&gt;Excluido"),IF(e_Rech&lt;1,CZ$47/(1-e_Rech),0))</f>
        <v>10000</v>
      </c>
      <c r="DA49" s="13" t="n">
        <f aca="false">IF(DA$9=1,DA$47+SUMIFS(dr_Cant,dr_Mes,99,dr_Cod,"U_RCH_C",dr_Est,"&lt;&gt;Excluido"),IF(e_Rech&lt;1,DA$47/(1-e_Rech),0))</f>
        <v>10000</v>
      </c>
      <c r="DB49" s="13" t="n">
        <f aca="false">IF(DB$9=1,DB$47+SUMIFS(dr_Cant,dr_Mes,100,dr_Cod,"U_RCH_C",dr_Est,"&lt;&gt;Excluido"),IF(e_Rech&lt;1,DB$47/(1-e_Rech),0))</f>
        <v>10000</v>
      </c>
      <c r="DC49" s="13" t="n">
        <f aca="false">IF(DC$9=1,DC$47+SUMIFS(dr_Cant,dr_Mes,101,dr_Cod,"U_RCH_C",dr_Est,"&lt;&gt;Excluido"),IF(e_Rech&lt;1,DC$47/(1-e_Rech),0))</f>
        <v>10000</v>
      </c>
      <c r="DD49" s="13" t="n">
        <f aca="false">IF(DD$9=1,DD$47+SUMIFS(dr_Cant,dr_Mes,102,dr_Cod,"U_RCH_C",dr_Est,"&lt;&gt;Excluido"),IF(e_Rech&lt;1,DD$47/(1-e_Rech),0))</f>
        <v>10000</v>
      </c>
      <c r="DE49" s="13" t="n">
        <f aca="false">IF(DE$9=1,DE$47+SUMIFS(dr_Cant,dr_Mes,103,dr_Cod,"U_RCH_C",dr_Est,"&lt;&gt;Excluido"),IF(e_Rech&lt;1,DE$47/(1-e_Rech),0))</f>
        <v>10000</v>
      </c>
      <c r="DF49" s="13" t="n">
        <f aca="false">IF(DF$9=1,DF$47+SUMIFS(dr_Cant,dr_Mes,104,dr_Cod,"U_RCH_C",dr_Est,"&lt;&gt;Excluido"),IF(e_Rech&lt;1,DF$47/(1-e_Rech),0))</f>
        <v>10000</v>
      </c>
      <c r="DG49" s="13" t="n">
        <f aca="false">IF(DG$9=1,DG$47+SUMIFS(dr_Cant,dr_Mes,105,dr_Cod,"U_RCH_C",dr_Est,"&lt;&gt;Excluido"),IF(e_Rech&lt;1,DG$47/(1-e_Rech),0))</f>
        <v>10000</v>
      </c>
      <c r="DH49" s="13" t="n">
        <f aca="false">IF(DH$9=1,DH$47+SUMIFS(dr_Cant,dr_Mes,106,dr_Cod,"U_RCH_C",dr_Est,"&lt;&gt;Excluido"),IF(e_Rech&lt;1,DH$47/(1-e_Rech),0))</f>
        <v>10000</v>
      </c>
      <c r="DI49" s="13" t="n">
        <f aca="false">IF(DI$9=1,DI$47+SUMIFS(dr_Cant,dr_Mes,107,dr_Cod,"U_RCH_C",dr_Est,"&lt;&gt;Excluido"),IF(e_Rech&lt;1,DI$47/(1-e_Rech),0))</f>
        <v>10000</v>
      </c>
      <c r="DJ49" s="13" t="n">
        <f aca="false">IF(DJ$9=1,DJ$47+SUMIFS(dr_Cant,dr_Mes,108,dr_Cod,"U_RCH_C",dr_Est,"&lt;&gt;Excluido"),IF(e_Rech&lt;1,DJ$47/(1-e_Rech),0))</f>
        <v>10000</v>
      </c>
      <c r="DK49" s="13" t="n">
        <f aca="false">IF(DK$9=1,DK$47+SUMIFS(dr_Cant,dr_Mes,109,dr_Cod,"U_RCH_C",dr_Est,"&lt;&gt;Excluido"),IF(e_Rech&lt;1,DK$47/(1-e_Rech),0))</f>
        <v>10000</v>
      </c>
      <c r="DL49" s="13" t="n">
        <f aca="false">IF(DL$9=1,DL$47+SUMIFS(dr_Cant,dr_Mes,110,dr_Cod,"U_RCH_C",dr_Est,"&lt;&gt;Excluido"),IF(e_Rech&lt;1,DL$47/(1-e_Rech),0))</f>
        <v>10000</v>
      </c>
      <c r="DM49" s="13" t="n">
        <f aca="false">IF(DM$9=1,DM$47+SUMIFS(dr_Cant,dr_Mes,111,dr_Cod,"U_RCH_C",dr_Est,"&lt;&gt;Excluido"),IF(e_Rech&lt;1,DM$47/(1-e_Rech),0))</f>
        <v>10000</v>
      </c>
      <c r="DN49" s="13" t="n">
        <f aca="false">IF(DN$9=1,DN$47+SUMIFS(dr_Cant,dr_Mes,112,dr_Cod,"U_RCH_C",dr_Est,"&lt;&gt;Excluido"),IF(e_Rech&lt;1,DN$47/(1-e_Rech),0))</f>
        <v>10000</v>
      </c>
      <c r="DO49" s="13" t="n">
        <f aca="false">IF(DO$9=1,DO$47+SUMIFS(dr_Cant,dr_Mes,113,dr_Cod,"U_RCH_C",dr_Est,"&lt;&gt;Excluido"),IF(e_Rech&lt;1,DO$47/(1-e_Rech),0))</f>
        <v>10000</v>
      </c>
      <c r="DP49" s="13" t="n">
        <f aca="false">IF(DP$9=1,DP$47+SUMIFS(dr_Cant,dr_Mes,114,dr_Cod,"U_RCH_C",dr_Est,"&lt;&gt;Excluido"),IF(e_Rech&lt;1,DP$47/(1-e_Rech),0))</f>
        <v>10000</v>
      </c>
      <c r="DQ49" s="13" t="n">
        <f aca="false">IF(DQ$9=1,DQ$47+SUMIFS(dr_Cant,dr_Mes,115,dr_Cod,"U_RCH_C",dr_Est,"&lt;&gt;Excluido"),IF(e_Rech&lt;1,DQ$47/(1-e_Rech),0))</f>
        <v>10000</v>
      </c>
      <c r="DR49" s="13" t="n">
        <f aca="false">IF(DR$9=1,DR$47+SUMIFS(dr_Cant,dr_Mes,116,dr_Cod,"U_RCH_C",dr_Est,"&lt;&gt;Excluido"),IF(e_Rech&lt;1,DR$47/(1-e_Rech),0))</f>
        <v>10000</v>
      </c>
      <c r="DS49" s="13" t="n">
        <f aca="false">IF(DS$9=1,DS$47+SUMIFS(dr_Cant,dr_Mes,117,dr_Cod,"U_RCH_C",dr_Est,"&lt;&gt;Excluido"),IF(e_Rech&lt;1,DS$47/(1-e_Rech),0))</f>
        <v>10000</v>
      </c>
      <c r="DT49" s="13" t="n">
        <f aca="false">IF(DT$9=1,DT$47+SUMIFS(dr_Cant,dr_Mes,118,dr_Cod,"U_RCH_C",dr_Est,"&lt;&gt;Excluido"),IF(e_Rech&lt;1,DT$47/(1-e_Rech),0))</f>
        <v>10000</v>
      </c>
      <c r="DU49" s="13" t="n">
        <f aca="false">IF(DU$9=1,DU$47+SUMIFS(dr_Cant,dr_Mes,119,dr_Cod,"U_RCH_C",dr_Est,"&lt;&gt;Excluido"),IF(e_Rech&lt;1,DU$47/(1-e_Rech),0))</f>
        <v>10000</v>
      </c>
      <c r="DV49" s="13" t="n">
        <f aca="false">IF(DV$9=1,DV$47+SUMIFS(dr_Cant,dr_Mes,120,dr_Cod,"U_RCH_C",dr_Est,"&lt;&gt;Excluido"),IF(e_Rech&lt;1,DV$47/(1-e_Rech),0))</f>
        <v>6712.32876712329</v>
      </c>
      <c r="DW49" s="13" t="n">
        <f aca="false">IF(DW$9=1,DW$47+SUMIFS(dr_Cant,dr_Mes,121,dr_Cod,"U_RCH_C",dr_Est,"&lt;&gt;Excluido"),IF(e_Rech&lt;1,DW$47/(1-e_Rech),0))</f>
        <v>0</v>
      </c>
      <c r="DX49" s="13" t="n">
        <f aca="false">IF(DX$9=1,DX$47+SUMIFS(dr_Cant,dr_Mes,122,dr_Cod,"U_RCH_C",dr_Est,"&lt;&gt;Excluido"),IF(e_Rech&lt;1,DX$47/(1-e_Rech),0))</f>
        <v>0</v>
      </c>
      <c r="DY49" s="13" t="n">
        <f aca="false">IF(DY$9=1,DY$47+SUMIFS(dr_Cant,dr_Mes,123,dr_Cod,"U_RCH_C",dr_Est,"&lt;&gt;Excluido"),IF(e_Rech&lt;1,DY$47/(1-e_Rech),0))</f>
        <v>0</v>
      </c>
      <c r="DZ49" s="13" t="n">
        <f aca="false">IF(DZ$9=1,DZ$47+SUMIFS(dr_Cant,dr_Mes,124,dr_Cod,"U_RCH_C",dr_Est,"&lt;&gt;Excluido"),IF(e_Rech&lt;1,DZ$47/(1-e_Rech),0))</f>
        <v>0</v>
      </c>
      <c r="EA49" s="13" t="n">
        <f aca="false">IF(EA$9=1,EA$47+SUMIFS(dr_Cant,dr_Mes,125,dr_Cod,"U_RCH_C",dr_Est,"&lt;&gt;Excluido"),IF(e_Rech&lt;1,EA$47/(1-e_Rech),0))</f>
        <v>0</v>
      </c>
      <c r="EB49" s="13" t="n">
        <f aca="false">IF(EB$9=1,EB$47+SUMIFS(dr_Cant,dr_Mes,126,dr_Cod,"U_RCH_C",dr_Est,"&lt;&gt;Excluido"),IF(e_Rech&lt;1,EB$47/(1-e_Rech),0))</f>
        <v>0</v>
      </c>
      <c r="EC49" s="13" t="n">
        <f aca="false">IF(EC$9=1,EC$47+SUMIFS(dr_Cant,dr_Mes,127,dr_Cod,"U_RCH_C",dr_Est,"&lt;&gt;Excluido"),IF(e_Rech&lt;1,EC$47/(1-e_Rech),0))</f>
        <v>0</v>
      </c>
      <c r="ED49" s="13" t="n">
        <f aca="false">IF(ED$9=1,ED$47+SUMIFS(dr_Cant,dr_Mes,128,dr_Cod,"U_RCH_C",dr_Est,"&lt;&gt;Excluido"),IF(e_Rech&lt;1,ED$47/(1-e_Rech),0))</f>
        <v>0</v>
      </c>
      <c r="EE49" s="13" t="n">
        <f aca="false">IF(EE$9=1,EE$47+SUMIFS(dr_Cant,dr_Mes,129,dr_Cod,"U_RCH_C",dr_Est,"&lt;&gt;Excluido"),IF(e_Rech&lt;1,EE$47/(1-e_Rech),0))</f>
        <v>0</v>
      </c>
      <c r="EF49" s="13" t="n">
        <f aca="false">IF(EF$9=1,EF$47+SUMIFS(dr_Cant,dr_Mes,130,dr_Cod,"U_RCH_C",dr_Est,"&lt;&gt;Excluido"),IF(e_Rech&lt;1,EF$47/(1-e_Rech),0))</f>
        <v>0</v>
      </c>
      <c r="EG49" s="13" t="n">
        <f aca="false">IF(EG$9=1,EG$47+SUMIFS(dr_Cant,dr_Mes,131,dr_Cod,"U_RCH_C",dr_Est,"&lt;&gt;Excluido"),IF(e_Rech&lt;1,EG$47/(1-e_Rech),0))</f>
        <v>0</v>
      </c>
      <c r="EH49" s="13" t="n">
        <f aca="false">IF(EH$9=1,EH$47+SUMIFS(dr_Cant,dr_Mes,132,dr_Cod,"U_RCH_C",dr_Est,"&lt;&gt;Excluido"),IF(e_Rech&lt;1,EH$47/(1-e_Rech),0))</f>
        <v>0</v>
      </c>
      <c r="EI49" s="13" t="n">
        <f aca="false">IF(EI$9=1,EI$47+SUMIFS(dr_Cant,dr_Mes,133,dr_Cod,"U_RCH_C",dr_Est,"&lt;&gt;Excluido"),IF(e_Rech&lt;1,EI$47/(1-e_Rech),0))</f>
        <v>0</v>
      </c>
      <c r="EJ49" s="13" t="n">
        <f aca="false">IF(EJ$9=1,EJ$47+SUMIFS(dr_Cant,dr_Mes,134,dr_Cod,"U_RCH_C",dr_Est,"&lt;&gt;Excluido"),IF(e_Rech&lt;1,EJ$47/(1-e_Rech),0))</f>
        <v>0</v>
      </c>
      <c r="EK49" s="13" t="n">
        <f aca="false">IF(EK$9=1,EK$47+SUMIFS(dr_Cant,dr_Mes,135,dr_Cod,"U_RCH_C",dr_Est,"&lt;&gt;Excluido"),IF(e_Rech&lt;1,EK$47/(1-e_Rech),0))</f>
        <v>0</v>
      </c>
      <c r="EL49" s="13" t="n">
        <f aca="false">IF(EL$9=1,EL$47+SUMIFS(dr_Cant,dr_Mes,136,dr_Cod,"U_RCH_C",dr_Est,"&lt;&gt;Excluido"),IF(e_Rech&lt;1,EL$47/(1-e_Rech),0))</f>
        <v>0</v>
      </c>
      <c r="EM49" s="13" t="n">
        <f aca="false">IF(EM$9=1,EM$47+SUMIFS(dr_Cant,dr_Mes,137,dr_Cod,"U_RCH_C",dr_Est,"&lt;&gt;Excluido"),IF(e_Rech&lt;1,EM$47/(1-e_Rech),0))</f>
        <v>0</v>
      </c>
      <c r="EN49" s="13" t="n">
        <f aca="false">IF(EN$9=1,EN$47+SUMIFS(dr_Cant,dr_Mes,138,dr_Cod,"U_RCH_C",dr_Est,"&lt;&gt;Excluido"),IF(e_Rech&lt;1,EN$47/(1-e_Rech),0))</f>
        <v>0</v>
      </c>
      <c r="EO49" s="13" t="n">
        <f aca="false">IF(EO$9=1,EO$47+SUMIFS(dr_Cant,dr_Mes,139,dr_Cod,"U_RCH_C",dr_Est,"&lt;&gt;Excluido"),IF(e_Rech&lt;1,EO$47/(1-e_Rech),0))</f>
        <v>0</v>
      </c>
      <c r="EP49" s="13" t="n">
        <f aca="false">IF(EP$9=1,EP$47+SUMIFS(dr_Cant,dr_Mes,140,dr_Cod,"U_RCH_C",dr_Est,"&lt;&gt;Excluido"),IF(e_Rech&lt;1,EP$47/(1-e_Rech),0))</f>
        <v>0</v>
      </c>
      <c r="EQ49" s="13" t="n">
        <f aca="false">IF(EQ$9=1,EQ$47+SUMIFS(dr_Cant,dr_Mes,141,dr_Cod,"U_RCH_C",dr_Est,"&lt;&gt;Excluido"),IF(e_Rech&lt;1,EQ$47/(1-e_Rech),0))</f>
        <v>0</v>
      </c>
      <c r="ER49" s="13" t="n">
        <f aca="false">IF(ER$9=1,ER$47+SUMIFS(dr_Cant,dr_Mes,142,dr_Cod,"U_RCH_C",dr_Est,"&lt;&gt;Excluido"),IF(e_Rech&lt;1,ER$47/(1-e_Rech),0))</f>
        <v>0</v>
      </c>
      <c r="ES49" s="13" t="n">
        <f aca="false">IF(ES$9=1,ES$47+SUMIFS(dr_Cant,dr_Mes,143,dr_Cod,"U_RCH_C",dr_Est,"&lt;&gt;Excluido"),IF(e_Rech&lt;1,ES$47/(1-e_Rech),0))</f>
        <v>0</v>
      </c>
      <c r="ET49" s="13" t="n">
        <f aca="false">IF(ET$9=1,ET$47+SUMIFS(dr_Cant,dr_Mes,144,dr_Cod,"U_RCH_C",dr_Est,"&lt;&gt;Excluido"),IF(e_Rech&lt;1,ET$47/(1-e_Rech),0))</f>
        <v>0</v>
      </c>
      <c r="EU49" s="13" t="n">
        <f aca="false">IF(EU$9=1,EU$47+SUMIFS(dr_Cant,dr_Mes,145,dr_Cod,"U_RCH_C",dr_Est,"&lt;&gt;Excluido"),IF(e_Rech&lt;1,EU$47/(1-e_Rech),0))</f>
        <v>0</v>
      </c>
      <c r="EV49" s="13" t="n">
        <f aca="false">IF(EV$9=1,EV$47+SUMIFS(dr_Cant,dr_Mes,146,dr_Cod,"U_RCH_C",dr_Est,"&lt;&gt;Excluido"),IF(e_Rech&lt;1,EV$47/(1-e_Rech),0))</f>
        <v>0</v>
      </c>
      <c r="EW49" s="13" t="n">
        <f aca="false">IF(EW$9=1,EW$47+SUMIFS(dr_Cant,dr_Mes,147,dr_Cod,"U_RCH_C",dr_Est,"&lt;&gt;Excluido"),IF(e_Rech&lt;1,EW$47/(1-e_Rech),0))</f>
        <v>0</v>
      </c>
      <c r="EX49" s="13" t="n">
        <f aca="false">IF(EX$9=1,EX$47+SUMIFS(dr_Cant,dr_Mes,148,dr_Cod,"U_RCH_C",dr_Est,"&lt;&gt;Excluido"),IF(e_Rech&lt;1,EX$47/(1-e_Rech),0))</f>
        <v>0</v>
      </c>
      <c r="EY49" s="13" t="n">
        <f aca="false">IF(EY$9=1,EY$47+SUMIFS(dr_Cant,dr_Mes,149,dr_Cod,"U_RCH_C",dr_Est,"&lt;&gt;Excluido"),IF(e_Rech&lt;1,EY$47/(1-e_Rech),0))</f>
        <v>0</v>
      </c>
      <c r="EZ49" s="13" t="n">
        <f aca="false">IF(EZ$9=1,EZ$47+SUMIFS(dr_Cant,dr_Mes,150,dr_Cod,"U_RCH_C",dr_Est,"&lt;&gt;Excluido"),IF(e_Rech&lt;1,EZ$47/(1-e_Rech),0))</f>
        <v>0</v>
      </c>
      <c r="FA49" s="13" t="n">
        <f aca="false">IF(FA$9=1,FA$47+SUMIFS(dr_Cant,dr_Mes,151,dr_Cod,"U_RCH_C",dr_Est,"&lt;&gt;Excluido"),IF(e_Rech&lt;1,FA$47/(1-e_Rech),0))</f>
        <v>0</v>
      </c>
      <c r="FB49" s="13" t="n">
        <f aca="false">IF(FB$9=1,FB$47+SUMIFS(dr_Cant,dr_Mes,152,dr_Cod,"U_RCH_C",dr_Est,"&lt;&gt;Excluido"),IF(e_Rech&lt;1,FB$47/(1-e_Rech),0))</f>
        <v>0</v>
      </c>
      <c r="FC49" s="13" t="n">
        <f aca="false">IF(FC$9=1,FC$47+SUMIFS(dr_Cant,dr_Mes,153,dr_Cod,"U_RCH_C",dr_Est,"&lt;&gt;Excluido"),IF(e_Rech&lt;1,FC$47/(1-e_Rech),0))</f>
        <v>0</v>
      </c>
      <c r="FD49" s="13" t="n">
        <f aca="false">IF(FD$9=1,FD$47+SUMIFS(dr_Cant,dr_Mes,154,dr_Cod,"U_RCH_C",dr_Est,"&lt;&gt;Excluido"),IF(e_Rech&lt;1,FD$47/(1-e_Rech),0))</f>
        <v>0</v>
      </c>
      <c r="FE49" s="13" t="n">
        <f aca="false">IF(FE$9=1,FE$47+SUMIFS(dr_Cant,dr_Mes,155,dr_Cod,"U_RCH_C",dr_Est,"&lt;&gt;Excluido"),IF(e_Rech&lt;1,FE$47/(1-e_Rech),0))</f>
        <v>0</v>
      </c>
      <c r="FF49" s="13" t="n">
        <f aca="false">IF(FF$9=1,FF$47+SUMIFS(dr_Cant,dr_Mes,156,dr_Cod,"U_RCH_C",dr_Est,"&lt;&gt;Excluido"),IF(e_Rech&lt;1,FF$47/(1-e_Rech),0))</f>
        <v>0</v>
      </c>
    </row>
    <row r="50" customFormat="false" ht="15" hidden="false" customHeight="false" outlineLevel="0" collapsed="false">
      <c r="A50" s="2" t="s">
        <v>881</v>
      </c>
      <c r="B50" s="8" t="s">
        <v>857</v>
      </c>
      <c r="C50" s="8" t="s">
        <v>825</v>
      </c>
      <c r="E50" s="65" t="n">
        <f aca="false">SUM($F50:$FF50)</f>
        <v>0</v>
      </c>
      <c r="F50" s="13" t="n">
        <f aca="false">F$49-F$47</f>
        <v>0</v>
      </c>
      <c r="G50" s="13" t="n">
        <f aca="false">G$49-G$47</f>
        <v>0</v>
      </c>
      <c r="H50" s="13" t="n">
        <f aca="false">H$49-H$47</f>
        <v>0</v>
      </c>
      <c r="I50" s="13" t="n">
        <f aca="false">I$49-I$47</f>
        <v>0</v>
      </c>
      <c r="J50" s="13" t="n">
        <f aca="false">J$49-J$47</f>
        <v>0</v>
      </c>
      <c r="K50" s="13" t="n">
        <f aca="false">K$49-K$47</f>
        <v>0</v>
      </c>
      <c r="L50" s="13" t="n">
        <f aca="false">L$49-L$47</f>
        <v>0</v>
      </c>
      <c r="M50" s="13" t="n">
        <f aca="false">M$49-M$47</f>
        <v>0</v>
      </c>
      <c r="N50" s="13" t="n">
        <f aca="false">N$49-N$47</f>
        <v>0</v>
      </c>
      <c r="O50" s="13" t="n">
        <f aca="false">O$49-O$47</f>
        <v>0</v>
      </c>
      <c r="P50" s="13" t="n">
        <f aca="false">P$49-P$47</f>
        <v>0</v>
      </c>
      <c r="Q50" s="13" t="n">
        <f aca="false">Q$49-Q$47</f>
        <v>0</v>
      </c>
      <c r="R50" s="13" t="n">
        <f aca="false">R$49-R$47</f>
        <v>0</v>
      </c>
      <c r="S50" s="13" t="n">
        <f aca="false">S$49-S$47</f>
        <v>0</v>
      </c>
      <c r="T50" s="13" t="n">
        <f aca="false">T$49-T$47</f>
        <v>0</v>
      </c>
      <c r="U50" s="13" t="n">
        <f aca="false">U$49-U$47</f>
        <v>0</v>
      </c>
      <c r="V50" s="13" t="n">
        <f aca="false">V$49-V$47</f>
        <v>0</v>
      </c>
      <c r="W50" s="13" t="n">
        <f aca="false">W$49-W$47</f>
        <v>0</v>
      </c>
      <c r="X50" s="13" t="n">
        <f aca="false">X$49-X$47</f>
        <v>0</v>
      </c>
      <c r="Y50" s="13" t="n">
        <f aca="false">Y$49-Y$47</f>
        <v>0</v>
      </c>
      <c r="Z50" s="13" t="n">
        <f aca="false">Z$49-Z$47</f>
        <v>0</v>
      </c>
      <c r="AA50" s="13" t="n">
        <f aca="false">AA$49-AA$47</f>
        <v>0</v>
      </c>
      <c r="AB50" s="13" t="n">
        <f aca="false">AB$49-AB$47</f>
        <v>0</v>
      </c>
      <c r="AC50" s="13" t="n">
        <f aca="false">AC$49-AC$47</f>
        <v>0</v>
      </c>
      <c r="AD50" s="13" t="n">
        <f aca="false">AD$49-AD$47</f>
        <v>0</v>
      </c>
      <c r="AE50" s="13" t="n">
        <f aca="false">AE$49-AE$47</f>
        <v>0</v>
      </c>
      <c r="AF50" s="13" t="n">
        <f aca="false">AF$49-AF$47</f>
        <v>0</v>
      </c>
      <c r="AG50" s="13" t="n">
        <f aca="false">AG$49-AG$47</f>
        <v>0</v>
      </c>
      <c r="AH50" s="13" t="n">
        <f aca="false">AH$49-AH$47</f>
        <v>0</v>
      </c>
      <c r="AI50" s="13" t="n">
        <f aca="false">AI$49-AI$47</f>
        <v>0</v>
      </c>
      <c r="AJ50" s="13" t="n">
        <f aca="false">AJ$49-AJ$47</f>
        <v>0</v>
      </c>
      <c r="AK50" s="13" t="n">
        <f aca="false">AK$49-AK$47</f>
        <v>0</v>
      </c>
      <c r="AL50" s="13" t="n">
        <f aca="false">AL$49-AL$47</f>
        <v>0</v>
      </c>
      <c r="AM50" s="13" t="n">
        <f aca="false">AM$49-AM$47</f>
        <v>0</v>
      </c>
      <c r="AN50" s="13" t="n">
        <f aca="false">AN$49-AN$47</f>
        <v>0</v>
      </c>
      <c r="AO50" s="13" t="n">
        <f aca="false">AO$49-AO$47</f>
        <v>0</v>
      </c>
      <c r="AP50" s="13" t="n">
        <f aca="false">AP$49-AP$47</f>
        <v>0</v>
      </c>
      <c r="AQ50" s="13" t="n">
        <f aca="false">AQ$49-AQ$47</f>
        <v>0</v>
      </c>
      <c r="AR50" s="13" t="n">
        <f aca="false">AR$49-AR$47</f>
        <v>0</v>
      </c>
      <c r="AS50" s="13" t="n">
        <f aca="false">AS$49-AS$47</f>
        <v>0</v>
      </c>
      <c r="AT50" s="13" t="n">
        <f aca="false">AT$49-AT$47</f>
        <v>0</v>
      </c>
      <c r="AU50" s="13" t="n">
        <f aca="false">AU$49-AU$47</f>
        <v>0</v>
      </c>
      <c r="AV50" s="13" t="n">
        <f aca="false">AV$49-AV$47</f>
        <v>0</v>
      </c>
      <c r="AW50" s="13" t="n">
        <f aca="false">AW$49-AW$47</f>
        <v>0</v>
      </c>
      <c r="AX50" s="13" t="n">
        <f aca="false">AX$49-AX$47</f>
        <v>0</v>
      </c>
      <c r="AY50" s="13" t="n">
        <f aca="false">AY$49-AY$47</f>
        <v>0</v>
      </c>
      <c r="AZ50" s="13" t="n">
        <f aca="false">AZ$49-AZ$47</f>
        <v>0</v>
      </c>
      <c r="BA50" s="13" t="n">
        <f aca="false">BA$49-BA$47</f>
        <v>0</v>
      </c>
      <c r="BB50" s="13" t="n">
        <f aca="false">BB$49-BB$47</f>
        <v>0</v>
      </c>
      <c r="BC50" s="13" t="n">
        <f aca="false">BC$49-BC$47</f>
        <v>0</v>
      </c>
      <c r="BD50" s="13" t="n">
        <f aca="false">BD$49-BD$47</f>
        <v>0</v>
      </c>
      <c r="BE50" s="13" t="n">
        <f aca="false">BE$49-BE$47</f>
        <v>0</v>
      </c>
      <c r="BF50" s="13" t="n">
        <f aca="false">BF$49-BF$47</f>
        <v>0</v>
      </c>
      <c r="BG50" s="13" t="n">
        <f aca="false">BG$49-BG$47</f>
        <v>0</v>
      </c>
      <c r="BH50" s="13" t="n">
        <f aca="false">BH$49-BH$47</f>
        <v>0</v>
      </c>
      <c r="BI50" s="13" t="n">
        <f aca="false">BI$49-BI$47</f>
        <v>0</v>
      </c>
      <c r="BJ50" s="13" t="n">
        <f aca="false">BJ$49-BJ$47</f>
        <v>0</v>
      </c>
      <c r="BK50" s="13" t="n">
        <f aca="false">BK$49-BK$47</f>
        <v>0</v>
      </c>
      <c r="BL50" s="13" t="n">
        <f aca="false">BL$49-BL$47</f>
        <v>0</v>
      </c>
      <c r="BM50" s="13" t="n">
        <f aca="false">BM$49-BM$47</f>
        <v>0</v>
      </c>
      <c r="BN50" s="13" t="n">
        <f aca="false">BN$49-BN$47</f>
        <v>0</v>
      </c>
      <c r="BO50" s="13" t="n">
        <f aca="false">BO$49-BO$47</f>
        <v>0</v>
      </c>
      <c r="BP50" s="13" t="n">
        <f aca="false">BP$49-BP$47</f>
        <v>0</v>
      </c>
      <c r="BQ50" s="13" t="n">
        <f aca="false">BQ$49-BQ$47</f>
        <v>0</v>
      </c>
      <c r="BR50" s="13" t="n">
        <f aca="false">BR$49-BR$47</f>
        <v>0</v>
      </c>
      <c r="BS50" s="13" t="n">
        <f aca="false">BS$49-BS$47</f>
        <v>0</v>
      </c>
      <c r="BT50" s="13" t="n">
        <f aca="false">BT$49-BT$47</f>
        <v>0</v>
      </c>
      <c r="BU50" s="13" t="n">
        <f aca="false">BU$49-BU$47</f>
        <v>0</v>
      </c>
      <c r="BV50" s="13" t="n">
        <f aca="false">BV$49-BV$47</f>
        <v>0</v>
      </c>
      <c r="BW50" s="13" t="n">
        <f aca="false">BW$49-BW$47</f>
        <v>0</v>
      </c>
      <c r="BX50" s="13" t="n">
        <f aca="false">BX$49-BX$47</f>
        <v>0</v>
      </c>
      <c r="BY50" s="13" t="n">
        <f aca="false">BY$49-BY$47</f>
        <v>0</v>
      </c>
      <c r="BZ50" s="13" t="n">
        <f aca="false">BZ$49-BZ$47</f>
        <v>0</v>
      </c>
      <c r="CA50" s="13" t="n">
        <f aca="false">CA$49-CA$47</f>
        <v>0</v>
      </c>
      <c r="CB50" s="13" t="n">
        <f aca="false">CB$49-CB$47</f>
        <v>0</v>
      </c>
      <c r="CC50" s="13" t="n">
        <f aca="false">CC$49-CC$47</f>
        <v>0</v>
      </c>
      <c r="CD50" s="13" t="n">
        <f aca="false">CD$49-CD$47</f>
        <v>0</v>
      </c>
      <c r="CE50" s="13" t="n">
        <f aca="false">CE$49-CE$47</f>
        <v>0</v>
      </c>
      <c r="CF50" s="13" t="n">
        <f aca="false">CF$49-CF$47</f>
        <v>0</v>
      </c>
      <c r="CG50" s="13" t="n">
        <f aca="false">CG$49-CG$47</f>
        <v>0</v>
      </c>
      <c r="CH50" s="13" t="n">
        <f aca="false">CH$49-CH$47</f>
        <v>0</v>
      </c>
      <c r="CI50" s="13" t="n">
        <f aca="false">CI$49-CI$47</f>
        <v>0</v>
      </c>
      <c r="CJ50" s="13" t="n">
        <f aca="false">CJ$49-CJ$47</f>
        <v>0</v>
      </c>
      <c r="CK50" s="13" t="n">
        <f aca="false">CK$49-CK$47</f>
        <v>0</v>
      </c>
      <c r="CL50" s="13" t="n">
        <f aca="false">CL$49-CL$47</f>
        <v>0</v>
      </c>
      <c r="CM50" s="13" t="n">
        <f aca="false">CM$49-CM$47</f>
        <v>0</v>
      </c>
      <c r="CN50" s="13" t="n">
        <f aca="false">CN$49-CN$47</f>
        <v>0</v>
      </c>
      <c r="CO50" s="13" t="n">
        <f aca="false">CO$49-CO$47</f>
        <v>0</v>
      </c>
      <c r="CP50" s="13" t="n">
        <f aca="false">CP$49-CP$47</f>
        <v>0</v>
      </c>
      <c r="CQ50" s="13" t="n">
        <f aca="false">CQ$49-CQ$47</f>
        <v>0</v>
      </c>
      <c r="CR50" s="13" t="n">
        <f aca="false">CR$49-CR$47</f>
        <v>0</v>
      </c>
      <c r="CS50" s="13" t="n">
        <f aca="false">CS$49-CS$47</f>
        <v>0</v>
      </c>
      <c r="CT50" s="13" t="n">
        <f aca="false">CT$49-CT$47</f>
        <v>0</v>
      </c>
      <c r="CU50" s="13" t="n">
        <f aca="false">CU$49-CU$47</f>
        <v>0</v>
      </c>
      <c r="CV50" s="13" t="n">
        <f aca="false">CV$49-CV$47</f>
        <v>0</v>
      </c>
      <c r="CW50" s="13" t="n">
        <f aca="false">CW$49-CW$47</f>
        <v>0</v>
      </c>
      <c r="CX50" s="13" t="n">
        <f aca="false">CX$49-CX$47</f>
        <v>0</v>
      </c>
      <c r="CY50" s="13" t="n">
        <f aca="false">CY$49-CY$47</f>
        <v>0</v>
      </c>
      <c r="CZ50" s="13" t="n">
        <f aca="false">CZ$49-CZ$47</f>
        <v>0</v>
      </c>
      <c r="DA50" s="13" t="n">
        <f aca="false">DA$49-DA$47</f>
        <v>0</v>
      </c>
      <c r="DB50" s="13" t="n">
        <f aca="false">DB$49-DB$47</f>
        <v>0</v>
      </c>
      <c r="DC50" s="13" t="n">
        <f aca="false">DC$49-DC$47</f>
        <v>0</v>
      </c>
      <c r="DD50" s="13" t="n">
        <f aca="false">DD$49-DD$47</f>
        <v>0</v>
      </c>
      <c r="DE50" s="13" t="n">
        <f aca="false">DE$49-DE$47</f>
        <v>0</v>
      </c>
      <c r="DF50" s="13" t="n">
        <f aca="false">DF$49-DF$47</f>
        <v>0</v>
      </c>
      <c r="DG50" s="13" t="n">
        <f aca="false">DG$49-DG$47</f>
        <v>0</v>
      </c>
      <c r="DH50" s="13" t="n">
        <f aca="false">DH$49-DH$47</f>
        <v>0</v>
      </c>
      <c r="DI50" s="13" t="n">
        <f aca="false">DI$49-DI$47</f>
        <v>0</v>
      </c>
      <c r="DJ50" s="13" t="n">
        <f aca="false">DJ$49-DJ$47</f>
        <v>0</v>
      </c>
      <c r="DK50" s="13" t="n">
        <f aca="false">DK$49-DK$47</f>
        <v>0</v>
      </c>
      <c r="DL50" s="13" t="n">
        <f aca="false">DL$49-DL$47</f>
        <v>0</v>
      </c>
      <c r="DM50" s="13" t="n">
        <f aca="false">DM$49-DM$47</f>
        <v>0</v>
      </c>
      <c r="DN50" s="13" t="n">
        <f aca="false">DN$49-DN$47</f>
        <v>0</v>
      </c>
      <c r="DO50" s="13" t="n">
        <f aca="false">DO$49-DO$47</f>
        <v>0</v>
      </c>
      <c r="DP50" s="13" t="n">
        <f aca="false">DP$49-DP$47</f>
        <v>0</v>
      </c>
      <c r="DQ50" s="13" t="n">
        <f aca="false">DQ$49-DQ$47</f>
        <v>0</v>
      </c>
      <c r="DR50" s="13" t="n">
        <f aca="false">DR$49-DR$47</f>
        <v>0</v>
      </c>
      <c r="DS50" s="13" t="n">
        <f aca="false">DS$49-DS$47</f>
        <v>0</v>
      </c>
      <c r="DT50" s="13" t="n">
        <f aca="false">DT$49-DT$47</f>
        <v>0</v>
      </c>
      <c r="DU50" s="13" t="n">
        <f aca="false">DU$49-DU$47</f>
        <v>0</v>
      </c>
      <c r="DV50" s="13" t="n">
        <f aca="false">DV$49-DV$47</f>
        <v>0</v>
      </c>
      <c r="DW50" s="13" t="n">
        <f aca="false">DW$49-DW$47</f>
        <v>0</v>
      </c>
      <c r="DX50" s="13" t="n">
        <f aca="false">DX$49-DX$47</f>
        <v>0</v>
      </c>
      <c r="DY50" s="13" t="n">
        <f aca="false">DY$49-DY$47</f>
        <v>0</v>
      </c>
      <c r="DZ50" s="13" t="n">
        <f aca="false">DZ$49-DZ$47</f>
        <v>0</v>
      </c>
      <c r="EA50" s="13" t="n">
        <f aca="false">EA$49-EA$47</f>
        <v>0</v>
      </c>
      <c r="EB50" s="13" t="n">
        <f aca="false">EB$49-EB$47</f>
        <v>0</v>
      </c>
      <c r="EC50" s="13" t="n">
        <f aca="false">EC$49-EC$47</f>
        <v>0</v>
      </c>
      <c r="ED50" s="13" t="n">
        <f aca="false">ED$49-ED$47</f>
        <v>0</v>
      </c>
      <c r="EE50" s="13" t="n">
        <f aca="false">EE$49-EE$47</f>
        <v>0</v>
      </c>
      <c r="EF50" s="13" t="n">
        <f aca="false">EF$49-EF$47</f>
        <v>0</v>
      </c>
      <c r="EG50" s="13" t="n">
        <f aca="false">EG$49-EG$47</f>
        <v>0</v>
      </c>
      <c r="EH50" s="13" t="n">
        <f aca="false">EH$49-EH$47</f>
        <v>0</v>
      </c>
      <c r="EI50" s="13" t="n">
        <f aca="false">EI$49-EI$47</f>
        <v>0</v>
      </c>
      <c r="EJ50" s="13" t="n">
        <f aca="false">EJ$49-EJ$47</f>
        <v>0</v>
      </c>
      <c r="EK50" s="13" t="n">
        <f aca="false">EK$49-EK$47</f>
        <v>0</v>
      </c>
      <c r="EL50" s="13" t="n">
        <f aca="false">EL$49-EL$47</f>
        <v>0</v>
      </c>
      <c r="EM50" s="13" t="n">
        <f aca="false">EM$49-EM$47</f>
        <v>0</v>
      </c>
      <c r="EN50" s="13" t="n">
        <f aca="false">EN$49-EN$47</f>
        <v>0</v>
      </c>
      <c r="EO50" s="13" t="n">
        <f aca="false">EO$49-EO$47</f>
        <v>0</v>
      </c>
      <c r="EP50" s="13" t="n">
        <f aca="false">EP$49-EP$47</f>
        <v>0</v>
      </c>
      <c r="EQ50" s="13" t="n">
        <f aca="false">EQ$49-EQ$47</f>
        <v>0</v>
      </c>
      <c r="ER50" s="13" t="n">
        <f aca="false">ER$49-ER$47</f>
        <v>0</v>
      </c>
      <c r="ES50" s="13" t="n">
        <f aca="false">ES$49-ES$47</f>
        <v>0</v>
      </c>
      <c r="ET50" s="13" t="n">
        <f aca="false">ET$49-ET$47</f>
        <v>0</v>
      </c>
      <c r="EU50" s="13" t="n">
        <f aca="false">EU$49-EU$47</f>
        <v>0</v>
      </c>
      <c r="EV50" s="13" t="n">
        <f aca="false">EV$49-EV$47</f>
        <v>0</v>
      </c>
      <c r="EW50" s="13" t="n">
        <f aca="false">EW$49-EW$47</f>
        <v>0</v>
      </c>
      <c r="EX50" s="13" t="n">
        <f aca="false">EX$49-EX$47</f>
        <v>0</v>
      </c>
      <c r="EY50" s="13" t="n">
        <f aca="false">EY$49-EY$47</f>
        <v>0</v>
      </c>
      <c r="EZ50" s="13" t="n">
        <f aca="false">EZ$49-EZ$47</f>
        <v>0</v>
      </c>
      <c r="FA50" s="13" t="n">
        <f aca="false">FA$49-FA$47</f>
        <v>0</v>
      </c>
      <c r="FB50" s="13" t="n">
        <f aca="false">FB$49-FB$47</f>
        <v>0</v>
      </c>
      <c r="FC50" s="13" t="n">
        <f aca="false">FC$49-FC$47</f>
        <v>0</v>
      </c>
      <c r="FD50" s="13" t="n">
        <f aca="false">FD$49-FD$47</f>
        <v>0</v>
      </c>
      <c r="FE50" s="13" t="n">
        <f aca="false">FE$49-FE$47</f>
        <v>0</v>
      </c>
      <c r="FF50" s="13" t="n">
        <f aca="false">FF$49-FF$47</f>
        <v>0</v>
      </c>
    </row>
    <row r="51" customFormat="false" ht="15" hidden="false" customHeight="false" outlineLevel="0" collapsed="false">
      <c r="A51" s="2" t="s">
        <v>882</v>
      </c>
      <c r="B51" s="8" t="s">
        <v>859</v>
      </c>
      <c r="C51" s="8" t="s">
        <v>825</v>
      </c>
      <c r="E51" s="65" t="n">
        <f aca="false">SUM($F51:$FF51)</f>
        <v>797.586757990868</v>
      </c>
      <c r="F51" s="13" t="n">
        <f aca="false">MAX(0,F$49-F$34*1.0001)</f>
        <v>0</v>
      </c>
      <c r="G51" s="13" t="n">
        <f aca="false">MAX(0,G$49-G$34*1.0001)</f>
        <v>250.391552511415</v>
      </c>
      <c r="H51" s="13" t="n">
        <f aca="false">MAX(0,H$49-H$34*1.0001)</f>
        <v>0</v>
      </c>
      <c r="I51" s="13" t="n">
        <f aca="false">MAX(0,I$49-I$34*1.0001)</f>
        <v>0</v>
      </c>
      <c r="J51" s="13" t="n">
        <f aca="false">MAX(0,J$49-J$34*1.0001)</f>
        <v>0</v>
      </c>
      <c r="K51" s="13" t="n">
        <f aca="false">MAX(0,K$49-K$34*1.0001)</f>
        <v>0</v>
      </c>
      <c r="L51" s="13" t="n">
        <f aca="false">MAX(0,L$49-L$34*1.0001)</f>
        <v>0</v>
      </c>
      <c r="M51" s="13" t="n">
        <f aca="false">MAX(0,M$49-M$34*1.0001)</f>
        <v>0</v>
      </c>
      <c r="N51" s="13" t="n">
        <f aca="false">MAX(0,N$49-N$34*1.0001)</f>
        <v>0</v>
      </c>
      <c r="O51" s="13" t="n">
        <f aca="false">MAX(0,O$49-O$34*1.0001)</f>
        <v>0</v>
      </c>
      <c r="P51" s="13" t="n">
        <f aca="false">MAX(0,P$49-P$34*1.0001)</f>
        <v>0</v>
      </c>
      <c r="Q51" s="13" t="n">
        <f aca="false">MAX(0,Q$49-Q$34*1.0001)</f>
        <v>0</v>
      </c>
      <c r="R51" s="13" t="n">
        <f aca="false">MAX(0,R$49-R$34*1.0001)</f>
        <v>0</v>
      </c>
      <c r="S51" s="13" t="n">
        <f aca="false">MAX(0,S$49-S$34*1.0001)</f>
        <v>0</v>
      </c>
      <c r="T51" s="13" t="n">
        <f aca="false">MAX(0,T$49-T$34*1.0001)</f>
        <v>0</v>
      </c>
      <c r="U51" s="13" t="n">
        <f aca="false">MAX(0,U$49-U$34*1.0001)</f>
        <v>0</v>
      </c>
      <c r="V51" s="13" t="n">
        <f aca="false">MAX(0,V$49-V$34*1.0001)</f>
        <v>0</v>
      </c>
      <c r="W51" s="13" t="n">
        <f aca="false">MAX(0,W$49-W$34*1.0001)</f>
        <v>0</v>
      </c>
      <c r="X51" s="13" t="n">
        <f aca="false">MAX(0,X$49-X$34*1.0001)</f>
        <v>0</v>
      </c>
      <c r="Y51" s="13" t="n">
        <f aca="false">MAX(0,Y$49-Y$34*1.0001)</f>
        <v>0</v>
      </c>
      <c r="Z51" s="13" t="n">
        <f aca="false">MAX(0,Z$49-Z$34*1.0001)</f>
        <v>0</v>
      </c>
      <c r="AA51" s="13" t="n">
        <f aca="false">MAX(0,AA$49-AA$34*1.0001)</f>
        <v>0</v>
      </c>
      <c r="AB51" s="13" t="n">
        <f aca="false">MAX(0,AB$49-AB$34*1.0001)</f>
        <v>0</v>
      </c>
      <c r="AC51" s="13" t="n">
        <f aca="false">MAX(0,AC$49-AC$34*1.0001)</f>
        <v>0</v>
      </c>
      <c r="AD51" s="13" t="n">
        <f aca="false">MAX(0,AD$49-AD$34*1.0001)</f>
        <v>547.195205479453</v>
      </c>
      <c r="AE51" s="13" t="n">
        <f aca="false">MAX(0,AE$49-AE$34*1.0001)</f>
        <v>0</v>
      </c>
      <c r="AF51" s="13" t="n">
        <f aca="false">MAX(0,AF$49-AF$34*1.0001)</f>
        <v>0</v>
      </c>
      <c r="AG51" s="13" t="n">
        <f aca="false">MAX(0,AG$49-AG$34*1.0001)</f>
        <v>0</v>
      </c>
      <c r="AH51" s="13" t="n">
        <f aca="false">MAX(0,AH$49-AH$34*1.0001)</f>
        <v>0</v>
      </c>
      <c r="AI51" s="13" t="n">
        <f aca="false">MAX(0,AI$49-AI$34*1.0001)</f>
        <v>0</v>
      </c>
      <c r="AJ51" s="13" t="n">
        <f aca="false">MAX(0,AJ$49-AJ$34*1.0001)</f>
        <v>0</v>
      </c>
      <c r="AK51" s="13" t="n">
        <f aca="false">MAX(0,AK$49-AK$34*1.0001)</f>
        <v>0</v>
      </c>
      <c r="AL51" s="13" t="n">
        <f aca="false">MAX(0,AL$49-AL$34*1.0001)</f>
        <v>0</v>
      </c>
      <c r="AM51" s="13" t="n">
        <f aca="false">MAX(0,AM$49-AM$34*1.0001)</f>
        <v>0</v>
      </c>
      <c r="AN51" s="13" t="n">
        <f aca="false">MAX(0,AN$49-AN$34*1.0001)</f>
        <v>0</v>
      </c>
      <c r="AO51" s="13" t="n">
        <f aca="false">MAX(0,AO$49-AO$34*1.0001)</f>
        <v>0</v>
      </c>
      <c r="AP51" s="13" t="n">
        <f aca="false">MAX(0,AP$49-AP$34*1.0001)</f>
        <v>0</v>
      </c>
      <c r="AQ51" s="13" t="n">
        <f aca="false">MAX(0,AQ$49-AQ$34*1.0001)</f>
        <v>0</v>
      </c>
      <c r="AR51" s="13" t="n">
        <f aca="false">MAX(0,AR$49-AR$34*1.0001)</f>
        <v>0</v>
      </c>
      <c r="AS51" s="13" t="n">
        <f aca="false">MAX(0,AS$49-AS$34*1.0001)</f>
        <v>0</v>
      </c>
      <c r="AT51" s="13" t="n">
        <f aca="false">MAX(0,AT$49-AT$34*1.0001)</f>
        <v>0</v>
      </c>
      <c r="AU51" s="13" t="n">
        <f aca="false">MAX(0,AU$49-AU$34*1.0001)</f>
        <v>0</v>
      </c>
      <c r="AV51" s="13" t="n">
        <f aca="false">MAX(0,AV$49-AV$34*1.0001)</f>
        <v>0</v>
      </c>
      <c r="AW51" s="13" t="n">
        <f aca="false">MAX(0,AW$49-AW$34*1.0001)</f>
        <v>0</v>
      </c>
      <c r="AX51" s="13" t="n">
        <f aca="false">MAX(0,AX$49-AX$34*1.0001)</f>
        <v>0</v>
      </c>
      <c r="AY51" s="13" t="n">
        <f aca="false">MAX(0,AY$49-AY$34*1.0001)</f>
        <v>0</v>
      </c>
      <c r="AZ51" s="13" t="n">
        <f aca="false">MAX(0,AZ$49-AZ$34*1.0001)</f>
        <v>0</v>
      </c>
      <c r="BA51" s="13" t="n">
        <f aca="false">MAX(0,BA$49-BA$34*1.0001)</f>
        <v>0</v>
      </c>
      <c r="BB51" s="13" t="n">
        <f aca="false">MAX(0,BB$49-BB$34*1.0001)</f>
        <v>0</v>
      </c>
      <c r="BC51" s="13" t="n">
        <f aca="false">MAX(0,BC$49-BC$34*1.0001)</f>
        <v>0</v>
      </c>
      <c r="BD51" s="13" t="n">
        <f aca="false">MAX(0,BD$49-BD$34*1.0001)</f>
        <v>0</v>
      </c>
      <c r="BE51" s="13" t="n">
        <f aca="false">MAX(0,BE$49-BE$34*1.0001)</f>
        <v>0</v>
      </c>
      <c r="BF51" s="13" t="n">
        <f aca="false">MAX(0,BF$49-BF$34*1.0001)</f>
        <v>0</v>
      </c>
      <c r="BG51" s="13" t="n">
        <f aca="false">MAX(0,BG$49-BG$34*1.0001)</f>
        <v>0</v>
      </c>
      <c r="BH51" s="13" t="n">
        <f aca="false">MAX(0,BH$49-BH$34*1.0001)</f>
        <v>0</v>
      </c>
      <c r="BI51" s="13" t="n">
        <f aca="false">MAX(0,BI$49-BI$34*1.0001)</f>
        <v>0</v>
      </c>
      <c r="BJ51" s="13" t="n">
        <f aca="false">MAX(0,BJ$49-BJ$34*1.0001)</f>
        <v>0</v>
      </c>
      <c r="BK51" s="13" t="n">
        <f aca="false">MAX(0,BK$49-BK$34*1.0001)</f>
        <v>0</v>
      </c>
      <c r="BL51" s="13" t="n">
        <f aca="false">MAX(0,BL$49-BL$34*1.0001)</f>
        <v>0</v>
      </c>
      <c r="BM51" s="13" t="n">
        <f aca="false">MAX(0,BM$49-BM$34*1.0001)</f>
        <v>0</v>
      </c>
      <c r="BN51" s="13" t="n">
        <f aca="false">MAX(0,BN$49-BN$34*1.0001)</f>
        <v>0</v>
      </c>
      <c r="BO51" s="13" t="n">
        <f aca="false">MAX(0,BO$49-BO$34*1.0001)</f>
        <v>0</v>
      </c>
      <c r="BP51" s="13" t="n">
        <f aca="false">MAX(0,BP$49-BP$34*1.0001)</f>
        <v>0</v>
      </c>
      <c r="BQ51" s="13" t="n">
        <f aca="false">MAX(0,BQ$49-BQ$34*1.0001)</f>
        <v>0</v>
      </c>
      <c r="BR51" s="13" t="n">
        <f aca="false">MAX(0,BR$49-BR$34*1.0001)</f>
        <v>0</v>
      </c>
      <c r="BS51" s="13" t="n">
        <f aca="false">MAX(0,BS$49-BS$34*1.0001)</f>
        <v>0</v>
      </c>
      <c r="BT51" s="13" t="n">
        <f aca="false">MAX(0,BT$49-BT$34*1.0001)</f>
        <v>0</v>
      </c>
      <c r="BU51" s="13" t="n">
        <f aca="false">MAX(0,BU$49-BU$34*1.0001)</f>
        <v>0</v>
      </c>
      <c r="BV51" s="13" t="n">
        <f aca="false">MAX(0,BV$49-BV$34*1.0001)</f>
        <v>0</v>
      </c>
      <c r="BW51" s="13" t="n">
        <f aca="false">MAX(0,BW$49-BW$34*1.0001)</f>
        <v>0</v>
      </c>
      <c r="BX51" s="13" t="n">
        <f aca="false">MAX(0,BX$49-BX$34*1.0001)</f>
        <v>0</v>
      </c>
      <c r="BY51" s="13" t="n">
        <f aca="false">MAX(0,BY$49-BY$34*1.0001)</f>
        <v>0</v>
      </c>
      <c r="BZ51" s="13" t="n">
        <f aca="false">MAX(0,BZ$49-BZ$34*1.0001)</f>
        <v>0</v>
      </c>
      <c r="CA51" s="13" t="n">
        <f aca="false">MAX(0,CA$49-CA$34*1.0001)</f>
        <v>0</v>
      </c>
      <c r="CB51" s="13" t="n">
        <f aca="false">MAX(0,CB$49-CB$34*1.0001)</f>
        <v>0</v>
      </c>
      <c r="CC51" s="13" t="n">
        <f aca="false">MAX(0,CC$49-CC$34*1.0001)</f>
        <v>0</v>
      </c>
      <c r="CD51" s="13" t="n">
        <f aca="false">MAX(0,CD$49-CD$34*1.0001)</f>
        <v>0</v>
      </c>
      <c r="CE51" s="13" t="n">
        <f aca="false">MAX(0,CE$49-CE$34*1.0001)</f>
        <v>0</v>
      </c>
      <c r="CF51" s="13" t="n">
        <f aca="false">MAX(0,CF$49-CF$34*1.0001)</f>
        <v>0</v>
      </c>
      <c r="CG51" s="13" t="n">
        <f aca="false">MAX(0,CG$49-CG$34*1.0001)</f>
        <v>0</v>
      </c>
      <c r="CH51" s="13" t="n">
        <f aca="false">MAX(0,CH$49-CH$34*1.0001)</f>
        <v>0</v>
      </c>
      <c r="CI51" s="13" t="n">
        <f aca="false">MAX(0,CI$49-CI$34*1.0001)</f>
        <v>0</v>
      </c>
      <c r="CJ51" s="13" t="n">
        <f aca="false">MAX(0,CJ$49-CJ$34*1.0001)</f>
        <v>0</v>
      </c>
      <c r="CK51" s="13" t="n">
        <f aca="false">MAX(0,CK$49-CK$34*1.0001)</f>
        <v>0</v>
      </c>
      <c r="CL51" s="13" t="n">
        <f aca="false">MAX(0,CL$49-CL$34*1.0001)</f>
        <v>0</v>
      </c>
      <c r="CM51" s="13" t="n">
        <f aca="false">MAX(0,CM$49-CM$34*1.0001)</f>
        <v>0</v>
      </c>
      <c r="CN51" s="13" t="n">
        <f aca="false">MAX(0,CN$49-CN$34*1.0001)</f>
        <v>0</v>
      </c>
      <c r="CO51" s="13" t="n">
        <f aca="false">MAX(0,CO$49-CO$34*1.0001)</f>
        <v>0</v>
      </c>
      <c r="CP51" s="13" t="n">
        <f aca="false">MAX(0,CP$49-CP$34*1.0001)</f>
        <v>0</v>
      </c>
      <c r="CQ51" s="13" t="n">
        <f aca="false">MAX(0,CQ$49-CQ$34*1.0001)</f>
        <v>0</v>
      </c>
      <c r="CR51" s="13" t="n">
        <f aca="false">MAX(0,CR$49-CR$34*1.0001)</f>
        <v>0</v>
      </c>
      <c r="CS51" s="13" t="n">
        <f aca="false">MAX(0,CS$49-CS$34*1.0001)</f>
        <v>0</v>
      </c>
      <c r="CT51" s="13" t="n">
        <f aca="false">MAX(0,CT$49-CT$34*1.0001)</f>
        <v>0</v>
      </c>
      <c r="CU51" s="13" t="n">
        <f aca="false">MAX(0,CU$49-CU$34*1.0001)</f>
        <v>0</v>
      </c>
      <c r="CV51" s="13" t="n">
        <f aca="false">MAX(0,CV$49-CV$34*1.0001)</f>
        <v>0</v>
      </c>
      <c r="CW51" s="13" t="n">
        <f aca="false">MAX(0,CW$49-CW$34*1.0001)</f>
        <v>0</v>
      </c>
      <c r="CX51" s="13" t="n">
        <f aca="false">MAX(0,CX$49-CX$34*1.0001)</f>
        <v>0</v>
      </c>
      <c r="CY51" s="13" t="n">
        <f aca="false">MAX(0,CY$49-CY$34*1.0001)</f>
        <v>0</v>
      </c>
      <c r="CZ51" s="13" t="n">
        <f aca="false">MAX(0,CZ$49-CZ$34*1.0001)</f>
        <v>0</v>
      </c>
      <c r="DA51" s="13" t="n">
        <f aca="false">MAX(0,DA$49-DA$34*1.0001)</f>
        <v>0</v>
      </c>
      <c r="DB51" s="13" t="n">
        <f aca="false">MAX(0,DB$49-DB$34*1.0001)</f>
        <v>0</v>
      </c>
      <c r="DC51" s="13" t="n">
        <f aca="false">MAX(0,DC$49-DC$34*1.0001)</f>
        <v>0</v>
      </c>
      <c r="DD51" s="13" t="n">
        <f aca="false">MAX(0,DD$49-DD$34*1.0001)</f>
        <v>0</v>
      </c>
      <c r="DE51" s="13" t="n">
        <f aca="false">MAX(0,DE$49-DE$34*1.0001)</f>
        <v>0</v>
      </c>
      <c r="DF51" s="13" t="n">
        <f aca="false">MAX(0,DF$49-DF$34*1.0001)</f>
        <v>0</v>
      </c>
      <c r="DG51" s="13" t="n">
        <f aca="false">MAX(0,DG$49-DG$34*1.0001)</f>
        <v>0</v>
      </c>
      <c r="DH51" s="13" t="n">
        <f aca="false">MAX(0,DH$49-DH$34*1.0001)</f>
        <v>0</v>
      </c>
      <c r="DI51" s="13" t="n">
        <f aca="false">MAX(0,DI$49-DI$34*1.0001)</f>
        <v>0</v>
      </c>
      <c r="DJ51" s="13" t="n">
        <f aca="false">MAX(0,DJ$49-DJ$34*1.0001)</f>
        <v>0</v>
      </c>
      <c r="DK51" s="13" t="n">
        <f aca="false">MAX(0,DK$49-DK$34*1.0001)</f>
        <v>0</v>
      </c>
      <c r="DL51" s="13" t="n">
        <f aca="false">MAX(0,DL$49-DL$34*1.0001)</f>
        <v>0</v>
      </c>
      <c r="DM51" s="13" t="n">
        <f aca="false">MAX(0,DM$49-DM$34*1.0001)</f>
        <v>0</v>
      </c>
      <c r="DN51" s="13" t="n">
        <f aca="false">MAX(0,DN$49-DN$34*1.0001)</f>
        <v>0</v>
      </c>
      <c r="DO51" s="13" t="n">
        <f aca="false">MAX(0,DO$49-DO$34*1.0001)</f>
        <v>0</v>
      </c>
      <c r="DP51" s="13" t="n">
        <f aca="false">MAX(0,DP$49-DP$34*1.0001)</f>
        <v>0</v>
      </c>
      <c r="DQ51" s="13" t="n">
        <f aca="false">MAX(0,DQ$49-DQ$34*1.0001)</f>
        <v>0</v>
      </c>
      <c r="DR51" s="13" t="n">
        <f aca="false">MAX(0,DR$49-DR$34*1.0001)</f>
        <v>0</v>
      </c>
      <c r="DS51" s="13" t="n">
        <f aca="false">MAX(0,DS$49-DS$34*1.0001)</f>
        <v>0</v>
      </c>
      <c r="DT51" s="13" t="n">
        <f aca="false">MAX(0,DT$49-DT$34*1.0001)</f>
        <v>0</v>
      </c>
      <c r="DU51" s="13" t="n">
        <f aca="false">MAX(0,DU$49-DU$34*1.0001)</f>
        <v>0</v>
      </c>
      <c r="DV51" s="13" t="n">
        <f aca="false">MAX(0,DV$49-DV$34*1.0001)</f>
        <v>0</v>
      </c>
      <c r="DW51" s="13" t="n">
        <f aca="false">MAX(0,DW$49-DW$34*1.0001)</f>
        <v>0</v>
      </c>
      <c r="DX51" s="13" t="n">
        <f aca="false">MAX(0,DX$49-DX$34*1.0001)</f>
        <v>0</v>
      </c>
      <c r="DY51" s="13" t="n">
        <f aca="false">MAX(0,DY$49-DY$34*1.0001)</f>
        <v>0</v>
      </c>
      <c r="DZ51" s="13" t="n">
        <f aca="false">MAX(0,DZ$49-DZ$34*1.0001)</f>
        <v>0</v>
      </c>
      <c r="EA51" s="13" t="n">
        <f aca="false">MAX(0,EA$49-EA$34*1.0001)</f>
        <v>0</v>
      </c>
      <c r="EB51" s="13" t="n">
        <f aca="false">MAX(0,EB$49-EB$34*1.0001)</f>
        <v>0</v>
      </c>
      <c r="EC51" s="13" t="n">
        <f aca="false">MAX(0,EC$49-EC$34*1.0001)</f>
        <v>0</v>
      </c>
      <c r="ED51" s="13" t="n">
        <f aca="false">MAX(0,ED$49-ED$34*1.0001)</f>
        <v>0</v>
      </c>
      <c r="EE51" s="13" t="n">
        <f aca="false">MAX(0,EE$49-EE$34*1.0001)</f>
        <v>0</v>
      </c>
      <c r="EF51" s="13" t="n">
        <f aca="false">MAX(0,EF$49-EF$34*1.0001)</f>
        <v>0</v>
      </c>
      <c r="EG51" s="13" t="n">
        <f aca="false">MAX(0,EG$49-EG$34*1.0001)</f>
        <v>0</v>
      </c>
      <c r="EH51" s="13" t="n">
        <f aca="false">MAX(0,EH$49-EH$34*1.0001)</f>
        <v>0</v>
      </c>
      <c r="EI51" s="13" t="n">
        <f aca="false">MAX(0,EI$49-EI$34*1.0001)</f>
        <v>0</v>
      </c>
      <c r="EJ51" s="13" t="n">
        <f aca="false">MAX(0,EJ$49-EJ$34*1.0001)</f>
        <v>0</v>
      </c>
      <c r="EK51" s="13" t="n">
        <f aca="false">MAX(0,EK$49-EK$34*1.0001)</f>
        <v>0</v>
      </c>
      <c r="EL51" s="13" t="n">
        <f aca="false">MAX(0,EL$49-EL$34*1.0001)</f>
        <v>0</v>
      </c>
      <c r="EM51" s="13" t="n">
        <f aca="false">MAX(0,EM$49-EM$34*1.0001)</f>
        <v>0</v>
      </c>
      <c r="EN51" s="13" t="n">
        <f aca="false">MAX(0,EN$49-EN$34*1.0001)</f>
        <v>0</v>
      </c>
      <c r="EO51" s="13" t="n">
        <f aca="false">MAX(0,EO$49-EO$34*1.0001)</f>
        <v>0</v>
      </c>
      <c r="EP51" s="13" t="n">
        <f aca="false">MAX(0,EP$49-EP$34*1.0001)</f>
        <v>0</v>
      </c>
      <c r="EQ51" s="13" t="n">
        <f aca="false">MAX(0,EQ$49-EQ$34*1.0001)</f>
        <v>0</v>
      </c>
      <c r="ER51" s="13" t="n">
        <f aca="false">MAX(0,ER$49-ER$34*1.0001)</f>
        <v>0</v>
      </c>
      <c r="ES51" s="13" t="n">
        <f aca="false">MAX(0,ES$49-ES$34*1.0001)</f>
        <v>0</v>
      </c>
      <c r="ET51" s="13" t="n">
        <f aca="false">MAX(0,ET$49-ET$34*1.0001)</f>
        <v>0</v>
      </c>
      <c r="EU51" s="13" t="n">
        <f aca="false">MAX(0,EU$49-EU$34*1.0001)</f>
        <v>0</v>
      </c>
      <c r="EV51" s="13" t="n">
        <f aca="false">MAX(0,EV$49-EV$34*1.0001)</f>
        <v>0</v>
      </c>
      <c r="EW51" s="13" t="n">
        <f aca="false">MAX(0,EW$49-EW$34*1.0001)</f>
        <v>0</v>
      </c>
      <c r="EX51" s="13" t="n">
        <f aca="false">MAX(0,EX$49-EX$34*1.0001)</f>
        <v>0</v>
      </c>
      <c r="EY51" s="13" t="n">
        <f aca="false">MAX(0,EY$49-EY$34*1.0001)</f>
        <v>0</v>
      </c>
      <c r="EZ51" s="13" t="n">
        <f aca="false">MAX(0,EZ$49-EZ$34*1.0001)</f>
        <v>0</v>
      </c>
      <c r="FA51" s="13" t="n">
        <f aca="false">MAX(0,FA$49-FA$34*1.0001)</f>
        <v>0</v>
      </c>
      <c r="FB51" s="13" t="n">
        <f aca="false">MAX(0,FB$49-FB$34*1.0001)</f>
        <v>0</v>
      </c>
      <c r="FC51" s="13" t="n">
        <f aca="false">MAX(0,FC$49-FC$34*1.0001)</f>
        <v>0</v>
      </c>
      <c r="FD51" s="13" t="n">
        <f aca="false">MAX(0,FD$49-FD$34*1.0001)</f>
        <v>0</v>
      </c>
      <c r="FE51" s="13" t="n">
        <f aca="false">MAX(0,FE$49-FE$34*1.0001)</f>
        <v>0</v>
      </c>
      <c r="FF51" s="13" t="n">
        <f aca="false">MAX(0,FF$49-FF$34*1.0001)</f>
        <v>0</v>
      </c>
    </row>
    <row r="52" customFormat="false" ht="15" hidden="false" customHeight="false" outlineLevel="0" collapsed="false">
      <c r="A52" s="2" t="s">
        <v>883</v>
      </c>
      <c r="B52" s="8" t="s">
        <v>861</v>
      </c>
      <c r="C52" s="8" t="s">
        <v>263</v>
      </c>
      <c r="F52" s="19" t="n">
        <f aca="false">IF(p_Modalidad=2,N(p_TarifaC),e_PrecioC1)*(1+e_PrecioVar)*(1+e_PrecioGr)^(Calendario!F$19-1)</f>
        <v>23</v>
      </c>
      <c r="G52" s="19" t="n">
        <f aca="false">IF(p_Modalidad=2,N(p_TarifaC),e_PrecioC1)*(1+e_PrecioVar)*(1+e_PrecioGr)^(Calendario!G$19-1)</f>
        <v>23</v>
      </c>
      <c r="H52" s="19" t="n">
        <f aca="false">IF(p_Modalidad=2,N(p_TarifaC),e_PrecioC1)*(1+e_PrecioVar)*(1+e_PrecioGr)^(Calendario!H$19-1)</f>
        <v>23</v>
      </c>
      <c r="I52" s="19" t="n">
        <f aca="false">IF(p_Modalidad=2,N(p_TarifaC),e_PrecioC1)*(1+e_PrecioVar)*(1+e_PrecioGr)^(Calendario!I$19-1)</f>
        <v>23</v>
      </c>
      <c r="J52" s="19" t="n">
        <f aca="false">IF(p_Modalidad=2,N(p_TarifaC),e_PrecioC1)*(1+e_PrecioVar)*(1+e_PrecioGr)^(Calendario!J$19-1)</f>
        <v>23</v>
      </c>
      <c r="K52" s="19" t="n">
        <f aca="false">IF(p_Modalidad=2,N(p_TarifaC),e_PrecioC1)*(1+e_PrecioVar)*(1+e_PrecioGr)^(Calendario!K$19-1)</f>
        <v>23</v>
      </c>
      <c r="L52" s="19" t="n">
        <f aca="false">IF(p_Modalidad=2,N(p_TarifaC),e_PrecioC1)*(1+e_PrecioVar)*(1+e_PrecioGr)^(Calendario!L$19-1)</f>
        <v>23</v>
      </c>
      <c r="M52" s="19" t="n">
        <f aca="false">IF(p_Modalidad=2,N(p_TarifaC),e_PrecioC1)*(1+e_PrecioVar)*(1+e_PrecioGr)^(Calendario!M$19-1)</f>
        <v>23</v>
      </c>
      <c r="N52" s="19" t="n">
        <f aca="false">IF(p_Modalidad=2,N(p_TarifaC),e_PrecioC1)*(1+e_PrecioVar)*(1+e_PrecioGr)^(Calendario!N$19-1)</f>
        <v>23</v>
      </c>
      <c r="O52" s="19" t="n">
        <f aca="false">IF(p_Modalidad=2,N(p_TarifaC),e_PrecioC1)*(1+e_PrecioVar)*(1+e_PrecioGr)^(Calendario!O$19-1)</f>
        <v>23</v>
      </c>
      <c r="P52" s="19" t="n">
        <f aca="false">IF(p_Modalidad=2,N(p_TarifaC),e_PrecioC1)*(1+e_PrecioVar)*(1+e_PrecioGr)^(Calendario!P$19-1)</f>
        <v>23</v>
      </c>
      <c r="Q52" s="19" t="n">
        <f aca="false">IF(p_Modalidad=2,N(p_TarifaC),e_PrecioC1)*(1+e_PrecioVar)*(1+e_PrecioGr)^(Calendario!Q$19-1)</f>
        <v>23</v>
      </c>
      <c r="R52" s="19" t="n">
        <f aca="false">IF(p_Modalidad=2,N(p_TarifaC),e_PrecioC1)*(1+e_PrecioVar)*(1+e_PrecioGr)^(Calendario!R$19-1)</f>
        <v>23</v>
      </c>
      <c r="S52" s="19" t="n">
        <f aca="false">IF(p_Modalidad=2,N(p_TarifaC),e_PrecioC1)*(1+e_PrecioVar)*(1+e_PrecioGr)^(Calendario!S$19-1)</f>
        <v>23.23</v>
      </c>
      <c r="T52" s="19" t="n">
        <f aca="false">IF(p_Modalidad=2,N(p_TarifaC),e_PrecioC1)*(1+e_PrecioVar)*(1+e_PrecioGr)^(Calendario!T$19-1)</f>
        <v>23.23</v>
      </c>
      <c r="U52" s="19" t="n">
        <f aca="false">IF(p_Modalidad=2,N(p_TarifaC),e_PrecioC1)*(1+e_PrecioVar)*(1+e_PrecioGr)^(Calendario!U$19-1)</f>
        <v>23.23</v>
      </c>
      <c r="V52" s="19" t="n">
        <f aca="false">IF(p_Modalidad=2,N(p_TarifaC),e_PrecioC1)*(1+e_PrecioVar)*(1+e_PrecioGr)^(Calendario!V$19-1)</f>
        <v>23.23</v>
      </c>
      <c r="W52" s="19" t="n">
        <f aca="false">IF(p_Modalidad=2,N(p_TarifaC),e_PrecioC1)*(1+e_PrecioVar)*(1+e_PrecioGr)^(Calendario!W$19-1)</f>
        <v>23.23</v>
      </c>
      <c r="X52" s="19" t="n">
        <f aca="false">IF(p_Modalidad=2,N(p_TarifaC),e_PrecioC1)*(1+e_PrecioVar)*(1+e_PrecioGr)^(Calendario!X$19-1)</f>
        <v>23.23</v>
      </c>
      <c r="Y52" s="19" t="n">
        <f aca="false">IF(p_Modalidad=2,N(p_TarifaC),e_PrecioC1)*(1+e_PrecioVar)*(1+e_PrecioGr)^(Calendario!Y$19-1)</f>
        <v>23.23</v>
      </c>
      <c r="Z52" s="19" t="n">
        <f aca="false">IF(p_Modalidad=2,N(p_TarifaC),e_PrecioC1)*(1+e_PrecioVar)*(1+e_PrecioGr)^(Calendario!Z$19-1)</f>
        <v>23.23</v>
      </c>
      <c r="AA52" s="19" t="n">
        <f aca="false">IF(p_Modalidad=2,N(p_TarifaC),e_PrecioC1)*(1+e_PrecioVar)*(1+e_PrecioGr)^(Calendario!AA$19-1)</f>
        <v>23.23</v>
      </c>
      <c r="AB52" s="19" t="n">
        <f aca="false">IF(p_Modalidad=2,N(p_TarifaC),e_PrecioC1)*(1+e_PrecioVar)*(1+e_PrecioGr)^(Calendario!AB$19-1)</f>
        <v>23.23</v>
      </c>
      <c r="AC52" s="19" t="n">
        <f aca="false">IF(p_Modalidad=2,N(p_TarifaC),e_PrecioC1)*(1+e_PrecioVar)*(1+e_PrecioGr)^(Calendario!AC$19-1)</f>
        <v>23.23</v>
      </c>
      <c r="AD52" s="19" t="n">
        <f aca="false">IF(p_Modalidad=2,N(p_TarifaC),e_PrecioC1)*(1+e_PrecioVar)*(1+e_PrecioGr)^(Calendario!AD$19-1)</f>
        <v>23.23</v>
      </c>
      <c r="AE52" s="19" t="n">
        <f aca="false">IF(p_Modalidad=2,N(p_TarifaC),e_PrecioC1)*(1+e_PrecioVar)*(1+e_PrecioGr)^(Calendario!AE$19-1)</f>
        <v>23.4623</v>
      </c>
      <c r="AF52" s="19" t="n">
        <f aca="false">IF(p_Modalidad=2,N(p_TarifaC),e_PrecioC1)*(1+e_PrecioVar)*(1+e_PrecioGr)^(Calendario!AF$19-1)</f>
        <v>23.4623</v>
      </c>
      <c r="AG52" s="19" t="n">
        <f aca="false">IF(p_Modalidad=2,N(p_TarifaC),e_PrecioC1)*(1+e_PrecioVar)*(1+e_PrecioGr)^(Calendario!AG$19-1)</f>
        <v>23.4623</v>
      </c>
      <c r="AH52" s="19" t="n">
        <f aca="false">IF(p_Modalidad=2,N(p_TarifaC),e_PrecioC1)*(1+e_PrecioVar)*(1+e_PrecioGr)^(Calendario!AH$19-1)</f>
        <v>23.4623</v>
      </c>
      <c r="AI52" s="19" t="n">
        <f aca="false">IF(p_Modalidad=2,N(p_TarifaC),e_PrecioC1)*(1+e_PrecioVar)*(1+e_PrecioGr)^(Calendario!AI$19-1)</f>
        <v>23.4623</v>
      </c>
      <c r="AJ52" s="19" t="n">
        <f aca="false">IF(p_Modalidad=2,N(p_TarifaC),e_PrecioC1)*(1+e_PrecioVar)*(1+e_PrecioGr)^(Calendario!AJ$19-1)</f>
        <v>23.4623</v>
      </c>
      <c r="AK52" s="19" t="n">
        <f aca="false">IF(p_Modalidad=2,N(p_TarifaC),e_PrecioC1)*(1+e_PrecioVar)*(1+e_PrecioGr)^(Calendario!AK$19-1)</f>
        <v>23.4623</v>
      </c>
      <c r="AL52" s="19" t="n">
        <f aca="false">IF(p_Modalidad=2,N(p_TarifaC),e_PrecioC1)*(1+e_PrecioVar)*(1+e_PrecioGr)^(Calendario!AL$19-1)</f>
        <v>23.4623</v>
      </c>
      <c r="AM52" s="19" t="n">
        <f aca="false">IF(p_Modalidad=2,N(p_TarifaC),e_PrecioC1)*(1+e_PrecioVar)*(1+e_PrecioGr)^(Calendario!AM$19-1)</f>
        <v>23.4623</v>
      </c>
      <c r="AN52" s="19" t="n">
        <f aca="false">IF(p_Modalidad=2,N(p_TarifaC),e_PrecioC1)*(1+e_PrecioVar)*(1+e_PrecioGr)^(Calendario!AN$19-1)</f>
        <v>23.4623</v>
      </c>
      <c r="AO52" s="19" t="n">
        <f aca="false">IF(p_Modalidad=2,N(p_TarifaC),e_PrecioC1)*(1+e_PrecioVar)*(1+e_PrecioGr)^(Calendario!AO$19-1)</f>
        <v>23.4623</v>
      </c>
      <c r="AP52" s="19" t="n">
        <f aca="false">IF(p_Modalidad=2,N(p_TarifaC),e_PrecioC1)*(1+e_PrecioVar)*(1+e_PrecioGr)^(Calendario!AP$19-1)</f>
        <v>23.4623</v>
      </c>
      <c r="AQ52" s="19" t="n">
        <f aca="false">IF(p_Modalidad=2,N(p_TarifaC),e_PrecioC1)*(1+e_PrecioVar)*(1+e_PrecioGr)^(Calendario!AQ$19-1)</f>
        <v>23.696923</v>
      </c>
      <c r="AR52" s="19" t="n">
        <f aca="false">IF(p_Modalidad=2,N(p_TarifaC),e_PrecioC1)*(1+e_PrecioVar)*(1+e_PrecioGr)^(Calendario!AR$19-1)</f>
        <v>23.696923</v>
      </c>
      <c r="AS52" s="19" t="n">
        <f aca="false">IF(p_Modalidad=2,N(p_TarifaC),e_PrecioC1)*(1+e_PrecioVar)*(1+e_PrecioGr)^(Calendario!AS$19-1)</f>
        <v>23.696923</v>
      </c>
      <c r="AT52" s="19" t="n">
        <f aca="false">IF(p_Modalidad=2,N(p_TarifaC),e_PrecioC1)*(1+e_PrecioVar)*(1+e_PrecioGr)^(Calendario!AT$19-1)</f>
        <v>23.696923</v>
      </c>
      <c r="AU52" s="19" t="n">
        <f aca="false">IF(p_Modalidad=2,N(p_TarifaC),e_PrecioC1)*(1+e_PrecioVar)*(1+e_PrecioGr)^(Calendario!AU$19-1)</f>
        <v>23.696923</v>
      </c>
      <c r="AV52" s="19" t="n">
        <f aca="false">IF(p_Modalidad=2,N(p_TarifaC),e_PrecioC1)*(1+e_PrecioVar)*(1+e_PrecioGr)^(Calendario!AV$19-1)</f>
        <v>23.696923</v>
      </c>
      <c r="AW52" s="19" t="n">
        <f aca="false">IF(p_Modalidad=2,N(p_TarifaC),e_PrecioC1)*(1+e_PrecioVar)*(1+e_PrecioGr)^(Calendario!AW$19-1)</f>
        <v>23.696923</v>
      </c>
      <c r="AX52" s="19" t="n">
        <f aca="false">IF(p_Modalidad=2,N(p_TarifaC),e_PrecioC1)*(1+e_PrecioVar)*(1+e_PrecioGr)^(Calendario!AX$19-1)</f>
        <v>23.696923</v>
      </c>
      <c r="AY52" s="19" t="n">
        <f aca="false">IF(p_Modalidad=2,N(p_TarifaC),e_PrecioC1)*(1+e_PrecioVar)*(1+e_PrecioGr)^(Calendario!AY$19-1)</f>
        <v>23.696923</v>
      </c>
      <c r="AZ52" s="19" t="n">
        <f aca="false">IF(p_Modalidad=2,N(p_TarifaC),e_PrecioC1)*(1+e_PrecioVar)*(1+e_PrecioGr)^(Calendario!AZ$19-1)</f>
        <v>23.696923</v>
      </c>
      <c r="BA52" s="19" t="n">
        <f aca="false">IF(p_Modalidad=2,N(p_TarifaC),e_PrecioC1)*(1+e_PrecioVar)*(1+e_PrecioGr)^(Calendario!BA$19-1)</f>
        <v>23.696923</v>
      </c>
      <c r="BB52" s="19" t="n">
        <f aca="false">IF(p_Modalidad=2,N(p_TarifaC),e_PrecioC1)*(1+e_PrecioVar)*(1+e_PrecioGr)^(Calendario!BB$19-1)</f>
        <v>23.696923</v>
      </c>
      <c r="BC52" s="19" t="n">
        <f aca="false">IF(p_Modalidad=2,N(p_TarifaC),e_PrecioC1)*(1+e_PrecioVar)*(1+e_PrecioGr)^(Calendario!BC$19-1)</f>
        <v>23.93389223</v>
      </c>
      <c r="BD52" s="19" t="n">
        <f aca="false">IF(p_Modalidad=2,N(p_TarifaC),e_PrecioC1)*(1+e_PrecioVar)*(1+e_PrecioGr)^(Calendario!BD$19-1)</f>
        <v>23.93389223</v>
      </c>
      <c r="BE52" s="19" t="n">
        <f aca="false">IF(p_Modalidad=2,N(p_TarifaC),e_PrecioC1)*(1+e_PrecioVar)*(1+e_PrecioGr)^(Calendario!BE$19-1)</f>
        <v>23.93389223</v>
      </c>
      <c r="BF52" s="19" t="n">
        <f aca="false">IF(p_Modalidad=2,N(p_TarifaC),e_PrecioC1)*(1+e_PrecioVar)*(1+e_PrecioGr)^(Calendario!BF$19-1)</f>
        <v>23.93389223</v>
      </c>
      <c r="BG52" s="19" t="n">
        <f aca="false">IF(p_Modalidad=2,N(p_TarifaC),e_PrecioC1)*(1+e_PrecioVar)*(1+e_PrecioGr)^(Calendario!BG$19-1)</f>
        <v>23.93389223</v>
      </c>
      <c r="BH52" s="19" t="n">
        <f aca="false">IF(p_Modalidad=2,N(p_TarifaC),e_PrecioC1)*(1+e_PrecioVar)*(1+e_PrecioGr)^(Calendario!BH$19-1)</f>
        <v>23.93389223</v>
      </c>
      <c r="BI52" s="19" t="n">
        <f aca="false">IF(p_Modalidad=2,N(p_TarifaC),e_PrecioC1)*(1+e_PrecioVar)*(1+e_PrecioGr)^(Calendario!BI$19-1)</f>
        <v>23.93389223</v>
      </c>
      <c r="BJ52" s="19" t="n">
        <f aca="false">IF(p_Modalidad=2,N(p_TarifaC),e_PrecioC1)*(1+e_PrecioVar)*(1+e_PrecioGr)^(Calendario!BJ$19-1)</f>
        <v>23.93389223</v>
      </c>
      <c r="BK52" s="19" t="n">
        <f aca="false">IF(p_Modalidad=2,N(p_TarifaC),e_PrecioC1)*(1+e_PrecioVar)*(1+e_PrecioGr)^(Calendario!BK$19-1)</f>
        <v>23.93389223</v>
      </c>
      <c r="BL52" s="19" t="n">
        <f aca="false">IF(p_Modalidad=2,N(p_TarifaC),e_PrecioC1)*(1+e_PrecioVar)*(1+e_PrecioGr)^(Calendario!BL$19-1)</f>
        <v>23.93389223</v>
      </c>
      <c r="BM52" s="19" t="n">
        <f aca="false">IF(p_Modalidad=2,N(p_TarifaC),e_PrecioC1)*(1+e_PrecioVar)*(1+e_PrecioGr)^(Calendario!BM$19-1)</f>
        <v>23.93389223</v>
      </c>
      <c r="BN52" s="19" t="n">
        <f aca="false">IF(p_Modalidad=2,N(p_TarifaC),e_PrecioC1)*(1+e_PrecioVar)*(1+e_PrecioGr)^(Calendario!BN$19-1)</f>
        <v>23.93389223</v>
      </c>
      <c r="BO52" s="19" t="n">
        <f aca="false">IF(p_Modalidad=2,N(p_TarifaC),e_PrecioC1)*(1+e_PrecioVar)*(1+e_PrecioGr)^(Calendario!BO$19-1)</f>
        <v>24.1732311523</v>
      </c>
      <c r="BP52" s="19" t="n">
        <f aca="false">IF(p_Modalidad=2,N(p_TarifaC),e_PrecioC1)*(1+e_PrecioVar)*(1+e_PrecioGr)^(Calendario!BP$19-1)</f>
        <v>24.1732311523</v>
      </c>
      <c r="BQ52" s="19" t="n">
        <f aca="false">IF(p_Modalidad=2,N(p_TarifaC),e_PrecioC1)*(1+e_PrecioVar)*(1+e_PrecioGr)^(Calendario!BQ$19-1)</f>
        <v>24.1732311523</v>
      </c>
      <c r="BR52" s="19" t="n">
        <f aca="false">IF(p_Modalidad=2,N(p_TarifaC),e_PrecioC1)*(1+e_PrecioVar)*(1+e_PrecioGr)^(Calendario!BR$19-1)</f>
        <v>24.1732311523</v>
      </c>
      <c r="BS52" s="19" t="n">
        <f aca="false">IF(p_Modalidad=2,N(p_TarifaC),e_PrecioC1)*(1+e_PrecioVar)*(1+e_PrecioGr)^(Calendario!BS$19-1)</f>
        <v>24.1732311523</v>
      </c>
      <c r="BT52" s="19" t="n">
        <f aca="false">IF(p_Modalidad=2,N(p_TarifaC),e_PrecioC1)*(1+e_PrecioVar)*(1+e_PrecioGr)^(Calendario!BT$19-1)</f>
        <v>24.1732311523</v>
      </c>
      <c r="BU52" s="19" t="n">
        <f aca="false">IF(p_Modalidad=2,N(p_TarifaC),e_PrecioC1)*(1+e_PrecioVar)*(1+e_PrecioGr)^(Calendario!BU$19-1)</f>
        <v>24.1732311523</v>
      </c>
      <c r="BV52" s="19" t="n">
        <f aca="false">IF(p_Modalidad=2,N(p_TarifaC),e_PrecioC1)*(1+e_PrecioVar)*(1+e_PrecioGr)^(Calendario!BV$19-1)</f>
        <v>24.1732311523</v>
      </c>
      <c r="BW52" s="19" t="n">
        <f aca="false">IF(p_Modalidad=2,N(p_TarifaC),e_PrecioC1)*(1+e_PrecioVar)*(1+e_PrecioGr)^(Calendario!BW$19-1)</f>
        <v>24.1732311523</v>
      </c>
      <c r="BX52" s="19" t="n">
        <f aca="false">IF(p_Modalidad=2,N(p_TarifaC),e_PrecioC1)*(1+e_PrecioVar)*(1+e_PrecioGr)^(Calendario!BX$19-1)</f>
        <v>24.1732311523</v>
      </c>
      <c r="BY52" s="19" t="n">
        <f aca="false">IF(p_Modalidad=2,N(p_TarifaC),e_PrecioC1)*(1+e_PrecioVar)*(1+e_PrecioGr)^(Calendario!BY$19-1)</f>
        <v>24.1732311523</v>
      </c>
      <c r="BZ52" s="19" t="n">
        <f aca="false">IF(p_Modalidad=2,N(p_TarifaC),e_PrecioC1)*(1+e_PrecioVar)*(1+e_PrecioGr)^(Calendario!BZ$19-1)</f>
        <v>24.1732311523</v>
      </c>
      <c r="CA52" s="19" t="n">
        <f aca="false">IF(p_Modalidad=2,N(p_TarifaC),e_PrecioC1)*(1+e_PrecioVar)*(1+e_PrecioGr)^(Calendario!CA$19-1)</f>
        <v>24.414963463823</v>
      </c>
      <c r="CB52" s="19" t="n">
        <f aca="false">IF(p_Modalidad=2,N(p_TarifaC),e_PrecioC1)*(1+e_PrecioVar)*(1+e_PrecioGr)^(Calendario!CB$19-1)</f>
        <v>24.414963463823</v>
      </c>
      <c r="CC52" s="19" t="n">
        <f aca="false">IF(p_Modalidad=2,N(p_TarifaC),e_PrecioC1)*(1+e_PrecioVar)*(1+e_PrecioGr)^(Calendario!CC$19-1)</f>
        <v>24.414963463823</v>
      </c>
      <c r="CD52" s="19" t="n">
        <f aca="false">IF(p_Modalidad=2,N(p_TarifaC),e_PrecioC1)*(1+e_PrecioVar)*(1+e_PrecioGr)^(Calendario!CD$19-1)</f>
        <v>24.414963463823</v>
      </c>
      <c r="CE52" s="19" t="n">
        <f aca="false">IF(p_Modalidad=2,N(p_TarifaC),e_PrecioC1)*(1+e_PrecioVar)*(1+e_PrecioGr)^(Calendario!CE$19-1)</f>
        <v>24.414963463823</v>
      </c>
      <c r="CF52" s="19" t="n">
        <f aca="false">IF(p_Modalidad=2,N(p_TarifaC),e_PrecioC1)*(1+e_PrecioVar)*(1+e_PrecioGr)^(Calendario!CF$19-1)</f>
        <v>24.414963463823</v>
      </c>
      <c r="CG52" s="19" t="n">
        <f aca="false">IF(p_Modalidad=2,N(p_TarifaC),e_PrecioC1)*(1+e_PrecioVar)*(1+e_PrecioGr)^(Calendario!CG$19-1)</f>
        <v>24.414963463823</v>
      </c>
      <c r="CH52" s="19" t="n">
        <f aca="false">IF(p_Modalidad=2,N(p_TarifaC),e_PrecioC1)*(1+e_PrecioVar)*(1+e_PrecioGr)^(Calendario!CH$19-1)</f>
        <v>24.414963463823</v>
      </c>
      <c r="CI52" s="19" t="n">
        <f aca="false">IF(p_Modalidad=2,N(p_TarifaC),e_PrecioC1)*(1+e_PrecioVar)*(1+e_PrecioGr)^(Calendario!CI$19-1)</f>
        <v>24.414963463823</v>
      </c>
      <c r="CJ52" s="19" t="n">
        <f aca="false">IF(p_Modalidad=2,N(p_TarifaC),e_PrecioC1)*(1+e_PrecioVar)*(1+e_PrecioGr)^(Calendario!CJ$19-1)</f>
        <v>24.414963463823</v>
      </c>
      <c r="CK52" s="19" t="n">
        <f aca="false">IF(p_Modalidad=2,N(p_TarifaC),e_PrecioC1)*(1+e_PrecioVar)*(1+e_PrecioGr)^(Calendario!CK$19-1)</f>
        <v>24.414963463823</v>
      </c>
      <c r="CL52" s="19" t="n">
        <f aca="false">IF(p_Modalidad=2,N(p_TarifaC),e_PrecioC1)*(1+e_PrecioVar)*(1+e_PrecioGr)^(Calendario!CL$19-1)</f>
        <v>24.414963463823</v>
      </c>
      <c r="CM52" s="19" t="n">
        <f aca="false">IF(p_Modalidad=2,N(p_TarifaC),e_PrecioC1)*(1+e_PrecioVar)*(1+e_PrecioGr)^(Calendario!CM$19-1)</f>
        <v>24.6591130984612</v>
      </c>
      <c r="CN52" s="19" t="n">
        <f aca="false">IF(p_Modalidad=2,N(p_TarifaC),e_PrecioC1)*(1+e_PrecioVar)*(1+e_PrecioGr)^(Calendario!CN$19-1)</f>
        <v>24.6591130984612</v>
      </c>
      <c r="CO52" s="19" t="n">
        <f aca="false">IF(p_Modalidad=2,N(p_TarifaC),e_PrecioC1)*(1+e_PrecioVar)*(1+e_PrecioGr)^(Calendario!CO$19-1)</f>
        <v>24.6591130984612</v>
      </c>
      <c r="CP52" s="19" t="n">
        <f aca="false">IF(p_Modalidad=2,N(p_TarifaC),e_PrecioC1)*(1+e_PrecioVar)*(1+e_PrecioGr)^(Calendario!CP$19-1)</f>
        <v>24.6591130984612</v>
      </c>
      <c r="CQ52" s="19" t="n">
        <f aca="false">IF(p_Modalidad=2,N(p_TarifaC),e_PrecioC1)*(1+e_PrecioVar)*(1+e_PrecioGr)^(Calendario!CQ$19-1)</f>
        <v>24.6591130984612</v>
      </c>
      <c r="CR52" s="19" t="n">
        <f aca="false">IF(p_Modalidad=2,N(p_TarifaC),e_PrecioC1)*(1+e_PrecioVar)*(1+e_PrecioGr)^(Calendario!CR$19-1)</f>
        <v>24.6591130984612</v>
      </c>
      <c r="CS52" s="19" t="n">
        <f aca="false">IF(p_Modalidad=2,N(p_TarifaC),e_PrecioC1)*(1+e_PrecioVar)*(1+e_PrecioGr)^(Calendario!CS$19-1)</f>
        <v>24.6591130984612</v>
      </c>
      <c r="CT52" s="19" t="n">
        <f aca="false">IF(p_Modalidad=2,N(p_TarifaC),e_PrecioC1)*(1+e_PrecioVar)*(1+e_PrecioGr)^(Calendario!CT$19-1)</f>
        <v>24.6591130984612</v>
      </c>
      <c r="CU52" s="19" t="n">
        <f aca="false">IF(p_Modalidad=2,N(p_TarifaC),e_PrecioC1)*(1+e_PrecioVar)*(1+e_PrecioGr)^(Calendario!CU$19-1)</f>
        <v>24.6591130984612</v>
      </c>
      <c r="CV52" s="19" t="n">
        <f aca="false">IF(p_Modalidad=2,N(p_TarifaC),e_PrecioC1)*(1+e_PrecioVar)*(1+e_PrecioGr)^(Calendario!CV$19-1)</f>
        <v>24.6591130984612</v>
      </c>
      <c r="CW52" s="19" t="n">
        <f aca="false">IF(p_Modalidad=2,N(p_TarifaC),e_PrecioC1)*(1+e_PrecioVar)*(1+e_PrecioGr)^(Calendario!CW$19-1)</f>
        <v>24.6591130984612</v>
      </c>
      <c r="CX52" s="19" t="n">
        <f aca="false">IF(p_Modalidad=2,N(p_TarifaC),e_PrecioC1)*(1+e_PrecioVar)*(1+e_PrecioGr)^(Calendario!CX$19-1)</f>
        <v>24.6591130984612</v>
      </c>
      <c r="CY52" s="19" t="n">
        <f aca="false">IF(p_Modalidad=2,N(p_TarifaC),e_PrecioC1)*(1+e_PrecioVar)*(1+e_PrecioGr)^(Calendario!CY$19-1)</f>
        <v>24.9057042294458</v>
      </c>
      <c r="CZ52" s="19" t="n">
        <f aca="false">IF(p_Modalidad=2,N(p_TarifaC),e_PrecioC1)*(1+e_PrecioVar)*(1+e_PrecioGr)^(Calendario!CZ$19-1)</f>
        <v>24.9057042294458</v>
      </c>
      <c r="DA52" s="19" t="n">
        <f aca="false">IF(p_Modalidad=2,N(p_TarifaC),e_PrecioC1)*(1+e_PrecioVar)*(1+e_PrecioGr)^(Calendario!DA$19-1)</f>
        <v>24.9057042294458</v>
      </c>
      <c r="DB52" s="19" t="n">
        <f aca="false">IF(p_Modalidad=2,N(p_TarifaC),e_PrecioC1)*(1+e_PrecioVar)*(1+e_PrecioGr)^(Calendario!DB$19-1)</f>
        <v>24.9057042294458</v>
      </c>
      <c r="DC52" s="19" t="n">
        <f aca="false">IF(p_Modalidad=2,N(p_TarifaC),e_PrecioC1)*(1+e_PrecioVar)*(1+e_PrecioGr)^(Calendario!DC$19-1)</f>
        <v>24.9057042294458</v>
      </c>
      <c r="DD52" s="19" t="n">
        <f aca="false">IF(p_Modalidad=2,N(p_TarifaC),e_PrecioC1)*(1+e_PrecioVar)*(1+e_PrecioGr)^(Calendario!DD$19-1)</f>
        <v>24.9057042294458</v>
      </c>
      <c r="DE52" s="19" t="n">
        <f aca="false">IF(p_Modalidad=2,N(p_TarifaC),e_PrecioC1)*(1+e_PrecioVar)*(1+e_PrecioGr)^(Calendario!DE$19-1)</f>
        <v>24.9057042294458</v>
      </c>
      <c r="DF52" s="19" t="n">
        <f aca="false">IF(p_Modalidad=2,N(p_TarifaC),e_PrecioC1)*(1+e_PrecioVar)*(1+e_PrecioGr)^(Calendario!DF$19-1)</f>
        <v>24.9057042294458</v>
      </c>
      <c r="DG52" s="19" t="n">
        <f aca="false">IF(p_Modalidad=2,N(p_TarifaC),e_PrecioC1)*(1+e_PrecioVar)*(1+e_PrecioGr)^(Calendario!DG$19-1)</f>
        <v>24.9057042294458</v>
      </c>
      <c r="DH52" s="19" t="n">
        <f aca="false">IF(p_Modalidad=2,N(p_TarifaC),e_PrecioC1)*(1+e_PrecioVar)*(1+e_PrecioGr)^(Calendario!DH$19-1)</f>
        <v>24.9057042294458</v>
      </c>
      <c r="DI52" s="19" t="n">
        <f aca="false">IF(p_Modalidad=2,N(p_TarifaC),e_PrecioC1)*(1+e_PrecioVar)*(1+e_PrecioGr)^(Calendario!DI$19-1)</f>
        <v>24.9057042294458</v>
      </c>
      <c r="DJ52" s="19" t="n">
        <f aca="false">IF(p_Modalidad=2,N(p_TarifaC),e_PrecioC1)*(1+e_PrecioVar)*(1+e_PrecioGr)^(Calendario!DJ$19-1)</f>
        <v>24.9057042294458</v>
      </c>
      <c r="DK52" s="19" t="n">
        <f aca="false">IF(p_Modalidad=2,N(p_TarifaC),e_PrecioC1)*(1+e_PrecioVar)*(1+e_PrecioGr)^(Calendario!DK$19-1)</f>
        <v>25.1547612717403</v>
      </c>
      <c r="DL52" s="19" t="n">
        <f aca="false">IF(p_Modalidad=2,N(p_TarifaC),e_PrecioC1)*(1+e_PrecioVar)*(1+e_PrecioGr)^(Calendario!DL$19-1)</f>
        <v>25.1547612717403</v>
      </c>
      <c r="DM52" s="19" t="n">
        <f aca="false">IF(p_Modalidad=2,N(p_TarifaC),e_PrecioC1)*(1+e_PrecioVar)*(1+e_PrecioGr)^(Calendario!DM$19-1)</f>
        <v>25.1547612717403</v>
      </c>
      <c r="DN52" s="19" t="n">
        <f aca="false">IF(p_Modalidad=2,N(p_TarifaC),e_PrecioC1)*(1+e_PrecioVar)*(1+e_PrecioGr)^(Calendario!DN$19-1)</f>
        <v>25.1547612717403</v>
      </c>
      <c r="DO52" s="19" t="n">
        <f aca="false">IF(p_Modalidad=2,N(p_TarifaC),e_PrecioC1)*(1+e_PrecioVar)*(1+e_PrecioGr)^(Calendario!DO$19-1)</f>
        <v>25.1547612717403</v>
      </c>
      <c r="DP52" s="19" t="n">
        <f aca="false">IF(p_Modalidad=2,N(p_TarifaC),e_PrecioC1)*(1+e_PrecioVar)*(1+e_PrecioGr)^(Calendario!DP$19-1)</f>
        <v>25.1547612717403</v>
      </c>
      <c r="DQ52" s="19" t="n">
        <f aca="false">IF(p_Modalidad=2,N(p_TarifaC),e_PrecioC1)*(1+e_PrecioVar)*(1+e_PrecioGr)^(Calendario!DQ$19-1)</f>
        <v>25.1547612717403</v>
      </c>
      <c r="DR52" s="19" t="n">
        <f aca="false">IF(p_Modalidad=2,N(p_TarifaC),e_PrecioC1)*(1+e_PrecioVar)*(1+e_PrecioGr)^(Calendario!DR$19-1)</f>
        <v>25.1547612717403</v>
      </c>
      <c r="DS52" s="19" t="n">
        <f aca="false">IF(p_Modalidad=2,N(p_TarifaC),e_PrecioC1)*(1+e_PrecioVar)*(1+e_PrecioGr)^(Calendario!DS$19-1)</f>
        <v>25.1547612717403</v>
      </c>
      <c r="DT52" s="19" t="n">
        <f aca="false">IF(p_Modalidad=2,N(p_TarifaC),e_PrecioC1)*(1+e_PrecioVar)*(1+e_PrecioGr)^(Calendario!DT$19-1)</f>
        <v>25.1547612717403</v>
      </c>
      <c r="DU52" s="19" t="n">
        <f aca="false">IF(p_Modalidad=2,N(p_TarifaC),e_PrecioC1)*(1+e_PrecioVar)*(1+e_PrecioGr)^(Calendario!DU$19-1)</f>
        <v>25.1547612717403</v>
      </c>
      <c r="DV52" s="19" t="n">
        <f aca="false">IF(p_Modalidad=2,N(p_TarifaC),e_PrecioC1)*(1+e_PrecioVar)*(1+e_PrecioGr)^(Calendario!DV$19-1)</f>
        <v>25.1547612717403</v>
      </c>
      <c r="DW52" s="19" t="n">
        <f aca="false">IF(p_Modalidad=2,N(p_TarifaC),e_PrecioC1)*(1+e_PrecioVar)*(1+e_PrecioGr)^(Calendario!DW$19-1)</f>
        <v>25.4063088844577</v>
      </c>
      <c r="DX52" s="19" t="n">
        <f aca="false">IF(p_Modalidad=2,N(p_TarifaC),e_PrecioC1)*(1+e_PrecioVar)*(1+e_PrecioGr)^(Calendario!DX$19-1)</f>
        <v>25.4063088844577</v>
      </c>
      <c r="DY52" s="19" t="n">
        <f aca="false">IF(p_Modalidad=2,N(p_TarifaC),e_PrecioC1)*(1+e_PrecioVar)*(1+e_PrecioGr)^(Calendario!DY$19-1)</f>
        <v>25.4063088844577</v>
      </c>
      <c r="DZ52" s="19" t="n">
        <f aca="false">IF(p_Modalidad=2,N(p_TarifaC),e_PrecioC1)*(1+e_PrecioVar)*(1+e_PrecioGr)^(Calendario!DZ$19-1)</f>
        <v>25.4063088844577</v>
      </c>
      <c r="EA52" s="19" t="n">
        <f aca="false">IF(p_Modalidad=2,N(p_TarifaC),e_PrecioC1)*(1+e_PrecioVar)*(1+e_PrecioGr)^(Calendario!EA$19-1)</f>
        <v>25.4063088844577</v>
      </c>
      <c r="EB52" s="19" t="n">
        <f aca="false">IF(p_Modalidad=2,N(p_TarifaC),e_PrecioC1)*(1+e_PrecioVar)*(1+e_PrecioGr)^(Calendario!EB$19-1)</f>
        <v>25.4063088844577</v>
      </c>
      <c r="EC52" s="19" t="n">
        <f aca="false">IF(p_Modalidad=2,N(p_TarifaC),e_PrecioC1)*(1+e_PrecioVar)*(1+e_PrecioGr)^(Calendario!EC$19-1)</f>
        <v>25.4063088844577</v>
      </c>
      <c r="ED52" s="19" t="n">
        <f aca="false">IF(p_Modalidad=2,N(p_TarifaC),e_PrecioC1)*(1+e_PrecioVar)*(1+e_PrecioGr)^(Calendario!ED$19-1)</f>
        <v>25.4063088844577</v>
      </c>
      <c r="EE52" s="19" t="n">
        <f aca="false">IF(p_Modalidad=2,N(p_TarifaC),e_PrecioC1)*(1+e_PrecioVar)*(1+e_PrecioGr)^(Calendario!EE$19-1)</f>
        <v>25.4063088844577</v>
      </c>
      <c r="EF52" s="19" t="n">
        <f aca="false">IF(p_Modalidad=2,N(p_TarifaC),e_PrecioC1)*(1+e_PrecioVar)*(1+e_PrecioGr)^(Calendario!EF$19-1)</f>
        <v>25.4063088844577</v>
      </c>
      <c r="EG52" s="19" t="n">
        <f aca="false">IF(p_Modalidad=2,N(p_TarifaC),e_PrecioC1)*(1+e_PrecioVar)*(1+e_PrecioGr)^(Calendario!EG$19-1)</f>
        <v>25.4063088844577</v>
      </c>
      <c r="EH52" s="19" t="n">
        <f aca="false">IF(p_Modalidad=2,N(p_TarifaC),e_PrecioC1)*(1+e_PrecioVar)*(1+e_PrecioGr)^(Calendario!EH$19-1)</f>
        <v>25.4063088844577</v>
      </c>
      <c r="EI52" s="19" t="n">
        <f aca="false">IF(p_Modalidad=2,N(p_TarifaC),e_PrecioC1)*(1+e_PrecioVar)*(1+e_PrecioGr)^(Calendario!EI$19-1)</f>
        <v>25.6603719733023</v>
      </c>
      <c r="EJ52" s="19" t="n">
        <f aca="false">IF(p_Modalidad=2,N(p_TarifaC),e_PrecioC1)*(1+e_PrecioVar)*(1+e_PrecioGr)^(Calendario!EJ$19-1)</f>
        <v>25.6603719733023</v>
      </c>
      <c r="EK52" s="19" t="n">
        <f aca="false">IF(p_Modalidad=2,N(p_TarifaC),e_PrecioC1)*(1+e_PrecioVar)*(1+e_PrecioGr)^(Calendario!EK$19-1)</f>
        <v>25.6603719733023</v>
      </c>
      <c r="EL52" s="19" t="n">
        <f aca="false">IF(p_Modalidad=2,N(p_TarifaC),e_PrecioC1)*(1+e_PrecioVar)*(1+e_PrecioGr)^(Calendario!EL$19-1)</f>
        <v>25.6603719733023</v>
      </c>
      <c r="EM52" s="19" t="n">
        <f aca="false">IF(p_Modalidad=2,N(p_TarifaC),e_PrecioC1)*(1+e_PrecioVar)*(1+e_PrecioGr)^(Calendario!EM$19-1)</f>
        <v>25.6603719733023</v>
      </c>
      <c r="EN52" s="19" t="n">
        <f aca="false">IF(p_Modalidad=2,N(p_TarifaC),e_PrecioC1)*(1+e_PrecioVar)*(1+e_PrecioGr)^(Calendario!EN$19-1)</f>
        <v>25.6603719733023</v>
      </c>
      <c r="EO52" s="19" t="n">
        <f aca="false">IF(p_Modalidad=2,N(p_TarifaC),e_PrecioC1)*(1+e_PrecioVar)*(1+e_PrecioGr)^(Calendario!EO$19-1)</f>
        <v>25.6603719733023</v>
      </c>
      <c r="EP52" s="19" t="n">
        <f aca="false">IF(p_Modalidad=2,N(p_TarifaC),e_PrecioC1)*(1+e_PrecioVar)*(1+e_PrecioGr)^(Calendario!EP$19-1)</f>
        <v>25.6603719733023</v>
      </c>
      <c r="EQ52" s="19" t="n">
        <f aca="false">IF(p_Modalidad=2,N(p_TarifaC),e_PrecioC1)*(1+e_PrecioVar)*(1+e_PrecioGr)^(Calendario!EQ$19-1)</f>
        <v>25.6603719733023</v>
      </c>
      <c r="ER52" s="19" t="n">
        <f aca="false">IF(p_Modalidad=2,N(p_TarifaC),e_PrecioC1)*(1+e_PrecioVar)*(1+e_PrecioGr)^(Calendario!ER$19-1)</f>
        <v>25.6603719733023</v>
      </c>
      <c r="ES52" s="19" t="n">
        <f aca="false">IF(p_Modalidad=2,N(p_TarifaC),e_PrecioC1)*(1+e_PrecioVar)*(1+e_PrecioGr)^(Calendario!ES$19-1)</f>
        <v>25.6603719733023</v>
      </c>
      <c r="ET52" s="19" t="n">
        <f aca="false">IF(p_Modalidad=2,N(p_TarifaC),e_PrecioC1)*(1+e_PrecioVar)*(1+e_PrecioGr)^(Calendario!ET$19-1)</f>
        <v>25.6603719733023</v>
      </c>
      <c r="EU52" s="19" t="n">
        <f aca="false">IF(p_Modalidad=2,N(p_TarifaC),e_PrecioC1)*(1+e_PrecioVar)*(1+e_PrecioGr)^(Calendario!EU$19-1)</f>
        <v>25.9169756930353</v>
      </c>
      <c r="EV52" s="19" t="n">
        <f aca="false">IF(p_Modalidad=2,N(p_TarifaC),e_PrecioC1)*(1+e_PrecioVar)*(1+e_PrecioGr)^(Calendario!EV$19-1)</f>
        <v>25.9169756930353</v>
      </c>
      <c r="EW52" s="19" t="n">
        <f aca="false">IF(p_Modalidad=2,N(p_TarifaC),e_PrecioC1)*(1+e_PrecioVar)*(1+e_PrecioGr)^(Calendario!EW$19-1)</f>
        <v>25.9169756930353</v>
      </c>
      <c r="EX52" s="19" t="n">
        <f aca="false">IF(p_Modalidad=2,N(p_TarifaC),e_PrecioC1)*(1+e_PrecioVar)*(1+e_PrecioGr)^(Calendario!EX$19-1)</f>
        <v>25.9169756930353</v>
      </c>
      <c r="EY52" s="19" t="n">
        <f aca="false">IF(p_Modalidad=2,N(p_TarifaC),e_PrecioC1)*(1+e_PrecioVar)*(1+e_PrecioGr)^(Calendario!EY$19-1)</f>
        <v>25.9169756930353</v>
      </c>
      <c r="EZ52" s="19" t="n">
        <f aca="false">IF(p_Modalidad=2,N(p_TarifaC),e_PrecioC1)*(1+e_PrecioVar)*(1+e_PrecioGr)^(Calendario!EZ$19-1)</f>
        <v>25.9169756930353</v>
      </c>
      <c r="FA52" s="19" t="n">
        <f aca="false">IF(p_Modalidad=2,N(p_TarifaC),e_PrecioC1)*(1+e_PrecioVar)*(1+e_PrecioGr)^(Calendario!FA$19-1)</f>
        <v>25.9169756930353</v>
      </c>
      <c r="FB52" s="19" t="n">
        <f aca="false">IF(p_Modalidad=2,N(p_TarifaC),e_PrecioC1)*(1+e_PrecioVar)*(1+e_PrecioGr)^(Calendario!FB$19-1)</f>
        <v>25.9169756930353</v>
      </c>
      <c r="FC52" s="19" t="n">
        <f aca="false">IF(p_Modalidad=2,N(p_TarifaC),e_PrecioC1)*(1+e_PrecioVar)*(1+e_PrecioGr)^(Calendario!FC$19-1)</f>
        <v>25.9169756930353</v>
      </c>
      <c r="FD52" s="19" t="n">
        <f aca="false">IF(p_Modalidad=2,N(p_TarifaC),e_PrecioC1)*(1+e_PrecioVar)*(1+e_PrecioGr)^(Calendario!FD$19-1)</f>
        <v>25.9169756930353</v>
      </c>
      <c r="FE52" s="19" t="n">
        <f aca="false">IF(p_Modalidad=2,N(p_TarifaC),e_PrecioC1)*(1+e_PrecioVar)*(1+e_PrecioGr)^(Calendario!FE$19-1)</f>
        <v>25.9169756930353</v>
      </c>
      <c r="FF52" s="19" t="n">
        <f aca="false">IF(p_Modalidad=2,N(p_TarifaC),e_PrecioC1)*(1+e_PrecioVar)*(1+e_PrecioGr)^(Calendario!FF$19-1)</f>
        <v>25.9169756930353</v>
      </c>
    </row>
    <row r="53" customFormat="false" ht="15" hidden="false" customHeight="false" outlineLevel="0" collapsed="false">
      <c r="A53" s="2" t="s">
        <v>884</v>
      </c>
      <c r="B53" s="66" t="s">
        <v>863</v>
      </c>
      <c r="C53" s="8" t="s">
        <v>255</v>
      </c>
      <c r="E53" s="67" t="n">
        <f aca="false">SUM($F53:$FF53)</f>
        <v>26794183.6134924</v>
      </c>
      <c r="F53" s="12" t="n">
        <f aca="false">IF(F$9=1,SUMIFS(dr_USD,dr_Mes,0,dr_Cod,"VTA_C",dr_Est,"&lt;&gt;Excluido"),F$45*F$52)</f>
        <v>0</v>
      </c>
      <c r="G53" s="12" t="n">
        <f aca="false">IF(G$9=1,SUMIFS(dr_USD,dr_Mes,1,dr_Cod,"VTA_C",dr_Est,"&lt;&gt;Excluido"),G$45*G$52)</f>
        <v>134166.666666667</v>
      </c>
      <c r="H53" s="12" t="n">
        <f aca="false">IF(H$9=1,SUMIFS(dr_USD,dr_Mes,2,dr_Cod,"VTA_C",dr_Est,"&lt;&gt;Excluido"),H$45*H$52)</f>
        <v>134166.666666667</v>
      </c>
      <c r="I53" s="12" t="n">
        <f aca="false">IF(I$9=1,SUMIFS(dr_USD,dr_Mes,3,dr_Cod,"VTA_C",dr_Est,"&lt;&gt;Excluido"),I$45*I$52)</f>
        <v>134166.666666667</v>
      </c>
      <c r="J53" s="12" t="n">
        <f aca="false">IF(J$9=1,SUMIFS(dr_USD,dr_Mes,4,dr_Cod,"VTA_C",dr_Est,"&lt;&gt;Excluido"),J$45*J$52)</f>
        <v>134166.666666667</v>
      </c>
      <c r="K53" s="12" t="n">
        <f aca="false">IF(K$9=1,SUMIFS(dr_USD,dr_Mes,5,dr_Cod,"VTA_C",dr_Est,"&lt;&gt;Excluido"),K$45*K$52)</f>
        <v>134166.666666667</v>
      </c>
      <c r="L53" s="12" t="n">
        <f aca="false">IF(L$9=1,SUMIFS(dr_USD,dr_Mes,6,dr_Cod,"VTA_C",dr_Est,"&lt;&gt;Excluido"),L$45*L$52)</f>
        <v>134166.666666667</v>
      </c>
      <c r="M53" s="12" t="n">
        <f aca="false">IF(M$9=1,SUMIFS(dr_USD,dr_Mes,7,dr_Cod,"VTA_C",dr_Est,"&lt;&gt;Excluido"),M$45*M$52)</f>
        <v>134166.666666667</v>
      </c>
      <c r="N53" s="12" t="n">
        <f aca="false">IF(N$9=1,SUMIFS(dr_USD,dr_Mes,8,dr_Cod,"VTA_C",dr_Est,"&lt;&gt;Excluido"),N$45*N$52)</f>
        <v>134166.666666667</v>
      </c>
      <c r="O53" s="12" t="n">
        <f aca="false">IF(O$9=1,SUMIFS(dr_USD,dr_Mes,9,dr_Cod,"VTA_C",dr_Est,"&lt;&gt;Excluido"),O$45*O$52)</f>
        <v>134166.666666667</v>
      </c>
      <c r="P53" s="12" t="n">
        <f aca="false">IF(P$9=1,SUMIFS(dr_USD,dr_Mes,10,dr_Cod,"VTA_C",dr_Est,"&lt;&gt;Excluido"),P$45*P$52)</f>
        <v>134166.666666667</v>
      </c>
      <c r="Q53" s="12" t="n">
        <f aca="false">IF(Q$9=1,SUMIFS(dr_USD,dr_Mes,11,dr_Cod,"VTA_C",dr_Est,"&lt;&gt;Excluido"),Q$45*Q$52)</f>
        <v>134166.666666667</v>
      </c>
      <c r="R53" s="12" t="n">
        <f aca="false">IF(R$9=1,SUMIFS(dr_USD,dr_Mes,12,dr_Cod,"VTA_C",dr_Est,"&lt;&gt;Excluido"),R$45*R$52)</f>
        <v>134166.666666667</v>
      </c>
      <c r="S53" s="12" t="n">
        <f aca="false">IF(S$9=1,SUMIFS(dr_USD,dr_Mes,13,dr_Cod,"VTA_C",dr_Est,"&lt;&gt;Excluido"),S$45*S$52)</f>
        <v>174225</v>
      </c>
      <c r="T53" s="12" t="n">
        <f aca="false">IF(T$9=1,SUMIFS(dr_USD,dr_Mes,14,dr_Cod,"VTA_C",dr_Est,"&lt;&gt;Excluido"),T$45*T$52)</f>
        <v>174225</v>
      </c>
      <c r="U53" s="12" t="n">
        <f aca="false">IF(U$9=1,SUMIFS(dr_USD,dr_Mes,15,dr_Cod,"VTA_C",dr_Est,"&lt;&gt;Excluido"),U$45*U$52)</f>
        <v>174225</v>
      </c>
      <c r="V53" s="12" t="n">
        <f aca="false">IF(V$9=1,SUMIFS(dr_USD,dr_Mes,16,dr_Cod,"VTA_C",dr_Est,"&lt;&gt;Excluido"),V$45*V$52)</f>
        <v>174225</v>
      </c>
      <c r="W53" s="12" t="n">
        <f aca="false">IF(W$9=1,SUMIFS(dr_USD,dr_Mes,17,dr_Cod,"VTA_C",dr_Est,"&lt;&gt;Excluido"),W$45*W$52)</f>
        <v>174225</v>
      </c>
      <c r="X53" s="12" t="n">
        <f aca="false">IF(X$9=1,SUMIFS(dr_USD,dr_Mes,18,dr_Cod,"VTA_C",dr_Est,"&lt;&gt;Excluido"),X$45*X$52)</f>
        <v>174225</v>
      </c>
      <c r="Y53" s="12" t="n">
        <f aca="false">IF(Y$9=1,SUMIFS(dr_USD,dr_Mes,19,dr_Cod,"VTA_C",dr_Est,"&lt;&gt;Excluido"),Y$45*Y$52)</f>
        <v>174225</v>
      </c>
      <c r="Z53" s="12" t="n">
        <f aca="false">IF(Z$9=1,SUMIFS(dr_USD,dr_Mes,20,dr_Cod,"VTA_C",dr_Est,"&lt;&gt;Excluido"),Z$45*Z$52)</f>
        <v>174225</v>
      </c>
      <c r="AA53" s="12" t="n">
        <f aca="false">IF(AA$9=1,SUMIFS(dr_USD,dr_Mes,21,dr_Cod,"VTA_C",dr_Est,"&lt;&gt;Excluido"),AA$45*AA$52)</f>
        <v>174225</v>
      </c>
      <c r="AB53" s="12" t="n">
        <f aca="false">IF(AB$9=1,SUMIFS(dr_USD,dr_Mes,22,dr_Cod,"VTA_C",dr_Est,"&lt;&gt;Excluido"),AB$45*AB$52)</f>
        <v>174225</v>
      </c>
      <c r="AC53" s="12" t="n">
        <f aca="false">IF(AC$9=1,SUMIFS(dr_USD,dr_Mes,23,dr_Cod,"VTA_C",dr_Est,"&lt;&gt;Excluido"),AC$45*AC$52)</f>
        <v>174225</v>
      </c>
      <c r="AD53" s="12" t="n">
        <f aca="false">IF(AD$9=1,SUMIFS(dr_USD,dr_Mes,24,dr_Cod,"VTA_C",dr_Est,"&lt;&gt;Excluido"),AD$45*AD$52)</f>
        <v>174225</v>
      </c>
      <c r="AE53" s="12" t="n">
        <f aca="false">IF(AE$9=1,SUMIFS(dr_USD,dr_Mes,25,dr_Cod,"VTA_C",dr_Est,"&lt;&gt;Excluido"),AE$45*AE$52)</f>
        <v>215071.083333333</v>
      </c>
      <c r="AF53" s="12" t="n">
        <f aca="false">IF(AF$9=1,SUMIFS(dr_USD,dr_Mes,26,dr_Cod,"VTA_C",dr_Est,"&lt;&gt;Excluido"),AF$45*AF$52)</f>
        <v>215071.083333333</v>
      </c>
      <c r="AG53" s="12" t="n">
        <f aca="false">IF(AG$9=1,SUMIFS(dr_USD,dr_Mes,27,dr_Cod,"VTA_C",dr_Est,"&lt;&gt;Excluido"),AG$45*AG$52)</f>
        <v>215071.083333333</v>
      </c>
      <c r="AH53" s="12" t="n">
        <f aca="false">IF(AH$9=1,SUMIFS(dr_USD,dr_Mes,28,dr_Cod,"VTA_C",dr_Est,"&lt;&gt;Excluido"),AH$45*AH$52)</f>
        <v>215071.083333333</v>
      </c>
      <c r="AI53" s="12" t="n">
        <f aca="false">IF(AI$9=1,SUMIFS(dr_USD,dr_Mes,29,dr_Cod,"VTA_C",dr_Est,"&lt;&gt;Excluido"),AI$45*AI$52)</f>
        <v>215071.083333333</v>
      </c>
      <c r="AJ53" s="12" t="n">
        <f aca="false">IF(AJ$9=1,SUMIFS(dr_USD,dr_Mes,30,dr_Cod,"VTA_C",dr_Est,"&lt;&gt;Excluido"),AJ$45*AJ$52)</f>
        <v>215071.083333333</v>
      </c>
      <c r="AK53" s="12" t="n">
        <f aca="false">IF(AK$9=1,SUMIFS(dr_USD,dr_Mes,31,dr_Cod,"VTA_C",dr_Est,"&lt;&gt;Excluido"),AK$45*AK$52)</f>
        <v>215071.083333333</v>
      </c>
      <c r="AL53" s="12" t="n">
        <f aca="false">IF(AL$9=1,SUMIFS(dr_USD,dr_Mes,32,dr_Cod,"VTA_C",dr_Est,"&lt;&gt;Excluido"),AL$45*AL$52)</f>
        <v>215071.083333333</v>
      </c>
      <c r="AM53" s="12" t="n">
        <f aca="false">IF(AM$9=1,SUMIFS(dr_USD,dr_Mes,33,dr_Cod,"VTA_C",dr_Est,"&lt;&gt;Excluido"),AM$45*AM$52)</f>
        <v>215071.083333333</v>
      </c>
      <c r="AN53" s="12" t="n">
        <f aca="false">IF(AN$9=1,SUMIFS(dr_USD,dr_Mes,34,dr_Cod,"VTA_C",dr_Est,"&lt;&gt;Excluido"),AN$45*AN$52)</f>
        <v>215071.083333333</v>
      </c>
      <c r="AO53" s="12" t="n">
        <f aca="false">IF(AO$9=1,SUMIFS(dr_USD,dr_Mes,35,dr_Cod,"VTA_C",dr_Est,"&lt;&gt;Excluido"),AO$45*AO$52)</f>
        <v>215071.083333333</v>
      </c>
      <c r="AP53" s="12" t="n">
        <f aca="false">IF(AP$9=1,SUMIFS(dr_USD,dr_Mes,36,dr_Cod,"VTA_C",dr_Est,"&lt;&gt;Excluido"),AP$45*AP$52)</f>
        <v>215071.083333333</v>
      </c>
      <c r="AQ53" s="12" t="n">
        <f aca="false">IF(AQ$9=1,SUMIFS(dr_USD,dr_Mes,37,dr_Cod,"VTA_C",dr_Est,"&lt;&gt;Excluido"),AQ$45*AQ$52)</f>
        <v>236969.23</v>
      </c>
      <c r="AR53" s="12" t="n">
        <f aca="false">IF(AR$9=1,SUMIFS(dr_USD,dr_Mes,38,dr_Cod,"VTA_C",dr_Est,"&lt;&gt;Excluido"),AR$45*AR$52)</f>
        <v>236969.23</v>
      </c>
      <c r="AS53" s="12" t="n">
        <f aca="false">IF(AS$9=1,SUMIFS(dr_USD,dr_Mes,39,dr_Cod,"VTA_C",dr_Est,"&lt;&gt;Excluido"),AS$45*AS$52)</f>
        <v>236969.23</v>
      </c>
      <c r="AT53" s="12" t="n">
        <f aca="false">IF(AT$9=1,SUMIFS(dr_USD,dr_Mes,40,dr_Cod,"VTA_C",dr_Est,"&lt;&gt;Excluido"),AT$45*AT$52)</f>
        <v>236969.23</v>
      </c>
      <c r="AU53" s="12" t="n">
        <f aca="false">IF(AU$9=1,SUMIFS(dr_USD,dr_Mes,41,dr_Cod,"VTA_C",dr_Est,"&lt;&gt;Excluido"),AU$45*AU$52)</f>
        <v>236969.23</v>
      </c>
      <c r="AV53" s="12" t="n">
        <f aca="false">IF(AV$9=1,SUMIFS(dr_USD,dr_Mes,42,dr_Cod,"VTA_C",dr_Est,"&lt;&gt;Excluido"),AV$45*AV$52)</f>
        <v>236969.23</v>
      </c>
      <c r="AW53" s="12" t="n">
        <f aca="false">IF(AW$9=1,SUMIFS(dr_USD,dr_Mes,43,dr_Cod,"VTA_C",dr_Est,"&lt;&gt;Excluido"),AW$45*AW$52)</f>
        <v>236969.23</v>
      </c>
      <c r="AX53" s="12" t="n">
        <f aca="false">IF(AX$9=1,SUMIFS(dr_USD,dr_Mes,44,dr_Cod,"VTA_C",dr_Est,"&lt;&gt;Excluido"),AX$45*AX$52)</f>
        <v>236969.23</v>
      </c>
      <c r="AY53" s="12" t="n">
        <f aca="false">IF(AY$9=1,SUMIFS(dr_USD,dr_Mes,45,dr_Cod,"VTA_C",dr_Est,"&lt;&gt;Excluido"),AY$45*AY$52)</f>
        <v>236969.23</v>
      </c>
      <c r="AZ53" s="12" t="n">
        <f aca="false">IF(AZ$9=1,SUMIFS(dr_USD,dr_Mes,46,dr_Cod,"VTA_C",dr_Est,"&lt;&gt;Excluido"),AZ$45*AZ$52)</f>
        <v>236969.23</v>
      </c>
      <c r="BA53" s="12" t="n">
        <f aca="false">IF(BA$9=1,SUMIFS(dr_USD,dr_Mes,47,dr_Cod,"VTA_C",dr_Est,"&lt;&gt;Excluido"),BA$45*BA$52)</f>
        <v>236969.23</v>
      </c>
      <c r="BB53" s="12" t="n">
        <f aca="false">IF(BB$9=1,SUMIFS(dr_USD,dr_Mes,48,dr_Cod,"VTA_C",dr_Est,"&lt;&gt;Excluido"),BB$45*BB$52)</f>
        <v>236969.23</v>
      </c>
      <c r="BC53" s="12" t="n">
        <f aca="false">IF(BC$9=1,SUMIFS(dr_USD,dr_Mes,49,dr_Cod,"VTA_C",dr_Est,"&lt;&gt;Excluido"),BC$45*BC$52)</f>
        <v>239338.9223</v>
      </c>
      <c r="BD53" s="12" t="n">
        <f aca="false">IF(BD$9=1,SUMIFS(dr_USD,dr_Mes,50,dr_Cod,"VTA_C",dr_Est,"&lt;&gt;Excluido"),BD$45*BD$52)</f>
        <v>239338.9223</v>
      </c>
      <c r="BE53" s="12" t="n">
        <f aca="false">IF(BE$9=1,SUMIFS(dr_USD,dr_Mes,51,dr_Cod,"VTA_C",dr_Est,"&lt;&gt;Excluido"),BE$45*BE$52)</f>
        <v>239338.9223</v>
      </c>
      <c r="BF53" s="12" t="n">
        <f aca="false">IF(BF$9=1,SUMIFS(dr_USD,dr_Mes,52,dr_Cod,"VTA_C",dr_Est,"&lt;&gt;Excluido"),BF$45*BF$52)</f>
        <v>239338.9223</v>
      </c>
      <c r="BG53" s="12" t="n">
        <f aca="false">IF(BG$9=1,SUMIFS(dr_USD,dr_Mes,53,dr_Cod,"VTA_C",dr_Est,"&lt;&gt;Excluido"),BG$45*BG$52)</f>
        <v>239338.9223</v>
      </c>
      <c r="BH53" s="12" t="n">
        <f aca="false">IF(BH$9=1,SUMIFS(dr_USD,dr_Mes,54,dr_Cod,"VTA_C",dr_Est,"&lt;&gt;Excluido"),BH$45*BH$52)</f>
        <v>239338.9223</v>
      </c>
      <c r="BI53" s="12" t="n">
        <f aca="false">IF(BI$9=1,SUMIFS(dr_USD,dr_Mes,55,dr_Cod,"VTA_C",dr_Est,"&lt;&gt;Excluido"),BI$45*BI$52)</f>
        <v>239338.9223</v>
      </c>
      <c r="BJ53" s="12" t="n">
        <f aca="false">IF(BJ$9=1,SUMIFS(dr_USD,dr_Mes,56,dr_Cod,"VTA_C",dr_Est,"&lt;&gt;Excluido"),BJ$45*BJ$52)</f>
        <v>239338.9223</v>
      </c>
      <c r="BK53" s="12" t="n">
        <f aca="false">IF(BK$9=1,SUMIFS(dr_USD,dr_Mes,57,dr_Cod,"VTA_C",dr_Est,"&lt;&gt;Excluido"),BK$45*BK$52)</f>
        <v>239338.9223</v>
      </c>
      <c r="BL53" s="12" t="n">
        <f aca="false">IF(BL$9=1,SUMIFS(dr_USD,dr_Mes,58,dr_Cod,"VTA_C",dr_Est,"&lt;&gt;Excluido"),BL$45*BL$52)</f>
        <v>239338.9223</v>
      </c>
      <c r="BM53" s="12" t="n">
        <f aca="false">IF(BM$9=1,SUMIFS(dr_USD,dr_Mes,59,dr_Cod,"VTA_C",dr_Est,"&lt;&gt;Excluido"),BM$45*BM$52)</f>
        <v>239338.9223</v>
      </c>
      <c r="BN53" s="12" t="n">
        <f aca="false">IF(BN$9=1,SUMIFS(dr_USD,dr_Mes,60,dr_Cod,"VTA_C",dr_Est,"&lt;&gt;Excluido"),BN$45*BN$52)</f>
        <v>239338.9223</v>
      </c>
      <c r="BO53" s="12" t="n">
        <f aca="false">IF(BO$9=1,SUMIFS(dr_USD,dr_Mes,61,dr_Cod,"VTA_C",dr_Est,"&lt;&gt;Excluido"),BO$45*BO$52)</f>
        <v>241732.311523</v>
      </c>
      <c r="BP53" s="12" t="n">
        <f aca="false">IF(BP$9=1,SUMIFS(dr_USD,dr_Mes,62,dr_Cod,"VTA_C",dr_Est,"&lt;&gt;Excluido"),BP$45*BP$52)</f>
        <v>241732.311523</v>
      </c>
      <c r="BQ53" s="12" t="n">
        <f aca="false">IF(BQ$9=1,SUMIFS(dr_USD,dr_Mes,63,dr_Cod,"VTA_C",dr_Est,"&lt;&gt;Excluido"),BQ$45*BQ$52)</f>
        <v>241732.311523</v>
      </c>
      <c r="BR53" s="12" t="n">
        <f aca="false">IF(BR$9=1,SUMIFS(dr_USD,dr_Mes,64,dr_Cod,"VTA_C",dr_Est,"&lt;&gt;Excluido"),BR$45*BR$52)</f>
        <v>241732.311523</v>
      </c>
      <c r="BS53" s="12" t="n">
        <f aca="false">IF(BS$9=1,SUMIFS(dr_USD,dr_Mes,65,dr_Cod,"VTA_C",dr_Est,"&lt;&gt;Excluido"),BS$45*BS$52)</f>
        <v>241732.311523</v>
      </c>
      <c r="BT53" s="12" t="n">
        <f aca="false">IF(BT$9=1,SUMIFS(dr_USD,dr_Mes,66,dr_Cod,"VTA_C",dr_Est,"&lt;&gt;Excluido"),BT$45*BT$52)</f>
        <v>241732.311523</v>
      </c>
      <c r="BU53" s="12" t="n">
        <f aca="false">IF(BU$9=1,SUMIFS(dr_USD,dr_Mes,67,dr_Cod,"VTA_C",dr_Est,"&lt;&gt;Excluido"),BU$45*BU$52)</f>
        <v>241732.311523</v>
      </c>
      <c r="BV53" s="12" t="n">
        <f aca="false">IF(BV$9=1,SUMIFS(dr_USD,dr_Mes,68,dr_Cod,"VTA_C",dr_Est,"&lt;&gt;Excluido"),BV$45*BV$52)</f>
        <v>241732.311523</v>
      </c>
      <c r="BW53" s="12" t="n">
        <f aca="false">IF(BW$9=1,SUMIFS(dr_USD,dr_Mes,69,dr_Cod,"VTA_C",dr_Est,"&lt;&gt;Excluido"),BW$45*BW$52)</f>
        <v>241732.311523</v>
      </c>
      <c r="BX53" s="12" t="n">
        <f aca="false">IF(BX$9=1,SUMIFS(dr_USD,dr_Mes,70,dr_Cod,"VTA_C",dr_Est,"&lt;&gt;Excluido"),BX$45*BX$52)</f>
        <v>241732.311523</v>
      </c>
      <c r="BY53" s="12" t="n">
        <f aca="false">IF(BY$9=1,SUMIFS(dr_USD,dr_Mes,71,dr_Cod,"VTA_C",dr_Est,"&lt;&gt;Excluido"),BY$45*BY$52)</f>
        <v>241732.311523</v>
      </c>
      <c r="BZ53" s="12" t="n">
        <f aca="false">IF(BZ$9=1,SUMIFS(dr_USD,dr_Mes,72,dr_Cod,"VTA_C",dr_Est,"&lt;&gt;Excluido"),BZ$45*BZ$52)</f>
        <v>241732.311523</v>
      </c>
      <c r="CA53" s="12" t="n">
        <f aca="false">IF(CA$9=1,SUMIFS(dr_USD,dr_Mes,73,dr_Cod,"VTA_C",dr_Est,"&lt;&gt;Excluido"),CA$45*CA$52)</f>
        <v>244149.63463823</v>
      </c>
      <c r="CB53" s="12" t="n">
        <f aca="false">IF(CB$9=1,SUMIFS(dr_USD,dr_Mes,74,dr_Cod,"VTA_C",dr_Est,"&lt;&gt;Excluido"),CB$45*CB$52)</f>
        <v>244149.63463823</v>
      </c>
      <c r="CC53" s="12" t="n">
        <f aca="false">IF(CC$9=1,SUMIFS(dr_USD,dr_Mes,75,dr_Cod,"VTA_C",dr_Est,"&lt;&gt;Excluido"),CC$45*CC$52)</f>
        <v>244149.63463823</v>
      </c>
      <c r="CD53" s="12" t="n">
        <f aca="false">IF(CD$9=1,SUMIFS(dr_USD,dr_Mes,76,dr_Cod,"VTA_C",dr_Est,"&lt;&gt;Excluido"),CD$45*CD$52)</f>
        <v>244149.63463823</v>
      </c>
      <c r="CE53" s="12" t="n">
        <f aca="false">IF(CE$9=1,SUMIFS(dr_USD,dr_Mes,77,dr_Cod,"VTA_C",dr_Est,"&lt;&gt;Excluido"),CE$45*CE$52)</f>
        <v>244149.63463823</v>
      </c>
      <c r="CF53" s="12" t="n">
        <f aca="false">IF(CF$9=1,SUMIFS(dr_USD,dr_Mes,78,dr_Cod,"VTA_C",dr_Est,"&lt;&gt;Excluido"),CF$45*CF$52)</f>
        <v>244149.63463823</v>
      </c>
      <c r="CG53" s="12" t="n">
        <f aca="false">IF(CG$9=1,SUMIFS(dr_USD,dr_Mes,79,dr_Cod,"VTA_C",dr_Est,"&lt;&gt;Excluido"),CG$45*CG$52)</f>
        <v>244149.63463823</v>
      </c>
      <c r="CH53" s="12" t="n">
        <f aca="false">IF(CH$9=1,SUMIFS(dr_USD,dr_Mes,80,dr_Cod,"VTA_C",dr_Est,"&lt;&gt;Excluido"),CH$45*CH$52)</f>
        <v>244149.63463823</v>
      </c>
      <c r="CI53" s="12" t="n">
        <f aca="false">IF(CI$9=1,SUMIFS(dr_USD,dr_Mes,81,dr_Cod,"VTA_C",dr_Est,"&lt;&gt;Excluido"),CI$45*CI$52)</f>
        <v>244149.63463823</v>
      </c>
      <c r="CJ53" s="12" t="n">
        <f aca="false">IF(CJ$9=1,SUMIFS(dr_USD,dr_Mes,82,dr_Cod,"VTA_C",dr_Est,"&lt;&gt;Excluido"),CJ$45*CJ$52)</f>
        <v>244149.63463823</v>
      </c>
      <c r="CK53" s="12" t="n">
        <f aca="false">IF(CK$9=1,SUMIFS(dr_USD,dr_Mes,83,dr_Cod,"VTA_C",dr_Est,"&lt;&gt;Excluido"),CK$45*CK$52)</f>
        <v>244149.63463823</v>
      </c>
      <c r="CL53" s="12" t="n">
        <f aca="false">IF(CL$9=1,SUMIFS(dr_USD,dr_Mes,84,dr_Cod,"VTA_C",dr_Est,"&lt;&gt;Excluido"),CL$45*CL$52)</f>
        <v>244149.63463823</v>
      </c>
      <c r="CM53" s="12" t="n">
        <f aca="false">IF(CM$9=1,SUMIFS(dr_USD,dr_Mes,85,dr_Cod,"VTA_C",dr_Est,"&lt;&gt;Excluido"),CM$45*CM$52)</f>
        <v>246591.130984612</v>
      </c>
      <c r="CN53" s="12" t="n">
        <f aca="false">IF(CN$9=1,SUMIFS(dr_USD,dr_Mes,86,dr_Cod,"VTA_C",dr_Est,"&lt;&gt;Excluido"),CN$45*CN$52)</f>
        <v>246591.130984612</v>
      </c>
      <c r="CO53" s="12" t="n">
        <f aca="false">IF(CO$9=1,SUMIFS(dr_USD,dr_Mes,87,dr_Cod,"VTA_C",dr_Est,"&lt;&gt;Excluido"),CO$45*CO$52)</f>
        <v>246591.130984612</v>
      </c>
      <c r="CP53" s="12" t="n">
        <f aca="false">IF(CP$9=1,SUMIFS(dr_USD,dr_Mes,88,dr_Cod,"VTA_C",dr_Est,"&lt;&gt;Excluido"),CP$45*CP$52)</f>
        <v>246591.130984612</v>
      </c>
      <c r="CQ53" s="12" t="n">
        <f aca="false">IF(CQ$9=1,SUMIFS(dr_USD,dr_Mes,89,dr_Cod,"VTA_C",dr_Est,"&lt;&gt;Excluido"),CQ$45*CQ$52)</f>
        <v>246591.130984612</v>
      </c>
      <c r="CR53" s="12" t="n">
        <f aca="false">IF(CR$9=1,SUMIFS(dr_USD,dr_Mes,90,dr_Cod,"VTA_C",dr_Est,"&lt;&gt;Excluido"),CR$45*CR$52)</f>
        <v>246591.130984612</v>
      </c>
      <c r="CS53" s="12" t="n">
        <f aca="false">IF(CS$9=1,SUMIFS(dr_USD,dr_Mes,91,dr_Cod,"VTA_C",dr_Est,"&lt;&gt;Excluido"),CS$45*CS$52)</f>
        <v>246591.130984612</v>
      </c>
      <c r="CT53" s="12" t="n">
        <f aca="false">IF(CT$9=1,SUMIFS(dr_USD,dr_Mes,92,dr_Cod,"VTA_C",dr_Est,"&lt;&gt;Excluido"),CT$45*CT$52)</f>
        <v>246591.130984612</v>
      </c>
      <c r="CU53" s="12" t="n">
        <f aca="false">IF(CU$9=1,SUMIFS(dr_USD,dr_Mes,93,dr_Cod,"VTA_C",dr_Est,"&lt;&gt;Excluido"),CU$45*CU$52)</f>
        <v>246591.130984612</v>
      </c>
      <c r="CV53" s="12" t="n">
        <f aca="false">IF(CV$9=1,SUMIFS(dr_USD,dr_Mes,94,dr_Cod,"VTA_C",dr_Est,"&lt;&gt;Excluido"),CV$45*CV$52)</f>
        <v>246591.130984612</v>
      </c>
      <c r="CW53" s="12" t="n">
        <f aca="false">IF(CW$9=1,SUMIFS(dr_USD,dr_Mes,95,dr_Cod,"VTA_C",dr_Est,"&lt;&gt;Excluido"),CW$45*CW$52)</f>
        <v>246591.130984612</v>
      </c>
      <c r="CX53" s="12" t="n">
        <f aca="false">IF(CX$9=1,SUMIFS(dr_USD,dr_Mes,96,dr_Cod,"VTA_C",dr_Est,"&lt;&gt;Excluido"),CX$45*CX$52)</f>
        <v>246591.130984612</v>
      </c>
      <c r="CY53" s="12" t="n">
        <f aca="false">IF(CY$9=1,SUMIFS(dr_USD,dr_Mes,97,dr_Cod,"VTA_C",dr_Est,"&lt;&gt;Excluido"),CY$45*CY$52)</f>
        <v>249057.042294458</v>
      </c>
      <c r="CZ53" s="12" t="n">
        <f aca="false">IF(CZ$9=1,SUMIFS(dr_USD,dr_Mes,98,dr_Cod,"VTA_C",dr_Est,"&lt;&gt;Excluido"),CZ$45*CZ$52)</f>
        <v>249057.042294458</v>
      </c>
      <c r="DA53" s="12" t="n">
        <f aca="false">IF(DA$9=1,SUMIFS(dr_USD,dr_Mes,99,dr_Cod,"VTA_C",dr_Est,"&lt;&gt;Excluido"),DA$45*DA$52)</f>
        <v>249057.042294458</v>
      </c>
      <c r="DB53" s="12" t="n">
        <f aca="false">IF(DB$9=1,SUMIFS(dr_USD,dr_Mes,100,dr_Cod,"VTA_C",dr_Est,"&lt;&gt;Excluido"),DB$45*DB$52)</f>
        <v>249057.042294458</v>
      </c>
      <c r="DC53" s="12" t="n">
        <f aca="false">IF(DC$9=1,SUMIFS(dr_USD,dr_Mes,101,dr_Cod,"VTA_C",dr_Est,"&lt;&gt;Excluido"),DC$45*DC$52)</f>
        <v>249057.042294458</v>
      </c>
      <c r="DD53" s="12" t="n">
        <f aca="false">IF(DD$9=1,SUMIFS(dr_USD,dr_Mes,102,dr_Cod,"VTA_C",dr_Est,"&lt;&gt;Excluido"),DD$45*DD$52)</f>
        <v>249057.042294458</v>
      </c>
      <c r="DE53" s="12" t="n">
        <f aca="false">IF(DE$9=1,SUMIFS(dr_USD,dr_Mes,103,dr_Cod,"VTA_C",dr_Est,"&lt;&gt;Excluido"),DE$45*DE$52)</f>
        <v>249057.042294458</v>
      </c>
      <c r="DF53" s="12" t="n">
        <f aca="false">IF(DF$9=1,SUMIFS(dr_USD,dr_Mes,104,dr_Cod,"VTA_C",dr_Est,"&lt;&gt;Excluido"),DF$45*DF$52)</f>
        <v>249057.042294458</v>
      </c>
      <c r="DG53" s="12" t="n">
        <f aca="false">IF(DG$9=1,SUMIFS(dr_USD,dr_Mes,105,dr_Cod,"VTA_C",dr_Est,"&lt;&gt;Excluido"),DG$45*DG$52)</f>
        <v>249057.042294458</v>
      </c>
      <c r="DH53" s="12" t="n">
        <f aca="false">IF(DH$9=1,SUMIFS(dr_USD,dr_Mes,106,dr_Cod,"VTA_C",dr_Est,"&lt;&gt;Excluido"),DH$45*DH$52)</f>
        <v>249057.042294458</v>
      </c>
      <c r="DI53" s="12" t="n">
        <f aca="false">IF(DI$9=1,SUMIFS(dr_USD,dr_Mes,107,dr_Cod,"VTA_C",dr_Est,"&lt;&gt;Excluido"),DI$45*DI$52)</f>
        <v>249057.042294458</v>
      </c>
      <c r="DJ53" s="12" t="n">
        <f aca="false">IF(DJ$9=1,SUMIFS(dr_USD,dr_Mes,108,dr_Cod,"VTA_C",dr_Est,"&lt;&gt;Excluido"),DJ$45*DJ$52)</f>
        <v>249057.042294458</v>
      </c>
      <c r="DK53" s="12" t="n">
        <f aca="false">IF(DK$9=1,SUMIFS(dr_USD,dr_Mes,109,dr_Cod,"VTA_C",dr_Est,"&lt;&gt;Excluido"),DK$45*DK$52)</f>
        <v>251547.612717403</v>
      </c>
      <c r="DL53" s="12" t="n">
        <f aca="false">IF(DL$9=1,SUMIFS(dr_USD,dr_Mes,110,dr_Cod,"VTA_C",dr_Est,"&lt;&gt;Excluido"),DL$45*DL$52)</f>
        <v>251547.612717403</v>
      </c>
      <c r="DM53" s="12" t="n">
        <f aca="false">IF(DM$9=1,SUMIFS(dr_USD,dr_Mes,111,dr_Cod,"VTA_C",dr_Est,"&lt;&gt;Excluido"),DM$45*DM$52)</f>
        <v>251547.612717403</v>
      </c>
      <c r="DN53" s="12" t="n">
        <f aca="false">IF(DN$9=1,SUMIFS(dr_USD,dr_Mes,112,dr_Cod,"VTA_C",dr_Est,"&lt;&gt;Excluido"),DN$45*DN$52)</f>
        <v>251547.612717403</v>
      </c>
      <c r="DO53" s="12" t="n">
        <f aca="false">IF(DO$9=1,SUMIFS(dr_USD,dr_Mes,113,dr_Cod,"VTA_C",dr_Est,"&lt;&gt;Excluido"),DO$45*DO$52)</f>
        <v>251547.612717403</v>
      </c>
      <c r="DP53" s="12" t="n">
        <f aca="false">IF(DP$9=1,SUMIFS(dr_USD,dr_Mes,114,dr_Cod,"VTA_C",dr_Est,"&lt;&gt;Excluido"),DP$45*DP$52)</f>
        <v>251547.612717403</v>
      </c>
      <c r="DQ53" s="12" t="n">
        <f aca="false">IF(DQ$9=1,SUMIFS(dr_USD,dr_Mes,115,dr_Cod,"VTA_C",dr_Est,"&lt;&gt;Excluido"),DQ$45*DQ$52)</f>
        <v>251547.612717403</v>
      </c>
      <c r="DR53" s="12" t="n">
        <f aca="false">IF(DR$9=1,SUMIFS(dr_USD,dr_Mes,116,dr_Cod,"VTA_C",dr_Est,"&lt;&gt;Excluido"),DR$45*DR$52)</f>
        <v>251547.612717403</v>
      </c>
      <c r="DS53" s="12" t="n">
        <f aca="false">IF(DS$9=1,SUMIFS(dr_USD,dr_Mes,117,dr_Cod,"VTA_C",dr_Est,"&lt;&gt;Excluido"),DS$45*DS$52)</f>
        <v>251547.612717403</v>
      </c>
      <c r="DT53" s="12" t="n">
        <f aca="false">IF(DT$9=1,SUMIFS(dr_USD,dr_Mes,118,dr_Cod,"VTA_C",dr_Est,"&lt;&gt;Excluido"),DT$45*DT$52)</f>
        <v>251547.612717403</v>
      </c>
      <c r="DU53" s="12" t="n">
        <f aca="false">IF(DU$9=1,SUMIFS(dr_USD,dr_Mes,119,dr_Cod,"VTA_C",dr_Est,"&lt;&gt;Excluido"),DU$45*DU$52)</f>
        <v>251547.612717403</v>
      </c>
      <c r="DV53" s="12" t="n">
        <f aca="false">IF(DV$9=1,SUMIFS(dr_USD,dr_Mes,120,dr_Cod,"VTA_C",dr_Est,"&lt;&gt;Excluido"),DV$45*DV$52)</f>
        <v>251547.612717403</v>
      </c>
      <c r="DW53" s="12" t="n">
        <f aca="false">IF(DW$9=1,SUMIFS(dr_USD,dr_Mes,121,dr_Cod,"VTA_C",dr_Est,"&lt;&gt;Excluido"),DW$45*DW$52)</f>
        <v>0</v>
      </c>
      <c r="DX53" s="12" t="n">
        <f aca="false">IF(DX$9=1,SUMIFS(dr_USD,dr_Mes,122,dr_Cod,"VTA_C",dr_Est,"&lt;&gt;Excluido"),DX$45*DX$52)</f>
        <v>0</v>
      </c>
      <c r="DY53" s="12" t="n">
        <f aca="false">IF(DY$9=1,SUMIFS(dr_USD,dr_Mes,123,dr_Cod,"VTA_C",dr_Est,"&lt;&gt;Excluido"),DY$45*DY$52)</f>
        <v>0</v>
      </c>
      <c r="DZ53" s="12" t="n">
        <f aca="false">IF(DZ$9=1,SUMIFS(dr_USD,dr_Mes,124,dr_Cod,"VTA_C",dr_Est,"&lt;&gt;Excluido"),DZ$45*DZ$52)</f>
        <v>0</v>
      </c>
      <c r="EA53" s="12" t="n">
        <f aca="false">IF(EA$9=1,SUMIFS(dr_USD,dr_Mes,125,dr_Cod,"VTA_C",dr_Est,"&lt;&gt;Excluido"),EA$45*EA$52)</f>
        <v>0</v>
      </c>
      <c r="EB53" s="12" t="n">
        <f aca="false">IF(EB$9=1,SUMIFS(dr_USD,dr_Mes,126,dr_Cod,"VTA_C",dr_Est,"&lt;&gt;Excluido"),EB$45*EB$52)</f>
        <v>0</v>
      </c>
      <c r="EC53" s="12" t="n">
        <f aca="false">IF(EC$9=1,SUMIFS(dr_USD,dr_Mes,127,dr_Cod,"VTA_C",dr_Est,"&lt;&gt;Excluido"),EC$45*EC$52)</f>
        <v>0</v>
      </c>
      <c r="ED53" s="12" t="n">
        <f aca="false">IF(ED$9=1,SUMIFS(dr_USD,dr_Mes,128,dr_Cod,"VTA_C",dr_Est,"&lt;&gt;Excluido"),ED$45*ED$52)</f>
        <v>0</v>
      </c>
      <c r="EE53" s="12" t="n">
        <f aca="false">IF(EE$9=1,SUMIFS(dr_USD,dr_Mes,129,dr_Cod,"VTA_C",dr_Est,"&lt;&gt;Excluido"),EE$45*EE$52)</f>
        <v>0</v>
      </c>
      <c r="EF53" s="12" t="n">
        <f aca="false">IF(EF$9=1,SUMIFS(dr_USD,dr_Mes,130,dr_Cod,"VTA_C",dr_Est,"&lt;&gt;Excluido"),EF$45*EF$52)</f>
        <v>0</v>
      </c>
      <c r="EG53" s="12" t="n">
        <f aca="false">IF(EG$9=1,SUMIFS(dr_USD,dr_Mes,131,dr_Cod,"VTA_C",dr_Est,"&lt;&gt;Excluido"),EG$45*EG$52)</f>
        <v>0</v>
      </c>
      <c r="EH53" s="12" t="n">
        <f aca="false">IF(EH$9=1,SUMIFS(dr_USD,dr_Mes,132,dr_Cod,"VTA_C",dr_Est,"&lt;&gt;Excluido"),EH$45*EH$52)</f>
        <v>0</v>
      </c>
      <c r="EI53" s="12" t="n">
        <f aca="false">IF(EI$9=1,SUMIFS(dr_USD,dr_Mes,133,dr_Cod,"VTA_C",dr_Est,"&lt;&gt;Excluido"),EI$45*EI$52)</f>
        <v>0</v>
      </c>
      <c r="EJ53" s="12" t="n">
        <f aca="false">IF(EJ$9=1,SUMIFS(dr_USD,dr_Mes,134,dr_Cod,"VTA_C",dr_Est,"&lt;&gt;Excluido"),EJ$45*EJ$52)</f>
        <v>0</v>
      </c>
      <c r="EK53" s="12" t="n">
        <f aca="false">IF(EK$9=1,SUMIFS(dr_USD,dr_Mes,135,dr_Cod,"VTA_C",dr_Est,"&lt;&gt;Excluido"),EK$45*EK$52)</f>
        <v>0</v>
      </c>
      <c r="EL53" s="12" t="n">
        <f aca="false">IF(EL$9=1,SUMIFS(dr_USD,dr_Mes,136,dr_Cod,"VTA_C",dr_Est,"&lt;&gt;Excluido"),EL$45*EL$52)</f>
        <v>0</v>
      </c>
      <c r="EM53" s="12" t="n">
        <f aca="false">IF(EM$9=1,SUMIFS(dr_USD,dr_Mes,137,dr_Cod,"VTA_C",dr_Est,"&lt;&gt;Excluido"),EM$45*EM$52)</f>
        <v>0</v>
      </c>
      <c r="EN53" s="12" t="n">
        <f aca="false">IF(EN$9=1,SUMIFS(dr_USD,dr_Mes,138,dr_Cod,"VTA_C",dr_Est,"&lt;&gt;Excluido"),EN$45*EN$52)</f>
        <v>0</v>
      </c>
      <c r="EO53" s="12" t="n">
        <f aca="false">IF(EO$9=1,SUMIFS(dr_USD,dr_Mes,139,dr_Cod,"VTA_C",dr_Est,"&lt;&gt;Excluido"),EO$45*EO$52)</f>
        <v>0</v>
      </c>
      <c r="EP53" s="12" t="n">
        <f aca="false">IF(EP$9=1,SUMIFS(dr_USD,dr_Mes,140,dr_Cod,"VTA_C",dr_Est,"&lt;&gt;Excluido"),EP$45*EP$52)</f>
        <v>0</v>
      </c>
      <c r="EQ53" s="12" t="n">
        <f aca="false">IF(EQ$9=1,SUMIFS(dr_USD,dr_Mes,141,dr_Cod,"VTA_C",dr_Est,"&lt;&gt;Excluido"),EQ$45*EQ$52)</f>
        <v>0</v>
      </c>
      <c r="ER53" s="12" t="n">
        <f aca="false">IF(ER$9=1,SUMIFS(dr_USD,dr_Mes,142,dr_Cod,"VTA_C",dr_Est,"&lt;&gt;Excluido"),ER$45*ER$52)</f>
        <v>0</v>
      </c>
      <c r="ES53" s="12" t="n">
        <f aca="false">IF(ES$9=1,SUMIFS(dr_USD,dr_Mes,143,dr_Cod,"VTA_C",dr_Est,"&lt;&gt;Excluido"),ES$45*ES$52)</f>
        <v>0</v>
      </c>
      <c r="ET53" s="12" t="n">
        <f aca="false">IF(ET$9=1,SUMIFS(dr_USD,dr_Mes,144,dr_Cod,"VTA_C",dr_Est,"&lt;&gt;Excluido"),ET$45*ET$52)</f>
        <v>0</v>
      </c>
      <c r="EU53" s="12" t="n">
        <f aca="false">IF(EU$9=1,SUMIFS(dr_USD,dr_Mes,145,dr_Cod,"VTA_C",dr_Est,"&lt;&gt;Excluido"),EU$45*EU$52)</f>
        <v>0</v>
      </c>
      <c r="EV53" s="12" t="n">
        <f aca="false">IF(EV$9=1,SUMIFS(dr_USD,dr_Mes,146,dr_Cod,"VTA_C",dr_Est,"&lt;&gt;Excluido"),EV$45*EV$52)</f>
        <v>0</v>
      </c>
      <c r="EW53" s="12" t="n">
        <f aca="false">IF(EW$9=1,SUMIFS(dr_USD,dr_Mes,147,dr_Cod,"VTA_C",dr_Est,"&lt;&gt;Excluido"),EW$45*EW$52)</f>
        <v>0</v>
      </c>
      <c r="EX53" s="12" t="n">
        <f aca="false">IF(EX$9=1,SUMIFS(dr_USD,dr_Mes,148,dr_Cod,"VTA_C",dr_Est,"&lt;&gt;Excluido"),EX$45*EX$52)</f>
        <v>0</v>
      </c>
      <c r="EY53" s="12" t="n">
        <f aca="false">IF(EY$9=1,SUMIFS(dr_USD,dr_Mes,149,dr_Cod,"VTA_C",dr_Est,"&lt;&gt;Excluido"),EY$45*EY$52)</f>
        <v>0</v>
      </c>
      <c r="EZ53" s="12" t="n">
        <f aca="false">IF(EZ$9=1,SUMIFS(dr_USD,dr_Mes,150,dr_Cod,"VTA_C",dr_Est,"&lt;&gt;Excluido"),EZ$45*EZ$52)</f>
        <v>0</v>
      </c>
      <c r="FA53" s="12" t="n">
        <f aca="false">IF(FA$9=1,SUMIFS(dr_USD,dr_Mes,151,dr_Cod,"VTA_C",dr_Est,"&lt;&gt;Excluido"),FA$45*FA$52)</f>
        <v>0</v>
      </c>
      <c r="FB53" s="12" t="n">
        <f aca="false">IF(FB$9=1,SUMIFS(dr_USD,dr_Mes,152,dr_Cod,"VTA_C",dr_Est,"&lt;&gt;Excluido"),FB$45*FB$52)</f>
        <v>0</v>
      </c>
      <c r="FC53" s="12" t="n">
        <f aca="false">IF(FC$9=1,SUMIFS(dr_USD,dr_Mes,153,dr_Cod,"VTA_C",dr_Est,"&lt;&gt;Excluido"),FC$45*FC$52)</f>
        <v>0</v>
      </c>
      <c r="FD53" s="12" t="n">
        <f aca="false">IF(FD$9=1,SUMIFS(dr_USD,dr_Mes,154,dr_Cod,"VTA_C",dr_Est,"&lt;&gt;Excluido"),FD$45*FD$52)</f>
        <v>0</v>
      </c>
      <c r="FE53" s="12" t="n">
        <f aca="false">IF(FE$9=1,SUMIFS(dr_USD,dr_Mes,155,dr_Cod,"VTA_C",dr_Est,"&lt;&gt;Excluido"),FE$45*FE$52)</f>
        <v>0</v>
      </c>
      <c r="FF53" s="12" t="n">
        <f aca="false">IF(FF$9=1,SUMIFS(dr_USD,dr_Mes,156,dr_Cod,"VTA_C",dr_Est,"&lt;&gt;Excluido"),FF$45*FF$52)</f>
        <v>0</v>
      </c>
    </row>
    <row r="54" customFormat="false" ht="15" hidden="false" customHeight="false" outlineLevel="0" collapsed="false">
      <c r="A54" s="4"/>
      <c r="B54" s="3" t="s">
        <v>885</v>
      </c>
      <c r="C54" s="4"/>
      <c r="D54" s="4"/>
      <c r="E54" s="4"/>
    </row>
    <row r="55" customFormat="false" ht="15" hidden="false" customHeight="false" outlineLevel="0" collapsed="false">
      <c r="A55" s="2" t="s">
        <v>886</v>
      </c>
      <c r="B55" s="66" t="s">
        <v>887</v>
      </c>
      <c r="C55" s="8" t="s">
        <v>255</v>
      </c>
      <c r="E55" s="67" t="n">
        <f aca="false">SUM($F55:$FF55)</f>
        <v>81222447.7216454</v>
      </c>
      <c r="F55" s="12" t="n">
        <f aca="false">F$32+F$53</f>
        <v>0</v>
      </c>
      <c r="G55" s="12" t="n">
        <f aca="false">G$32+G$53</f>
        <v>404166.666666667</v>
      </c>
      <c r="H55" s="12" t="n">
        <f aca="false">H$32+H$53</f>
        <v>404166.666666667</v>
      </c>
      <c r="I55" s="12" t="n">
        <f aca="false">I$32+I$53</f>
        <v>404166.666666667</v>
      </c>
      <c r="J55" s="12" t="n">
        <f aca="false">J$32+J$53</f>
        <v>404166.666666667</v>
      </c>
      <c r="K55" s="12" t="n">
        <f aca="false">K$32+K$53</f>
        <v>404166.666666667</v>
      </c>
      <c r="L55" s="12" t="n">
        <f aca="false">L$32+L$53</f>
        <v>404166.666666667</v>
      </c>
      <c r="M55" s="12" t="n">
        <f aca="false">M$32+M$53</f>
        <v>404166.666666667</v>
      </c>
      <c r="N55" s="12" t="n">
        <f aca="false">N$32+N$53</f>
        <v>404166.666666667</v>
      </c>
      <c r="O55" s="12" t="n">
        <f aca="false">O$32+O$53</f>
        <v>404166.666666667</v>
      </c>
      <c r="P55" s="12" t="n">
        <f aca="false">P$32+P$53</f>
        <v>404166.666666667</v>
      </c>
      <c r="Q55" s="12" t="n">
        <f aca="false">Q$32+Q$53</f>
        <v>404166.666666667</v>
      </c>
      <c r="R55" s="12" t="n">
        <f aca="false">R$32+R$53</f>
        <v>404166.666666667</v>
      </c>
      <c r="S55" s="12" t="n">
        <f aca="false">S$32+S$53</f>
        <v>515100</v>
      </c>
      <c r="T55" s="12" t="n">
        <f aca="false">T$32+T$53</f>
        <v>515100</v>
      </c>
      <c r="U55" s="12" t="n">
        <f aca="false">U$32+U$53</f>
        <v>515100</v>
      </c>
      <c r="V55" s="12" t="n">
        <f aca="false">V$32+V$53</f>
        <v>515100</v>
      </c>
      <c r="W55" s="12" t="n">
        <f aca="false">W$32+W$53</f>
        <v>515100</v>
      </c>
      <c r="X55" s="12" t="n">
        <f aca="false">X$32+X$53</f>
        <v>515100</v>
      </c>
      <c r="Y55" s="12" t="n">
        <f aca="false">Y$32+Y$53</f>
        <v>515100</v>
      </c>
      <c r="Z55" s="12" t="n">
        <f aca="false">Z$32+Z$53</f>
        <v>515100</v>
      </c>
      <c r="AA55" s="12" t="n">
        <f aca="false">AA$32+AA$53</f>
        <v>515100</v>
      </c>
      <c r="AB55" s="12" t="n">
        <f aca="false">AB$32+AB$53</f>
        <v>515100</v>
      </c>
      <c r="AC55" s="12" t="n">
        <f aca="false">AC$32+AC$53</f>
        <v>515100</v>
      </c>
      <c r="AD55" s="12" t="n">
        <f aca="false">AD$32+AD$53</f>
        <v>515100</v>
      </c>
      <c r="AE55" s="12" t="n">
        <f aca="false">AE$32+AE$53</f>
        <v>628211.583333333</v>
      </c>
      <c r="AF55" s="12" t="n">
        <f aca="false">AF$32+AF$53</f>
        <v>628211.583333333</v>
      </c>
      <c r="AG55" s="12" t="n">
        <f aca="false">AG$32+AG$53</f>
        <v>628211.583333333</v>
      </c>
      <c r="AH55" s="12" t="n">
        <f aca="false">AH$32+AH$53</f>
        <v>628211.583333333</v>
      </c>
      <c r="AI55" s="12" t="n">
        <f aca="false">AI$32+AI$53</f>
        <v>628211.583333333</v>
      </c>
      <c r="AJ55" s="12" t="n">
        <f aca="false">AJ$32+AJ$53</f>
        <v>628211.583333333</v>
      </c>
      <c r="AK55" s="12" t="n">
        <f aca="false">AK$32+AK$53</f>
        <v>628211.583333333</v>
      </c>
      <c r="AL55" s="12" t="n">
        <f aca="false">AL$32+AL$53</f>
        <v>628211.583333333</v>
      </c>
      <c r="AM55" s="12" t="n">
        <f aca="false">AM$32+AM$53</f>
        <v>628211.583333333</v>
      </c>
      <c r="AN55" s="12" t="n">
        <f aca="false">AN$32+AN$53</f>
        <v>628211.583333333</v>
      </c>
      <c r="AO55" s="12" t="n">
        <f aca="false">AO$32+AO$53</f>
        <v>628211.583333333</v>
      </c>
      <c r="AP55" s="12" t="n">
        <f aca="false">AP$32+AP$53</f>
        <v>628211.583333333</v>
      </c>
      <c r="AQ55" s="12" t="n">
        <f aca="false">AQ$32+AQ$53</f>
        <v>723786.4525</v>
      </c>
      <c r="AR55" s="12" t="n">
        <f aca="false">AR$32+AR$53</f>
        <v>723786.4525</v>
      </c>
      <c r="AS55" s="12" t="n">
        <f aca="false">AS$32+AS$53</f>
        <v>723786.4525</v>
      </c>
      <c r="AT55" s="12" t="n">
        <f aca="false">AT$32+AT$53</f>
        <v>723786.4525</v>
      </c>
      <c r="AU55" s="12" t="n">
        <f aca="false">AU$32+AU$53</f>
        <v>723786.4525</v>
      </c>
      <c r="AV55" s="12" t="n">
        <f aca="false">AV$32+AV$53</f>
        <v>723786.4525</v>
      </c>
      <c r="AW55" s="12" t="n">
        <f aca="false">AW$32+AW$53</f>
        <v>723786.4525</v>
      </c>
      <c r="AX55" s="12" t="n">
        <f aca="false">AX$32+AX$53</f>
        <v>723786.4525</v>
      </c>
      <c r="AY55" s="12" t="n">
        <f aca="false">AY$32+AY$53</f>
        <v>723786.4525</v>
      </c>
      <c r="AZ55" s="12" t="n">
        <f aca="false">AZ$32+AZ$53</f>
        <v>723786.4525</v>
      </c>
      <c r="BA55" s="12" t="n">
        <f aca="false">BA$32+BA$53</f>
        <v>723786.4525</v>
      </c>
      <c r="BB55" s="12" t="n">
        <f aca="false">BB$32+BB$53</f>
        <v>723786.4525</v>
      </c>
      <c r="BC55" s="12" t="n">
        <f aca="false">BC$32+BC$53</f>
        <v>731024.317025</v>
      </c>
      <c r="BD55" s="12" t="n">
        <f aca="false">BD$32+BD$53</f>
        <v>731024.317025</v>
      </c>
      <c r="BE55" s="12" t="n">
        <f aca="false">BE$32+BE$53</f>
        <v>731024.317025</v>
      </c>
      <c r="BF55" s="12" t="n">
        <f aca="false">BF$32+BF$53</f>
        <v>731024.317025</v>
      </c>
      <c r="BG55" s="12" t="n">
        <f aca="false">BG$32+BG$53</f>
        <v>731024.317025</v>
      </c>
      <c r="BH55" s="12" t="n">
        <f aca="false">BH$32+BH$53</f>
        <v>731024.317025</v>
      </c>
      <c r="BI55" s="12" t="n">
        <f aca="false">BI$32+BI$53</f>
        <v>731024.317025</v>
      </c>
      <c r="BJ55" s="12" t="n">
        <f aca="false">BJ$32+BJ$53</f>
        <v>731024.317025</v>
      </c>
      <c r="BK55" s="12" t="n">
        <f aca="false">BK$32+BK$53</f>
        <v>731024.317025</v>
      </c>
      <c r="BL55" s="12" t="n">
        <f aca="false">BL$32+BL$53</f>
        <v>731024.317025</v>
      </c>
      <c r="BM55" s="12" t="n">
        <f aca="false">BM$32+BM$53</f>
        <v>731024.317025</v>
      </c>
      <c r="BN55" s="12" t="n">
        <f aca="false">BN$32+BN$53</f>
        <v>731024.317025</v>
      </c>
      <c r="BO55" s="12" t="n">
        <f aca="false">BO$32+BO$53</f>
        <v>738334.56019525</v>
      </c>
      <c r="BP55" s="12" t="n">
        <f aca="false">BP$32+BP$53</f>
        <v>738334.56019525</v>
      </c>
      <c r="BQ55" s="12" t="n">
        <f aca="false">BQ$32+BQ$53</f>
        <v>738334.56019525</v>
      </c>
      <c r="BR55" s="12" t="n">
        <f aca="false">BR$32+BR$53</f>
        <v>738334.56019525</v>
      </c>
      <c r="BS55" s="12" t="n">
        <f aca="false">BS$32+BS$53</f>
        <v>738334.56019525</v>
      </c>
      <c r="BT55" s="12" t="n">
        <f aca="false">BT$32+BT$53</f>
        <v>738334.56019525</v>
      </c>
      <c r="BU55" s="12" t="n">
        <f aca="false">BU$32+BU$53</f>
        <v>738334.56019525</v>
      </c>
      <c r="BV55" s="12" t="n">
        <f aca="false">BV$32+BV$53</f>
        <v>738334.56019525</v>
      </c>
      <c r="BW55" s="12" t="n">
        <f aca="false">BW$32+BW$53</f>
        <v>738334.56019525</v>
      </c>
      <c r="BX55" s="12" t="n">
        <f aca="false">BX$32+BX$53</f>
        <v>738334.56019525</v>
      </c>
      <c r="BY55" s="12" t="n">
        <f aca="false">BY$32+BY$53</f>
        <v>738334.56019525</v>
      </c>
      <c r="BZ55" s="12" t="n">
        <f aca="false">BZ$32+BZ$53</f>
        <v>738334.56019525</v>
      </c>
      <c r="CA55" s="12" t="n">
        <f aca="false">CA$32+CA$53</f>
        <v>745717.905797203</v>
      </c>
      <c r="CB55" s="12" t="n">
        <f aca="false">CB$32+CB$53</f>
        <v>745717.905797203</v>
      </c>
      <c r="CC55" s="12" t="n">
        <f aca="false">CC$32+CC$53</f>
        <v>745717.905797203</v>
      </c>
      <c r="CD55" s="12" t="n">
        <f aca="false">CD$32+CD$53</f>
        <v>745717.905797203</v>
      </c>
      <c r="CE55" s="12" t="n">
        <f aca="false">CE$32+CE$53</f>
        <v>745717.905797203</v>
      </c>
      <c r="CF55" s="12" t="n">
        <f aca="false">CF$32+CF$53</f>
        <v>745717.905797203</v>
      </c>
      <c r="CG55" s="12" t="n">
        <f aca="false">CG$32+CG$53</f>
        <v>745717.905797203</v>
      </c>
      <c r="CH55" s="12" t="n">
        <f aca="false">CH$32+CH$53</f>
        <v>745717.905797203</v>
      </c>
      <c r="CI55" s="12" t="n">
        <f aca="false">CI$32+CI$53</f>
        <v>745717.905797203</v>
      </c>
      <c r="CJ55" s="12" t="n">
        <f aca="false">CJ$32+CJ$53</f>
        <v>745717.905797203</v>
      </c>
      <c r="CK55" s="12" t="n">
        <f aca="false">CK$32+CK$53</f>
        <v>745717.905797203</v>
      </c>
      <c r="CL55" s="12" t="n">
        <f aca="false">CL$32+CL$53</f>
        <v>745717.905797203</v>
      </c>
      <c r="CM55" s="12" t="n">
        <f aca="false">CM$32+CM$53</f>
        <v>753175.084855175</v>
      </c>
      <c r="CN55" s="12" t="n">
        <f aca="false">CN$32+CN$53</f>
        <v>753175.084855175</v>
      </c>
      <c r="CO55" s="12" t="n">
        <f aca="false">CO$32+CO$53</f>
        <v>753175.084855175</v>
      </c>
      <c r="CP55" s="12" t="n">
        <f aca="false">CP$32+CP$53</f>
        <v>753175.084855175</v>
      </c>
      <c r="CQ55" s="12" t="n">
        <f aca="false">CQ$32+CQ$53</f>
        <v>753175.084855175</v>
      </c>
      <c r="CR55" s="12" t="n">
        <f aca="false">CR$32+CR$53</f>
        <v>753175.084855175</v>
      </c>
      <c r="CS55" s="12" t="n">
        <f aca="false">CS$32+CS$53</f>
        <v>753175.084855175</v>
      </c>
      <c r="CT55" s="12" t="n">
        <f aca="false">CT$32+CT$53</f>
        <v>753175.084855175</v>
      </c>
      <c r="CU55" s="12" t="n">
        <f aca="false">CU$32+CU$53</f>
        <v>753175.084855175</v>
      </c>
      <c r="CV55" s="12" t="n">
        <f aca="false">CV$32+CV$53</f>
        <v>753175.084855175</v>
      </c>
      <c r="CW55" s="12" t="n">
        <f aca="false">CW$32+CW$53</f>
        <v>753175.084855175</v>
      </c>
      <c r="CX55" s="12" t="n">
        <f aca="false">CX$32+CX$53</f>
        <v>753175.084855175</v>
      </c>
      <c r="CY55" s="12" t="n">
        <f aca="false">CY$32+CY$53</f>
        <v>760706.835703726</v>
      </c>
      <c r="CZ55" s="12" t="n">
        <f aca="false">CZ$32+CZ$53</f>
        <v>760706.835703726</v>
      </c>
      <c r="DA55" s="12" t="n">
        <f aca="false">DA$32+DA$53</f>
        <v>760706.835703726</v>
      </c>
      <c r="DB55" s="12" t="n">
        <f aca="false">DB$32+DB$53</f>
        <v>760706.835703726</v>
      </c>
      <c r="DC55" s="12" t="n">
        <f aca="false">DC$32+DC$53</f>
        <v>760706.835703726</v>
      </c>
      <c r="DD55" s="12" t="n">
        <f aca="false">DD$32+DD$53</f>
        <v>760706.835703726</v>
      </c>
      <c r="DE55" s="12" t="n">
        <f aca="false">DE$32+DE$53</f>
        <v>760706.835703726</v>
      </c>
      <c r="DF55" s="12" t="n">
        <f aca="false">DF$32+DF$53</f>
        <v>760706.835703726</v>
      </c>
      <c r="DG55" s="12" t="n">
        <f aca="false">DG$32+DG$53</f>
        <v>760706.835703726</v>
      </c>
      <c r="DH55" s="12" t="n">
        <f aca="false">DH$32+DH$53</f>
        <v>760706.835703726</v>
      </c>
      <c r="DI55" s="12" t="n">
        <f aca="false">DI$32+DI$53</f>
        <v>760706.835703726</v>
      </c>
      <c r="DJ55" s="12" t="n">
        <f aca="false">DJ$32+DJ$53</f>
        <v>760706.835703726</v>
      </c>
      <c r="DK55" s="12" t="n">
        <f aca="false">DK$32+DK$53</f>
        <v>768313.904060764</v>
      </c>
      <c r="DL55" s="12" t="n">
        <f aca="false">DL$32+DL$53</f>
        <v>768313.904060764</v>
      </c>
      <c r="DM55" s="12" t="n">
        <f aca="false">DM$32+DM$53</f>
        <v>768313.904060764</v>
      </c>
      <c r="DN55" s="12" t="n">
        <f aca="false">DN$32+DN$53</f>
        <v>768313.904060764</v>
      </c>
      <c r="DO55" s="12" t="n">
        <f aca="false">DO$32+DO$53</f>
        <v>768313.904060764</v>
      </c>
      <c r="DP55" s="12" t="n">
        <f aca="false">DP$32+DP$53</f>
        <v>768313.904060764</v>
      </c>
      <c r="DQ55" s="12" t="n">
        <f aca="false">DQ$32+DQ$53</f>
        <v>768313.904060764</v>
      </c>
      <c r="DR55" s="12" t="n">
        <f aca="false">DR$32+DR$53</f>
        <v>768313.904060764</v>
      </c>
      <c r="DS55" s="12" t="n">
        <f aca="false">DS$32+DS$53</f>
        <v>768313.904060764</v>
      </c>
      <c r="DT55" s="12" t="n">
        <f aca="false">DT$32+DT$53</f>
        <v>768313.904060764</v>
      </c>
      <c r="DU55" s="12" t="n">
        <f aca="false">DU$32+DU$53</f>
        <v>768313.904060764</v>
      </c>
      <c r="DV55" s="12" t="n">
        <f aca="false">DV$32+DV$53</f>
        <v>768313.904060764</v>
      </c>
      <c r="DW55" s="12" t="n">
        <f aca="false">DW$32+DW$53</f>
        <v>0</v>
      </c>
      <c r="DX55" s="12" t="n">
        <f aca="false">DX$32+DX$53</f>
        <v>0</v>
      </c>
      <c r="DY55" s="12" t="n">
        <f aca="false">DY$32+DY$53</f>
        <v>0</v>
      </c>
      <c r="DZ55" s="12" t="n">
        <f aca="false">DZ$32+DZ$53</f>
        <v>0</v>
      </c>
      <c r="EA55" s="12" t="n">
        <f aca="false">EA$32+EA$53</f>
        <v>0</v>
      </c>
      <c r="EB55" s="12" t="n">
        <f aca="false">EB$32+EB$53</f>
        <v>0</v>
      </c>
      <c r="EC55" s="12" t="n">
        <f aca="false">EC$32+EC$53</f>
        <v>0</v>
      </c>
      <c r="ED55" s="12" t="n">
        <f aca="false">ED$32+ED$53</f>
        <v>0</v>
      </c>
      <c r="EE55" s="12" t="n">
        <f aca="false">EE$32+EE$53</f>
        <v>0</v>
      </c>
      <c r="EF55" s="12" t="n">
        <f aca="false">EF$32+EF$53</f>
        <v>0</v>
      </c>
      <c r="EG55" s="12" t="n">
        <f aca="false">EG$32+EG$53</f>
        <v>0</v>
      </c>
      <c r="EH55" s="12" t="n">
        <f aca="false">EH$32+EH$53</f>
        <v>0</v>
      </c>
      <c r="EI55" s="12" t="n">
        <f aca="false">EI$32+EI$53</f>
        <v>0</v>
      </c>
      <c r="EJ55" s="12" t="n">
        <f aca="false">EJ$32+EJ$53</f>
        <v>0</v>
      </c>
      <c r="EK55" s="12" t="n">
        <f aca="false">EK$32+EK$53</f>
        <v>0</v>
      </c>
      <c r="EL55" s="12" t="n">
        <f aca="false">EL$32+EL$53</f>
        <v>0</v>
      </c>
      <c r="EM55" s="12" t="n">
        <f aca="false">EM$32+EM$53</f>
        <v>0</v>
      </c>
      <c r="EN55" s="12" t="n">
        <f aca="false">EN$32+EN$53</f>
        <v>0</v>
      </c>
      <c r="EO55" s="12" t="n">
        <f aca="false">EO$32+EO$53</f>
        <v>0</v>
      </c>
      <c r="EP55" s="12" t="n">
        <f aca="false">EP$32+EP$53</f>
        <v>0</v>
      </c>
      <c r="EQ55" s="12" t="n">
        <f aca="false">EQ$32+EQ$53</f>
        <v>0</v>
      </c>
      <c r="ER55" s="12" t="n">
        <f aca="false">ER$32+ER$53</f>
        <v>0</v>
      </c>
      <c r="ES55" s="12" t="n">
        <f aca="false">ES$32+ES$53</f>
        <v>0</v>
      </c>
      <c r="ET55" s="12" t="n">
        <f aca="false">ET$32+ET$53</f>
        <v>0</v>
      </c>
      <c r="EU55" s="12" t="n">
        <f aca="false">EU$32+EU$53</f>
        <v>0</v>
      </c>
      <c r="EV55" s="12" t="n">
        <f aca="false">EV$32+EV$53</f>
        <v>0</v>
      </c>
      <c r="EW55" s="12" t="n">
        <f aca="false">EW$32+EW$53</f>
        <v>0</v>
      </c>
      <c r="EX55" s="12" t="n">
        <f aca="false">EX$32+EX$53</f>
        <v>0</v>
      </c>
      <c r="EY55" s="12" t="n">
        <f aca="false">EY$32+EY$53</f>
        <v>0</v>
      </c>
      <c r="EZ55" s="12" t="n">
        <f aca="false">EZ$32+EZ$53</f>
        <v>0</v>
      </c>
      <c r="FA55" s="12" t="n">
        <f aca="false">FA$32+FA$53</f>
        <v>0</v>
      </c>
      <c r="FB55" s="12" t="n">
        <f aca="false">FB$32+FB$53</f>
        <v>0</v>
      </c>
      <c r="FC55" s="12" t="n">
        <f aca="false">FC$32+FC$53</f>
        <v>0</v>
      </c>
      <c r="FD55" s="12" t="n">
        <f aca="false">FD$32+FD$53</f>
        <v>0</v>
      </c>
      <c r="FE55" s="12" t="n">
        <f aca="false">FE$32+FE$53</f>
        <v>0</v>
      </c>
      <c r="FF55" s="12" t="n">
        <f aca="false">FF$32+FF$53</f>
        <v>0</v>
      </c>
    </row>
    <row r="56" customFormat="false" ht="15" hidden="false" customHeight="false" outlineLevel="0" collapsed="false">
      <c r="A56" s="2" t="s">
        <v>888</v>
      </c>
      <c r="B56" s="8" t="s">
        <v>889</v>
      </c>
      <c r="C56" s="8" t="s">
        <v>255</v>
      </c>
      <c r="E56" s="65" t="n">
        <f aca="false">SUM($F56:$FF56)</f>
        <v>0</v>
      </c>
      <c r="F56" s="13" t="n">
        <f aca="false">IF(F$9=1,SUMIFS(dr_USD,dr_Mes,0,dr_Cod,"VTA_CHAT",dr_Est,"&lt;&gt;Excluido"),(F$29+F$50)*e_Chat)</f>
        <v>0</v>
      </c>
      <c r="G56" s="13" t="n">
        <f aca="false">IF(G$9=1,SUMIFS(dr_USD,dr_Mes,1,dr_Cod,"VTA_CHAT",dr_Est,"&lt;&gt;Excluido"),(G$29+G$50)*e_Chat)</f>
        <v>0</v>
      </c>
      <c r="H56" s="13" t="n">
        <f aca="false">IF(H$9=1,SUMIFS(dr_USD,dr_Mes,2,dr_Cod,"VTA_CHAT",dr_Est,"&lt;&gt;Excluido"),(H$29+H$50)*e_Chat)</f>
        <v>0</v>
      </c>
      <c r="I56" s="13" t="n">
        <f aca="false">IF(I$9=1,SUMIFS(dr_USD,dr_Mes,3,dr_Cod,"VTA_CHAT",dr_Est,"&lt;&gt;Excluido"),(I$29+I$50)*e_Chat)</f>
        <v>0</v>
      </c>
      <c r="J56" s="13" t="n">
        <f aca="false">IF(J$9=1,SUMIFS(dr_USD,dr_Mes,4,dr_Cod,"VTA_CHAT",dr_Est,"&lt;&gt;Excluido"),(J$29+J$50)*e_Chat)</f>
        <v>0</v>
      </c>
      <c r="K56" s="13" t="n">
        <f aca="false">IF(K$9=1,SUMIFS(dr_USD,dr_Mes,5,dr_Cod,"VTA_CHAT",dr_Est,"&lt;&gt;Excluido"),(K$29+K$50)*e_Chat)</f>
        <v>0</v>
      </c>
      <c r="L56" s="13" t="n">
        <f aca="false">IF(L$9=1,SUMIFS(dr_USD,dr_Mes,6,dr_Cod,"VTA_CHAT",dr_Est,"&lt;&gt;Excluido"),(L$29+L$50)*e_Chat)</f>
        <v>0</v>
      </c>
      <c r="M56" s="13" t="n">
        <f aca="false">IF(M$9=1,SUMIFS(dr_USD,dr_Mes,7,dr_Cod,"VTA_CHAT",dr_Est,"&lt;&gt;Excluido"),(M$29+M$50)*e_Chat)</f>
        <v>0</v>
      </c>
      <c r="N56" s="13" t="n">
        <f aca="false">IF(N$9=1,SUMIFS(dr_USD,dr_Mes,8,dr_Cod,"VTA_CHAT",dr_Est,"&lt;&gt;Excluido"),(N$29+N$50)*e_Chat)</f>
        <v>0</v>
      </c>
      <c r="O56" s="13" t="n">
        <f aca="false">IF(O$9=1,SUMIFS(dr_USD,dr_Mes,9,dr_Cod,"VTA_CHAT",dr_Est,"&lt;&gt;Excluido"),(O$29+O$50)*e_Chat)</f>
        <v>0</v>
      </c>
      <c r="P56" s="13" t="n">
        <f aca="false">IF(P$9=1,SUMIFS(dr_USD,dr_Mes,10,dr_Cod,"VTA_CHAT",dr_Est,"&lt;&gt;Excluido"),(P$29+P$50)*e_Chat)</f>
        <v>0</v>
      </c>
      <c r="Q56" s="13" t="n">
        <f aca="false">IF(Q$9=1,SUMIFS(dr_USD,dr_Mes,11,dr_Cod,"VTA_CHAT",dr_Est,"&lt;&gt;Excluido"),(Q$29+Q$50)*e_Chat)</f>
        <v>0</v>
      </c>
      <c r="R56" s="13" t="n">
        <f aca="false">IF(R$9=1,SUMIFS(dr_USD,dr_Mes,12,dr_Cod,"VTA_CHAT",dr_Est,"&lt;&gt;Excluido"),(R$29+R$50)*e_Chat)</f>
        <v>0</v>
      </c>
      <c r="S56" s="13" t="n">
        <f aca="false">IF(S$9=1,SUMIFS(dr_USD,dr_Mes,13,dr_Cod,"VTA_CHAT",dr_Est,"&lt;&gt;Excluido"),(S$29+S$50)*e_Chat)</f>
        <v>0</v>
      </c>
      <c r="T56" s="13" t="n">
        <f aca="false">IF(T$9=1,SUMIFS(dr_USD,dr_Mes,14,dr_Cod,"VTA_CHAT",dr_Est,"&lt;&gt;Excluido"),(T$29+T$50)*e_Chat)</f>
        <v>0</v>
      </c>
      <c r="U56" s="13" t="n">
        <f aca="false">IF(U$9=1,SUMIFS(dr_USD,dr_Mes,15,dr_Cod,"VTA_CHAT",dr_Est,"&lt;&gt;Excluido"),(U$29+U$50)*e_Chat)</f>
        <v>0</v>
      </c>
      <c r="V56" s="13" t="n">
        <f aca="false">IF(V$9=1,SUMIFS(dr_USD,dr_Mes,16,dr_Cod,"VTA_CHAT",dr_Est,"&lt;&gt;Excluido"),(V$29+V$50)*e_Chat)</f>
        <v>0</v>
      </c>
      <c r="W56" s="13" t="n">
        <f aca="false">IF(W$9=1,SUMIFS(dr_USD,dr_Mes,17,dr_Cod,"VTA_CHAT",dr_Est,"&lt;&gt;Excluido"),(W$29+W$50)*e_Chat)</f>
        <v>0</v>
      </c>
      <c r="X56" s="13" t="n">
        <f aca="false">IF(X$9=1,SUMIFS(dr_USD,dr_Mes,18,dr_Cod,"VTA_CHAT",dr_Est,"&lt;&gt;Excluido"),(X$29+X$50)*e_Chat)</f>
        <v>0</v>
      </c>
      <c r="Y56" s="13" t="n">
        <f aca="false">IF(Y$9=1,SUMIFS(dr_USD,dr_Mes,19,dr_Cod,"VTA_CHAT",dr_Est,"&lt;&gt;Excluido"),(Y$29+Y$50)*e_Chat)</f>
        <v>0</v>
      </c>
      <c r="Z56" s="13" t="n">
        <f aca="false">IF(Z$9=1,SUMIFS(dr_USD,dr_Mes,20,dr_Cod,"VTA_CHAT",dr_Est,"&lt;&gt;Excluido"),(Z$29+Z$50)*e_Chat)</f>
        <v>0</v>
      </c>
      <c r="AA56" s="13" t="n">
        <f aca="false">IF(AA$9=1,SUMIFS(dr_USD,dr_Mes,21,dr_Cod,"VTA_CHAT",dr_Est,"&lt;&gt;Excluido"),(AA$29+AA$50)*e_Chat)</f>
        <v>0</v>
      </c>
      <c r="AB56" s="13" t="n">
        <f aca="false">IF(AB$9=1,SUMIFS(dr_USD,dr_Mes,22,dr_Cod,"VTA_CHAT",dr_Est,"&lt;&gt;Excluido"),(AB$29+AB$50)*e_Chat)</f>
        <v>0</v>
      </c>
      <c r="AC56" s="13" t="n">
        <f aca="false">IF(AC$9=1,SUMIFS(dr_USD,dr_Mes,23,dr_Cod,"VTA_CHAT",dr_Est,"&lt;&gt;Excluido"),(AC$29+AC$50)*e_Chat)</f>
        <v>0</v>
      </c>
      <c r="AD56" s="13" t="n">
        <f aca="false">IF(AD$9=1,SUMIFS(dr_USD,dr_Mes,24,dr_Cod,"VTA_CHAT",dr_Est,"&lt;&gt;Excluido"),(AD$29+AD$50)*e_Chat)</f>
        <v>0</v>
      </c>
      <c r="AE56" s="13" t="n">
        <f aca="false">IF(AE$9=1,SUMIFS(dr_USD,dr_Mes,25,dr_Cod,"VTA_CHAT",dr_Est,"&lt;&gt;Excluido"),(AE$29+AE$50)*e_Chat)</f>
        <v>0</v>
      </c>
      <c r="AF56" s="13" t="n">
        <f aca="false">IF(AF$9=1,SUMIFS(dr_USD,dr_Mes,26,dr_Cod,"VTA_CHAT",dr_Est,"&lt;&gt;Excluido"),(AF$29+AF$50)*e_Chat)</f>
        <v>0</v>
      </c>
      <c r="AG56" s="13" t="n">
        <f aca="false">IF(AG$9=1,SUMIFS(dr_USD,dr_Mes,27,dr_Cod,"VTA_CHAT",dr_Est,"&lt;&gt;Excluido"),(AG$29+AG$50)*e_Chat)</f>
        <v>0</v>
      </c>
      <c r="AH56" s="13" t="n">
        <f aca="false">IF(AH$9=1,SUMIFS(dr_USD,dr_Mes,28,dr_Cod,"VTA_CHAT",dr_Est,"&lt;&gt;Excluido"),(AH$29+AH$50)*e_Chat)</f>
        <v>0</v>
      </c>
      <c r="AI56" s="13" t="n">
        <f aca="false">IF(AI$9=1,SUMIFS(dr_USD,dr_Mes,29,dr_Cod,"VTA_CHAT",dr_Est,"&lt;&gt;Excluido"),(AI$29+AI$50)*e_Chat)</f>
        <v>0</v>
      </c>
      <c r="AJ56" s="13" t="n">
        <f aca="false">IF(AJ$9=1,SUMIFS(dr_USD,dr_Mes,30,dr_Cod,"VTA_CHAT",dr_Est,"&lt;&gt;Excluido"),(AJ$29+AJ$50)*e_Chat)</f>
        <v>0</v>
      </c>
      <c r="AK56" s="13" t="n">
        <f aca="false">IF(AK$9=1,SUMIFS(dr_USD,dr_Mes,31,dr_Cod,"VTA_CHAT",dr_Est,"&lt;&gt;Excluido"),(AK$29+AK$50)*e_Chat)</f>
        <v>0</v>
      </c>
      <c r="AL56" s="13" t="n">
        <f aca="false">IF(AL$9=1,SUMIFS(dr_USD,dr_Mes,32,dr_Cod,"VTA_CHAT",dr_Est,"&lt;&gt;Excluido"),(AL$29+AL$50)*e_Chat)</f>
        <v>0</v>
      </c>
      <c r="AM56" s="13" t="n">
        <f aca="false">IF(AM$9=1,SUMIFS(dr_USD,dr_Mes,33,dr_Cod,"VTA_CHAT",dr_Est,"&lt;&gt;Excluido"),(AM$29+AM$50)*e_Chat)</f>
        <v>0</v>
      </c>
      <c r="AN56" s="13" t="n">
        <f aca="false">IF(AN$9=1,SUMIFS(dr_USD,dr_Mes,34,dr_Cod,"VTA_CHAT",dr_Est,"&lt;&gt;Excluido"),(AN$29+AN$50)*e_Chat)</f>
        <v>0</v>
      </c>
      <c r="AO56" s="13" t="n">
        <f aca="false">IF(AO$9=1,SUMIFS(dr_USD,dr_Mes,35,dr_Cod,"VTA_CHAT",dr_Est,"&lt;&gt;Excluido"),(AO$29+AO$50)*e_Chat)</f>
        <v>0</v>
      </c>
      <c r="AP56" s="13" t="n">
        <f aca="false">IF(AP$9=1,SUMIFS(dr_USD,dr_Mes,36,dr_Cod,"VTA_CHAT",dr_Est,"&lt;&gt;Excluido"),(AP$29+AP$50)*e_Chat)</f>
        <v>0</v>
      </c>
      <c r="AQ56" s="13" t="n">
        <f aca="false">IF(AQ$9=1,SUMIFS(dr_USD,dr_Mes,37,dr_Cod,"VTA_CHAT",dr_Est,"&lt;&gt;Excluido"),(AQ$29+AQ$50)*e_Chat)</f>
        <v>0</v>
      </c>
      <c r="AR56" s="13" t="n">
        <f aca="false">IF(AR$9=1,SUMIFS(dr_USD,dr_Mes,38,dr_Cod,"VTA_CHAT",dr_Est,"&lt;&gt;Excluido"),(AR$29+AR$50)*e_Chat)</f>
        <v>0</v>
      </c>
      <c r="AS56" s="13" t="n">
        <f aca="false">IF(AS$9=1,SUMIFS(dr_USD,dr_Mes,39,dr_Cod,"VTA_CHAT",dr_Est,"&lt;&gt;Excluido"),(AS$29+AS$50)*e_Chat)</f>
        <v>0</v>
      </c>
      <c r="AT56" s="13" t="n">
        <f aca="false">IF(AT$9=1,SUMIFS(dr_USD,dr_Mes,40,dr_Cod,"VTA_CHAT",dr_Est,"&lt;&gt;Excluido"),(AT$29+AT$50)*e_Chat)</f>
        <v>0</v>
      </c>
      <c r="AU56" s="13" t="n">
        <f aca="false">IF(AU$9=1,SUMIFS(dr_USD,dr_Mes,41,dr_Cod,"VTA_CHAT",dr_Est,"&lt;&gt;Excluido"),(AU$29+AU$50)*e_Chat)</f>
        <v>0</v>
      </c>
      <c r="AV56" s="13" t="n">
        <f aca="false">IF(AV$9=1,SUMIFS(dr_USD,dr_Mes,42,dr_Cod,"VTA_CHAT",dr_Est,"&lt;&gt;Excluido"),(AV$29+AV$50)*e_Chat)</f>
        <v>0</v>
      </c>
      <c r="AW56" s="13" t="n">
        <f aca="false">IF(AW$9=1,SUMIFS(dr_USD,dr_Mes,43,dr_Cod,"VTA_CHAT",dr_Est,"&lt;&gt;Excluido"),(AW$29+AW$50)*e_Chat)</f>
        <v>0</v>
      </c>
      <c r="AX56" s="13" t="n">
        <f aca="false">IF(AX$9=1,SUMIFS(dr_USD,dr_Mes,44,dr_Cod,"VTA_CHAT",dr_Est,"&lt;&gt;Excluido"),(AX$29+AX$50)*e_Chat)</f>
        <v>0</v>
      </c>
      <c r="AY56" s="13" t="n">
        <f aca="false">IF(AY$9=1,SUMIFS(dr_USD,dr_Mes,45,dr_Cod,"VTA_CHAT",dr_Est,"&lt;&gt;Excluido"),(AY$29+AY$50)*e_Chat)</f>
        <v>0</v>
      </c>
      <c r="AZ56" s="13" t="n">
        <f aca="false">IF(AZ$9=1,SUMIFS(dr_USD,dr_Mes,46,dr_Cod,"VTA_CHAT",dr_Est,"&lt;&gt;Excluido"),(AZ$29+AZ$50)*e_Chat)</f>
        <v>0</v>
      </c>
      <c r="BA56" s="13" t="n">
        <f aca="false">IF(BA$9=1,SUMIFS(dr_USD,dr_Mes,47,dr_Cod,"VTA_CHAT",dr_Est,"&lt;&gt;Excluido"),(BA$29+BA$50)*e_Chat)</f>
        <v>0</v>
      </c>
      <c r="BB56" s="13" t="n">
        <f aca="false">IF(BB$9=1,SUMIFS(dr_USD,dr_Mes,48,dr_Cod,"VTA_CHAT",dr_Est,"&lt;&gt;Excluido"),(BB$29+BB$50)*e_Chat)</f>
        <v>0</v>
      </c>
      <c r="BC56" s="13" t="n">
        <f aca="false">IF(BC$9=1,SUMIFS(dr_USD,dr_Mes,49,dr_Cod,"VTA_CHAT",dr_Est,"&lt;&gt;Excluido"),(BC$29+BC$50)*e_Chat)</f>
        <v>0</v>
      </c>
      <c r="BD56" s="13" t="n">
        <f aca="false">IF(BD$9=1,SUMIFS(dr_USD,dr_Mes,50,dr_Cod,"VTA_CHAT",dr_Est,"&lt;&gt;Excluido"),(BD$29+BD$50)*e_Chat)</f>
        <v>0</v>
      </c>
      <c r="BE56" s="13" t="n">
        <f aca="false">IF(BE$9=1,SUMIFS(dr_USD,dr_Mes,51,dr_Cod,"VTA_CHAT",dr_Est,"&lt;&gt;Excluido"),(BE$29+BE$50)*e_Chat)</f>
        <v>0</v>
      </c>
      <c r="BF56" s="13" t="n">
        <f aca="false">IF(BF$9=1,SUMIFS(dr_USD,dr_Mes,52,dr_Cod,"VTA_CHAT",dr_Est,"&lt;&gt;Excluido"),(BF$29+BF$50)*e_Chat)</f>
        <v>0</v>
      </c>
      <c r="BG56" s="13" t="n">
        <f aca="false">IF(BG$9=1,SUMIFS(dr_USD,dr_Mes,53,dr_Cod,"VTA_CHAT",dr_Est,"&lt;&gt;Excluido"),(BG$29+BG$50)*e_Chat)</f>
        <v>0</v>
      </c>
      <c r="BH56" s="13" t="n">
        <f aca="false">IF(BH$9=1,SUMIFS(dr_USD,dr_Mes,54,dr_Cod,"VTA_CHAT",dr_Est,"&lt;&gt;Excluido"),(BH$29+BH$50)*e_Chat)</f>
        <v>0</v>
      </c>
      <c r="BI56" s="13" t="n">
        <f aca="false">IF(BI$9=1,SUMIFS(dr_USD,dr_Mes,55,dr_Cod,"VTA_CHAT",dr_Est,"&lt;&gt;Excluido"),(BI$29+BI$50)*e_Chat)</f>
        <v>0</v>
      </c>
      <c r="BJ56" s="13" t="n">
        <f aca="false">IF(BJ$9=1,SUMIFS(dr_USD,dr_Mes,56,dr_Cod,"VTA_CHAT",dr_Est,"&lt;&gt;Excluido"),(BJ$29+BJ$50)*e_Chat)</f>
        <v>0</v>
      </c>
      <c r="BK56" s="13" t="n">
        <f aca="false">IF(BK$9=1,SUMIFS(dr_USD,dr_Mes,57,dr_Cod,"VTA_CHAT",dr_Est,"&lt;&gt;Excluido"),(BK$29+BK$50)*e_Chat)</f>
        <v>0</v>
      </c>
      <c r="BL56" s="13" t="n">
        <f aca="false">IF(BL$9=1,SUMIFS(dr_USD,dr_Mes,58,dr_Cod,"VTA_CHAT",dr_Est,"&lt;&gt;Excluido"),(BL$29+BL$50)*e_Chat)</f>
        <v>0</v>
      </c>
      <c r="BM56" s="13" t="n">
        <f aca="false">IF(BM$9=1,SUMIFS(dr_USD,dr_Mes,59,dr_Cod,"VTA_CHAT",dr_Est,"&lt;&gt;Excluido"),(BM$29+BM$50)*e_Chat)</f>
        <v>0</v>
      </c>
      <c r="BN56" s="13" t="n">
        <f aca="false">IF(BN$9=1,SUMIFS(dr_USD,dr_Mes,60,dr_Cod,"VTA_CHAT",dr_Est,"&lt;&gt;Excluido"),(BN$29+BN$50)*e_Chat)</f>
        <v>0</v>
      </c>
      <c r="BO56" s="13" t="n">
        <f aca="false">IF(BO$9=1,SUMIFS(dr_USD,dr_Mes,61,dr_Cod,"VTA_CHAT",dr_Est,"&lt;&gt;Excluido"),(BO$29+BO$50)*e_Chat)</f>
        <v>0</v>
      </c>
      <c r="BP56" s="13" t="n">
        <f aca="false">IF(BP$9=1,SUMIFS(dr_USD,dr_Mes,62,dr_Cod,"VTA_CHAT",dr_Est,"&lt;&gt;Excluido"),(BP$29+BP$50)*e_Chat)</f>
        <v>0</v>
      </c>
      <c r="BQ56" s="13" t="n">
        <f aca="false">IF(BQ$9=1,SUMIFS(dr_USD,dr_Mes,63,dr_Cod,"VTA_CHAT",dr_Est,"&lt;&gt;Excluido"),(BQ$29+BQ$50)*e_Chat)</f>
        <v>0</v>
      </c>
      <c r="BR56" s="13" t="n">
        <f aca="false">IF(BR$9=1,SUMIFS(dr_USD,dr_Mes,64,dr_Cod,"VTA_CHAT",dr_Est,"&lt;&gt;Excluido"),(BR$29+BR$50)*e_Chat)</f>
        <v>0</v>
      </c>
      <c r="BS56" s="13" t="n">
        <f aca="false">IF(BS$9=1,SUMIFS(dr_USD,dr_Mes,65,dr_Cod,"VTA_CHAT",dr_Est,"&lt;&gt;Excluido"),(BS$29+BS$50)*e_Chat)</f>
        <v>0</v>
      </c>
      <c r="BT56" s="13" t="n">
        <f aca="false">IF(BT$9=1,SUMIFS(dr_USD,dr_Mes,66,dr_Cod,"VTA_CHAT",dr_Est,"&lt;&gt;Excluido"),(BT$29+BT$50)*e_Chat)</f>
        <v>0</v>
      </c>
      <c r="BU56" s="13" t="n">
        <f aca="false">IF(BU$9=1,SUMIFS(dr_USD,dr_Mes,67,dr_Cod,"VTA_CHAT",dr_Est,"&lt;&gt;Excluido"),(BU$29+BU$50)*e_Chat)</f>
        <v>0</v>
      </c>
      <c r="BV56" s="13" t="n">
        <f aca="false">IF(BV$9=1,SUMIFS(dr_USD,dr_Mes,68,dr_Cod,"VTA_CHAT",dr_Est,"&lt;&gt;Excluido"),(BV$29+BV$50)*e_Chat)</f>
        <v>0</v>
      </c>
      <c r="BW56" s="13" t="n">
        <f aca="false">IF(BW$9=1,SUMIFS(dr_USD,dr_Mes,69,dr_Cod,"VTA_CHAT",dr_Est,"&lt;&gt;Excluido"),(BW$29+BW$50)*e_Chat)</f>
        <v>0</v>
      </c>
      <c r="BX56" s="13" t="n">
        <f aca="false">IF(BX$9=1,SUMIFS(dr_USD,dr_Mes,70,dr_Cod,"VTA_CHAT",dr_Est,"&lt;&gt;Excluido"),(BX$29+BX$50)*e_Chat)</f>
        <v>0</v>
      </c>
      <c r="BY56" s="13" t="n">
        <f aca="false">IF(BY$9=1,SUMIFS(dr_USD,dr_Mes,71,dr_Cod,"VTA_CHAT",dr_Est,"&lt;&gt;Excluido"),(BY$29+BY$50)*e_Chat)</f>
        <v>0</v>
      </c>
      <c r="BZ56" s="13" t="n">
        <f aca="false">IF(BZ$9=1,SUMIFS(dr_USD,dr_Mes,72,dr_Cod,"VTA_CHAT",dr_Est,"&lt;&gt;Excluido"),(BZ$29+BZ$50)*e_Chat)</f>
        <v>0</v>
      </c>
      <c r="CA56" s="13" t="n">
        <f aca="false">IF(CA$9=1,SUMIFS(dr_USD,dr_Mes,73,dr_Cod,"VTA_CHAT",dr_Est,"&lt;&gt;Excluido"),(CA$29+CA$50)*e_Chat)</f>
        <v>0</v>
      </c>
      <c r="CB56" s="13" t="n">
        <f aca="false">IF(CB$9=1,SUMIFS(dr_USD,dr_Mes,74,dr_Cod,"VTA_CHAT",dr_Est,"&lt;&gt;Excluido"),(CB$29+CB$50)*e_Chat)</f>
        <v>0</v>
      </c>
      <c r="CC56" s="13" t="n">
        <f aca="false">IF(CC$9=1,SUMIFS(dr_USD,dr_Mes,75,dr_Cod,"VTA_CHAT",dr_Est,"&lt;&gt;Excluido"),(CC$29+CC$50)*e_Chat)</f>
        <v>0</v>
      </c>
      <c r="CD56" s="13" t="n">
        <f aca="false">IF(CD$9=1,SUMIFS(dr_USD,dr_Mes,76,dr_Cod,"VTA_CHAT",dr_Est,"&lt;&gt;Excluido"),(CD$29+CD$50)*e_Chat)</f>
        <v>0</v>
      </c>
      <c r="CE56" s="13" t="n">
        <f aca="false">IF(CE$9=1,SUMIFS(dr_USD,dr_Mes,77,dr_Cod,"VTA_CHAT",dr_Est,"&lt;&gt;Excluido"),(CE$29+CE$50)*e_Chat)</f>
        <v>0</v>
      </c>
      <c r="CF56" s="13" t="n">
        <f aca="false">IF(CF$9=1,SUMIFS(dr_USD,dr_Mes,78,dr_Cod,"VTA_CHAT",dr_Est,"&lt;&gt;Excluido"),(CF$29+CF$50)*e_Chat)</f>
        <v>0</v>
      </c>
      <c r="CG56" s="13" t="n">
        <f aca="false">IF(CG$9=1,SUMIFS(dr_USD,dr_Mes,79,dr_Cod,"VTA_CHAT",dr_Est,"&lt;&gt;Excluido"),(CG$29+CG$50)*e_Chat)</f>
        <v>0</v>
      </c>
      <c r="CH56" s="13" t="n">
        <f aca="false">IF(CH$9=1,SUMIFS(dr_USD,dr_Mes,80,dr_Cod,"VTA_CHAT",dr_Est,"&lt;&gt;Excluido"),(CH$29+CH$50)*e_Chat)</f>
        <v>0</v>
      </c>
      <c r="CI56" s="13" t="n">
        <f aca="false">IF(CI$9=1,SUMIFS(dr_USD,dr_Mes,81,dr_Cod,"VTA_CHAT",dr_Est,"&lt;&gt;Excluido"),(CI$29+CI$50)*e_Chat)</f>
        <v>0</v>
      </c>
      <c r="CJ56" s="13" t="n">
        <f aca="false">IF(CJ$9=1,SUMIFS(dr_USD,dr_Mes,82,dr_Cod,"VTA_CHAT",dr_Est,"&lt;&gt;Excluido"),(CJ$29+CJ$50)*e_Chat)</f>
        <v>0</v>
      </c>
      <c r="CK56" s="13" t="n">
        <f aca="false">IF(CK$9=1,SUMIFS(dr_USD,dr_Mes,83,dr_Cod,"VTA_CHAT",dr_Est,"&lt;&gt;Excluido"),(CK$29+CK$50)*e_Chat)</f>
        <v>0</v>
      </c>
      <c r="CL56" s="13" t="n">
        <f aca="false">IF(CL$9=1,SUMIFS(dr_USD,dr_Mes,84,dr_Cod,"VTA_CHAT",dr_Est,"&lt;&gt;Excluido"),(CL$29+CL$50)*e_Chat)</f>
        <v>0</v>
      </c>
      <c r="CM56" s="13" t="n">
        <f aca="false">IF(CM$9=1,SUMIFS(dr_USD,dr_Mes,85,dr_Cod,"VTA_CHAT",dr_Est,"&lt;&gt;Excluido"),(CM$29+CM$50)*e_Chat)</f>
        <v>0</v>
      </c>
      <c r="CN56" s="13" t="n">
        <f aca="false">IF(CN$9=1,SUMIFS(dr_USD,dr_Mes,86,dr_Cod,"VTA_CHAT",dr_Est,"&lt;&gt;Excluido"),(CN$29+CN$50)*e_Chat)</f>
        <v>0</v>
      </c>
      <c r="CO56" s="13" t="n">
        <f aca="false">IF(CO$9=1,SUMIFS(dr_USD,dr_Mes,87,dr_Cod,"VTA_CHAT",dr_Est,"&lt;&gt;Excluido"),(CO$29+CO$50)*e_Chat)</f>
        <v>0</v>
      </c>
      <c r="CP56" s="13" t="n">
        <f aca="false">IF(CP$9=1,SUMIFS(dr_USD,dr_Mes,88,dr_Cod,"VTA_CHAT",dr_Est,"&lt;&gt;Excluido"),(CP$29+CP$50)*e_Chat)</f>
        <v>0</v>
      </c>
      <c r="CQ56" s="13" t="n">
        <f aca="false">IF(CQ$9=1,SUMIFS(dr_USD,dr_Mes,89,dr_Cod,"VTA_CHAT",dr_Est,"&lt;&gt;Excluido"),(CQ$29+CQ$50)*e_Chat)</f>
        <v>0</v>
      </c>
      <c r="CR56" s="13" t="n">
        <f aca="false">IF(CR$9=1,SUMIFS(dr_USD,dr_Mes,90,dr_Cod,"VTA_CHAT",dr_Est,"&lt;&gt;Excluido"),(CR$29+CR$50)*e_Chat)</f>
        <v>0</v>
      </c>
      <c r="CS56" s="13" t="n">
        <f aca="false">IF(CS$9=1,SUMIFS(dr_USD,dr_Mes,91,dr_Cod,"VTA_CHAT",dr_Est,"&lt;&gt;Excluido"),(CS$29+CS$50)*e_Chat)</f>
        <v>0</v>
      </c>
      <c r="CT56" s="13" t="n">
        <f aca="false">IF(CT$9=1,SUMIFS(dr_USD,dr_Mes,92,dr_Cod,"VTA_CHAT",dr_Est,"&lt;&gt;Excluido"),(CT$29+CT$50)*e_Chat)</f>
        <v>0</v>
      </c>
      <c r="CU56" s="13" t="n">
        <f aca="false">IF(CU$9=1,SUMIFS(dr_USD,dr_Mes,93,dr_Cod,"VTA_CHAT",dr_Est,"&lt;&gt;Excluido"),(CU$29+CU$50)*e_Chat)</f>
        <v>0</v>
      </c>
      <c r="CV56" s="13" t="n">
        <f aca="false">IF(CV$9=1,SUMIFS(dr_USD,dr_Mes,94,dr_Cod,"VTA_CHAT",dr_Est,"&lt;&gt;Excluido"),(CV$29+CV$50)*e_Chat)</f>
        <v>0</v>
      </c>
      <c r="CW56" s="13" t="n">
        <f aca="false">IF(CW$9=1,SUMIFS(dr_USD,dr_Mes,95,dr_Cod,"VTA_CHAT",dr_Est,"&lt;&gt;Excluido"),(CW$29+CW$50)*e_Chat)</f>
        <v>0</v>
      </c>
      <c r="CX56" s="13" t="n">
        <f aca="false">IF(CX$9=1,SUMIFS(dr_USD,dr_Mes,96,dr_Cod,"VTA_CHAT",dr_Est,"&lt;&gt;Excluido"),(CX$29+CX$50)*e_Chat)</f>
        <v>0</v>
      </c>
      <c r="CY56" s="13" t="n">
        <f aca="false">IF(CY$9=1,SUMIFS(dr_USD,dr_Mes,97,dr_Cod,"VTA_CHAT",dr_Est,"&lt;&gt;Excluido"),(CY$29+CY$50)*e_Chat)</f>
        <v>0</v>
      </c>
      <c r="CZ56" s="13" t="n">
        <f aca="false">IF(CZ$9=1,SUMIFS(dr_USD,dr_Mes,98,dr_Cod,"VTA_CHAT",dr_Est,"&lt;&gt;Excluido"),(CZ$29+CZ$50)*e_Chat)</f>
        <v>0</v>
      </c>
      <c r="DA56" s="13" t="n">
        <f aca="false">IF(DA$9=1,SUMIFS(dr_USD,dr_Mes,99,dr_Cod,"VTA_CHAT",dr_Est,"&lt;&gt;Excluido"),(DA$29+DA$50)*e_Chat)</f>
        <v>0</v>
      </c>
      <c r="DB56" s="13" t="n">
        <f aca="false">IF(DB$9=1,SUMIFS(dr_USD,dr_Mes,100,dr_Cod,"VTA_CHAT",dr_Est,"&lt;&gt;Excluido"),(DB$29+DB$50)*e_Chat)</f>
        <v>0</v>
      </c>
      <c r="DC56" s="13" t="n">
        <f aca="false">IF(DC$9=1,SUMIFS(dr_USD,dr_Mes,101,dr_Cod,"VTA_CHAT",dr_Est,"&lt;&gt;Excluido"),(DC$29+DC$50)*e_Chat)</f>
        <v>0</v>
      </c>
      <c r="DD56" s="13" t="n">
        <f aca="false">IF(DD$9=1,SUMIFS(dr_USD,dr_Mes,102,dr_Cod,"VTA_CHAT",dr_Est,"&lt;&gt;Excluido"),(DD$29+DD$50)*e_Chat)</f>
        <v>0</v>
      </c>
      <c r="DE56" s="13" t="n">
        <f aca="false">IF(DE$9=1,SUMIFS(dr_USD,dr_Mes,103,dr_Cod,"VTA_CHAT",dr_Est,"&lt;&gt;Excluido"),(DE$29+DE$50)*e_Chat)</f>
        <v>0</v>
      </c>
      <c r="DF56" s="13" t="n">
        <f aca="false">IF(DF$9=1,SUMIFS(dr_USD,dr_Mes,104,dr_Cod,"VTA_CHAT",dr_Est,"&lt;&gt;Excluido"),(DF$29+DF$50)*e_Chat)</f>
        <v>0</v>
      </c>
      <c r="DG56" s="13" t="n">
        <f aca="false">IF(DG$9=1,SUMIFS(dr_USD,dr_Mes,105,dr_Cod,"VTA_CHAT",dr_Est,"&lt;&gt;Excluido"),(DG$29+DG$50)*e_Chat)</f>
        <v>0</v>
      </c>
      <c r="DH56" s="13" t="n">
        <f aca="false">IF(DH$9=1,SUMIFS(dr_USD,dr_Mes,106,dr_Cod,"VTA_CHAT",dr_Est,"&lt;&gt;Excluido"),(DH$29+DH$50)*e_Chat)</f>
        <v>0</v>
      </c>
      <c r="DI56" s="13" t="n">
        <f aca="false">IF(DI$9=1,SUMIFS(dr_USD,dr_Mes,107,dr_Cod,"VTA_CHAT",dr_Est,"&lt;&gt;Excluido"),(DI$29+DI$50)*e_Chat)</f>
        <v>0</v>
      </c>
      <c r="DJ56" s="13" t="n">
        <f aca="false">IF(DJ$9=1,SUMIFS(dr_USD,dr_Mes,108,dr_Cod,"VTA_CHAT",dr_Est,"&lt;&gt;Excluido"),(DJ$29+DJ$50)*e_Chat)</f>
        <v>0</v>
      </c>
      <c r="DK56" s="13" t="n">
        <f aca="false">IF(DK$9=1,SUMIFS(dr_USD,dr_Mes,109,dr_Cod,"VTA_CHAT",dr_Est,"&lt;&gt;Excluido"),(DK$29+DK$50)*e_Chat)</f>
        <v>0</v>
      </c>
      <c r="DL56" s="13" t="n">
        <f aca="false">IF(DL$9=1,SUMIFS(dr_USD,dr_Mes,110,dr_Cod,"VTA_CHAT",dr_Est,"&lt;&gt;Excluido"),(DL$29+DL$50)*e_Chat)</f>
        <v>0</v>
      </c>
      <c r="DM56" s="13" t="n">
        <f aca="false">IF(DM$9=1,SUMIFS(dr_USD,dr_Mes,111,dr_Cod,"VTA_CHAT",dr_Est,"&lt;&gt;Excluido"),(DM$29+DM$50)*e_Chat)</f>
        <v>0</v>
      </c>
      <c r="DN56" s="13" t="n">
        <f aca="false">IF(DN$9=1,SUMIFS(dr_USD,dr_Mes,112,dr_Cod,"VTA_CHAT",dr_Est,"&lt;&gt;Excluido"),(DN$29+DN$50)*e_Chat)</f>
        <v>0</v>
      </c>
      <c r="DO56" s="13" t="n">
        <f aca="false">IF(DO$9=1,SUMIFS(dr_USD,dr_Mes,113,dr_Cod,"VTA_CHAT",dr_Est,"&lt;&gt;Excluido"),(DO$29+DO$50)*e_Chat)</f>
        <v>0</v>
      </c>
      <c r="DP56" s="13" t="n">
        <f aca="false">IF(DP$9=1,SUMIFS(dr_USD,dr_Mes,114,dr_Cod,"VTA_CHAT",dr_Est,"&lt;&gt;Excluido"),(DP$29+DP$50)*e_Chat)</f>
        <v>0</v>
      </c>
      <c r="DQ56" s="13" t="n">
        <f aca="false">IF(DQ$9=1,SUMIFS(dr_USD,dr_Mes,115,dr_Cod,"VTA_CHAT",dr_Est,"&lt;&gt;Excluido"),(DQ$29+DQ$50)*e_Chat)</f>
        <v>0</v>
      </c>
      <c r="DR56" s="13" t="n">
        <f aca="false">IF(DR$9=1,SUMIFS(dr_USD,dr_Mes,116,dr_Cod,"VTA_CHAT",dr_Est,"&lt;&gt;Excluido"),(DR$29+DR$50)*e_Chat)</f>
        <v>0</v>
      </c>
      <c r="DS56" s="13" t="n">
        <f aca="false">IF(DS$9=1,SUMIFS(dr_USD,dr_Mes,117,dr_Cod,"VTA_CHAT",dr_Est,"&lt;&gt;Excluido"),(DS$29+DS$50)*e_Chat)</f>
        <v>0</v>
      </c>
      <c r="DT56" s="13" t="n">
        <f aca="false">IF(DT$9=1,SUMIFS(dr_USD,dr_Mes,118,dr_Cod,"VTA_CHAT",dr_Est,"&lt;&gt;Excluido"),(DT$29+DT$50)*e_Chat)</f>
        <v>0</v>
      </c>
      <c r="DU56" s="13" t="n">
        <f aca="false">IF(DU$9=1,SUMIFS(dr_USD,dr_Mes,119,dr_Cod,"VTA_CHAT",dr_Est,"&lt;&gt;Excluido"),(DU$29+DU$50)*e_Chat)</f>
        <v>0</v>
      </c>
      <c r="DV56" s="13" t="n">
        <f aca="false">IF(DV$9=1,SUMIFS(dr_USD,dr_Mes,120,dr_Cod,"VTA_CHAT",dr_Est,"&lt;&gt;Excluido"),(DV$29+DV$50)*e_Chat)</f>
        <v>0</v>
      </c>
      <c r="DW56" s="13" t="n">
        <f aca="false">IF(DW$9=1,SUMIFS(dr_USD,dr_Mes,121,dr_Cod,"VTA_CHAT",dr_Est,"&lt;&gt;Excluido"),(DW$29+DW$50)*e_Chat)</f>
        <v>0</v>
      </c>
      <c r="DX56" s="13" t="n">
        <f aca="false">IF(DX$9=1,SUMIFS(dr_USD,dr_Mes,122,dr_Cod,"VTA_CHAT",dr_Est,"&lt;&gt;Excluido"),(DX$29+DX$50)*e_Chat)</f>
        <v>0</v>
      </c>
      <c r="DY56" s="13" t="n">
        <f aca="false">IF(DY$9=1,SUMIFS(dr_USD,dr_Mes,123,dr_Cod,"VTA_CHAT",dr_Est,"&lt;&gt;Excluido"),(DY$29+DY$50)*e_Chat)</f>
        <v>0</v>
      </c>
      <c r="DZ56" s="13" t="n">
        <f aca="false">IF(DZ$9=1,SUMIFS(dr_USD,dr_Mes,124,dr_Cod,"VTA_CHAT",dr_Est,"&lt;&gt;Excluido"),(DZ$29+DZ$50)*e_Chat)</f>
        <v>0</v>
      </c>
      <c r="EA56" s="13" t="n">
        <f aca="false">IF(EA$9=1,SUMIFS(dr_USD,dr_Mes,125,dr_Cod,"VTA_CHAT",dr_Est,"&lt;&gt;Excluido"),(EA$29+EA$50)*e_Chat)</f>
        <v>0</v>
      </c>
      <c r="EB56" s="13" t="n">
        <f aca="false">IF(EB$9=1,SUMIFS(dr_USD,dr_Mes,126,dr_Cod,"VTA_CHAT",dr_Est,"&lt;&gt;Excluido"),(EB$29+EB$50)*e_Chat)</f>
        <v>0</v>
      </c>
      <c r="EC56" s="13" t="n">
        <f aca="false">IF(EC$9=1,SUMIFS(dr_USD,dr_Mes,127,dr_Cod,"VTA_CHAT",dr_Est,"&lt;&gt;Excluido"),(EC$29+EC$50)*e_Chat)</f>
        <v>0</v>
      </c>
      <c r="ED56" s="13" t="n">
        <f aca="false">IF(ED$9=1,SUMIFS(dr_USD,dr_Mes,128,dr_Cod,"VTA_CHAT",dr_Est,"&lt;&gt;Excluido"),(ED$29+ED$50)*e_Chat)</f>
        <v>0</v>
      </c>
      <c r="EE56" s="13" t="n">
        <f aca="false">IF(EE$9=1,SUMIFS(dr_USD,dr_Mes,129,dr_Cod,"VTA_CHAT",dr_Est,"&lt;&gt;Excluido"),(EE$29+EE$50)*e_Chat)</f>
        <v>0</v>
      </c>
      <c r="EF56" s="13" t="n">
        <f aca="false">IF(EF$9=1,SUMIFS(dr_USD,dr_Mes,130,dr_Cod,"VTA_CHAT",dr_Est,"&lt;&gt;Excluido"),(EF$29+EF$50)*e_Chat)</f>
        <v>0</v>
      </c>
      <c r="EG56" s="13" t="n">
        <f aca="false">IF(EG$9=1,SUMIFS(dr_USD,dr_Mes,131,dr_Cod,"VTA_CHAT",dr_Est,"&lt;&gt;Excluido"),(EG$29+EG$50)*e_Chat)</f>
        <v>0</v>
      </c>
      <c r="EH56" s="13" t="n">
        <f aca="false">IF(EH$9=1,SUMIFS(dr_USD,dr_Mes,132,dr_Cod,"VTA_CHAT",dr_Est,"&lt;&gt;Excluido"),(EH$29+EH$50)*e_Chat)</f>
        <v>0</v>
      </c>
      <c r="EI56" s="13" t="n">
        <f aca="false">IF(EI$9=1,SUMIFS(dr_USD,dr_Mes,133,dr_Cod,"VTA_CHAT",dr_Est,"&lt;&gt;Excluido"),(EI$29+EI$50)*e_Chat)</f>
        <v>0</v>
      </c>
      <c r="EJ56" s="13" t="n">
        <f aca="false">IF(EJ$9=1,SUMIFS(dr_USD,dr_Mes,134,dr_Cod,"VTA_CHAT",dr_Est,"&lt;&gt;Excluido"),(EJ$29+EJ$50)*e_Chat)</f>
        <v>0</v>
      </c>
      <c r="EK56" s="13" t="n">
        <f aca="false">IF(EK$9=1,SUMIFS(dr_USD,dr_Mes,135,dr_Cod,"VTA_CHAT",dr_Est,"&lt;&gt;Excluido"),(EK$29+EK$50)*e_Chat)</f>
        <v>0</v>
      </c>
      <c r="EL56" s="13" t="n">
        <f aca="false">IF(EL$9=1,SUMIFS(dr_USD,dr_Mes,136,dr_Cod,"VTA_CHAT",dr_Est,"&lt;&gt;Excluido"),(EL$29+EL$50)*e_Chat)</f>
        <v>0</v>
      </c>
      <c r="EM56" s="13" t="n">
        <f aca="false">IF(EM$9=1,SUMIFS(dr_USD,dr_Mes,137,dr_Cod,"VTA_CHAT",dr_Est,"&lt;&gt;Excluido"),(EM$29+EM$50)*e_Chat)</f>
        <v>0</v>
      </c>
      <c r="EN56" s="13" t="n">
        <f aca="false">IF(EN$9=1,SUMIFS(dr_USD,dr_Mes,138,dr_Cod,"VTA_CHAT",dr_Est,"&lt;&gt;Excluido"),(EN$29+EN$50)*e_Chat)</f>
        <v>0</v>
      </c>
      <c r="EO56" s="13" t="n">
        <f aca="false">IF(EO$9=1,SUMIFS(dr_USD,dr_Mes,139,dr_Cod,"VTA_CHAT",dr_Est,"&lt;&gt;Excluido"),(EO$29+EO$50)*e_Chat)</f>
        <v>0</v>
      </c>
      <c r="EP56" s="13" t="n">
        <f aca="false">IF(EP$9=1,SUMIFS(dr_USD,dr_Mes,140,dr_Cod,"VTA_CHAT",dr_Est,"&lt;&gt;Excluido"),(EP$29+EP$50)*e_Chat)</f>
        <v>0</v>
      </c>
      <c r="EQ56" s="13" t="n">
        <f aca="false">IF(EQ$9=1,SUMIFS(dr_USD,dr_Mes,141,dr_Cod,"VTA_CHAT",dr_Est,"&lt;&gt;Excluido"),(EQ$29+EQ$50)*e_Chat)</f>
        <v>0</v>
      </c>
      <c r="ER56" s="13" t="n">
        <f aca="false">IF(ER$9=1,SUMIFS(dr_USD,dr_Mes,142,dr_Cod,"VTA_CHAT",dr_Est,"&lt;&gt;Excluido"),(ER$29+ER$50)*e_Chat)</f>
        <v>0</v>
      </c>
      <c r="ES56" s="13" t="n">
        <f aca="false">IF(ES$9=1,SUMIFS(dr_USD,dr_Mes,143,dr_Cod,"VTA_CHAT",dr_Est,"&lt;&gt;Excluido"),(ES$29+ES$50)*e_Chat)</f>
        <v>0</v>
      </c>
      <c r="ET56" s="13" t="n">
        <f aca="false">IF(ET$9=1,SUMIFS(dr_USD,dr_Mes,144,dr_Cod,"VTA_CHAT",dr_Est,"&lt;&gt;Excluido"),(ET$29+ET$50)*e_Chat)</f>
        <v>0</v>
      </c>
      <c r="EU56" s="13" t="n">
        <f aca="false">IF(EU$9=1,SUMIFS(dr_USD,dr_Mes,145,dr_Cod,"VTA_CHAT",dr_Est,"&lt;&gt;Excluido"),(EU$29+EU$50)*e_Chat)</f>
        <v>0</v>
      </c>
      <c r="EV56" s="13" t="n">
        <f aca="false">IF(EV$9=1,SUMIFS(dr_USD,dr_Mes,146,dr_Cod,"VTA_CHAT",dr_Est,"&lt;&gt;Excluido"),(EV$29+EV$50)*e_Chat)</f>
        <v>0</v>
      </c>
      <c r="EW56" s="13" t="n">
        <f aca="false">IF(EW$9=1,SUMIFS(dr_USD,dr_Mes,147,dr_Cod,"VTA_CHAT",dr_Est,"&lt;&gt;Excluido"),(EW$29+EW$50)*e_Chat)</f>
        <v>0</v>
      </c>
      <c r="EX56" s="13" t="n">
        <f aca="false">IF(EX$9=1,SUMIFS(dr_USD,dr_Mes,148,dr_Cod,"VTA_CHAT",dr_Est,"&lt;&gt;Excluido"),(EX$29+EX$50)*e_Chat)</f>
        <v>0</v>
      </c>
      <c r="EY56" s="13" t="n">
        <f aca="false">IF(EY$9=1,SUMIFS(dr_USD,dr_Mes,149,dr_Cod,"VTA_CHAT",dr_Est,"&lt;&gt;Excluido"),(EY$29+EY$50)*e_Chat)</f>
        <v>0</v>
      </c>
      <c r="EZ56" s="13" t="n">
        <f aca="false">IF(EZ$9=1,SUMIFS(dr_USD,dr_Mes,150,dr_Cod,"VTA_CHAT",dr_Est,"&lt;&gt;Excluido"),(EZ$29+EZ$50)*e_Chat)</f>
        <v>0</v>
      </c>
      <c r="FA56" s="13" t="n">
        <f aca="false">IF(FA$9=1,SUMIFS(dr_USD,dr_Mes,151,dr_Cod,"VTA_CHAT",dr_Est,"&lt;&gt;Excluido"),(FA$29+FA$50)*e_Chat)</f>
        <v>0</v>
      </c>
      <c r="FB56" s="13" t="n">
        <f aca="false">IF(FB$9=1,SUMIFS(dr_USD,dr_Mes,152,dr_Cod,"VTA_CHAT",dr_Est,"&lt;&gt;Excluido"),(FB$29+FB$50)*e_Chat)</f>
        <v>0</v>
      </c>
      <c r="FC56" s="13" t="n">
        <f aca="false">IF(FC$9=1,SUMIFS(dr_USD,dr_Mes,153,dr_Cod,"VTA_CHAT",dr_Est,"&lt;&gt;Excluido"),(FC$29+FC$50)*e_Chat)</f>
        <v>0</v>
      </c>
      <c r="FD56" s="13" t="n">
        <f aca="false">IF(FD$9=1,SUMIFS(dr_USD,dr_Mes,154,dr_Cod,"VTA_CHAT",dr_Est,"&lt;&gt;Excluido"),(FD$29+FD$50)*e_Chat)</f>
        <v>0</v>
      </c>
      <c r="FE56" s="13" t="n">
        <f aca="false">IF(FE$9=1,SUMIFS(dr_USD,dr_Mes,155,dr_Cod,"VTA_CHAT",dr_Est,"&lt;&gt;Excluido"),(FE$29+FE$50)*e_Chat)</f>
        <v>0</v>
      </c>
      <c r="FF56" s="13" t="n">
        <f aca="false">IF(FF$9=1,SUMIFS(dr_USD,dr_Mes,156,dr_Cod,"VTA_CHAT",dr_Est,"&lt;&gt;Excluido"),(FF$29+FF$50)*e_Chat)</f>
        <v>0</v>
      </c>
    </row>
    <row r="57" customFormat="false" ht="15" hidden="false" customHeight="false" outlineLevel="0" collapsed="false">
      <c r="A57" s="2" t="s">
        <v>890</v>
      </c>
      <c r="B57" s="66" t="s">
        <v>891</v>
      </c>
      <c r="C57" s="8" t="s">
        <v>255</v>
      </c>
      <c r="E57" s="67" t="n">
        <f aca="false">SUM($F57:$FF57)</f>
        <v>81222447.7216454</v>
      </c>
      <c r="F57" s="12" t="n">
        <f aca="false">F$55+F$56</f>
        <v>0</v>
      </c>
      <c r="G57" s="12" t="n">
        <f aca="false">G$55+G$56</f>
        <v>404166.666666667</v>
      </c>
      <c r="H57" s="12" t="n">
        <f aca="false">H$55+H$56</f>
        <v>404166.666666667</v>
      </c>
      <c r="I57" s="12" t="n">
        <f aca="false">I$55+I$56</f>
        <v>404166.666666667</v>
      </c>
      <c r="J57" s="12" t="n">
        <f aca="false">J$55+J$56</f>
        <v>404166.666666667</v>
      </c>
      <c r="K57" s="12" t="n">
        <f aca="false">K$55+K$56</f>
        <v>404166.666666667</v>
      </c>
      <c r="L57" s="12" t="n">
        <f aca="false">L$55+L$56</f>
        <v>404166.666666667</v>
      </c>
      <c r="M57" s="12" t="n">
        <f aca="false">M$55+M$56</f>
        <v>404166.666666667</v>
      </c>
      <c r="N57" s="12" t="n">
        <f aca="false">N$55+N$56</f>
        <v>404166.666666667</v>
      </c>
      <c r="O57" s="12" t="n">
        <f aca="false">O$55+O$56</f>
        <v>404166.666666667</v>
      </c>
      <c r="P57" s="12" t="n">
        <f aca="false">P$55+P$56</f>
        <v>404166.666666667</v>
      </c>
      <c r="Q57" s="12" t="n">
        <f aca="false">Q$55+Q$56</f>
        <v>404166.666666667</v>
      </c>
      <c r="R57" s="12" t="n">
        <f aca="false">R$55+R$56</f>
        <v>404166.666666667</v>
      </c>
      <c r="S57" s="12" t="n">
        <f aca="false">S$55+S$56</f>
        <v>515100</v>
      </c>
      <c r="T57" s="12" t="n">
        <f aca="false">T$55+T$56</f>
        <v>515100</v>
      </c>
      <c r="U57" s="12" t="n">
        <f aca="false">U$55+U$56</f>
        <v>515100</v>
      </c>
      <c r="V57" s="12" t="n">
        <f aca="false">V$55+V$56</f>
        <v>515100</v>
      </c>
      <c r="W57" s="12" t="n">
        <f aca="false">W$55+W$56</f>
        <v>515100</v>
      </c>
      <c r="X57" s="12" t="n">
        <f aca="false">X$55+X$56</f>
        <v>515100</v>
      </c>
      <c r="Y57" s="12" t="n">
        <f aca="false">Y$55+Y$56</f>
        <v>515100</v>
      </c>
      <c r="Z57" s="12" t="n">
        <f aca="false">Z$55+Z$56</f>
        <v>515100</v>
      </c>
      <c r="AA57" s="12" t="n">
        <f aca="false">AA$55+AA$56</f>
        <v>515100</v>
      </c>
      <c r="AB57" s="12" t="n">
        <f aca="false">AB$55+AB$56</f>
        <v>515100</v>
      </c>
      <c r="AC57" s="12" t="n">
        <f aca="false">AC$55+AC$56</f>
        <v>515100</v>
      </c>
      <c r="AD57" s="12" t="n">
        <f aca="false">AD$55+AD$56</f>
        <v>515100</v>
      </c>
      <c r="AE57" s="12" t="n">
        <f aca="false">AE$55+AE$56</f>
        <v>628211.583333333</v>
      </c>
      <c r="AF57" s="12" t="n">
        <f aca="false">AF$55+AF$56</f>
        <v>628211.583333333</v>
      </c>
      <c r="AG57" s="12" t="n">
        <f aca="false">AG$55+AG$56</f>
        <v>628211.583333333</v>
      </c>
      <c r="AH57" s="12" t="n">
        <f aca="false">AH$55+AH$56</f>
        <v>628211.583333333</v>
      </c>
      <c r="AI57" s="12" t="n">
        <f aca="false">AI$55+AI$56</f>
        <v>628211.583333333</v>
      </c>
      <c r="AJ57" s="12" t="n">
        <f aca="false">AJ$55+AJ$56</f>
        <v>628211.583333333</v>
      </c>
      <c r="AK57" s="12" t="n">
        <f aca="false">AK$55+AK$56</f>
        <v>628211.583333333</v>
      </c>
      <c r="AL57" s="12" t="n">
        <f aca="false">AL$55+AL$56</f>
        <v>628211.583333333</v>
      </c>
      <c r="AM57" s="12" t="n">
        <f aca="false">AM$55+AM$56</f>
        <v>628211.583333333</v>
      </c>
      <c r="AN57" s="12" t="n">
        <f aca="false">AN$55+AN$56</f>
        <v>628211.583333333</v>
      </c>
      <c r="AO57" s="12" t="n">
        <f aca="false">AO$55+AO$56</f>
        <v>628211.583333333</v>
      </c>
      <c r="AP57" s="12" t="n">
        <f aca="false">AP$55+AP$56</f>
        <v>628211.583333333</v>
      </c>
      <c r="AQ57" s="12" t="n">
        <f aca="false">AQ$55+AQ$56</f>
        <v>723786.4525</v>
      </c>
      <c r="AR57" s="12" t="n">
        <f aca="false">AR$55+AR$56</f>
        <v>723786.4525</v>
      </c>
      <c r="AS57" s="12" t="n">
        <f aca="false">AS$55+AS$56</f>
        <v>723786.4525</v>
      </c>
      <c r="AT57" s="12" t="n">
        <f aca="false">AT$55+AT$56</f>
        <v>723786.4525</v>
      </c>
      <c r="AU57" s="12" t="n">
        <f aca="false">AU$55+AU$56</f>
        <v>723786.4525</v>
      </c>
      <c r="AV57" s="12" t="n">
        <f aca="false">AV$55+AV$56</f>
        <v>723786.4525</v>
      </c>
      <c r="AW57" s="12" t="n">
        <f aca="false">AW$55+AW$56</f>
        <v>723786.4525</v>
      </c>
      <c r="AX57" s="12" t="n">
        <f aca="false">AX$55+AX$56</f>
        <v>723786.4525</v>
      </c>
      <c r="AY57" s="12" t="n">
        <f aca="false">AY$55+AY$56</f>
        <v>723786.4525</v>
      </c>
      <c r="AZ57" s="12" t="n">
        <f aca="false">AZ$55+AZ$56</f>
        <v>723786.4525</v>
      </c>
      <c r="BA57" s="12" t="n">
        <f aca="false">BA$55+BA$56</f>
        <v>723786.4525</v>
      </c>
      <c r="BB57" s="12" t="n">
        <f aca="false">BB$55+BB$56</f>
        <v>723786.4525</v>
      </c>
      <c r="BC57" s="12" t="n">
        <f aca="false">BC$55+BC$56</f>
        <v>731024.317025</v>
      </c>
      <c r="BD57" s="12" t="n">
        <f aca="false">BD$55+BD$56</f>
        <v>731024.317025</v>
      </c>
      <c r="BE57" s="12" t="n">
        <f aca="false">BE$55+BE$56</f>
        <v>731024.317025</v>
      </c>
      <c r="BF57" s="12" t="n">
        <f aca="false">BF$55+BF$56</f>
        <v>731024.317025</v>
      </c>
      <c r="BG57" s="12" t="n">
        <f aca="false">BG$55+BG$56</f>
        <v>731024.317025</v>
      </c>
      <c r="BH57" s="12" t="n">
        <f aca="false">BH$55+BH$56</f>
        <v>731024.317025</v>
      </c>
      <c r="BI57" s="12" t="n">
        <f aca="false">BI$55+BI$56</f>
        <v>731024.317025</v>
      </c>
      <c r="BJ57" s="12" t="n">
        <f aca="false">BJ$55+BJ$56</f>
        <v>731024.317025</v>
      </c>
      <c r="BK57" s="12" t="n">
        <f aca="false">BK$55+BK$56</f>
        <v>731024.317025</v>
      </c>
      <c r="BL57" s="12" t="n">
        <f aca="false">BL$55+BL$56</f>
        <v>731024.317025</v>
      </c>
      <c r="BM57" s="12" t="n">
        <f aca="false">BM$55+BM$56</f>
        <v>731024.317025</v>
      </c>
      <c r="BN57" s="12" t="n">
        <f aca="false">BN$55+BN$56</f>
        <v>731024.317025</v>
      </c>
      <c r="BO57" s="12" t="n">
        <f aca="false">BO$55+BO$56</f>
        <v>738334.56019525</v>
      </c>
      <c r="BP57" s="12" t="n">
        <f aca="false">BP$55+BP$56</f>
        <v>738334.56019525</v>
      </c>
      <c r="BQ57" s="12" t="n">
        <f aca="false">BQ$55+BQ$56</f>
        <v>738334.56019525</v>
      </c>
      <c r="BR57" s="12" t="n">
        <f aca="false">BR$55+BR$56</f>
        <v>738334.56019525</v>
      </c>
      <c r="BS57" s="12" t="n">
        <f aca="false">BS$55+BS$56</f>
        <v>738334.56019525</v>
      </c>
      <c r="BT57" s="12" t="n">
        <f aca="false">BT$55+BT$56</f>
        <v>738334.56019525</v>
      </c>
      <c r="BU57" s="12" t="n">
        <f aca="false">BU$55+BU$56</f>
        <v>738334.56019525</v>
      </c>
      <c r="BV57" s="12" t="n">
        <f aca="false">BV$55+BV$56</f>
        <v>738334.56019525</v>
      </c>
      <c r="BW57" s="12" t="n">
        <f aca="false">BW$55+BW$56</f>
        <v>738334.56019525</v>
      </c>
      <c r="BX57" s="12" t="n">
        <f aca="false">BX$55+BX$56</f>
        <v>738334.56019525</v>
      </c>
      <c r="BY57" s="12" t="n">
        <f aca="false">BY$55+BY$56</f>
        <v>738334.56019525</v>
      </c>
      <c r="BZ57" s="12" t="n">
        <f aca="false">BZ$55+BZ$56</f>
        <v>738334.56019525</v>
      </c>
      <c r="CA57" s="12" t="n">
        <f aca="false">CA$55+CA$56</f>
        <v>745717.905797203</v>
      </c>
      <c r="CB57" s="12" t="n">
        <f aca="false">CB$55+CB$56</f>
        <v>745717.905797203</v>
      </c>
      <c r="CC57" s="12" t="n">
        <f aca="false">CC$55+CC$56</f>
        <v>745717.905797203</v>
      </c>
      <c r="CD57" s="12" t="n">
        <f aca="false">CD$55+CD$56</f>
        <v>745717.905797203</v>
      </c>
      <c r="CE57" s="12" t="n">
        <f aca="false">CE$55+CE$56</f>
        <v>745717.905797203</v>
      </c>
      <c r="CF57" s="12" t="n">
        <f aca="false">CF$55+CF$56</f>
        <v>745717.905797203</v>
      </c>
      <c r="CG57" s="12" t="n">
        <f aca="false">CG$55+CG$56</f>
        <v>745717.905797203</v>
      </c>
      <c r="CH57" s="12" t="n">
        <f aca="false">CH$55+CH$56</f>
        <v>745717.905797203</v>
      </c>
      <c r="CI57" s="12" t="n">
        <f aca="false">CI$55+CI$56</f>
        <v>745717.905797203</v>
      </c>
      <c r="CJ57" s="12" t="n">
        <f aca="false">CJ$55+CJ$56</f>
        <v>745717.905797203</v>
      </c>
      <c r="CK57" s="12" t="n">
        <f aca="false">CK$55+CK$56</f>
        <v>745717.905797203</v>
      </c>
      <c r="CL57" s="12" t="n">
        <f aca="false">CL$55+CL$56</f>
        <v>745717.905797203</v>
      </c>
      <c r="CM57" s="12" t="n">
        <f aca="false">CM$55+CM$56</f>
        <v>753175.084855175</v>
      </c>
      <c r="CN57" s="12" t="n">
        <f aca="false">CN$55+CN$56</f>
        <v>753175.084855175</v>
      </c>
      <c r="CO57" s="12" t="n">
        <f aca="false">CO$55+CO$56</f>
        <v>753175.084855175</v>
      </c>
      <c r="CP57" s="12" t="n">
        <f aca="false">CP$55+CP$56</f>
        <v>753175.084855175</v>
      </c>
      <c r="CQ57" s="12" t="n">
        <f aca="false">CQ$55+CQ$56</f>
        <v>753175.084855175</v>
      </c>
      <c r="CR57" s="12" t="n">
        <f aca="false">CR$55+CR$56</f>
        <v>753175.084855175</v>
      </c>
      <c r="CS57" s="12" t="n">
        <f aca="false">CS$55+CS$56</f>
        <v>753175.084855175</v>
      </c>
      <c r="CT57" s="12" t="n">
        <f aca="false">CT$55+CT$56</f>
        <v>753175.084855175</v>
      </c>
      <c r="CU57" s="12" t="n">
        <f aca="false">CU$55+CU$56</f>
        <v>753175.084855175</v>
      </c>
      <c r="CV57" s="12" t="n">
        <f aca="false">CV$55+CV$56</f>
        <v>753175.084855175</v>
      </c>
      <c r="CW57" s="12" t="n">
        <f aca="false">CW$55+CW$56</f>
        <v>753175.084855175</v>
      </c>
      <c r="CX57" s="12" t="n">
        <f aca="false">CX$55+CX$56</f>
        <v>753175.084855175</v>
      </c>
      <c r="CY57" s="12" t="n">
        <f aca="false">CY$55+CY$56</f>
        <v>760706.835703726</v>
      </c>
      <c r="CZ57" s="12" t="n">
        <f aca="false">CZ$55+CZ$56</f>
        <v>760706.835703726</v>
      </c>
      <c r="DA57" s="12" t="n">
        <f aca="false">DA$55+DA$56</f>
        <v>760706.835703726</v>
      </c>
      <c r="DB57" s="12" t="n">
        <f aca="false">DB$55+DB$56</f>
        <v>760706.835703726</v>
      </c>
      <c r="DC57" s="12" t="n">
        <f aca="false">DC$55+DC$56</f>
        <v>760706.835703726</v>
      </c>
      <c r="DD57" s="12" t="n">
        <f aca="false">DD$55+DD$56</f>
        <v>760706.835703726</v>
      </c>
      <c r="DE57" s="12" t="n">
        <f aca="false">DE$55+DE$56</f>
        <v>760706.835703726</v>
      </c>
      <c r="DF57" s="12" t="n">
        <f aca="false">DF$55+DF$56</f>
        <v>760706.835703726</v>
      </c>
      <c r="DG57" s="12" t="n">
        <f aca="false">DG$55+DG$56</f>
        <v>760706.835703726</v>
      </c>
      <c r="DH57" s="12" t="n">
        <f aca="false">DH$55+DH$56</f>
        <v>760706.835703726</v>
      </c>
      <c r="DI57" s="12" t="n">
        <f aca="false">DI$55+DI$56</f>
        <v>760706.835703726</v>
      </c>
      <c r="DJ57" s="12" t="n">
        <f aca="false">DJ$55+DJ$56</f>
        <v>760706.835703726</v>
      </c>
      <c r="DK57" s="12" t="n">
        <f aca="false">DK$55+DK$56</f>
        <v>768313.904060764</v>
      </c>
      <c r="DL57" s="12" t="n">
        <f aca="false">DL$55+DL$56</f>
        <v>768313.904060764</v>
      </c>
      <c r="DM57" s="12" t="n">
        <f aca="false">DM$55+DM$56</f>
        <v>768313.904060764</v>
      </c>
      <c r="DN57" s="12" t="n">
        <f aca="false">DN$55+DN$56</f>
        <v>768313.904060764</v>
      </c>
      <c r="DO57" s="12" t="n">
        <f aca="false">DO$55+DO$56</f>
        <v>768313.904060764</v>
      </c>
      <c r="DP57" s="12" t="n">
        <f aca="false">DP$55+DP$56</f>
        <v>768313.904060764</v>
      </c>
      <c r="DQ57" s="12" t="n">
        <f aca="false">DQ$55+DQ$56</f>
        <v>768313.904060764</v>
      </c>
      <c r="DR57" s="12" t="n">
        <f aca="false">DR$55+DR$56</f>
        <v>768313.904060764</v>
      </c>
      <c r="DS57" s="12" t="n">
        <f aca="false">DS$55+DS$56</f>
        <v>768313.904060764</v>
      </c>
      <c r="DT57" s="12" t="n">
        <f aca="false">DT$55+DT$56</f>
        <v>768313.904060764</v>
      </c>
      <c r="DU57" s="12" t="n">
        <f aca="false">DU$55+DU$56</f>
        <v>768313.904060764</v>
      </c>
      <c r="DV57" s="12" t="n">
        <f aca="false">DV$55+DV$56</f>
        <v>768313.904060764</v>
      </c>
      <c r="DW57" s="12" t="n">
        <f aca="false">DW$55+DW$56</f>
        <v>0</v>
      </c>
      <c r="DX57" s="12" t="n">
        <f aca="false">DX$55+DX$56</f>
        <v>0</v>
      </c>
      <c r="DY57" s="12" t="n">
        <f aca="false">DY$55+DY$56</f>
        <v>0</v>
      </c>
      <c r="DZ57" s="12" t="n">
        <f aca="false">DZ$55+DZ$56</f>
        <v>0</v>
      </c>
      <c r="EA57" s="12" t="n">
        <f aca="false">EA$55+EA$56</f>
        <v>0</v>
      </c>
      <c r="EB57" s="12" t="n">
        <f aca="false">EB$55+EB$56</f>
        <v>0</v>
      </c>
      <c r="EC57" s="12" t="n">
        <f aca="false">EC$55+EC$56</f>
        <v>0</v>
      </c>
      <c r="ED57" s="12" t="n">
        <f aca="false">ED$55+ED$56</f>
        <v>0</v>
      </c>
      <c r="EE57" s="12" t="n">
        <f aca="false">EE$55+EE$56</f>
        <v>0</v>
      </c>
      <c r="EF57" s="12" t="n">
        <f aca="false">EF$55+EF$56</f>
        <v>0</v>
      </c>
      <c r="EG57" s="12" t="n">
        <f aca="false">EG$55+EG$56</f>
        <v>0</v>
      </c>
      <c r="EH57" s="12" t="n">
        <f aca="false">EH$55+EH$56</f>
        <v>0</v>
      </c>
      <c r="EI57" s="12" t="n">
        <f aca="false">EI$55+EI$56</f>
        <v>0</v>
      </c>
      <c r="EJ57" s="12" t="n">
        <f aca="false">EJ$55+EJ$56</f>
        <v>0</v>
      </c>
      <c r="EK57" s="12" t="n">
        <f aca="false">EK$55+EK$56</f>
        <v>0</v>
      </c>
      <c r="EL57" s="12" t="n">
        <f aca="false">EL$55+EL$56</f>
        <v>0</v>
      </c>
      <c r="EM57" s="12" t="n">
        <f aca="false">EM$55+EM$56</f>
        <v>0</v>
      </c>
      <c r="EN57" s="12" t="n">
        <f aca="false">EN$55+EN$56</f>
        <v>0</v>
      </c>
      <c r="EO57" s="12" t="n">
        <f aca="false">EO$55+EO$56</f>
        <v>0</v>
      </c>
      <c r="EP57" s="12" t="n">
        <f aca="false">EP$55+EP$56</f>
        <v>0</v>
      </c>
      <c r="EQ57" s="12" t="n">
        <f aca="false">EQ$55+EQ$56</f>
        <v>0</v>
      </c>
      <c r="ER57" s="12" t="n">
        <f aca="false">ER$55+ER$56</f>
        <v>0</v>
      </c>
      <c r="ES57" s="12" t="n">
        <f aca="false">ES$55+ES$56</f>
        <v>0</v>
      </c>
      <c r="ET57" s="12" t="n">
        <f aca="false">ET$55+ET$56</f>
        <v>0</v>
      </c>
      <c r="EU57" s="12" t="n">
        <f aca="false">EU$55+EU$56</f>
        <v>0</v>
      </c>
      <c r="EV57" s="12" t="n">
        <f aca="false">EV$55+EV$56</f>
        <v>0</v>
      </c>
      <c r="EW57" s="12" t="n">
        <f aca="false">EW$55+EW$56</f>
        <v>0</v>
      </c>
      <c r="EX57" s="12" t="n">
        <f aca="false">EX$55+EX$56</f>
        <v>0</v>
      </c>
      <c r="EY57" s="12" t="n">
        <f aca="false">EY$55+EY$56</f>
        <v>0</v>
      </c>
      <c r="EZ57" s="12" t="n">
        <f aca="false">EZ$55+EZ$56</f>
        <v>0</v>
      </c>
      <c r="FA57" s="12" t="n">
        <f aca="false">FA$55+FA$56</f>
        <v>0</v>
      </c>
      <c r="FB57" s="12" t="n">
        <f aca="false">FB$55+FB$56</f>
        <v>0</v>
      </c>
      <c r="FC57" s="12" t="n">
        <f aca="false">FC$55+FC$56</f>
        <v>0</v>
      </c>
      <c r="FD57" s="12" t="n">
        <f aca="false">FD$55+FD$56</f>
        <v>0</v>
      </c>
      <c r="FE57" s="12" t="n">
        <f aca="false">FE$55+FE$56</f>
        <v>0</v>
      </c>
      <c r="FF57" s="12" t="n">
        <f aca="false">FF$55+FF$56</f>
        <v>0</v>
      </c>
    </row>
    <row r="58" customFormat="false" ht="15" hidden="false" customHeight="false" outlineLevel="0" collapsed="false">
      <c r="A58" s="2" t="s">
        <v>892</v>
      </c>
      <c r="B58" s="8" t="s">
        <v>893</v>
      </c>
      <c r="C58" s="8" t="s">
        <v>894</v>
      </c>
      <c r="E58" s="65" t="n">
        <f aca="false">SUM($F58:$FF58)</f>
        <v>43806000</v>
      </c>
      <c r="F58" s="13" t="n">
        <f aca="false">F$26*p_KgG+F$47*p_KgC</f>
        <v>0</v>
      </c>
      <c r="G58" s="13" t="n">
        <f aca="false">G$26*p_KgG+G$47*p_KgC</f>
        <v>304066.210045662</v>
      </c>
      <c r="H58" s="13" t="n">
        <f aca="false">H$26*p_KgG+H$47*p_KgC</f>
        <v>228833.333333333</v>
      </c>
      <c r="I58" s="13" t="n">
        <f aca="false">I$26*p_KgG+I$47*p_KgC</f>
        <v>228833.333333333</v>
      </c>
      <c r="J58" s="13" t="n">
        <f aca="false">J$26*p_KgG+J$47*p_KgC</f>
        <v>228833.333333333</v>
      </c>
      <c r="K58" s="13" t="n">
        <f aca="false">K$26*p_KgG+K$47*p_KgC</f>
        <v>228833.333333333</v>
      </c>
      <c r="L58" s="13" t="n">
        <f aca="false">L$26*p_KgG+L$47*p_KgC</f>
        <v>228833.333333333</v>
      </c>
      <c r="M58" s="13" t="n">
        <f aca="false">M$26*p_KgG+M$47*p_KgC</f>
        <v>228833.333333333</v>
      </c>
      <c r="N58" s="13" t="n">
        <f aca="false">N$26*p_KgG+N$47*p_KgC</f>
        <v>228833.333333333</v>
      </c>
      <c r="O58" s="13" t="n">
        <f aca="false">O$26*p_KgG+O$47*p_KgC</f>
        <v>228833.333333333</v>
      </c>
      <c r="P58" s="13" t="n">
        <f aca="false">P$26*p_KgG+P$47*p_KgC</f>
        <v>228833.333333333</v>
      </c>
      <c r="Q58" s="13" t="n">
        <f aca="false">Q$26*p_KgG+Q$47*p_KgC</f>
        <v>228833.333333333</v>
      </c>
      <c r="R58" s="13" t="n">
        <f aca="false">R$26*p_KgG+R$47*p_KgC</f>
        <v>248531.96347032</v>
      </c>
      <c r="S58" s="13" t="n">
        <f aca="false">S$26*p_KgG+S$47*p_KgC</f>
        <v>288750</v>
      </c>
      <c r="T58" s="13" t="n">
        <f aca="false">T$26*p_KgG+T$47*p_KgC</f>
        <v>288750</v>
      </c>
      <c r="U58" s="13" t="n">
        <f aca="false">U$26*p_KgG+U$47*p_KgC</f>
        <v>288750</v>
      </c>
      <c r="V58" s="13" t="n">
        <f aca="false">V$26*p_KgG+V$47*p_KgC</f>
        <v>288750</v>
      </c>
      <c r="W58" s="13" t="n">
        <f aca="false">W$26*p_KgG+W$47*p_KgC</f>
        <v>288750</v>
      </c>
      <c r="X58" s="13" t="n">
        <f aca="false">X$26*p_KgG+X$47*p_KgC</f>
        <v>288750</v>
      </c>
      <c r="Y58" s="13" t="n">
        <f aca="false">Y$26*p_KgG+Y$47*p_KgC</f>
        <v>288750</v>
      </c>
      <c r="Z58" s="13" t="n">
        <f aca="false">Z$26*p_KgG+Z$47*p_KgC</f>
        <v>288750</v>
      </c>
      <c r="AA58" s="13" t="n">
        <f aca="false">AA$26*p_KgG+AA$47*p_KgC</f>
        <v>288750</v>
      </c>
      <c r="AB58" s="13" t="n">
        <f aca="false">AB$26*p_KgG+AB$47*p_KgC</f>
        <v>288750</v>
      </c>
      <c r="AC58" s="13" t="n">
        <f aca="false">AC$26*p_KgG+AC$47*p_KgC</f>
        <v>288750</v>
      </c>
      <c r="AD58" s="13" t="n">
        <f aca="false">AD$26*p_KgG+AD$47*p_KgC</f>
        <v>308448.630136986</v>
      </c>
      <c r="AE58" s="13" t="n">
        <f aca="false">AE$26*p_KgG+AE$47*p_KgC</f>
        <v>348666.666666667</v>
      </c>
      <c r="AF58" s="13" t="n">
        <f aca="false">AF$26*p_KgG+AF$47*p_KgC</f>
        <v>348666.666666667</v>
      </c>
      <c r="AG58" s="13" t="n">
        <f aca="false">AG$26*p_KgG+AG$47*p_KgC</f>
        <v>348666.666666667</v>
      </c>
      <c r="AH58" s="13" t="n">
        <f aca="false">AH$26*p_KgG+AH$47*p_KgC</f>
        <v>348666.666666667</v>
      </c>
      <c r="AI58" s="13" t="n">
        <f aca="false">AI$26*p_KgG+AI$47*p_KgC</f>
        <v>348666.666666667</v>
      </c>
      <c r="AJ58" s="13" t="n">
        <f aca="false">AJ$26*p_KgG+AJ$47*p_KgC</f>
        <v>348666.666666667</v>
      </c>
      <c r="AK58" s="13" t="n">
        <f aca="false">AK$26*p_KgG+AK$47*p_KgC</f>
        <v>348666.666666667</v>
      </c>
      <c r="AL58" s="13" t="n">
        <f aca="false">AL$26*p_KgG+AL$47*p_KgC</f>
        <v>348666.666666667</v>
      </c>
      <c r="AM58" s="13" t="n">
        <f aca="false">AM$26*p_KgG+AM$47*p_KgC</f>
        <v>348666.666666667</v>
      </c>
      <c r="AN58" s="13" t="n">
        <f aca="false">AN$26*p_KgG+AN$47*p_KgC</f>
        <v>348666.666666667</v>
      </c>
      <c r="AO58" s="13" t="n">
        <f aca="false">AO$26*p_KgG+AO$47*p_KgC</f>
        <v>348666.666666667</v>
      </c>
      <c r="AP58" s="13" t="n">
        <f aca="false">AP$26*p_KgG+AP$47*p_KgC</f>
        <v>364803.652968037</v>
      </c>
      <c r="AQ58" s="13" t="n">
        <f aca="false">AQ$26*p_KgG+AQ$47*p_KgC</f>
        <v>397750</v>
      </c>
      <c r="AR58" s="13" t="n">
        <f aca="false">AR$26*p_KgG+AR$47*p_KgC</f>
        <v>397750</v>
      </c>
      <c r="AS58" s="13" t="n">
        <f aca="false">AS$26*p_KgG+AS$47*p_KgC</f>
        <v>397750</v>
      </c>
      <c r="AT58" s="13" t="n">
        <f aca="false">AT$26*p_KgG+AT$47*p_KgC</f>
        <v>397750</v>
      </c>
      <c r="AU58" s="13" t="n">
        <f aca="false">AU$26*p_KgG+AU$47*p_KgC</f>
        <v>397750</v>
      </c>
      <c r="AV58" s="13" t="n">
        <f aca="false">AV$26*p_KgG+AV$47*p_KgC</f>
        <v>397750</v>
      </c>
      <c r="AW58" s="13" t="n">
        <f aca="false">AW$26*p_KgG+AW$47*p_KgC</f>
        <v>397750</v>
      </c>
      <c r="AX58" s="13" t="n">
        <f aca="false">AX$26*p_KgG+AX$47*p_KgC</f>
        <v>397750</v>
      </c>
      <c r="AY58" s="13" t="n">
        <f aca="false">AY$26*p_KgG+AY$47*p_KgC</f>
        <v>397750</v>
      </c>
      <c r="AZ58" s="13" t="n">
        <f aca="false">AZ$26*p_KgG+AZ$47*p_KgC</f>
        <v>397750</v>
      </c>
      <c r="BA58" s="13" t="n">
        <f aca="false">BA$26*p_KgG+BA$47*p_KgC</f>
        <v>397750</v>
      </c>
      <c r="BB58" s="13" t="n">
        <f aca="false">BB$26*p_KgG+BB$47*p_KgC</f>
        <v>397750</v>
      </c>
      <c r="BC58" s="13" t="n">
        <f aca="false">BC$26*p_KgG+BC$47*p_KgC</f>
        <v>397750</v>
      </c>
      <c r="BD58" s="13" t="n">
        <f aca="false">BD$26*p_KgG+BD$47*p_KgC</f>
        <v>397750</v>
      </c>
      <c r="BE58" s="13" t="n">
        <f aca="false">BE$26*p_KgG+BE$47*p_KgC</f>
        <v>397750</v>
      </c>
      <c r="BF58" s="13" t="n">
        <f aca="false">BF$26*p_KgG+BF$47*p_KgC</f>
        <v>397750</v>
      </c>
      <c r="BG58" s="13" t="n">
        <f aca="false">BG$26*p_KgG+BG$47*p_KgC</f>
        <v>397750</v>
      </c>
      <c r="BH58" s="13" t="n">
        <f aca="false">BH$26*p_KgG+BH$47*p_KgC</f>
        <v>397750</v>
      </c>
      <c r="BI58" s="13" t="n">
        <f aca="false">BI$26*p_KgG+BI$47*p_KgC</f>
        <v>397750</v>
      </c>
      <c r="BJ58" s="13" t="n">
        <f aca="false">BJ$26*p_KgG+BJ$47*p_KgC</f>
        <v>397750</v>
      </c>
      <c r="BK58" s="13" t="n">
        <f aca="false">BK$26*p_KgG+BK$47*p_KgC</f>
        <v>397750</v>
      </c>
      <c r="BL58" s="13" t="n">
        <f aca="false">BL$26*p_KgG+BL$47*p_KgC</f>
        <v>397750</v>
      </c>
      <c r="BM58" s="13" t="n">
        <f aca="false">BM$26*p_KgG+BM$47*p_KgC</f>
        <v>397750</v>
      </c>
      <c r="BN58" s="13" t="n">
        <f aca="false">BN$26*p_KgG+BN$47*p_KgC</f>
        <v>397750</v>
      </c>
      <c r="BO58" s="13" t="n">
        <f aca="false">BO$26*p_KgG+BO$47*p_KgC</f>
        <v>397750</v>
      </c>
      <c r="BP58" s="13" t="n">
        <f aca="false">BP$26*p_KgG+BP$47*p_KgC</f>
        <v>397750</v>
      </c>
      <c r="BQ58" s="13" t="n">
        <f aca="false">BQ$26*p_KgG+BQ$47*p_KgC</f>
        <v>397750</v>
      </c>
      <c r="BR58" s="13" t="n">
        <f aca="false">BR$26*p_KgG+BR$47*p_KgC</f>
        <v>397750</v>
      </c>
      <c r="BS58" s="13" t="n">
        <f aca="false">BS$26*p_KgG+BS$47*p_KgC</f>
        <v>397750</v>
      </c>
      <c r="BT58" s="13" t="n">
        <f aca="false">BT$26*p_KgG+BT$47*p_KgC</f>
        <v>397750</v>
      </c>
      <c r="BU58" s="13" t="n">
        <f aca="false">BU$26*p_KgG+BU$47*p_KgC</f>
        <v>397750</v>
      </c>
      <c r="BV58" s="13" t="n">
        <f aca="false">BV$26*p_KgG+BV$47*p_KgC</f>
        <v>397750</v>
      </c>
      <c r="BW58" s="13" t="n">
        <f aca="false">BW$26*p_KgG+BW$47*p_KgC</f>
        <v>397750</v>
      </c>
      <c r="BX58" s="13" t="n">
        <f aca="false">BX$26*p_KgG+BX$47*p_KgC</f>
        <v>397750</v>
      </c>
      <c r="BY58" s="13" t="n">
        <f aca="false">BY$26*p_KgG+BY$47*p_KgC</f>
        <v>397750</v>
      </c>
      <c r="BZ58" s="13" t="n">
        <f aca="false">BZ$26*p_KgG+BZ$47*p_KgC</f>
        <v>397750</v>
      </c>
      <c r="CA58" s="13" t="n">
        <f aca="false">CA$26*p_KgG+CA$47*p_KgC</f>
        <v>397750</v>
      </c>
      <c r="CB58" s="13" t="n">
        <f aca="false">CB$26*p_KgG+CB$47*p_KgC</f>
        <v>397750</v>
      </c>
      <c r="CC58" s="13" t="n">
        <f aca="false">CC$26*p_KgG+CC$47*p_KgC</f>
        <v>397750</v>
      </c>
      <c r="CD58" s="13" t="n">
        <f aca="false">CD$26*p_KgG+CD$47*p_KgC</f>
        <v>397750</v>
      </c>
      <c r="CE58" s="13" t="n">
        <f aca="false">CE$26*p_KgG+CE$47*p_KgC</f>
        <v>397750</v>
      </c>
      <c r="CF58" s="13" t="n">
        <f aca="false">CF$26*p_KgG+CF$47*p_KgC</f>
        <v>397750</v>
      </c>
      <c r="CG58" s="13" t="n">
        <f aca="false">CG$26*p_KgG+CG$47*p_KgC</f>
        <v>397750</v>
      </c>
      <c r="CH58" s="13" t="n">
        <f aca="false">CH$26*p_KgG+CH$47*p_KgC</f>
        <v>397750</v>
      </c>
      <c r="CI58" s="13" t="n">
        <f aca="false">CI$26*p_KgG+CI$47*p_KgC</f>
        <v>397750</v>
      </c>
      <c r="CJ58" s="13" t="n">
        <f aca="false">CJ$26*p_KgG+CJ$47*p_KgC</f>
        <v>397750</v>
      </c>
      <c r="CK58" s="13" t="n">
        <f aca="false">CK$26*p_KgG+CK$47*p_KgC</f>
        <v>397750</v>
      </c>
      <c r="CL58" s="13" t="n">
        <f aca="false">CL$26*p_KgG+CL$47*p_KgC</f>
        <v>397750</v>
      </c>
      <c r="CM58" s="13" t="n">
        <f aca="false">CM$26*p_KgG+CM$47*p_KgC</f>
        <v>397750</v>
      </c>
      <c r="CN58" s="13" t="n">
        <f aca="false">CN$26*p_KgG+CN$47*p_KgC</f>
        <v>397750</v>
      </c>
      <c r="CO58" s="13" t="n">
        <f aca="false">CO$26*p_KgG+CO$47*p_KgC</f>
        <v>397750</v>
      </c>
      <c r="CP58" s="13" t="n">
        <f aca="false">CP$26*p_KgG+CP$47*p_KgC</f>
        <v>397750</v>
      </c>
      <c r="CQ58" s="13" t="n">
        <f aca="false">CQ$26*p_KgG+CQ$47*p_KgC</f>
        <v>397750</v>
      </c>
      <c r="CR58" s="13" t="n">
        <f aca="false">CR$26*p_KgG+CR$47*p_KgC</f>
        <v>397750</v>
      </c>
      <c r="CS58" s="13" t="n">
        <f aca="false">CS$26*p_KgG+CS$47*p_KgC</f>
        <v>397750</v>
      </c>
      <c r="CT58" s="13" t="n">
        <f aca="false">CT$26*p_KgG+CT$47*p_KgC</f>
        <v>397750</v>
      </c>
      <c r="CU58" s="13" t="n">
        <f aca="false">CU$26*p_KgG+CU$47*p_KgC</f>
        <v>397750</v>
      </c>
      <c r="CV58" s="13" t="n">
        <f aca="false">CV$26*p_KgG+CV$47*p_KgC</f>
        <v>397750</v>
      </c>
      <c r="CW58" s="13" t="n">
        <f aca="false">CW$26*p_KgG+CW$47*p_KgC</f>
        <v>397750</v>
      </c>
      <c r="CX58" s="13" t="n">
        <f aca="false">CX$26*p_KgG+CX$47*p_KgC</f>
        <v>397750</v>
      </c>
      <c r="CY58" s="13" t="n">
        <f aca="false">CY$26*p_KgG+CY$47*p_KgC</f>
        <v>397750</v>
      </c>
      <c r="CZ58" s="13" t="n">
        <f aca="false">CZ$26*p_KgG+CZ$47*p_KgC</f>
        <v>397750</v>
      </c>
      <c r="DA58" s="13" t="n">
        <f aca="false">DA$26*p_KgG+DA$47*p_KgC</f>
        <v>397750</v>
      </c>
      <c r="DB58" s="13" t="n">
        <f aca="false">DB$26*p_KgG+DB$47*p_KgC</f>
        <v>397750</v>
      </c>
      <c r="DC58" s="13" t="n">
        <f aca="false">DC$26*p_KgG+DC$47*p_KgC</f>
        <v>397750</v>
      </c>
      <c r="DD58" s="13" t="n">
        <f aca="false">DD$26*p_KgG+DD$47*p_KgC</f>
        <v>397750</v>
      </c>
      <c r="DE58" s="13" t="n">
        <f aca="false">DE$26*p_KgG+DE$47*p_KgC</f>
        <v>397750</v>
      </c>
      <c r="DF58" s="13" t="n">
        <f aca="false">DF$26*p_KgG+DF$47*p_KgC</f>
        <v>397750</v>
      </c>
      <c r="DG58" s="13" t="n">
        <f aca="false">DG$26*p_KgG+DG$47*p_KgC</f>
        <v>397750</v>
      </c>
      <c r="DH58" s="13" t="n">
        <f aca="false">DH$26*p_KgG+DH$47*p_KgC</f>
        <v>397750</v>
      </c>
      <c r="DI58" s="13" t="n">
        <f aca="false">DI$26*p_KgG+DI$47*p_KgC</f>
        <v>397750</v>
      </c>
      <c r="DJ58" s="13" t="n">
        <f aca="false">DJ$26*p_KgG+DJ$47*p_KgC</f>
        <v>397750</v>
      </c>
      <c r="DK58" s="13" t="n">
        <f aca="false">DK$26*p_KgG+DK$47*p_KgC</f>
        <v>397750</v>
      </c>
      <c r="DL58" s="13" t="n">
        <f aca="false">DL$26*p_KgG+DL$47*p_KgC</f>
        <v>397750</v>
      </c>
      <c r="DM58" s="13" t="n">
        <f aca="false">DM$26*p_KgG+DM$47*p_KgC</f>
        <v>397750</v>
      </c>
      <c r="DN58" s="13" t="n">
        <f aca="false">DN$26*p_KgG+DN$47*p_KgC</f>
        <v>397750</v>
      </c>
      <c r="DO58" s="13" t="n">
        <f aca="false">DO$26*p_KgG+DO$47*p_KgC</f>
        <v>397750</v>
      </c>
      <c r="DP58" s="13" t="n">
        <f aca="false">DP$26*p_KgG+DP$47*p_KgC</f>
        <v>397750</v>
      </c>
      <c r="DQ58" s="13" t="n">
        <f aca="false">DQ$26*p_KgG+DQ$47*p_KgC</f>
        <v>397750</v>
      </c>
      <c r="DR58" s="13" t="n">
        <f aca="false">DR$26*p_KgG+DR$47*p_KgC</f>
        <v>397750</v>
      </c>
      <c r="DS58" s="13" t="n">
        <f aca="false">DS$26*p_KgG+DS$47*p_KgC</f>
        <v>397750</v>
      </c>
      <c r="DT58" s="13" t="n">
        <f aca="false">DT$26*p_KgG+DT$47*p_KgC</f>
        <v>397750</v>
      </c>
      <c r="DU58" s="13" t="n">
        <f aca="false">DU$26*p_KgG+DU$47*p_KgC</f>
        <v>397750</v>
      </c>
      <c r="DV58" s="13" t="n">
        <f aca="false">DV$26*p_KgG+DV$47*p_KgC</f>
        <v>266982.876712329</v>
      </c>
      <c r="DW58" s="13" t="n">
        <f aca="false">DW$26*p_KgG+DW$47*p_KgC</f>
        <v>0</v>
      </c>
      <c r="DX58" s="13" t="n">
        <f aca="false">DX$26*p_KgG+DX$47*p_KgC</f>
        <v>0</v>
      </c>
      <c r="DY58" s="13" t="n">
        <f aca="false">DY$26*p_KgG+DY$47*p_KgC</f>
        <v>0</v>
      </c>
      <c r="DZ58" s="13" t="n">
        <f aca="false">DZ$26*p_KgG+DZ$47*p_KgC</f>
        <v>0</v>
      </c>
      <c r="EA58" s="13" t="n">
        <f aca="false">EA$26*p_KgG+EA$47*p_KgC</f>
        <v>0</v>
      </c>
      <c r="EB58" s="13" t="n">
        <f aca="false">EB$26*p_KgG+EB$47*p_KgC</f>
        <v>0</v>
      </c>
      <c r="EC58" s="13" t="n">
        <f aca="false">EC$26*p_KgG+EC$47*p_KgC</f>
        <v>0</v>
      </c>
      <c r="ED58" s="13" t="n">
        <f aca="false">ED$26*p_KgG+ED$47*p_KgC</f>
        <v>0</v>
      </c>
      <c r="EE58" s="13" t="n">
        <f aca="false">EE$26*p_KgG+EE$47*p_KgC</f>
        <v>0</v>
      </c>
      <c r="EF58" s="13" t="n">
        <f aca="false">EF$26*p_KgG+EF$47*p_KgC</f>
        <v>0</v>
      </c>
      <c r="EG58" s="13" t="n">
        <f aca="false">EG$26*p_KgG+EG$47*p_KgC</f>
        <v>0</v>
      </c>
      <c r="EH58" s="13" t="n">
        <f aca="false">EH$26*p_KgG+EH$47*p_KgC</f>
        <v>0</v>
      </c>
      <c r="EI58" s="13" t="n">
        <f aca="false">EI$26*p_KgG+EI$47*p_KgC</f>
        <v>0</v>
      </c>
      <c r="EJ58" s="13" t="n">
        <f aca="false">EJ$26*p_KgG+EJ$47*p_KgC</f>
        <v>0</v>
      </c>
      <c r="EK58" s="13" t="n">
        <f aca="false">EK$26*p_KgG+EK$47*p_KgC</f>
        <v>0</v>
      </c>
      <c r="EL58" s="13" t="n">
        <f aca="false">EL$26*p_KgG+EL$47*p_KgC</f>
        <v>0</v>
      </c>
      <c r="EM58" s="13" t="n">
        <f aca="false">EM$26*p_KgG+EM$47*p_KgC</f>
        <v>0</v>
      </c>
      <c r="EN58" s="13" t="n">
        <f aca="false">EN$26*p_KgG+EN$47*p_KgC</f>
        <v>0</v>
      </c>
      <c r="EO58" s="13" t="n">
        <f aca="false">EO$26*p_KgG+EO$47*p_KgC</f>
        <v>0</v>
      </c>
      <c r="EP58" s="13" t="n">
        <f aca="false">EP$26*p_KgG+EP$47*p_KgC</f>
        <v>0</v>
      </c>
      <c r="EQ58" s="13" t="n">
        <f aca="false">EQ$26*p_KgG+EQ$47*p_KgC</f>
        <v>0</v>
      </c>
      <c r="ER58" s="13" t="n">
        <f aca="false">ER$26*p_KgG+ER$47*p_KgC</f>
        <v>0</v>
      </c>
      <c r="ES58" s="13" t="n">
        <f aca="false">ES$26*p_KgG+ES$47*p_KgC</f>
        <v>0</v>
      </c>
      <c r="ET58" s="13" t="n">
        <f aca="false">ET$26*p_KgG+ET$47*p_KgC</f>
        <v>0</v>
      </c>
      <c r="EU58" s="13" t="n">
        <f aca="false">EU$26*p_KgG+EU$47*p_KgC</f>
        <v>0</v>
      </c>
      <c r="EV58" s="13" t="n">
        <f aca="false">EV$26*p_KgG+EV$47*p_KgC</f>
        <v>0</v>
      </c>
      <c r="EW58" s="13" t="n">
        <f aca="false">EW$26*p_KgG+EW$47*p_KgC</f>
        <v>0</v>
      </c>
      <c r="EX58" s="13" t="n">
        <f aca="false">EX$26*p_KgG+EX$47*p_KgC</f>
        <v>0</v>
      </c>
      <c r="EY58" s="13" t="n">
        <f aca="false">EY$26*p_KgG+EY$47*p_KgC</f>
        <v>0</v>
      </c>
      <c r="EZ58" s="13" t="n">
        <f aca="false">EZ$26*p_KgG+EZ$47*p_KgC</f>
        <v>0</v>
      </c>
      <c r="FA58" s="13" t="n">
        <f aca="false">FA$26*p_KgG+FA$47*p_KgC</f>
        <v>0</v>
      </c>
      <c r="FB58" s="13" t="n">
        <f aca="false">FB$26*p_KgG+FB$47*p_KgC</f>
        <v>0</v>
      </c>
      <c r="FC58" s="13" t="n">
        <f aca="false">FC$26*p_KgG+FC$47*p_KgC</f>
        <v>0</v>
      </c>
      <c r="FD58" s="13" t="n">
        <f aca="false">FD$26*p_KgG+FD$47*p_KgC</f>
        <v>0</v>
      </c>
      <c r="FE58" s="13" t="n">
        <f aca="false">FE$26*p_KgG+FE$47*p_KgC</f>
        <v>0</v>
      </c>
      <c r="FF58" s="13" t="n">
        <f aca="false">FF$26*p_KgG+FF$47*p_KgC</f>
        <v>0</v>
      </c>
    </row>
    <row r="59" customFormat="false" ht="15" hidden="false" customHeight="false" outlineLevel="0" collapsed="false">
      <c r="A59" s="2" t="s">
        <v>895</v>
      </c>
      <c r="B59" s="8" t="s">
        <v>896</v>
      </c>
      <c r="C59" s="8" t="s">
        <v>825</v>
      </c>
      <c r="E59" s="65" t="n">
        <f aca="false">SUM($F59:$FF59)</f>
        <v>958.295662100457</v>
      </c>
      <c r="F59" s="13" t="n">
        <f aca="false">F$30+F$51</f>
        <v>0</v>
      </c>
      <c r="G59" s="13" t="n">
        <f aca="false">G$30+G$51</f>
        <v>329.033675799087</v>
      </c>
      <c r="H59" s="13" t="n">
        <f aca="false">H$30+H$51</f>
        <v>0</v>
      </c>
      <c r="I59" s="13" t="n">
        <f aca="false">I$30+I$51</f>
        <v>0</v>
      </c>
      <c r="J59" s="13" t="n">
        <f aca="false">J$30+J$51</f>
        <v>0</v>
      </c>
      <c r="K59" s="13" t="n">
        <f aca="false">K$30+K$51</f>
        <v>0</v>
      </c>
      <c r="L59" s="13" t="n">
        <f aca="false">L$30+L$51</f>
        <v>0</v>
      </c>
      <c r="M59" s="13" t="n">
        <f aca="false">M$30+M$51</f>
        <v>0</v>
      </c>
      <c r="N59" s="13" t="n">
        <f aca="false">N$30+N$51</f>
        <v>0</v>
      </c>
      <c r="O59" s="13" t="n">
        <f aca="false">O$30+O$51</f>
        <v>0</v>
      </c>
      <c r="P59" s="13" t="n">
        <f aca="false">P$30+P$51</f>
        <v>0</v>
      </c>
      <c r="Q59" s="13" t="n">
        <f aca="false">Q$30+Q$51</f>
        <v>0</v>
      </c>
      <c r="R59" s="13" t="n">
        <f aca="false">R$30+R$51</f>
        <v>0</v>
      </c>
      <c r="S59" s="13" t="n">
        <f aca="false">S$30+S$51</f>
        <v>0</v>
      </c>
      <c r="T59" s="13" t="n">
        <f aca="false">T$30+T$51</f>
        <v>0</v>
      </c>
      <c r="U59" s="13" t="n">
        <f aca="false">U$30+U$51</f>
        <v>0</v>
      </c>
      <c r="V59" s="13" t="n">
        <f aca="false">V$30+V$51</f>
        <v>0</v>
      </c>
      <c r="W59" s="13" t="n">
        <f aca="false">W$30+W$51</f>
        <v>0</v>
      </c>
      <c r="X59" s="13" t="n">
        <f aca="false">X$30+X$51</f>
        <v>0</v>
      </c>
      <c r="Y59" s="13" t="n">
        <f aca="false">Y$30+Y$51</f>
        <v>0</v>
      </c>
      <c r="Z59" s="13" t="n">
        <f aca="false">Z$30+Z$51</f>
        <v>0</v>
      </c>
      <c r="AA59" s="13" t="n">
        <f aca="false">AA$30+AA$51</f>
        <v>0</v>
      </c>
      <c r="AB59" s="13" t="n">
        <f aca="false">AB$30+AB$51</f>
        <v>0</v>
      </c>
      <c r="AC59" s="13" t="n">
        <f aca="false">AC$30+AC$51</f>
        <v>0</v>
      </c>
      <c r="AD59" s="13" t="n">
        <f aca="false">AD$30+AD$51</f>
        <v>629.261986301371</v>
      </c>
      <c r="AE59" s="13" t="n">
        <f aca="false">AE$30+AE$51</f>
        <v>0</v>
      </c>
      <c r="AF59" s="13" t="n">
        <f aca="false">AF$30+AF$51</f>
        <v>0</v>
      </c>
      <c r="AG59" s="13" t="n">
        <f aca="false">AG$30+AG$51</f>
        <v>0</v>
      </c>
      <c r="AH59" s="13" t="n">
        <f aca="false">AH$30+AH$51</f>
        <v>0</v>
      </c>
      <c r="AI59" s="13" t="n">
        <f aca="false">AI$30+AI$51</f>
        <v>0</v>
      </c>
      <c r="AJ59" s="13" t="n">
        <f aca="false">AJ$30+AJ$51</f>
        <v>0</v>
      </c>
      <c r="AK59" s="13" t="n">
        <f aca="false">AK$30+AK$51</f>
        <v>0</v>
      </c>
      <c r="AL59" s="13" t="n">
        <f aca="false">AL$30+AL$51</f>
        <v>0</v>
      </c>
      <c r="AM59" s="13" t="n">
        <f aca="false">AM$30+AM$51</f>
        <v>0</v>
      </c>
      <c r="AN59" s="13" t="n">
        <f aca="false">AN$30+AN$51</f>
        <v>0</v>
      </c>
      <c r="AO59" s="13" t="n">
        <f aca="false">AO$30+AO$51</f>
        <v>0</v>
      </c>
      <c r="AP59" s="13" t="n">
        <f aca="false">AP$30+AP$51</f>
        <v>0</v>
      </c>
      <c r="AQ59" s="13" t="n">
        <f aca="false">AQ$30+AQ$51</f>
        <v>0</v>
      </c>
      <c r="AR59" s="13" t="n">
        <f aca="false">AR$30+AR$51</f>
        <v>0</v>
      </c>
      <c r="AS59" s="13" t="n">
        <f aca="false">AS$30+AS$51</f>
        <v>0</v>
      </c>
      <c r="AT59" s="13" t="n">
        <f aca="false">AT$30+AT$51</f>
        <v>0</v>
      </c>
      <c r="AU59" s="13" t="n">
        <f aca="false">AU$30+AU$51</f>
        <v>0</v>
      </c>
      <c r="AV59" s="13" t="n">
        <f aca="false">AV$30+AV$51</f>
        <v>0</v>
      </c>
      <c r="AW59" s="13" t="n">
        <f aca="false">AW$30+AW$51</f>
        <v>0</v>
      </c>
      <c r="AX59" s="13" t="n">
        <f aca="false">AX$30+AX$51</f>
        <v>0</v>
      </c>
      <c r="AY59" s="13" t="n">
        <f aca="false">AY$30+AY$51</f>
        <v>0</v>
      </c>
      <c r="AZ59" s="13" t="n">
        <f aca="false">AZ$30+AZ$51</f>
        <v>0</v>
      </c>
      <c r="BA59" s="13" t="n">
        <f aca="false">BA$30+BA$51</f>
        <v>0</v>
      </c>
      <c r="BB59" s="13" t="n">
        <f aca="false">BB$30+BB$51</f>
        <v>0</v>
      </c>
      <c r="BC59" s="13" t="n">
        <f aca="false">BC$30+BC$51</f>
        <v>0</v>
      </c>
      <c r="BD59" s="13" t="n">
        <f aca="false">BD$30+BD$51</f>
        <v>0</v>
      </c>
      <c r="BE59" s="13" t="n">
        <f aca="false">BE$30+BE$51</f>
        <v>0</v>
      </c>
      <c r="BF59" s="13" t="n">
        <f aca="false">BF$30+BF$51</f>
        <v>0</v>
      </c>
      <c r="BG59" s="13" t="n">
        <f aca="false">BG$30+BG$51</f>
        <v>0</v>
      </c>
      <c r="BH59" s="13" t="n">
        <f aca="false">BH$30+BH$51</f>
        <v>0</v>
      </c>
      <c r="BI59" s="13" t="n">
        <f aca="false">BI$30+BI$51</f>
        <v>0</v>
      </c>
      <c r="BJ59" s="13" t="n">
        <f aca="false">BJ$30+BJ$51</f>
        <v>0</v>
      </c>
      <c r="BK59" s="13" t="n">
        <f aca="false">BK$30+BK$51</f>
        <v>0</v>
      </c>
      <c r="BL59" s="13" t="n">
        <f aca="false">BL$30+BL$51</f>
        <v>0</v>
      </c>
      <c r="BM59" s="13" t="n">
        <f aca="false">BM$30+BM$51</f>
        <v>0</v>
      </c>
      <c r="BN59" s="13" t="n">
        <f aca="false">BN$30+BN$51</f>
        <v>0</v>
      </c>
      <c r="BO59" s="13" t="n">
        <f aca="false">BO$30+BO$51</f>
        <v>0</v>
      </c>
      <c r="BP59" s="13" t="n">
        <f aca="false">BP$30+BP$51</f>
        <v>0</v>
      </c>
      <c r="BQ59" s="13" t="n">
        <f aca="false">BQ$30+BQ$51</f>
        <v>0</v>
      </c>
      <c r="BR59" s="13" t="n">
        <f aca="false">BR$30+BR$51</f>
        <v>0</v>
      </c>
      <c r="BS59" s="13" t="n">
        <f aca="false">BS$30+BS$51</f>
        <v>0</v>
      </c>
      <c r="BT59" s="13" t="n">
        <f aca="false">BT$30+BT$51</f>
        <v>0</v>
      </c>
      <c r="BU59" s="13" t="n">
        <f aca="false">BU$30+BU$51</f>
        <v>0</v>
      </c>
      <c r="BV59" s="13" t="n">
        <f aca="false">BV$30+BV$51</f>
        <v>0</v>
      </c>
      <c r="BW59" s="13" t="n">
        <f aca="false">BW$30+BW$51</f>
        <v>0</v>
      </c>
      <c r="BX59" s="13" t="n">
        <f aca="false">BX$30+BX$51</f>
        <v>0</v>
      </c>
      <c r="BY59" s="13" t="n">
        <f aca="false">BY$30+BY$51</f>
        <v>0</v>
      </c>
      <c r="BZ59" s="13" t="n">
        <f aca="false">BZ$30+BZ$51</f>
        <v>0</v>
      </c>
      <c r="CA59" s="13" t="n">
        <f aca="false">CA$30+CA$51</f>
        <v>0</v>
      </c>
      <c r="CB59" s="13" t="n">
        <f aca="false">CB$30+CB$51</f>
        <v>0</v>
      </c>
      <c r="CC59" s="13" t="n">
        <f aca="false">CC$30+CC$51</f>
        <v>0</v>
      </c>
      <c r="CD59" s="13" t="n">
        <f aca="false">CD$30+CD$51</f>
        <v>0</v>
      </c>
      <c r="CE59" s="13" t="n">
        <f aca="false">CE$30+CE$51</f>
        <v>0</v>
      </c>
      <c r="CF59" s="13" t="n">
        <f aca="false">CF$30+CF$51</f>
        <v>0</v>
      </c>
      <c r="CG59" s="13" t="n">
        <f aca="false">CG$30+CG$51</f>
        <v>0</v>
      </c>
      <c r="CH59" s="13" t="n">
        <f aca="false">CH$30+CH$51</f>
        <v>0</v>
      </c>
      <c r="CI59" s="13" t="n">
        <f aca="false">CI$30+CI$51</f>
        <v>0</v>
      </c>
      <c r="CJ59" s="13" t="n">
        <f aca="false">CJ$30+CJ$51</f>
        <v>0</v>
      </c>
      <c r="CK59" s="13" t="n">
        <f aca="false">CK$30+CK$51</f>
        <v>0</v>
      </c>
      <c r="CL59" s="13" t="n">
        <f aca="false">CL$30+CL$51</f>
        <v>0</v>
      </c>
      <c r="CM59" s="13" t="n">
        <f aca="false">CM$30+CM$51</f>
        <v>0</v>
      </c>
      <c r="CN59" s="13" t="n">
        <f aca="false">CN$30+CN$51</f>
        <v>0</v>
      </c>
      <c r="CO59" s="13" t="n">
        <f aca="false">CO$30+CO$51</f>
        <v>0</v>
      </c>
      <c r="CP59" s="13" t="n">
        <f aca="false">CP$30+CP$51</f>
        <v>0</v>
      </c>
      <c r="CQ59" s="13" t="n">
        <f aca="false">CQ$30+CQ$51</f>
        <v>0</v>
      </c>
      <c r="CR59" s="13" t="n">
        <f aca="false">CR$30+CR$51</f>
        <v>0</v>
      </c>
      <c r="CS59" s="13" t="n">
        <f aca="false">CS$30+CS$51</f>
        <v>0</v>
      </c>
      <c r="CT59" s="13" t="n">
        <f aca="false">CT$30+CT$51</f>
        <v>0</v>
      </c>
      <c r="CU59" s="13" t="n">
        <f aca="false">CU$30+CU$51</f>
        <v>0</v>
      </c>
      <c r="CV59" s="13" t="n">
        <f aca="false">CV$30+CV$51</f>
        <v>0</v>
      </c>
      <c r="CW59" s="13" t="n">
        <f aca="false">CW$30+CW$51</f>
        <v>0</v>
      </c>
      <c r="CX59" s="13" t="n">
        <f aca="false">CX$30+CX$51</f>
        <v>0</v>
      </c>
      <c r="CY59" s="13" t="n">
        <f aca="false">CY$30+CY$51</f>
        <v>0</v>
      </c>
      <c r="CZ59" s="13" t="n">
        <f aca="false">CZ$30+CZ$51</f>
        <v>0</v>
      </c>
      <c r="DA59" s="13" t="n">
        <f aca="false">DA$30+DA$51</f>
        <v>0</v>
      </c>
      <c r="DB59" s="13" t="n">
        <f aca="false">DB$30+DB$51</f>
        <v>0</v>
      </c>
      <c r="DC59" s="13" t="n">
        <f aca="false">DC$30+DC$51</f>
        <v>0</v>
      </c>
      <c r="DD59" s="13" t="n">
        <f aca="false">DD$30+DD$51</f>
        <v>0</v>
      </c>
      <c r="DE59" s="13" t="n">
        <f aca="false">DE$30+DE$51</f>
        <v>0</v>
      </c>
      <c r="DF59" s="13" t="n">
        <f aca="false">DF$30+DF$51</f>
        <v>0</v>
      </c>
      <c r="DG59" s="13" t="n">
        <f aca="false">DG$30+DG$51</f>
        <v>0</v>
      </c>
      <c r="DH59" s="13" t="n">
        <f aca="false">DH$30+DH$51</f>
        <v>0</v>
      </c>
      <c r="DI59" s="13" t="n">
        <f aca="false">DI$30+DI$51</f>
        <v>0</v>
      </c>
      <c r="DJ59" s="13" t="n">
        <f aca="false">DJ$30+DJ$51</f>
        <v>0</v>
      </c>
      <c r="DK59" s="13" t="n">
        <f aca="false">DK$30+DK$51</f>
        <v>0</v>
      </c>
      <c r="DL59" s="13" t="n">
        <f aca="false">DL$30+DL$51</f>
        <v>0</v>
      </c>
      <c r="DM59" s="13" t="n">
        <f aca="false">DM$30+DM$51</f>
        <v>0</v>
      </c>
      <c r="DN59" s="13" t="n">
        <f aca="false">DN$30+DN$51</f>
        <v>0</v>
      </c>
      <c r="DO59" s="13" t="n">
        <f aca="false">DO$30+DO$51</f>
        <v>0</v>
      </c>
      <c r="DP59" s="13" t="n">
        <f aca="false">DP$30+DP$51</f>
        <v>0</v>
      </c>
      <c r="DQ59" s="13" t="n">
        <f aca="false">DQ$30+DQ$51</f>
        <v>0</v>
      </c>
      <c r="DR59" s="13" t="n">
        <f aca="false">DR$30+DR$51</f>
        <v>0</v>
      </c>
      <c r="DS59" s="13" t="n">
        <f aca="false">DS$30+DS$51</f>
        <v>0</v>
      </c>
      <c r="DT59" s="13" t="n">
        <f aca="false">DT$30+DT$51</f>
        <v>0</v>
      </c>
      <c r="DU59" s="13" t="n">
        <f aca="false">DU$30+DU$51</f>
        <v>0</v>
      </c>
      <c r="DV59" s="13" t="n">
        <f aca="false">DV$30+DV$51</f>
        <v>0</v>
      </c>
      <c r="DW59" s="13" t="n">
        <f aca="false">DW$30+DW$51</f>
        <v>0</v>
      </c>
      <c r="DX59" s="13" t="n">
        <f aca="false">DX$30+DX$51</f>
        <v>0</v>
      </c>
      <c r="DY59" s="13" t="n">
        <f aca="false">DY$30+DY$51</f>
        <v>0</v>
      </c>
      <c r="DZ59" s="13" t="n">
        <f aca="false">DZ$30+DZ$51</f>
        <v>0</v>
      </c>
      <c r="EA59" s="13" t="n">
        <f aca="false">EA$30+EA$51</f>
        <v>0</v>
      </c>
      <c r="EB59" s="13" t="n">
        <f aca="false">EB$30+EB$51</f>
        <v>0</v>
      </c>
      <c r="EC59" s="13" t="n">
        <f aca="false">EC$30+EC$51</f>
        <v>0</v>
      </c>
      <c r="ED59" s="13" t="n">
        <f aca="false">ED$30+ED$51</f>
        <v>0</v>
      </c>
      <c r="EE59" s="13" t="n">
        <f aca="false">EE$30+EE$51</f>
        <v>0</v>
      </c>
      <c r="EF59" s="13" t="n">
        <f aca="false">EF$30+EF$51</f>
        <v>0</v>
      </c>
      <c r="EG59" s="13" t="n">
        <f aca="false">EG$30+EG$51</f>
        <v>0</v>
      </c>
      <c r="EH59" s="13" t="n">
        <f aca="false">EH$30+EH$51</f>
        <v>0</v>
      </c>
      <c r="EI59" s="13" t="n">
        <f aca="false">EI$30+EI$51</f>
        <v>0</v>
      </c>
      <c r="EJ59" s="13" t="n">
        <f aca="false">EJ$30+EJ$51</f>
        <v>0</v>
      </c>
      <c r="EK59" s="13" t="n">
        <f aca="false">EK$30+EK$51</f>
        <v>0</v>
      </c>
      <c r="EL59" s="13" t="n">
        <f aca="false">EL$30+EL$51</f>
        <v>0</v>
      </c>
      <c r="EM59" s="13" t="n">
        <f aca="false">EM$30+EM$51</f>
        <v>0</v>
      </c>
      <c r="EN59" s="13" t="n">
        <f aca="false">EN$30+EN$51</f>
        <v>0</v>
      </c>
      <c r="EO59" s="13" t="n">
        <f aca="false">EO$30+EO$51</f>
        <v>0</v>
      </c>
      <c r="EP59" s="13" t="n">
        <f aca="false">EP$30+EP$51</f>
        <v>0</v>
      </c>
      <c r="EQ59" s="13" t="n">
        <f aca="false">EQ$30+EQ$51</f>
        <v>0</v>
      </c>
      <c r="ER59" s="13" t="n">
        <f aca="false">ER$30+ER$51</f>
        <v>0</v>
      </c>
      <c r="ES59" s="13" t="n">
        <f aca="false">ES$30+ES$51</f>
        <v>0</v>
      </c>
      <c r="ET59" s="13" t="n">
        <f aca="false">ET$30+ET$51</f>
        <v>0</v>
      </c>
      <c r="EU59" s="13" t="n">
        <f aca="false">EU$30+EU$51</f>
        <v>0</v>
      </c>
      <c r="EV59" s="13" t="n">
        <f aca="false">EV$30+EV$51</f>
        <v>0</v>
      </c>
      <c r="EW59" s="13" t="n">
        <f aca="false">EW$30+EW$51</f>
        <v>0</v>
      </c>
      <c r="EX59" s="13" t="n">
        <f aca="false">EX$30+EX$51</f>
        <v>0</v>
      </c>
      <c r="EY59" s="13" t="n">
        <f aca="false">EY$30+EY$51</f>
        <v>0</v>
      </c>
      <c r="EZ59" s="13" t="n">
        <f aca="false">EZ$30+EZ$51</f>
        <v>0</v>
      </c>
      <c r="FA59" s="13" t="n">
        <f aca="false">FA$30+FA$51</f>
        <v>0</v>
      </c>
      <c r="FB59" s="13" t="n">
        <f aca="false">FB$30+FB$51</f>
        <v>0</v>
      </c>
      <c r="FC59" s="13" t="n">
        <f aca="false">FC$30+FC$51</f>
        <v>0</v>
      </c>
      <c r="FD59" s="13" t="n">
        <f aca="false">FD$30+FD$51</f>
        <v>0</v>
      </c>
      <c r="FE59" s="13" t="n">
        <f aca="false">FE$30+FE$51</f>
        <v>0</v>
      </c>
      <c r="FF59" s="13" t="n">
        <f aca="false">FF$30+FF$51</f>
        <v>0</v>
      </c>
    </row>
    <row r="60" customFormat="false" ht="15" hidden="false" customHeight="false" outlineLevel="0" collapsed="false">
      <c r="A60" s="2" t="s">
        <v>897</v>
      </c>
      <c r="B60" s="8" t="s">
        <v>898</v>
      </c>
      <c r="C60" s="8" t="s">
        <v>351</v>
      </c>
      <c r="E60" s="61" t="n">
        <f aca="false">SUM($F60:$FF60)</f>
        <v>2</v>
      </c>
      <c r="F60" s="31" t="n">
        <f aca="false">IF(F$59&gt;0.5,1,0)</f>
        <v>0</v>
      </c>
      <c r="G60" s="31" t="n">
        <f aca="false">IF(G$59&gt;0.5,1,0)</f>
        <v>1</v>
      </c>
      <c r="H60" s="31" t="n">
        <f aca="false">IF(H$59&gt;0.5,1,0)</f>
        <v>0</v>
      </c>
      <c r="I60" s="31" t="n">
        <f aca="false">IF(I$59&gt;0.5,1,0)</f>
        <v>0</v>
      </c>
      <c r="J60" s="31" t="n">
        <f aca="false">IF(J$59&gt;0.5,1,0)</f>
        <v>0</v>
      </c>
      <c r="K60" s="31" t="n">
        <f aca="false">IF(K$59&gt;0.5,1,0)</f>
        <v>0</v>
      </c>
      <c r="L60" s="31" t="n">
        <f aca="false">IF(L$59&gt;0.5,1,0)</f>
        <v>0</v>
      </c>
      <c r="M60" s="31" t="n">
        <f aca="false">IF(M$59&gt;0.5,1,0)</f>
        <v>0</v>
      </c>
      <c r="N60" s="31" t="n">
        <f aca="false">IF(N$59&gt;0.5,1,0)</f>
        <v>0</v>
      </c>
      <c r="O60" s="31" t="n">
        <f aca="false">IF(O$59&gt;0.5,1,0)</f>
        <v>0</v>
      </c>
      <c r="P60" s="31" t="n">
        <f aca="false">IF(P$59&gt;0.5,1,0)</f>
        <v>0</v>
      </c>
      <c r="Q60" s="31" t="n">
        <f aca="false">IF(Q$59&gt;0.5,1,0)</f>
        <v>0</v>
      </c>
      <c r="R60" s="31" t="n">
        <f aca="false">IF(R$59&gt;0.5,1,0)</f>
        <v>0</v>
      </c>
      <c r="S60" s="31" t="n">
        <f aca="false">IF(S$59&gt;0.5,1,0)</f>
        <v>0</v>
      </c>
      <c r="T60" s="31" t="n">
        <f aca="false">IF(T$59&gt;0.5,1,0)</f>
        <v>0</v>
      </c>
      <c r="U60" s="31" t="n">
        <f aca="false">IF(U$59&gt;0.5,1,0)</f>
        <v>0</v>
      </c>
      <c r="V60" s="31" t="n">
        <f aca="false">IF(V$59&gt;0.5,1,0)</f>
        <v>0</v>
      </c>
      <c r="W60" s="31" t="n">
        <f aca="false">IF(W$59&gt;0.5,1,0)</f>
        <v>0</v>
      </c>
      <c r="X60" s="31" t="n">
        <f aca="false">IF(X$59&gt;0.5,1,0)</f>
        <v>0</v>
      </c>
      <c r="Y60" s="31" t="n">
        <f aca="false">IF(Y$59&gt;0.5,1,0)</f>
        <v>0</v>
      </c>
      <c r="Z60" s="31" t="n">
        <f aca="false">IF(Z$59&gt;0.5,1,0)</f>
        <v>0</v>
      </c>
      <c r="AA60" s="31" t="n">
        <f aca="false">IF(AA$59&gt;0.5,1,0)</f>
        <v>0</v>
      </c>
      <c r="AB60" s="31" t="n">
        <f aca="false">IF(AB$59&gt;0.5,1,0)</f>
        <v>0</v>
      </c>
      <c r="AC60" s="31" t="n">
        <f aca="false">IF(AC$59&gt;0.5,1,0)</f>
        <v>0</v>
      </c>
      <c r="AD60" s="31" t="n">
        <f aca="false">IF(AD$59&gt;0.5,1,0)</f>
        <v>1</v>
      </c>
      <c r="AE60" s="31" t="n">
        <f aca="false">IF(AE$59&gt;0.5,1,0)</f>
        <v>0</v>
      </c>
      <c r="AF60" s="31" t="n">
        <f aca="false">IF(AF$59&gt;0.5,1,0)</f>
        <v>0</v>
      </c>
      <c r="AG60" s="31" t="n">
        <f aca="false">IF(AG$59&gt;0.5,1,0)</f>
        <v>0</v>
      </c>
      <c r="AH60" s="31" t="n">
        <f aca="false">IF(AH$59&gt;0.5,1,0)</f>
        <v>0</v>
      </c>
      <c r="AI60" s="31" t="n">
        <f aca="false">IF(AI$59&gt;0.5,1,0)</f>
        <v>0</v>
      </c>
      <c r="AJ60" s="31" t="n">
        <f aca="false">IF(AJ$59&gt;0.5,1,0)</f>
        <v>0</v>
      </c>
      <c r="AK60" s="31" t="n">
        <f aca="false">IF(AK$59&gt;0.5,1,0)</f>
        <v>0</v>
      </c>
      <c r="AL60" s="31" t="n">
        <f aca="false">IF(AL$59&gt;0.5,1,0)</f>
        <v>0</v>
      </c>
      <c r="AM60" s="31" t="n">
        <f aca="false">IF(AM$59&gt;0.5,1,0)</f>
        <v>0</v>
      </c>
      <c r="AN60" s="31" t="n">
        <f aca="false">IF(AN$59&gt;0.5,1,0)</f>
        <v>0</v>
      </c>
      <c r="AO60" s="31" t="n">
        <f aca="false">IF(AO$59&gt;0.5,1,0)</f>
        <v>0</v>
      </c>
      <c r="AP60" s="31" t="n">
        <f aca="false">IF(AP$59&gt;0.5,1,0)</f>
        <v>0</v>
      </c>
      <c r="AQ60" s="31" t="n">
        <f aca="false">IF(AQ$59&gt;0.5,1,0)</f>
        <v>0</v>
      </c>
      <c r="AR60" s="31" t="n">
        <f aca="false">IF(AR$59&gt;0.5,1,0)</f>
        <v>0</v>
      </c>
      <c r="AS60" s="31" t="n">
        <f aca="false">IF(AS$59&gt;0.5,1,0)</f>
        <v>0</v>
      </c>
      <c r="AT60" s="31" t="n">
        <f aca="false">IF(AT$59&gt;0.5,1,0)</f>
        <v>0</v>
      </c>
      <c r="AU60" s="31" t="n">
        <f aca="false">IF(AU$59&gt;0.5,1,0)</f>
        <v>0</v>
      </c>
      <c r="AV60" s="31" t="n">
        <f aca="false">IF(AV$59&gt;0.5,1,0)</f>
        <v>0</v>
      </c>
      <c r="AW60" s="31" t="n">
        <f aca="false">IF(AW$59&gt;0.5,1,0)</f>
        <v>0</v>
      </c>
      <c r="AX60" s="31" t="n">
        <f aca="false">IF(AX$59&gt;0.5,1,0)</f>
        <v>0</v>
      </c>
      <c r="AY60" s="31" t="n">
        <f aca="false">IF(AY$59&gt;0.5,1,0)</f>
        <v>0</v>
      </c>
      <c r="AZ60" s="31" t="n">
        <f aca="false">IF(AZ$59&gt;0.5,1,0)</f>
        <v>0</v>
      </c>
      <c r="BA60" s="31" t="n">
        <f aca="false">IF(BA$59&gt;0.5,1,0)</f>
        <v>0</v>
      </c>
      <c r="BB60" s="31" t="n">
        <f aca="false">IF(BB$59&gt;0.5,1,0)</f>
        <v>0</v>
      </c>
      <c r="BC60" s="31" t="n">
        <f aca="false">IF(BC$59&gt;0.5,1,0)</f>
        <v>0</v>
      </c>
      <c r="BD60" s="31" t="n">
        <f aca="false">IF(BD$59&gt;0.5,1,0)</f>
        <v>0</v>
      </c>
      <c r="BE60" s="31" t="n">
        <f aca="false">IF(BE$59&gt;0.5,1,0)</f>
        <v>0</v>
      </c>
      <c r="BF60" s="31" t="n">
        <f aca="false">IF(BF$59&gt;0.5,1,0)</f>
        <v>0</v>
      </c>
      <c r="BG60" s="31" t="n">
        <f aca="false">IF(BG$59&gt;0.5,1,0)</f>
        <v>0</v>
      </c>
      <c r="BH60" s="31" t="n">
        <f aca="false">IF(BH$59&gt;0.5,1,0)</f>
        <v>0</v>
      </c>
      <c r="BI60" s="31" t="n">
        <f aca="false">IF(BI$59&gt;0.5,1,0)</f>
        <v>0</v>
      </c>
      <c r="BJ60" s="31" t="n">
        <f aca="false">IF(BJ$59&gt;0.5,1,0)</f>
        <v>0</v>
      </c>
      <c r="BK60" s="31" t="n">
        <f aca="false">IF(BK$59&gt;0.5,1,0)</f>
        <v>0</v>
      </c>
      <c r="BL60" s="31" t="n">
        <f aca="false">IF(BL$59&gt;0.5,1,0)</f>
        <v>0</v>
      </c>
      <c r="BM60" s="31" t="n">
        <f aca="false">IF(BM$59&gt;0.5,1,0)</f>
        <v>0</v>
      </c>
      <c r="BN60" s="31" t="n">
        <f aca="false">IF(BN$59&gt;0.5,1,0)</f>
        <v>0</v>
      </c>
      <c r="BO60" s="31" t="n">
        <f aca="false">IF(BO$59&gt;0.5,1,0)</f>
        <v>0</v>
      </c>
      <c r="BP60" s="31" t="n">
        <f aca="false">IF(BP$59&gt;0.5,1,0)</f>
        <v>0</v>
      </c>
      <c r="BQ60" s="31" t="n">
        <f aca="false">IF(BQ$59&gt;0.5,1,0)</f>
        <v>0</v>
      </c>
      <c r="BR60" s="31" t="n">
        <f aca="false">IF(BR$59&gt;0.5,1,0)</f>
        <v>0</v>
      </c>
      <c r="BS60" s="31" t="n">
        <f aca="false">IF(BS$59&gt;0.5,1,0)</f>
        <v>0</v>
      </c>
      <c r="BT60" s="31" t="n">
        <f aca="false">IF(BT$59&gt;0.5,1,0)</f>
        <v>0</v>
      </c>
      <c r="BU60" s="31" t="n">
        <f aca="false">IF(BU$59&gt;0.5,1,0)</f>
        <v>0</v>
      </c>
      <c r="BV60" s="31" t="n">
        <f aca="false">IF(BV$59&gt;0.5,1,0)</f>
        <v>0</v>
      </c>
      <c r="BW60" s="31" t="n">
        <f aca="false">IF(BW$59&gt;0.5,1,0)</f>
        <v>0</v>
      </c>
      <c r="BX60" s="31" t="n">
        <f aca="false">IF(BX$59&gt;0.5,1,0)</f>
        <v>0</v>
      </c>
      <c r="BY60" s="31" t="n">
        <f aca="false">IF(BY$59&gt;0.5,1,0)</f>
        <v>0</v>
      </c>
      <c r="BZ60" s="31" t="n">
        <f aca="false">IF(BZ$59&gt;0.5,1,0)</f>
        <v>0</v>
      </c>
      <c r="CA60" s="31" t="n">
        <f aca="false">IF(CA$59&gt;0.5,1,0)</f>
        <v>0</v>
      </c>
      <c r="CB60" s="31" t="n">
        <f aca="false">IF(CB$59&gt;0.5,1,0)</f>
        <v>0</v>
      </c>
      <c r="CC60" s="31" t="n">
        <f aca="false">IF(CC$59&gt;0.5,1,0)</f>
        <v>0</v>
      </c>
      <c r="CD60" s="31" t="n">
        <f aca="false">IF(CD$59&gt;0.5,1,0)</f>
        <v>0</v>
      </c>
      <c r="CE60" s="31" t="n">
        <f aca="false">IF(CE$59&gt;0.5,1,0)</f>
        <v>0</v>
      </c>
      <c r="CF60" s="31" t="n">
        <f aca="false">IF(CF$59&gt;0.5,1,0)</f>
        <v>0</v>
      </c>
      <c r="CG60" s="31" t="n">
        <f aca="false">IF(CG$59&gt;0.5,1,0)</f>
        <v>0</v>
      </c>
      <c r="CH60" s="31" t="n">
        <f aca="false">IF(CH$59&gt;0.5,1,0)</f>
        <v>0</v>
      </c>
      <c r="CI60" s="31" t="n">
        <f aca="false">IF(CI$59&gt;0.5,1,0)</f>
        <v>0</v>
      </c>
      <c r="CJ60" s="31" t="n">
        <f aca="false">IF(CJ$59&gt;0.5,1,0)</f>
        <v>0</v>
      </c>
      <c r="CK60" s="31" t="n">
        <f aca="false">IF(CK$59&gt;0.5,1,0)</f>
        <v>0</v>
      </c>
      <c r="CL60" s="31" t="n">
        <f aca="false">IF(CL$59&gt;0.5,1,0)</f>
        <v>0</v>
      </c>
      <c r="CM60" s="31" t="n">
        <f aca="false">IF(CM$59&gt;0.5,1,0)</f>
        <v>0</v>
      </c>
      <c r="CN60" s="31" t="n">
        <f aca="false">IF(CN$59&gt;0.5,1,0)</f>
        <v>0</v>
      </c>
      <c r="CO60" s="31" t="n">
        <f aca="false">IF(CO$59&gt;0.5,1,0)</f>
        <v>0</v>
      </c>
      <c r="CP60" s="31" t="n">
        <f aca="false">IF(CP$59&gt;0.5,1,0)</f>
        <v>0</v>
      </c>
      <c r="CQ60" s="31" t="n">
        <f aca="false">IF(CQ$59&gt;0.5,1,0)</f>
        <v>0</v>
      </c>
      <c r="CR60" s="31" t="n">
        <f aca="false">IF(CR$59&gt;0.5,1,0)</f>
        <v>0</v>
      </c>
      <c r="CS60" s="31" t="n">
        <f aca="false">IF(CS$59&gt;0.5,1,0)</f>
        <v>0</v>
      </c>
      <c r="CT60" s="31" t="n">
        <f aca="false">IF(CT$59&gt;0.5,1,0)</f>
        <v>0</v>
      </c>
      <c r="CU60" s="31" t="n">
        <f aca="false">IF(CU$59&gt;0.5,1,0)</f>
        <v>0</v>
      </c>
      <c r="CV60" s="31" t="n">
        <f aca="false">IF(CV$59&gt;0.5,1,0)</f>
        <v>0</v>
      </c>
      <c r="CW60" s="31" t="n">
        <f aca="false">IF(CW$59&gt;0.5,1,0)</f>
        <v>0</v>
      </c>
      <c r="CX60" s="31" t="n">
        <f aca="false">IF(CX$59&gt;0.5,1,0)</f>
        <v>0</v>
      </c>
      <c r="CY60" s="31" t="n">
        <f aca="false">IF(CY$59&gt;0.5,1,0)</f>
        <v>0</v>
      </c>
      <c r="CZ60" s="31" t="n">
        <f aca="false">IF(CZ$59&gt;0.5,1,0)</f>
        <v>0</v>
      </c>
      <c r="DA60" s="31" t="n">
        <f aca="false">IF(DA$59&gt;0.5,1,0)</f>
        <v>0</v>
      </c>
      <c r="DB60" s="31" t="n">
        <f aca="false">IF(DB$59&gt;0.5,1,0)</f>
        <v>0</v>
      </c>
      <c r="DC60" s="31" t="n">
        <f aca="false">IF(DC$59&gt;0.5,1,0)</f>
        <v>0</v>
      </c>
      <c r="DD60" s="31" t="n">
        <f aca="false">IF(DD$59&gt;0.5,1,0)</f>
        <v>0</v>
      </c>
      <c r="DE60" s="31" t="n">
        <f aca="false">IF(DE$59&gt;0.5,1,0)</f>
        <v>0</v>
      </c>
      <c r="DF60" s="31" t="n">
        <f aca="false">IF(DF$59&gt;0.5,1,0)</f>
        <v>0</v>
      </c>
      <c r="DG60" s="31" t="n">
        <f aca="false">IF(DG$59&gt;0.5,1,0)</f>
        <v>0</v>
      </c>
      <c r="DH60" s="31" t="n">
        <f aca="false">IF(DH$59&gt;0.5,1,0)</f>
        <v>0</v>
      </c>
      <c r="DI60" s="31" t="n">
        <f aca="false">IF(DI$59&gt;0.5,1,0)</f>
        <v>0</v>
      </c>
      <c r="DJ60" s="31" t="n">
        <f aca="false">IF(DJ$59&gt;0.5,1,0)</f>
        <v>0</v>
      </c>
      <c r="DK60" s="31" t="n">
        <f aca="false">IF(DK$59&gt;0.5,1,0)</f>
        <v>0</v>
      </c>
      <c r="DL60" s="31" t="n">
        <f aca="false">IF(DL$59&gt;0.5,1,0)</f>
        <v>0</v>
      </c>
      <c r="DM60" s="31" t="n">
        <f aca="false">IF(DM$59&gt;0.5,1,0)</f>
        <v>0</v>
      </c>
      <c r="DN60" s="31" t="n">
        <f aca="false">IF(DN$59&gt;0.5,1,0)</f>
        <v>0</v>
      </c>
      <c r="DO60" s="31" t="n">
        <f aca="false">IF(DO$59&gt;0.5,1,0)</f>
        <v>0</v>
      </c>
      <c r="DP60" s="31" t="n">
        <f aca="false">IF(DP$59&gt;0.5,1,0)</f>
        <v>0</v>
      </c>
      <c r="DQ60" s="31" t="n">
        <f aca="false">IF(DQ$59&gt;0.5,1,0)</f>
        <v>0</v>
      </c>
      <c r="DR60" s="31" t="n">
        <f aca="false">IF(DR$59&gt;0.5,1,0)</f>
        <v>0</v>
      </c>
      <c r="DS60" s="31" t="n">
        <f aca="false">IF(DS$59&gt;0.5,1,0)</f>
        <v>0</v>
      </c>
      <c r="DT60" s="31" t="n">
        <f aca="false">IF(DT$59&gt;0.5,1,0)</f>
        <v>0</v>
      </c>
      <c r="DU60" s="31" t="n">
        <f aca="false">IF(DU$59&gt;0.5,1,0)</f>
        <v>0</v>
      </c>
      <c r="DV60" s="31" t="n">
        <f aca="false">IF(DV$59&gt;0.5,1,0)</f>
        <v>0</v>
      </c>
      <c r="DW60" s="31" t="n">
        <f aca="false">IF(DW$59&gt;0.5,1,0)</f>
        <v>0</v>
      </c>
      <c r="DX60" s="31" t="n">
        <f aca="false">IF(DX$59&gt;0.5,1,0)</f>
        <v>0</v>
      </c>
      <c r="DY60" s="31" t="n">
        <f aca="false">IF(DY$59&gt;0.5,1,0)</f>
        <v>0</v>
      </c>
      <c r="DZ60" s="31" t="n">
        <f aca="false">IF(DZ$59&gt;0.5,1,0)</f>
        <v>0</v>
      </c>
      <c r="EA60" s="31" t="n">
        <f aca="false">IF(EA$59&gt;0.5,1,0)</f>
        <v>0</v>
      </c>
      <c r="EB60" s="31" t="n">
        <f aca="false">IF(EB$59&gt;0.5,1,0)</f>
        <v>0</v>
      </c>
      <c r="EC60" s="31" t="n">
        <f aca="false">IF(EC$59&gt;0.5,1,0)</f>
        <v>0</v>
      </c>
      <c r="ED60" s="31" t="n">
        <f aca="false">IF(ED$59&gt;0.5,1,0)</f>
        <v>0</v>
      </c>
      <c r="EE60" s="31" t="n">
        <f aca="false">IF(EE$59&gt;0.5,1,0)</f>
        <v>0</v>
      </c>
      <c r="EF60" s="31" t="n">
        <f aca="false">IF(EF$59&gt;0.5,1,0)</f>
        <v>0</v>
      </c>
      <c r="EG60" s="31" t="n">
        <f aca="false">IF(EG$59&gt;0.5,1,0)</f>
        <v>0</v>
      </c>
      <c r="EH60" s="31" t="n">
        <f aca="false">IF(EH$59&gt;0.5,1,0)</f>
        <v>0</v>
      </c>
      <c r="EI60" s="31" t="n">
        <f aca="false">IF(EI$59&gt;0.5,1,0)</f>
        <v>0</v>
      </c>
      <c r="EJ60" s="31" t="n">
        <f aca="false">IF(EJ$59&gt;0.5,1,0)</f>
        <v>0</v>
      </c>
      <c r="EK60" s="31" t="n">
        <f aca="false">IF(EK$59&gt;0.5,1,0)</f>
        <v>0</v>
      </c>
      <c r="EL60" s="31" t="n">
        <f aca="false">IF(EL$59&gt;0.5,1,0)</f>
        <v>0</v>
      </c>
      <c r="EM60" s="31" t="n">
        <f aca="false">IF(EM$59&gt;0.5,1,0)</f>
        <v>0</v>
      </c>
      <c r="EN60" s="31" t="n">
        <f aca="false">IF(EN$59&gt;0.5,1,0)</f>
        <v>0</v>
      </c>
      <c r="EO60" s="31" t="n">
        <f aca="false">IF(EO$59&gt;0.5,1,0)</f>
        <v>0</v>
      </c>
      <c r="EP60" s="31" t="n">
        <f aca="false">IF(EP$59&gt;0.5,1,0)</f>
        <v>0</v>
      </c>
      <c r="EQ60" s="31" t="n">
        <f aca="false">IF(EQ$59&gt;0.5,1,0)</f>
        <v>0</v>
      </c>
      <c r="ER60" s="31" t="n">
        <f aca="false">IF(ER$59&gt;0.5,1,0)</f>
        <v>0</v>
      </c>
      <c r="ES60" s="31" t="n">
        <f aca="false">IF(ES$59&gt;0.5,1,0)</f>
        <v>0</v>
      </c>
      <c r="ET60" s="31" t="n">
        <f aca="false">IF(ET$59&gt;0.5,1,0)</f>
        <v>0</v>
      </c>
      <c r="EU60" s="31" t="n">
        <f aca="false">IF(EU$59&gt;0.5,1,0)</f>
        <v>0</v>
      </c>
      <c r="EV60" s="31" t="n">
        <f aca="false">IF(EV$59&gt;0.5,1,0)</f>
        <v>0</v>
      </c>
      <c r="EW60" s="31" t="n">
        <f aca="false">IF(EW$59&gt;0.5,1,0)</f>
        <v>0</v>
      </c>
      <c r="EX60" s="31" t="n">
        <f aca="false">IF(EX$59&gt;0.5,1,0)</f>
        <v>0</v>
      </c>
      <c r="EY60" s="31" t="n">
        <f aca="false">IF(EY$59&gt;0.5,1,0)</f>
        <v>0</v>
      </c>
      <c r="EZ60" s="31" t="n">
        <f aca="false">IF(EZ$59&gt;0.5,1,0)</f>
        <v>0</v>
      </c>
      <c r="FA60" s="31" t="n">
        <f aca="false">IF(FA$59&gt;0.5,1,0)</f>
        <v>0</v>
      </c>
      <c r="FB60" s="31" t="n">
        <f aca="false">IF(FB$59&gt;0.5,1,0)</f>
        <v>0</v>
      </c>
      <c r="FC60" s="31" t="n">
        <f aca="false">IF(FC$59&gt;0.5,1,0)</f>
        <v>0</v>
      </c>
      <c r="FD60" s="31" t="n">
        <f aca="false">IF(FD$59&gt;0.5,1,0)</f>
        <v>0</v>
      </c>
      <c r="FE60" s="31" t="n">
        <f aca="false">IF(FE$59&gt;0.5,1,0)</f>
        <v>0</v>
      </c>
      <c r="FF60" s="31" t="n">
        <f aca="false">IF(FF$59&gt;0.5,1,0)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F15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3" topLeftCell="F64" activePane="bottomRight" state="frozen"/>
      <selection pane="topLeft" activeCell="A1" activeCellId="0" sqref="A1"/>
      <selection pane="topRight" activeCell="F1" activeCellId="0" sqref="F1"/>
      <selection pane="bottomLeft" activeCell="A64" activeCellId="0" sqref="A6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162" min="6" style="0" width="11.5"/>
  </cols>
  <sheetData>
    <row r="1" customFormat="false" ht="16.15" hidden="false" customHeight="false" outlineLevel="0" collapsed="false">
      <c r="A1" s="1" t="s">
        <v>899</v>
      </c>
    </row>
    <row r="2" customFormat="false" ht="15" hidden="false" customHeight="false" outlineLevel="0" collapsed="false">
      <c r="A2" s="2" t="s">
        <v>900</v>
      </c>
    </row>
    <row r="4" customFormat="false" ht="15" hidden="false" customHeight="false" outlineLevel="0" collapsed="false">
      <c r="A4" s="3" t="s">
        <v>901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53.7" hidden="false" customHeight="false" outlineLevel="0" collapsed="false">
      <c r="A5" s="10" t="s">
        <v>147</v>
      </c>
      <c r="B5" s="10" t="s">
        <v>902</v>
      </c>
      <c r="C5" s="10" t="s">
        <v>903</v>
      </c>
      <c r="D5" s="10" t="s">
        <v>904</v>
      </c>
      <c r="E5" s="10" t="s">
        <v>905</v>
      </c>
      <c r="F5" s="10" t="s">
        <v>906</v>
      </c>
      <c r="G5" s="10" t="s">
        <v>907</v>
      </c>
      <c r="H5" s="10" t="s">
        <v>908</v>
      </c>
      <c r="I5" s="10" t="s">
        <v>909</v>
      </c>
      <c r="J5" s="10" t="s">
        <v>910</v>
      </c>
      <c r="K5" s="10" t="s">
        <v>911</v>
      </c>
      <c r="L5" s="10" t="s">
        <v>912</v>
      </c>
      <c r="M5" s="10" t="s">
        <v>913</v>
      </c>
      <c r="N5" s="10" t="s">
        <v>914</v>
      </c>
      <c r="O5" s="10" t="s">
        <v>915</v>
      </c>
      <c r="P5" s="10" t="s">
        <v>916</v>
      </c>
      <c r="Q5" s="10" t="s">
        <v>406</v>
      </c>
    </row>
    <row r="6" customFormat="false" ht="15" hidden="false" customHeight="false" outlineLevel="0" collapsed="false">
      <c r="A6" s="8" t="s">
        <v>917</v>
      </c>
      <c r="B6" s="68" t="str">
        <f aca="false">Base_PDF!$B$127</f>
        <v>Operador láser</v>
      </c>
      <c r="C6" s="68" t="str">
        <f aca="false">Base_PDF!$C$127</f>
        <v>Directo</v>
      </c>
      <c r="D6" s="69" t="s">
        <v>918</v>
      </c>
      <c r="E6" s="8" t="str">
        <f aca="false">IF(p_C6=1,D6,IF(C6="Directo","Directo","Administración"))</f>
        <v>Directo</v>
      </c>
      <c r="F6" s="28" t="n">
        <f aca="false">Base_PDF!$E$127</f>
        <v>4668900</v>
      </c>
      <c r="G6" s="28" t="n">
        <f aca="false">Base_PDF!F$127</f>
        <v>4</v>
      </c>
      <c r="H6" s="28" t="n">
        <f aca="false">Base_PDF!G$127</f>
        <v>4</v>
      </c>
      <c r="I6" s="28" t="n">
        <f aca="false">Base_PDF!H$127</f>
        <v>5</v>
      </c>
      <c r="J6" s="28" t="n">
        <f aca="false">Base_PDF!I$127</f>
        <v>5</v>
      </c>
      <c r="K6" s="28" t="n">
        <f aca="false">Base_PDF!J$127</f>
        <v>6</v>
      </c>
      <c r="L6" s="13" t="n">
        <f aca="false">K6</f>
        <v>6</v>
      </c>
      <c r="M6" s="13" t="n">
        <f aca="false">K6</f>
        <v>6</v>
      </c>
      <c r="N6" s="13" t="n">
        <f aca="false">K6</f>
        <v>6</v>
      </c>
      <c r="O6" s="13" t="n">
        <f aca="false">K6</f>
        <v>6</v>
      </c>
      <c r="P6" s="13" t="n">
        <f aca="false">K6</f>
        <v>6</v>
      </c>
      <c r="Q6" s="8" t="s">
        <v>919</v>
      </c>
    </row>
    <row r="7" customFormat="false" ht="15" hidden="false" customHeight="false" outlineLevel="0" collapsed="false">
      <c r="A7" s="8" t="s">
        <v>920</v>
      </c>
      <c r="B7" s="68" t="str">
        <f aca="false">Base_PDF!$B$128</f>
        <v>Doblador («Dobrador» en el PDF)</v>
      </c>
      <c r="C7" s="68" t="str">
        <f aca="false">Base_PDF!$C$128</f>
        <v>Directo</v>
      </c>
      <c r="D7" s="69" t="s">
        <v>918</v>
      </c>
      <c r="E7" s="8" t="str">
        <f aca="false">IF(p_C6=1,D7,IF(C7="Directo","Directo","Administración"))</f>
        <v>Directo</v>
      </c>
      <c r="F7" s="28" t="n">
        <f aca="false">Base_PDF!$E$128</f>
        <v>3650655</v>
      </c>
      <c r="G7" s="28" t="n">
        <f aca="false">Base_PDF!F$128</f>
        <v>8</v>
      </c>
      <c r="H7" s="28" t="n">
        <f aca="false">Base_PDF!G$128</f>
        <v>8</v>
      </c>
      <c r="I7" s="28" t="n">
        <f aca="false">Base_PDF!H$128</f>
        <v>9</v>
      </c>
      <c r="J7" s="28" t="n">
        <f aca="false">Base_PDF!I$128</f>
        <v>9</v>
      </c>
      <c r="K7" s="28" t="n">
        <f aca="false">Base_PDF!J$128</f>
        <v>10</v>
      </c>
      <c r="L7" s="13" t="n">
        <f aca="false">K7</f>
        <v>10</v>
      </c>
      <c r="M7" s="13" t="n">
        <f aca="false">K7</f>
        <v>10</v>
      </c>
      <c r="N7" s="13" t="n">
        <f aca="false">K7</f>
        <v>10</v>
      </c>
      <c r="O7" s="13" t="n">
        <f aca="false">K7</f>
        <v>10</v>
      </c>
      <c r="P7" s="13" t="n">
        <f aca="false">K7</f>
        <v>10</v>
      </c>
      <c r="Q7" s="8" t="s">
        <v>919</v>
      </c>
    </row>
    <row r="8" customFormat="false" ht="15" hidden="false" customHeight="false" outlineLevel="0" collapsed="false">
      <c r="A8" s="8" t="s">
        <v>921</v>
      </c>
      <c r="B8" s="68" t="str">
        <f aca="false">Base_PDF!$B$129</f>
        <v>Soldador («Soladador» en el PDF)</v>
      </c>
      <c r="C8" s="68" t="str">
        <f aca="false">Base_PDF!$C$129</f>
        <v>Directo</v>
      </c>
      <c r="D8" s="69" t="s">
        <v>918</v>
      </c>
      <c r="E8" s="8" t="str">
        <f aca="false">IF(p_C6=1,D8,IF(C8="Directo","Directo","Administración"))</f>
        <v>Directo</v>
      </c>
      <c r="F8" s="28" t="n">
        <f aca="false">Base_PDF!$E$129</f>
        <v>3968900</v>
      </c>
      <c r="G8" s="28" t="n">
        <f aca="false">Base_PDF!F$129</f>
        <v>5</v>
      </c>
      <c r="H8" s="28" t="n">
        <f aca="false">Base_PDF!G$129</f>
        <v>5</v>
      </c>
      <c r="I8" s="28" t="n">
        <f aca="false">Base_PDF!H$129</f>
        <v>6</v>
      </c>
      <c r="J8" s="28" t="n">
        <f aca="false">Base_PDF!I$129</f>
        <v>6</v>
      </c>
      <c r="K8" s="28" t="n">
        <f aca="false">Base_PDF!J$129</f>
        <v>6</v>
      </c>
      <c r="L8" s="13" t="n">
        <f aca="false">K8</f>
        <v>6</v>
      </c>
      <c r="M8" s="13" t="n">
        <f aca="false">K8</f>
        <v>6</v>
      </c>
      <c r="N8" s="13" t="n">
        <f aca="false">K8</f>
        <v>6</v>
      </c>
      <c r="O8" s="13" t="n">
        <f aca="false">K8</f>
        <v>6</v>
      </c>
      <c r="P8" s="13" t="n">
        <f aca="false">K8</f>
        <v>6</v>
      </c>
      <c r="Q8" s="8" t="s">
        <v>919</v>
      </c>
    </row>
    <row r="9" customFormat="false" ht="15" hidden="false" customHeight="false" outlineLevel="0" collapsed="false">
      <c r="A9" s="8" t="s">
        <v>922</v>
      </c>
      <c r="B9" s="68" t="str">
        <f aca="false">Base_PDF!$B$130</f>
        <v>Baño</v>
      </c>
      <c r="C9" s="68" t="str">
        <f aca="false">Base_PDF!$C$130</f>
        <v>Directo</v>
      </c>
      <c r="D9" s="69" t="s">
        <v>918</v>
      </c>
      <c r="E9" s="8" t="str">
        <f aca="false">IF(p_C6=1,D9,IF(C9="Directo","Directo","Administración"))</f>
        <v>Directo</v>
      </c>
      <c r="F9" s="28" t="n">
        <f aca="false">Base_PDF!$E$130</f>
        <v>3650655</v>
      </c>
      <c r="G9" s="28" t="n">
        <f aca="false">Base_PDF!F$130</f>
        <v>2</v>
      </c>
      <c r="H9" s="28" t="n">
        <f aca="false">Base_PDF!G$130</f>
        <v>2</v>
      </c>
      <c r="I9" s="28" t="n">
        <f aca="false">Base_PDF!H$130</f>
        <v>2</v>
      </c>
      <c r="J9" s="28" t="n">
        <f aca="false">Base_PDF!I$130</f>
        <v>2</v>
      </c>
      <c r="K9" s="28" t="n">
        <f aca="false">Base_PDF!J$130</f>
        <v>3</v>
      </c>
      <c r="L9" s="13" t="n">
        <f aca="false">K9</f>
        <v>3</v>
      </c>
      <c r="M9" s="13" t="n">
        <f aca="false">K9</f>
        <v>3</v>
      </c>
      <c r="N9" s="13" t="n">
        <f aca="false">K9</f>
        <v>3</v>
      </c>
      <c r="O9" s="13" t="n">
        <f aca="false">K9</f>
        <v>3</v>
      </c>
      <c r="P9" s="13" t="n">
        <f aca="false">K9</f>
        <v>3</v>
      </c>
      <c r="Q9" s="8" t="s">
        <v>919</v>
      </c>
    </row>
    <row r="10" customFormat="false" ht="15" hidden="false" customHeight="false" outlineLevel="0" collapsed="false">
      <c r="A10" s="8" t="s">
        <v>923</v>
      </c>
      <c r="B10" s="68" t="str">
        <f aca="false">Base_PDF!$B$131</f>
        <v>Pintor</v>
      </c>
      <c r="C10" s="68" t="str">
        <f aca="false">Base_PDF!$C$131</f>
        <v>Directo</v>
      </c>
      <c r="D10" s="69" t="s">
        <v>918</v>
      </c>
      <c r="E10" s="8" t="str">
        <f aca="false">IF(p_C6=1,D10,IF(C10="Directo","Directo","Administración"))</f>
        <v>Directo</v>
      </c>
      <c r="F10" s="28" t="n">
        <f aca="false">Base_PDF!$E$131</f>
        <v>3650655</v>
      </c>
      <c r="G10" s="28" t="n">
        <f aca="false">Base_PDF!F$131</f>
        <v>4</v>
      </c>
      <c r="H10" s="28" t="n">
        <f aca="false">Base_PDF!G$131</f>
        <v>4</v>
      </c>
      <c r="I10" s="28" t="n">
        <f aca="false">Base_PDF!H$131</f>
        <v>4</v>
      </c>
      <c r="J10" s="28" t="n">
        <f aca="false">Base_PDF!I$131</f>
        <v>5</v>
      </c>
      <c r="K10" s="28" t="n">
        <f aca="false">Base_PDF!J$131</f>
        <v>5</v>
      </c>
      <c r="L10" s="13" t="n">
        <f aca="false">K10</f>
        <v>5</v>
      </c>
      <c r="M10" s="13" t="n">
        <f aca="false">K10</f>
        <v>5</v>
      </c>
      <c r="N10" s="13" t="n">
        <f aca="false">K10</f>
        <v>5</v>
      </c>
      <c r="O10" s="13" t="n">
        <f aca="false">K10</f>
        <v>5</v>
      </c>
      <c r="P10" s="13" t="n">
        <f aca="false">K10</f>
        <v>5</v>
      </c>
      <c r="Q10" s="8" t="s">
        <v>919</v>
      </c>
    </row>
    <row r="11" customFormat="false" ht="15" hidden="false" customHeight="false" outlineLevel="0" collapsed="false">
      <c r="A11" s="8" t="s">
        <v>924</v>
      </c>
      <c r="B11" s="68" t="str">
        <f aca="false">Base_PDF!$B$132</f>
        <v>Montador</v>
      </c>
      <c r="C11" s="68" t="str">
        <f aca="false">Base_PDF!$C$132</f>
        <v>Directo</v>
      </c>
      <c r="D11" s="69" t="s">
        <v>918</v>
      </c>
      <c r="E11" s="8" t="str">
        <f aca="false">IF(p_C6=1,D11,IF(C11="Directo","Directo","Administración"))</f>
        <v>Directo</v>
      </c>
      <c r="F11" s="28" t="n">
        <f aca="false">Base_PDF!$E$132</f>
        <v>3150655</v>
      </c>
      <c r="G11" s="28" t="n">
        <f aca="false">Base_PDF!F$132</f>
        <v>10</v>
      </c>
      <c r="H11" s="28" t="n">
        <f aca="false">Base_PDF!G$132</f>
        <v>10</v>
      </c>
      <c r="I11" s="28" t="n">
        <f aca="false">Base_PDF!H$132</f>
        <v>10</v>
      </c>
      <c r="J11" s="28" t="n">
        <f aca="false">Base_PDF!I$132</f>
        <v>11</v>
      </c>
      <c r="K11" s="28" t="n">
        <f aca="false">Base_PDF!J$132</f>
        <v>11</v>
      </c>
      <c r="L11" s="13" t="n">
        <f aca="false">K11</f>
        <v>11</v>
      </c>
      <c r="M11" s="13" t="n">
        <f aca="false">K11</f>
        <v>11</v>
      </c>
      <c r="N11" s="13" t="n">
        <f aca="false">K11</f>
        <v>11</v>
      </c>
      <c r="O11" s="13" t="n">
        <f aca="false">K11</f>
        <v>11</v>
      </c>
      <c r="P11" s="13" t="n">
        <f aca="false">K11</f>
        <v>11</v>
      </c>
      <c r="Q11" s="8" t="s">
        <v>919</v>
      </c>
    </row>
    <row r="12" customFormat="false" ht="15" hidden="false" customHeight="false" outlineLevel="0" collapsed="false">
      <c r="A12" s="8" t="s">
        <v>925</v>
      </c>
      <c r="B12" s="68" t="str">
        <f aca="false">Base_PDF!$B$133</f>
        <v>Ayudante</v>
      </c>
      <c r="C12" s="68" t="str">
        <f aca="false">Base_PDF!$C$133</f>
        <v>Directo</v>
      </c>
      <c r="D12" s="69" t="s">
        <v>918</v>
      </c>
      <c r="E12" s="8" t="str">
        <f aca="false">IF(p_C6=1,D12,IF(C12="Directo","Directo","Administración"))</f>
        <v>Directo</v>
      </c>
      <c r="F12" s="28" t="n">
        <f aca="false">Base_PDF!$E$133</f>
        <v>2798309</v>
      </c>
      <c r="G12" s="28" t="n">
        <f aca="false">Base_PDF!F$133</f>
        <v>10</v>
      </c>
      <c r="H12" s="28" t="n">
        <f aca="false">Base_PDF!G$133</f>
        <v>10</v>
      </c>
      <c r="I12" s="28" t="n">
        <f aca="false">Base_PDF!H$133</f>
        <v>10</v>
      </c>
      <c r="J12" s="28" t="n">
        <f aca="false">Base_PDF!I$133</f>
        <v>11</v>
      </c>
      <c r="K12" s="28" t="n">
        <f aca="false">Base_PDF!J$133</f>
        <v>11</v>
      </c>
      <c r="L12" s="13" t="n">
        <f aca="false">K12</f>
        <v>11</v>
      </c>
      <c r="M12" s="13" t="n">
        <f aca="false">K12</f>
        <v>11</v>
      </c>
      <c r="N12" s="13" t="n">
        <f aca="false">K12</f>
        <v>11</v>
      </c>
      <c r="O12" s="13" t="n">
        <f aca="false">K12</f>
        <v>11</v>
      </c>
      <c r="P12" s="13" t="n">
        <f aca="false">K12</f>
        <v>11</v>
      </c>
      <c r="Q12" s="8" t="s">
        <v>919</v>
      </c>
    </row>
    <row r="13" customFormat="false" ht="15" hidden="false" customHeight="false" outlineLevel="0" collapsed="false">
      <c r="A13" s="8" t="s">
        <v>926</v>
      </c>
      <c r="B13" s="68" t="str">
        <f aca="false">Base_PDF!$B$134</f>
        <v>Gerente General</v>
      </c>
      <c r="C13" s="68" t="str">
        <f aca="false">Base_PDF!$C$134</f>
        <v>Indirecto</v>
      </c>
      <c r="D13" s="69" t="s">
        <v>927</v>
      </c>
      <c r="E13" s="8" t="str">
        <f aca="false">IF(p_C6=1,D13,IF(C13="Directo","Directo","Administración"))</f>
        <v>Administración</v>
      </c>
      <c r="F13" s="28" t="n">
        <f aca="false">Base_PDF!$E$134</f>
        <v>18000000</v>
      </c>
      <c r="G13" s="28" t="n">
        <f aca="false">Base_PDF!F$134</f>
        <v>1</v>
      </c>
      <c r="H13" s="28" t="n">
        <f aca="false">Base_PDF!G$134</f>
        <v>1</v>
      </c>
      <c r="I13" s="28" t="n">
        <f aca="false">Base_PDF!H$134</f>
        <v>1</v>
      </c>
      <c r="J13" s="28" t="n">
        <f aca="false">Base_PDF!I$134</f>
        <v>1</v>
      </c>
      <c r="K13" s="28" t="n">
        <f aca="false">Base_PDF!J$134</f>
        <v>1</v>
      </c>
      <c r="L13" s="13" t="n">
        <f aca="false">K13</f>
        <v>1</v>
      </c>
      <c r="M13" s="13" t="n">
        <f aca="false">K13</f>
        <v>1</v>
      </c>
      <c r="N13" s="13" t="n">
        <f aca="false">K13</f>
        <v>1</v>
      </c>
      <c r="O13" s="13" t="n">
        <f aca="false">K13</f>
        <v>1</v>
      </c>
      <c r="P13" s="13" t="n">
        <f aca="false">K13</f>
        <v>1</v>
      </c>
      <c r="Q13" s="8" t="s">
        <v>919</v>
      </c>
    </row>
    <row r="14" customFormat="false" ht="15" hidden="false" customHeight="false" outlineLevel="0" collapsed="false">
      <c r="A14" s="8" t="s">
        <v>928</v>
      </c>
      <c r="B14" s="68" t="str">
        <f aca="false">Base_PDF!$B$135</f>
        <v>Gerente Industrial</v>
      </c>
      <c r="C14" s="68" t="str">
        <f aca="false">Base_PDF!$C$135</f>
        <v>Indirecto</v>
      </c>
      <c r="D14" s="69" t="s">
        <v>929</v>
      </c>
      <c r="E14" s="8" t="str">
        <f aca="false">IF(p_C6=1,D14,IF(C14="Directo","Directo","Administración"))</f>
        <v>Indirecto fábrica</v>
      </c>
      <c r="F14" s="28" t="n">
        <f aca="false">Base_PDF!$E$135</f>
        <v>9800000</v>
      </c>
      <c r="G14" s="28" t="n">
        <f aca="false">Base_PDF!F$135</f>
        <v>1</v>
      </c>
      <c r="H14" s="28" t="n">
        <f aca="false">Base_PDF!G$135</f>
        <v>1</v>
      </c>
      <c r="I14" s="28" t="n">
        <f aca="false">Base_PDF!H$135</f>
        <v>1</v>
      </c>
      <c r="J14" s="28" t="n">
        <f aca="false">Base_PDF!I$135</f>
        <v>1</v>
      </c>
      <c r="K14" s="28" t="n">
        <f aca="false">Base_PDF!J$135</f>
        <v>1</v>
      </c>
      <c r="L14" s="13" t="n">
        <f aca="false">K14</f>
        <v>1</v>
      </c>
      <c r="M14" s="13" t="n">
        <f aca="false">K14</f>
        <v>1</v>
      </c>
      <c r="N14" s="13" t="n">
        <f aca="false">K14</f>
        <v>1</v>
      </c>
      <c r="O14" s="13" t="n">
        <f aca="false">K14</f>
        <v>1</v>
      </c>
      <c r="P14" s="13" t="n">
        <f aca="false">K14</f>
        <v>1</v>
      </c>
      <c r="Q14" s="8" t="s">
        <v>919</v>
      </c>
    </row>
    <row r="15" customFormat="false" ht="15" hidden="false" customHeight="false" outlineLevel="0" collapsed="false">
      <c r="A15" s="8" t="s">
        <v>930</v>
      </c>
      <c r="B15" s="68" t="str">
        <f aca="false">Base_PDF!$B$136</f>
        <v>Coord. Prod. Corte y Deformación</v>
      </c>
      <c r="C15" s="68" t="str">
        <f aca="false">Base_PDF!$C$136</f>
        <v>Indirecto</v>
      </c>
      <c r="D15" s="69" t="s">
        <v>929</v>
      </c>
      <c r="E15" s="8" t="str">
        <f aca="false">IF(p_C6=1,D15,IF(C15="Directo","Directo","Administración"))</f>
        <v>Indirecto fábrica</v>
      </c>
      <c r="F15" s="28" t="n">
        <f aca="false">Base_PDF!$E$136</f>
        <v>6550000</v>
      </c>
      <c r="G15" s="28" t="n">
        <f aca="false">Base_PDF!F$136</f>
        <v>1</v>
      </c>
      <c r="H15" s="28" t="n">
        <f aca="false">Base_PDF!G$136</f>
        <v>1</v>
      </c>
      <c r="I15" s="28" t="n">
        <f aca="false">Base_PDF!H$136</f>
        <v>1</v>
      </c>
      <c r="J15" s="28" t="n">
        <f aca="false">Base_PDF!I$136</f>
        <v>1</v>
      </c>
      <c r="K15" s="28" t="n">
        <f aca="false">Base_PDF!J$136</f>
        <v>1</v>
      </c>
      <c r="L15" s="13" t="n">
        <f aca="false">K15</f>
        <v>1</v>
      </c>
      <c r="M15" s="13" t="n">
        <f aca="false">K15</f>
        <v>1</v>
      </c>
      <c r="N15" s="13" t="n">
        <f aca="false">K15</f>
        <v>1</v>
      </c>
      <c r="O15" s="13" t="n">
        <f aca="false">K15</f>
        <v>1</v>
      </c>
      <c r="P15" s="13" t="n">
        <f aca="false">K15</f>
        <v>1</v>
      </c>
      <c r="Q15" s="8" t="s">
        <v>919</v>
      </c>
    </row>
    <row r="16" customFormat="false" ht="15" hidden="false" customHeight="false" outlineLevel="0" collapsed="false">
      <c r="A16" s="8" t="s">
        <v>931</v>
      </c>
      <c r="B16" s="68" t="str">
        <f aca="false">Base_PDF!$B$137</f>
        <v>Coord. Prod. Soldadura</v>
      </c>
      <c r="C16" s="68" t="str">
        <f aca="false">Base_PDF!$C$137</f>
        <v>Indirecto</v>
      </c>
      <c r="D16" s="69" t="s">
        <v>929</v>
      </c>
      <c r="E16" s="8" t="str">
        <f aca="false">IF(p_C6=1,D16,IF(C16="Directo","Directo","Administración"))</f>
        <v>Indirecto fábrica</v>
      </c>
      <c r="F16" s="28" t="n">
        <f aca="false">Base_PDF!$E$137</f>
        <v>6550000</v>
      </c>
      <c r="G16" s="28" t="n">
        <f aca="false">Base_PDF!F$137</f>
        <v>1</v>
      </c>
      <c r="H16" s="28" t="n">
        <f aca="false">Base_PDF!G$137</f>
        <v>1</v>
      </c>
      <c r="I16" s="28" t="n">
        <f aca="false">Base_PDF!H$137</f>
        <v>1</v>
      </c>
      <c r="J16" s="28" t="n">
        <f aca="false">Base_PDF!I$137</f>
        <v>1</v>
      </c>
      <c r="K16" s="28" t="n">
        <f aca="false">Base_PDF!J$137</f>
        <v>1</v>
      </c>
      <c r="L16" s="13" t="n">
        <f aca="false">K16</f>
        <v>1</v>
      </c>
      <c r="M16" s="13" t="n">
        <f aca="false">K16</f>
        <v>1</v>
      </c>
      <c r="N16" s="13" t="n">
        <f aca="false">K16</f>
        <v>1</v>
      </c>
      <c r="O16" s="13" t="n">
        <f aca="false">K16</f>
        <v>1</v>
      </c>
      <c r="P16" s="13" t="n">
        <f aca="false">K16</f>
        <v>1</v>
      </c>
      <c r="Q16" s="8" t="s">
        <v>919</v>
      </c>
    </row>
    <row r="17" customFormat="false" ht="15" hidden="false" customHeight="false" outlineLevel="0" collapsed="false">
      <c r="A17" s="8" t="s">
        <v>932</v>
      </c>
      <c r="B17" s="68" t="str">
        <f aca="false">Base_PDF!$B$138</f>
        <v>Coord. Prod. Trat. Sup. y Pintura</v>
      </c>
      <c r="C17" s="68" t="str">
        <f aca="false">Base_PDF!$C$138</f>
        <v>Indirecto</v>
      </c>
      <c r="D17" s="69" t="s">
        <v>929</v>
      </c>
      <c r="E17" s="8" t="str">
        <f aca="false">IF(p_C6=1,D17,IF(C17="Directo","Directo","Administración"))</f>
        <v>Indirecto fábrica</v>
      </c>
      <c r="F17" s="28" t="n">
        <f aca="false">Base_PDF!$E$138</f>
        <v>6550000</v>
      </c>
      <c r="G17" s="28" t="n">
        <f aca="false">Base_PDF!F$138</f>
        <v>1</v>
      </c>
      <c r="H17" s="28" t="n">
        <f aca="false">Base_PDF!G$138</f>
        <v>1</v>
      </c>
      <c r="I17" s="28" t="n">
        <f aca="false">Base_PDF!H$138</f>
        <v>1</v>
      </c>
      <c r="J17" s="28" t="n">
        <f aca="false">Base_PDF!I$138</f>
        <v>1</v>
      </c>
      <c r="K17" s="28" t="n">
        <f aca="false">Base_PDF!J$138</f>
        <v>1</v>
      </c>
      <c r="L17" s="13" t="n">
        <f aca="false">K17</f>
        <v>1</v>
      </c>
      <c r="M17" s="13" t="n">
        <f aca="false">K17</f>
        <v>1</v>
      </c>
      <c r="N17" s="13" t="n">
        <f aca="false">K17</f>
        <v>1</v>
      </c>
      <c r="O17" s="13" t="n">
        <f aca="false">K17</f>
        <v>1</v>
      </c>
      <c r="P17" s="13" t="n">
        <f aca="false">K17</f>
        <v>1</v>
      </c>
      <c r="Q17" s="8" t="s">
        <v>919</v>
      </c>
    </row>
    <row r="18" customFormat="false" ht="15" hidden="false" customHeight="false" outlineLevel="0" collapsed="false">
      <c r="A18" s="8" t="s">
        <v>933</v>
      </c>
      <c r="B18" s="68" t="str">
        <f aca="false">Base_PDF!$B$139</f>
        <v>Coord. Prod. Montaje</v>
      </c>
      <c r="C18" s="68" t="str">
        <f aca="false">Base_PDF!$C$139</f>
        <v>Indirecto</v>
      </c>
      <c r="D18" s="69" t="s">
        <v>929</v>
      </c>
      <c r="E18" s="8" t="str">
        <f aca="false">IF(p_C6=1,D18,IF(C18="Directo","Directo","Administración"))</f>
        <v>Indirecto fábrica</v>
      </c>
      <c r="F18" s="28" t="n">
        <f aca="false">Base_PDF!$E$139</f>
        <v>6550000</v>
      </c>
      <c r="G18" s="28" t="n">
        <f aca="false">Base_PDF!F$139</f>
        <v>1</v>
      </c>
      <c r="H18" s="28" t="n">
        <f aca="false">Base_PDF!G$139</f>
        <v>1</v>
      </c>
      <c r="I18" s="28" t="n">
        <f aca="false">Base_PDF!H$139</f>
        <v>1</v>
      </c>
      <c r="J18" s="28" t="n">
        <f aca="false">Base_PDF!I$139</f>
        <v>1</v>
      </c>
      <c r="K18" s="28" t="n">
        <f aca="false">Base_PDF!J$139</f>
        <v>1</v>
      </c>
      <c r="L18" s="13" t="n">
        <f aca="false">K18</f>
        <v>1</v>
      </c>
      <c r="M18" s="13" t="n">
        <f aca="false">K18</f>
        <v>1</v>
      </c>
      <c r="N18" s="13" t="n">
        <f aca="false">K18</f>
        <v>1</v>
      </c>
      <c r="O18" s="13" t="n">
        <f aca="false">K18</f>
        <v>1</v>
      </c>
      <c r="P18" s="13" t="n">
        <f aca="false">K18</f>
        <v>1</v>
      </c>
      <c r="Q18" s="8" t="s">
        <v>919</v>
      </c>
    </row>
    <row r="19" customFormat="false" ht="15" hidden="false" customHeight="false" outlineLevel="0" collapsed="false">
      <c r="A19" s="8" t="s">
        <v>934</v>
      </c>
      <c r="B19" s="68" t="str">
        <f aca="false">Base_PDF!$B$140</f>
        <v>Ingeniería</v>
      </c>
      <c r="C19" s="68" t="str">
        <f aca="false">Base_PDF!$C$140</f>
        <v>Indirecto</v>
      </c>
      <c r="D19" s="69" t="s">
        <v>929</v>
      </c>
      <c r="E19" s="8" t="str">
        <f aca="false">IF(p_C6=1,D19,IF(C19="Directo","Directo","Administración"))</f>
        <v>Indirecto fábrica</v>
      </c>
      <c r="F19" s="28" t="n">
        <f aca="false">Base_PDF!$E$140</f>
        <v>6550000</v>
      </c>
      <c r="G19" s="28" t="n">
        <f aca="false">Base_PDF!F$140</f>
        <v>3</v>
      </c>
      <c r="H19" s="28" t="n">
        <f aca="false">Base_PDF!G$140</f>
        <v>3</v>
      </c>
      <c r="I19" s="28" t="n">
        <f aca="false">Base_PDF!H$140</f>
        <v>3</v>
      </c>
      <c r="J19" s="28" t="n">
        <f aca="false">Base_PDF!I$140</f>
        <v>3</v>
      </c>
      <c r="K19" s="28" t="n">
        <f aca="false">Base_PDF!J$140</f>
        <v>3</v>
      </c>
      <c r="L19" s="13" t="n">
        <f aca="false">K19</f>
        <v>3</v>
      </c>
      <c r="M19" s="13" t="n">
        <f aca="false">K19</f>
        <v>3</v>
      </c>
      <c r="N19" s="13" t="n">
        <f aca="false">K19</f>
        <v>3</v>
      </c>
      <c r="O19" s="13" t="n">
        <f aca="false">K19</f>
        <v>3</v>
      </c>
      <c r="P19" s="13" t="n">
        <f aca="false">K19</f>
        <v>3</v>
      </c>
      <c r="Q19" s="8" t="s">
        <v>919</v>
      </c>
    </row>
    <row r="20" customFormat="false" ht="15" hidden="false" customHeight="false" outlineLevel="0" collapsed="false">
      <c r="A20" s="8" t="s">
        <v>935</v>
      </c>
      <c r="B20" s="68" t="str">
        <f aca="false">Base_PDF!$B$141</f>
        <v>Mantenimiento</v>
      </c>
      <c r="C20" s="68" t="str">
        <f aca="false">Base_PDF!$C$141</f>
        <v>Indirecto</v>
      </c>
      <c r="D20" s="69" t="s">
        <v>929</v>
      </c>
      <c r="E20" s="8" t="str">
        <f aca="false">IF(p_C6=1,D20,IF(C20="Directo","Directo","Administración"))</f>
        <v>Indirecto fábrica</v>
      </c>
      <c r="F20" s="28" t="n">
        <f aca="false">Base_PDF!$E$141</f>
        <v>3650655</v>
      </c>
      <c r="G20" s="28" t="n">
        <f aca="false">Base_PDF!F$141</f>
        <v>2</v>
      </c>
      <c r="H20" s="28" t="n">
        <f aca="false">Base_PDF!G$141</f>
        <v>2</v>
      </c>
      <c r="I20" s="28" t="n">
        <f aca="false">Base_PDF!H$141</f>
        <v>2</v>
      </c>
      <c r="J20" s="28" t="n">
        <f aca="false">Base_PDF!I$141</f>
        <v>2</v>
      </c>
      <c r="K20" s="28" t="n">
        <f aca="false">Base_PDF!J$141</f>
        <v>2</v>
      </c>
      <c r="L20" s="13" t="n">
        <f aca="false">K20</f>
        <v>2</v>
      </c>
      <c r="M20" s="13" t="n">
        <f aca="false">K20</f>
        <v>2</v>
      </c>
      <c r="N20" s="13" t="n">
        <f aca="false">K20</f>
        <v>2</v>
      </c>
      <c r="O20" s="13" t="n">
        <f aca="false">K20</f>
        <v>2</v>
      </c>
      <c r="P20" s="13" t="n">
        <f aca="false">K20</f>
        <v>2</v>
      </c>
      <c r="Q20" s="8" t="s">
        <v>919</v>
      </c>
    </row>
    <row r="21" customFormat="false" ht="15" hidden="false" customHeight="false" outlineLevel="0" collapsed="false">
      <c r="A21" s="8" t="s">
        <v>936</v>
      </c>
      <c r="B21" s="68" t="str">
        <f aca="false">Base_PDF!$B$142</f>
        <v>PCP</v>
      </c>
      <c r="C21" s="68" t="str">
        <f aca="false">Base_PDF!$C$142</f>
        <v>Indirecto</v>
      </c>
      <c r="D21" s="69" t="s">
        <v>929</v>
      </c>
      <c r="E21" s="8" t="str">
        <f aca="false">IF(p_C6=1,D21,IF(C21="Directo","Directo","Administración"))</f>
        <v>Indirecto fábrica</v>
      </c>
      <c r="F21" s="28" t="n">
        <f aca="false">Base_PDF!$E$142</f>
        <v>9800000</v>
      </c>
      <c r="G21" s="28" t="n">
        <f aca="false">Base_PDF!F$142</f>
        <v>1</v>
      </c>
      <c r="H21" s="28" t="n">
        <f aca="false">Base_PDF!G$142</f>
        <v>1</v>
      </c>
      <c r="I21" s="28" t="n">
        <f aca="false">Base_PDF!H$142</f>
        <v>1</v>
      </c>
      <c r="J21" s="28" t="n">
        <f aca="false">Base_PDF!I$142</f>
        <v>1</v>
      </c>
      <c r="K21" s="28" t="n">
        <f aca="false">Base_PDF!J$142</f>
        <v>1</v>
      </c>
      <c r="L21" s="13" t="n">
        <f aca="false">K21</f>
        <v>1</v>
      </c>
      <c r="M21" s="13" t="n">
        <f aca="false">K21</f>
        <v>1</v>
      </c>
      <c r="N21" s="13" t="n">
        <f aca="false">K21</f>
        <v>1</v>
      </c>
      <c r="O21" s="13" t="n">
        <f aca="false">K21</f>
        <v>1</v>
      </c>
      <c r="P21" s="13" t="n">
        <f aca="false">K21</f>
        <v>1</v>
      </c>
      <c r="Q21" s="8" t="s">
        <v>919</v>
      </c>
    </row>
    <row r="22" customFormat="false" ht="15" hidden="false" customHeight="false" outlineLevel="0" collapsed="false">
      <c r="A22" s="8" t="s">
        <v>937</v>
      </c>
      <c r="B22" s="68" t="str">
        <f aca="false">Base_PDF!$B$143</f>
        <v>Analista PCP</v>
      </c>
      <c r="C22" s="68" t="str">
        <f aca="false">Base_PDF!$C$143</f>
        <v>Indirecto</v>
      </c>
      <c r="D22" s="69" t="s">
        <v>929</v>
      </c>
      <c r="E22" s="8" t="str">
        <f aca="false">IF(p_C6=1,D22,IF(C22="Directo","Directo","Administración"))</f>
        <v>Indirecto fábrica</v>
      </c>
      <c r="F22" s="28" t="n">
        <f aca="false">Base_PDF!$E$143</f>
        <v>2798309</v>
      </c>
      <c r="G22" s="28" t="n">
        <f aca="false">Base_PDF!F$143</f>
        <v>1</v>
      </c>
      <c r="H22" s="28" t="n">
        <f aca="false">Base_PDF!G$143</f>
        <v>1</v>
      </c>
      <c r="I22" s="28" t="n">
        <f aca="false">Base_PDF!H$143</f>
        <v>1</v>
      </c>
      <c r="J22" s="28" t="n">
        <f aca="false">Base_PDF!I$143</f>
        <v>1</v>
      </c>
      <c r="K22" s="28" t="n">
        <f aca="false">Base_PDF!J$143</f>
        <v>1</v>
      </c>
      <c r="L22" s="13" t="n">
        <f aca="false">K22</f>
        <v>1</v>
      </c>
      <c r="M22" s="13" t="n">
        <f aca="false">K22</f>
        <v>1</v>
      </c>
      <c r="N22" s="13" t="n">
        <f aca="false">K22</f>
        <v>1</v>
      </c>
      <c r="O22" s="13" t="n">
        <f aca="false">K22</f>
        <v>1</v>
      </c>
      <c r="P22" s="13" t="n">
        <f aca="false">K22</f>
        <v>1</v>
      </c>
      <c r="Q22" s="8" t="s">
        <v>919</v>
      </c>
    </row>
    <row r="23" customFormat="false" ht="15" hidden="false" customHeight="false" outlineLevel="0" collapsed="false">
      <c r="A23" s="8" t="s">
        <v>938</v>
      </c>
      <c r="B23" s="68" t="str">
        <f aca="false">Base_PDF!$B$144</f>
        <v>Depósito</v>
      </c>
      <c r="C23" s="68" t="str">
        <f aca="false">Base_PDF!$C$144</f>
        <v>Indirecto</v>
      </c>
      <c r="D23" s="69" t="s">
        <v>929</v>
      </c>
      <c r="E23" s="8" t="str">
        <f aca="false">IF(p_C6=1,D23,IF(C23="Directo","Directo","Administración"))</f>
        <v>Indirecto fábrica</v>
      </c>
      <c r="F23" s="28" t="n">
        <f aca="false">Base_PDF!$E$144</f>
        <v>3150655</v>
      </c>
      <c r="G23" s="28" t="n">
        <f aca="false">Base_PDF!F$144</f>
        <v>1</v>
      </c>
      <c r="H23" s="28" t="n">
        <f aca="false">Base_PDF!G$144</f>
        <v>1</v>
      </c>
      <c r="I23" s="28" t="n">
        <f aca="false">Base_PDF!H$144</f>
        <v>1</v>
      </c>
      <c r="J23" s="28" t="n">
        <f aca="false">Base_PDF!I$144</f>
        <v>1</v>
      </c>
      <c r="K23" s="28" t="n">
        <f aca="false">Base_PDF!J$144</f>
        <v>1</v>
      </c>
      <c r="L23" s="13" t="n">
        <f aca="false">K23</f>
        <v>1</v>
      </c>
      <c r="M23" s="13" t="n">
        <f aca="false">K23</f>
        <v>1</v>
      </c>
      <c r="N23" s="13" t="n">
        <f aca="false">K23</f>
        <v>1</v>
      </c>
      <c r="O23" s="13" t="n">
        <f aca="false">K23</f>
        <v>1</v>
      </c>
      <c r="P23" s="13" t="n">
        <f aca="false">K23</f>
        <v>1</v>
      </c>
      <c r="Q23" s="8" t="s">
        <v>919</v>
      </c>
    </row>
    <row r="24" customFormat="false" ht="15" hidden="false" customHeight="false" outlineLevel="0" collapsed="false">
      <c r="A24" s="8" t="s">
        <v>939</v>
      </c>
      <c r="B24" s="68" t="str">
        <f aca="false">Base_PDF!$B$145</f>
        <v>Compras</v>
      </c>
      <c r="C24" s="68" t="str">
        <f aca="false">Base_PDF!$C$145</f>
        <v>Indirecto</v>
      </c>
      <c r="D24" s="69" t="s">
        <v>927</v>
      </c>
      <c r="E24" s="8" t="str">
        <f aca="false">IF(p_C6=1,D24,IF(C24="Directo","Directo","Administración"))</f>
        <v>Administración</v>
      </c>
      <c r="F24" s="28" t="n">
        <f aca="false">Base_PDF!$E$145</f>
        <v>6550000</v>
      </c>
      <c r="G24" s="28" t="n">
        <f aca="false">Base_PDF!F$145</f>
        <v>1</v>
      </c>
      <c r="H24" s="28" t="n">
        <f aca="false">Base_PDF!G$145</f>
        <v>1</v>
      </c>
      <c r="I24" s="28" t="n">
        <f aca="false">Base_PDF!H$145</f>
        <v>1</v>
      </c>
      <c r="J24" s="28" t="n">
        <f aca="false">Base_PDF!I$145</f>
        <v>1</v>
      </c>
      <c r="K24" s="28" t="n">
        <f aca="false">Base_PDF!J$145</f>
        <v>1</v>
      </c>
      <c r="L24" s="13" t="n">
        <f aca="false">K24</f>
        <v>1</v>
      </c>
      <c r="M24" s="13" t="n">
        <f aca="false">K24</f>
        <v>1</v>
      </c>
      <c r="N24" s="13" t="n">
        <f aca="false">K24</f>
        <v>1</v>
      </c>
      <c r="O24" s="13" t="n">
        <f aca="false">K24</f>
        <v>1</v>
      </c>
      <c r="P24" s="13" t="n">
        <f aca="false">K24</f>
        <v>1</v>
      </c>
      <c r="Q24" s="8" t="s">
        <v>919</v>
      </c>
    </row>
    <row r="25" customFormat="false" ht="15" hidden="false" customHeight="false" outlineLevel="0" collapsed="false">
      <c r="A25" s="8" t="s">
        <v>940</v>
      </c>
      <c r="B25" s="68" t="str">
        <f aca="false">Base_PDF!$B$146</f>
        <v>Logística/Comex</v>
      </c>
      <c r="C25" s="68" t="str">
        <f aca="false">Base_PDF!$C$146</f>
        <v>Indirecto</v>
      </c>
      <c r="D25" s="69" t="s">
        <v>927</v>
      </c>
      <c r="E25" s="8" t="str">
        <f aca="false">IF(p_C6=1,D25,IF(C25="Directo","Directo","Administración"))</f>
        <v>Administración</v>
      </c>
      <c r="F25" s="28" t="n">
        <f aca="false">Base_PDF!$E$146</f>
        <v>6550000</v>
      </c>
      <c r="G25" s="28" t="n">
        <f aca="false">Base_PDF!F$146</f>
        <v>1</v>
      </c>
      <c r="H25" s="28" t="n">
        <f aca="false">Base_PDF!G$146</f>
        <v>1</v>
      </c>
      <c r="I25" s="28" t="n">
        <f aca="false">Base_PDF!H$146</f>
        <v>1</v>
      </c>
      <c r="J25" s="28" t="n">
        <f aca="false">Base_PDF!I$146</f>
        <v>1</v>
      </c>
      <c r="K25" s="28" t="n">
        <f aca="false">Base_PDF!J$146</f>
        <v>1</v>
      </c>
      <c r="L25" s="13" t="n">
        <f aca="false">K25</f>
        <v>1</v>
      </c>
      <c r="M25" s="13" t="n">
        <f aca="false">K25</f>
        <v>1</v>
      </c>
      <c r="N25" s="13" t="n">
        <f aca="false">K25</f>
        <v>1</v>
      </c>
      <c r="O25" s="13" t="n">
        <f aca="false">K25</f>
        <v>1</v>
      </c>
      <c r="P25" s="13" t="n">
        <f aca="false">K25</f>
        <v>1</v>
      </c>
      <c r="Q25" s="8" t="s">
        <v>919</v>
      </c>
    </row>
    <row r="26" customFormat="false" ht="15" hidden="false" customHeight="false" outlineLevel="0" collapsed="false">
      <c r="A26" s="8" t="s">
        <v>941</v>
      </c>
      <c r="B26" s="68" t="str">
        <f aca="false">Base_PDF!$B$147</f>
        <v>Coord. Control Calidad</v>
      </c>
      <c r="C26" s="68" t="str">
        <f aca="false">Base_PDF!$C$147</f>
        <v>Indirecto</v>
      </c>
      <c r="D26" s="69" t="s">
        <v>929</v>
      </c>
      <c r="E26" s="8" t="str">
        <f aca="false">IF(p_C6=1,D26,IF(C26="Directo","Directo","Administración"))</f>
        <v>Indirecto fábrica</v>
      </c>
      <c r="F26" s="28" t="n">
        <f aca="false">Base_PDF!$E$147</f>
        <v>6550000</v>
      </c>
      <c r="G26" s="28" t="n">
        <f aca="false">Base_PDF!F$147</f>
        <v>1</v>
      </c>
      <c r="H26" s="28" t="n">
        <f aca="false">Base_PDF!G$147</f>
        <v>1</v>
      </c>
      <c r="I26" s="28" t="n">
        <f aca="false">Base_PDF!H$147</f>
        <v>1</v>
      </c>
      <c r="J26" s="28" t="n">
        <f aca="false">Base_PDF!I$147</f>
        <v>1</v>
      </c>
      <c r="K26" s="28" t="n">
        <f aca="false">Base_PDF!J$147</f>
        <v>1</v>
      </c>
      <c r="L26" s="13" t="n">
        <f aca="false">K26</f>
        <v>1</v>
      </c>
      <c r="M26" s="13" t="n">
        <f aca="false">K26</f>
        <v>1</v>
      </c>
      <c r="N26" s="13" t="n">
        <f aca="false">K26</f>
        <v>1</v>
      </c>
      <c r="O26" s="13" t="n">
        <f aca="false">K26</f>
        <v>1</v>
      </c>
      <c r="P26" s="13" t="n">
        <f aca="false">K26</f>
        <v>1</v>
      </c>
      <c r="Q26" s="8" t="s">
        <v>919</v>
      </c>
    </row>
    <row r="27" customFormat="false" ht="15" hidden="false" customHeight="false" outlineLevel="0" collapsed="false">
      <c r="A27" s="8" t="s">
        <v>942</v>
      </c>
      <c r="B27" s="68" t="str">
        <f aca="false">Base_PDF!$B$148</f>
        <v>Asistente Control Calidad</v>
      </c>
      <c r="C27" s="68" t="str">
        <f aca="false">Base_PDF!$C$148</f>
        <v>Indirecto</v>
      </c>
      <c r="D27" s="69" t="s">
        <v>929</v>
      </c>
      <c r="E27" s="8" t="str">
        <f aca="false">IF(p_C6=1,D27,IF(C27="Directo","Directo","Administración"))</f>
        <v>Indirecto fábrica</v>
      </c>
      <c r="F27" s="28" t="n">
        <f aca="false">Base_PDF!$E$148</f>
        <v>2798309</v>
      </c>
      <c r="G27" s="28" t="n">
        <f aca="false">Base_PDF!F$148</f>
        <v>1</v>
      </c>
      <c r="H27" s="28" t="n">
        <f aca="false">Base_PDF!G$148</f>
        <v>1</v>
      </c>
      <c r="I27" s="28" t="n">
        <f aca="false">Base_PDF!H$148</f>
        <v>1</v>
      </c>
      <c r="J27" s="28" t="n">
        <f aca="false">Base_PDF!I$148</f>
        <v>1</v>
      </c>
      <c r="K27" s="28" t="n">
        <f aca="false">Base_PDF!J$148</f>
        <v>1</v>
      </c>
      <c r="L27" s="13" t="n">
        <f aca="false">K27</f>
        <v>1</v>
      </c>
      <c r="M27" s="13" t="n">
        <f aca="false">K27</f>
        <v>1</v>
      </c>
      <c r="N27" s="13" t="n">
        <f aca="false">K27</f>
        <v>1</v>
      </c>
      <c r="O27" s="13" t="n">
        <f aca="false">K27</f>
        <v>1</v>
      </c>
      <c r="P27" s="13" t="n">
        <f aca="false">K27</f>
        <v>1</v>
      </c>
      <c r="Q27" s="8" t="s">
        <v>919</v>
      </c>
    </row>
    <row r="28" customFormat="false" ht="15" hidden="false" customHeight="false" outlineLevel="0" collapsed="false">
      <c r="A28" s="8" t="s">
        <v>943</v>
      </c>
      <c r="B28" s="68" t="str">
        <f aca="false">Base_PDF!$B$149</f>
        <v>Coord. Procesos</v>
      </c>
      <c r="C28" s="68" t="str">
        <f aca="false">Base_PDF!$C$149</f>
        <v>Indirecto</v>
      </c>
      <c r="D28" s="69" t="s">
        <v>929</v>
      </c>
      <c r="E28" s="8" t="str">
        <f aca="false">IF(p_C6=1,D28,IF(C28="Directo","Directo","Administración"))</f>
        <v>Indirecto fábrica</v>
      </c>
      <c r="F28" s="28" t="n">
        <f aca="false">Base_PDF!$E$149</f>
        <v>6550000</v>
      </c>
      <c r="G28" s="28" t="n">
        <f aca="false">Base_PDF!F$149</f>
        <v>1</v>
      </c>
      <c r="H28" s="28" t="n">
        <f aca="false">Base_PDF!G$149</f>
        <v>1</v>
      </c>
      <c r="I28" s="28" t="n">
        <f aca="false">Base_PDF!H$149</f>
        <v>1</v>
      </c>
      <c r="J28" s="28" t="n">
        <f aca="false">Base_PDF!I$149</f>
        <v>1</v>
      </c>
      <c r="K28" s="28" t="n">
        <f aca="false">Base_PDF!J$149</f>
        <v>1</v>
      </c>
      <c r="L28" s="13" t="n">
        <f aca="false">K28</f>
        <v>1</v>
      </c>
      <c r="M28" s="13" t="n">
        <f aca="false">K28</f>
        <v>1</v>
      </c>
      <c r="N28" s="13" t="n">
        <f aca="false">K28</f>
        <v>1</v>
      </c>
      <c r="O28" s="13" t="n">
        <f aca="false">K28</f>
        <v>1</v>
      </c>
      <c r="P28" s="13" t="n">
        <f aca="false">K28</f>
        <v>1</v>
      </c>
      <c r="Q28" s="8" t="s">
        <v>919</v>
      </c>
    </row>
    <row r="29" customFormat="false" ht="15" hidden="false" customHeight="false" outlineLevel="0" collapsed="false">
      <c r="A29" s="8" t="s">
        <v>944</v>
      </c>
      <c r="B29" s="68" t="str">
        <f aca="false">Base_PDF!$B$150</f>
        <v>Asistente Procesos</v>
      </c>
      <c r="C29" s="68" t="str">
        <f aca="false">Base_PDF!$C$150</f>
        <v>Indirecto</v>
      </c>
      <c r="D29" s="69" t="s">
        <v>929</v>
      </c>
      <c r="E29" s="8" t="str">
        <f aca="false">IF(p_C6=1,D29,IF(C29="Directo","Directo","Administración"))</f>
        <v>Indirecto fábrica</v>
      </c>
      <c r="F29" s="28" t="n">
        <f aca="false">Base_PDF!$E$150</f>
        <v>2798309</v>
      </c>
      <c r="G29" s="28" t="n">
        <f aca="false">Base_PDF!F$150</f>
        <v>1</v>
      </c>
      <c r="H29" s="28" t="n">
        <f aca="false">Base_PDF!G$150</f>
        <v>1</v>
      </c>
      <c r="I29" s="28" t="n">
        <f aca="false">Base_PDF!H$150</f>
        <v>1</v>
      </c>
      <c r="J29" s="28" t="n">
        <f aca="false">Base_PDF!I$150</f>
        <v>1</v>
      </c>
      <c r="K29" s="28" t="n">
        <f aca="false">Base_PDF!J$150</f>
        <v>1</v>
      </c>
      <c r="L29" s="13" t="n">
        <f aca="false">K29</f>
        <v>1</v>
      </c>
      <c r="M29" s="13" t="n">
        <f aca="false">K29</f>
        <v>1</v>
      </c>
      <c r="N29" s="13" t="n">
        <f aca="false">K29</f>
        <v>1</v>
      </c>
      <c r="O29" s="13" t="n">
        <f aca="false">K29</f>
        <v>1</v>
      </c>
      <c r="P29" s="13" t="n">
        <f aca="false">K29</f>
        <v>1</v>
      </c>
      <c r="Q29" s="8" t="s">
        <v>919</v>
      </c>
    </row>
    <row r="30" customFormat="false" ht="15" hidden="false" customHeight="false" outlineLevel="0" collapsed="false">
      <c r="A30" s="8" t="s">
        <v>945</v>
      </c>
      <c r="B30" s="68" t="str">
        <f aca="false">Base_PDF!$B$151</f>
        <v>Administrador</v>
      </c>
      <c r="C30" s="68" t="str">
        <f aca="false">Base_PDF!$C$151</f>
        <v>Indirecto</v>
      </c>
      <c r="D30" s="69" t="s">
        <v>927</v>
      </c>
      <c r="E30" s="8" t="str">
        <f aca="false">IF(p_C6=1,D30,IF(C30="Directo","Directo","Administración"))</f>
        <v>Administración</v>
      </c>
      <c r="F30" s="28" t="n">
        <f aca="false">Base_PDF!$E$151</f>
        <v>9800000</v>
      </c>
      <c r="G30" s="28" t="n">
        <f aca="false">Base_PDF!F$151</f>
        <v>1</v>
      </c>
      <c r="H30" s="28" t="n">
        <f aca="false">Base_PDF!G$151</f>
        <v>1</v>
      </c>
      <c r="I30" s="28" t="n">
        <f aca="false">Base_PDF!H$151</f>
        <v>1</v>
      </c>
      <c r="J30" s="28" t="n">
        <f aca="false">Base_PDF!I$151</f>
        <v>1</v>
      </c>
      <c r="K30" s="28" t="n">
        <f aca="false">Base_PDF!J$151</f>
        <v>1</v>
      </c>
      <c r="L30" s="13" t="n">
        <f aca="false">K30</f>
        <v>1</v>
      </c>
      <c r="M30" s="13" t="n">
        <f aca="false">K30</f>
        <v>1</v>
      </c>
      <c r="N30" s="13" t="n">
        <f aca="false">K30</f>
        <v>1</v>
      </c>
      <c r="O30" s="13" t="n">
        <f aca="false">K30</f>
        <v>1</v>
      </c>
      <c r="P30" s="13" t="n">
        <f aca="false">K30</f>
        <v>1</v>
      </c>
      <c r="Q30" s="8" t="s">
        <v>919</v>
      </c>
    </row>
    <row r="31" customFormat="false" ht="15" hidden="false" customHeight="false" outlineLevel="0" collapsed="false">
      <c r="A31" s="8" t="s">
        <v>946</v>
      </c>
      <c r="B31" s="68" t="str">
        <f aca="false">Base_PDF!$B$152</f>
        <v>Asistente Administrativo</v>
      </c>
      <c r="C31" s="68" t="str">
        <f aca="false">Base_PDF!$C$152</f>
        <v>Indirecto</v>
      </c>
      <c r="D31" s="69" t="s">
        <v>927</v>
      </c>
      <c r="E31" s="8" t="str">
        <f aca="false">IF(p_C6=1,D31,IF(C31="Directo","Directo","Administración"))</f>
        <v>Administración</v>
      </c>
      <c r="F31" s="28" t="n">
        <f aca="false">Base_PDF!$E$152</f>
        <v>2798309</v>
      </c>
      <c r="G31" s="28" t="n">
        <f aca="false">Base_PDF!F$152</f>
        <v>1</v>
      </c>
      <c r="H31" s="28" t="n">
        <f aca="false">Base_PDF!G$152</f>
        <v>1</v>
      </c>
      <c r="I31" s="28" t="n">
        <f aca="false">Base_PDF!H$152</f>
        <v>1</v>
      </c>
      <c r="J31" s="28" t="n">
        <f aca="false">Base_PDF!I$152</f>
        <v>1</v>
      </c>
      <c r="K31" s="28" t="n">
        <f aca="false">Base_PDF!J$152</f>
        <v>1</v>
      </c>
      <c r="L31" s="13" t="n">
        <f aca="false">K31</f>
        <v>1</v>
      </c>
      <c r="M31" s="13" t="n">
        <f aca="false">K31</f>
        <v>1</v>
      </c>
      <c r="N31" s="13" t="n">
        <f aca="false">K31</f>
        <v>1</v>
      </c>
      <c r="O31" s="13" t="n">
        <f aca="false">K31</f>
        <v>1</v>
      </c>
      <c r="P31" s="13" t="n">
        <f aca="false">K31</f>
        <v>1</v>
      </c>
      <c r="Q31" s="8" t="s">
        <v>919</v>
      </c>
    </row>
    <row r="32" customFormat="false" ht="15" hidden="false" customHeight="false" outlineLevel="0" collapsed="false">
      <c r="B32" s="2" t="s">
        <v>947</v>
      </c>
    </row>
    <row r="34" customFormat="false" ht="15" hidden="false" customHeight="false" outlineLevel="0" collapsed="false">
      <c r="A34" s="10"/>
      <c r="B34" s="10" t="s">
        <v>948</v>
      </c>
      <c r="C34" s="10"/>
      <c r="D34" s="10"/>
      <c r="E34" s="10"/>
      <c r="F34" s="10"/>
      <c r="G34" s="10" t="s">
        <v>264</v>
      </c>
      <c r="H34" s="10" t="s">
        <v>581</v>
      </c>
      <c r="I34" s="10" t="s">
        <v>584</v>
      </c>
      <c r="J34" s="10" t="s">
        <v>587</v>
      </c>
      <c r="K34" s="10" t="s">
        <v>590</v>
      </c>
      <c r="L34" s="10" t="s">
        <v>593</v>
      </c>
      <c r="M34" s="10" t="s">
        <v>596</v>
      </c>
      <c r="N34" s="10" t="s">
        <v>599</v>
      </c>
      <c r="O34" s="10" t="s">
        <v>602</v>
      </c>
      <c r="P34" s="10" t="s">
        <v>605</v>
      </c>
    </row>
    <row r="35" customFormat="false" ht="15" hidden="false" customHeight="false" outlineLevel="0" collapsed="false">
      <c r="B35" s="8" t="s">
        <v>949</v>
      </c>
      <c r="G35" s="13" t="n">
        <f aca="false">SUMIF($E$6:$E$31,"Directo",G$6:G$31)</f>
        <v>43</v>
      </c>
      <c r="H35" s="13" t="n">
        <f aca="false">SUMIF($E$6:$E$31,"Directo",H$6:H$31)</f>
        <v>43</v>
      </c>
      <c r="I35" s="13" t="n">
        <f aca="false">SUMIF($E$6:$E$31,"Directo",I$6:I$31)</f>
        <v>46</v>
      </c>
      <c r="J35" s="13" t="n">
        <f aca="false">SUMIF($E$6:$E$31,"Directo",J$6:J$31)</f>
        <v>49</v>
      </c>
      <c r="K35" s="13" t="n">
        <f aca="false">SUMIF($E$6:$E$31,"Directo",K$6:K$31)</f>
        <v>52</v>
      </c>
      <c r="L35" s="13" t="n">
        <f aca="false">SUMIF($E$6:$E$31,"Directo",L$6:L$31)</f>
        <v>52</v>
      </c>
      <c r="M35" s="13" t="n">
        <f aca="false">SUMIF($E$6:$E$31,"Directo",M$6:M$31)</f>
        <v>52</v>
      </c>
      <c r="N35" s="13" t="n">
        <f aca="false">SUMIF($E$6:$E$31,"Directo",N$6:N$31)</f>
        <v>52</v>
      </c>
      <c r="O35" s="13" t="n">
        <f aca="false">SUMIF($E$6:$E$31,"Directo",O$6:O$31)</f>
        <v>52</v>
      </c>
      <c r="P35" s="13" t="n">
        <f aca="false">SUMIF($E$6:$E$31,"Directo",P$6:P$31)</f>
        <v>52</v>
      </c>
    </row>
    <row r="36" customFormat="false" ht="15" hidden="false" customHeight="false" outlineLevel="0" collapsed="false">
      <c r="B36" s="8" t="s">
        <v>950</v>
      </c>
      <c r="G36" s="13" t="n">
        <f aca="false">SUMIF($E$6:$E$31,"Indirecto fábrica",G$6:G$31)</f>
        <v>17</v>
      </c>
      <c r="H36" s="13" t="n">
        <f aca="false">SUMIF($E$6:$E$31,"Indirecto fábrica",H$6:H$31)</f>
        <v>17</v>
      </c>
      <c r="I36" s="13" t="n">
        <f aca="false">SUMIF($E$6:$E$31,"Indirecto fábrica",I$6:I$31)</f>
        <v>17</v>
      </c>
      <c r="J36" s="13" t="n">
        <f aca="false">SUMIF($E$6:$E$31,"Indirecto fábrica",J$6:J$31)</f>
        <v>17</v>
      </c>
      <c r="K36" s="13" t="n">
        <f aca="false">SUMIF($E$6:$E$31,"Indirecto fábrica",K$6:K$31)</f>
        <v>17</v>
      </c>
      <c r="L36" s="13" t="n">
        <f aca="false">SUMIF($E$6:$E$31,"Indirecto fábrica",L$6:L$31)</f>
        <v>17</v>
      </c>
      <c r="M36" s="13" t="n">
        <f aca="false">SUMIF($E$6:$E$31,"Indirecto fábrica",M$6:M$31)</f>
        <v>17</v>
      </c>
      <c r="N36" s="13" t="n">
        <f aca="false">SUMIF($E$6:$E$31,"Indirecto fábrica",N$6:N$31)</f>
        <v>17</v>
      </c>
      <c r="O36" s="13" t="n">
        <f aca="false">SUMIF($E$6:$E$31,"Indirecto fábrica",O$6:O$31)</f>
        <v>17</v>
      </c>
      <c r="P36" s="13" t="n">
        <f aca="false">SUMIF($E$6:$E$31,"Indirecto fábrica",P$6:P$31)</f>
        <v>17</v>
      </c>
    </row>
    <row r="37" customFormat="false" ht="15" hidden="false" customHeight="false" outlineLevel="0" collapsed="false">
      <c r="B37" s="8" t="s">
        <v>951</v>
      </c>
      <c r="G37" s="13" t="n">
        <f aca="false">SUMIF($E$6:$E$31,"Administración",G$6:G$31)</f>
        <v>5</v>
      </c>
      <c r="H37" s="13" t="n">
        <f aca="false">SUMIF($E$6:$E$31,"Administración",H$6:H$31)</f>
        <v>5</v>
      </c>
      <c r="I37" s="13" t="n">
        <f aca="false">SUMIF($E$6:$E$31,"Administración",I$6:I$31)</f>
        <v>5</v>
      </c>
      <c r="J37" s="13" t="n">
        <f aca="false">SUMIF($E$6:$E$31,"Administración",J$6:J$31)</f>
        <v>5</v>
      </c>
      <c r="K37" s="13" t="n">
        <f aca="false">SUMIF($E$6:$E$31,"Administración",K$6:K$31)</f>
        <v>5</v>
      </c>
      <c r="L37" s="13" t="n">
        <f aca="false">SUMIF($E$6:$E$31,"Administración",L$6:L$31)</f>
        <v>5</v>
      </c>
      <c r="M37" s="13" t="n">
        <f aca="false">SUMIF($E$6:$E$31,"Administración",M$6:M$31)</f>
        <v>5</v>
      </c>
      <c r="N37" s="13" t="n">
        <f aca="false">SUMIF($E$6:$E$31,"Administración",N$6:N$31)</f>
        <v>5</v>
      </c>
      <c r="O37" s="13" t="n">
        <f aca="false">SUMIF($E$6:$E$31,"Administración",O$6:O$31)</f>
        <v>5</v>
      </c>
      <c r="P37" s="13" t="n">
        <f aca="false">SUMIF($E$6:$E$31,"Administración",P$6:P$31)</f>
        <v>5</v>
      </c>
    </row>
    <row r="38" customFormat="false" ht="15" hidden="false" customHeight="false" outlineLevel="0" collapsed="false">
      <c r="B38" s="8" t="s">
        <v>952</v>
      </c>
      <c r="G38" s="13" t="n">
        <f aca="false">SUMPRODUCT(($E$6:$E$31="Directo")*$F$6:$F$31*G$6:G$31)</f>
        <v>149118910</v>
      </c>
      <c r="H38" s="13" t="n">
        <f aca="false">SUMPRODUCT(($E$6:$E$31="Directo")*$F$6:$F$31*H$6:H$31)</f>
        <v>149118910</v>
      </c>
      <c r="I38" s="13" t="n">
        <f aca="false">SUMPRODUCT(($E$6:$E$31="Directo")*$F$6:$F$31*I$6:I$31)</f>
        <v>161407365</v>
      </c>
      <c r="J38" s="13" t="n">
        <f aca="false">SUMPRODUCT(($E$6:$E$31="Directo")*$F$6:$F$31*J$6:J$31)</f>
        <v>171006984</v>
      </c>
      <c r="K38" s="13" t="n">
        <f aca="false">SUMPRODUCT(($E$6:$E$31="Directo")*$F$6:$F$31*K$6:K$31)</f>
        <v>182977194</v>
      </c>
      <c r="L38" s="13" t="n">
        <f aca="false">SUMPRODUCT(($E$6:$E$31="Directo")*$F$6:$F$31*L$6:L$31)</f>
        <v>182977194</v>
      </c>
      <c r="M38" s="13" t="n">
        <f aca="false">SUMPRODUCT(($E$6:$E$31="Directo")*$F$6:$F$31*M$6:M$31)</f>
        <v>182977194</v>
      </c>
      <c r="N38" s="13" t="n">
        <f aca="false">SUMPRODUCT(($E$6:$E$31="Directo")*$F$6:$F$31*N$6:N$31)</f>
        <v>182977194</v>
      </c>
      <c r="O38" s="13" t="n">
        <f aca="false">SUMPRODUCT(($E$6:$E$31="Directo")*$F$6:$F$31*O$6:O$31)</f>
        <v>182977194</v>
      </c>
      <c r="P38" s="13" t="n">
        <f aca="false">SUMPRODUCT(($E$6:$E$31="Directo")*$F$6:$F$31*P$6:P$31)</f>
        <v>182977194</v>
      </c>
    </row>
    <row r="39" customFormat="false" ht="15" hidden="false" customHeight="false" outlineLevel="0" collapsed="false">
      <c r="B39" s="8" t="s">
        <v>953</v>
      </c>
      <c r="G39" s="13" t="n">
        <f aca="false">SUMPRODUCT(($E$6:$E$31="Indirecto fábrica")*$F$6:$F$31*G$6:G$31)</f>
        <v>97396892</v>
      </c>
      <c r="H39" s="13" t="n">
        <f aca="false">SUMPRODUCT(($E$6:$E$31="Indirecto fábrica")*$F$6:$F$31*H$6:H$31)</f>
        <v>97396892</v>
      </c>
      <c r="I39" s="13" t="n">
        <f aca="false">SUMPRODUCT(($E$6:$E$31="Indirecto fábrica")*$F$6:$F$31*I$6:I$31)</f>
        <v>97396892</v>
      </c>
      <c r="J39" s="13" t="n">
        <f aca="false">SUMPRODUCT(($E$6:$E$31="Indirecto fábrica")*$F$6:$F$31*J$6:J$31)</f>
        <v>97396892</v>
      </c>
      <c r="K39" s="13" t="n">
        <f aca="false">SUMPRODUCT(($E$6:$E$31="Indirecto fábrica")*$F$6:$F$31*K$6:K$31)</f>
        <v>97396892</v>
      </c>
      <c r="L39" s="13" t="n">
        <f aca="false">SUMPRODUCT(($E$6:$E$31="Indirecto fábrica")*$F$6:$F$31*L$6:L$31)</f>
        <v>97396892</v>
      </c>
      <c r="M39" s="13" t="n">
        <f aca="false">SUMPRODUCT(($E$6:$E$31="Indirecto fábrica")*$F$6:$F$31*M$6:M$31)</f>
        <v>97396892</v>
      </c>
      <c r="N39" s="13" t="n">
        <f aca="false">SUMPRODUCT(($E$6:$E$31="Indirecto fábrica")*$F$6:$F$31*N$6:N$31)</f>
        <v>97396892</v>
      </c>
      <c r="O39" s="13" t="n">
        <f aca="false">SUMPRODUCT(($E$6:$E$31="Indirecto fábrica")*$F$6:$F$31*O$6:O$31)</f>
        <v>97396892</v>
      </c>
      <c r="P39" s="13" t="n">
        <f aca="false">SUMPRODUCT(($E$6:$E$31="Indirecto fábrica")*$F$6:$F$31*P$6:P$31)</f>
        <v>97396892</v>
      </c>
    </row>
    <row r="40" customFormat="false" ht="15" hidden="false" customHeight="false" outlineLevel="0" collapsed="false">
      <c r="B40" s="8" t="s">
        <v>954</v>
      </c>
      <c r="G40" s="13" t="n">
        <f aca="false">SUMPRODUCT(($E$6:$E$31="Administración")*$F$6:$F$31*G$6:G$31)</f>
        <v>43698309</v>
      </c>
      <c r="H40" s="13" t="n">
        <f aca="false">SUMPRODUCT(($E$6:$E$31="Administración")*$F$6:$F$31*H$6:H$31)</f>
        <v>43698309</v>
      </c>
      <c r="I40" s="13" t="n">
        <f aca="false">SUMPRODUCT(($E$6:$E$31="Administración")*$F$6:$F$31*I$6:I$31)</f>
        <v>43698309</v>
      </c>
      <c r="J40" s="13" t="n">
        <f aca="false">SUMPRODUCT(($E$6:$E$31="Administración")*$F$6:$F$31*J$6:J$31)</f>
        <v>43698309</v>
      </c>
      <c r="K40" s="13" t="n">
        <f aca="false">SUMPRODUCT(($E$6:$E$31="Administración")*$F$6:$F$31*K$6:K$31)</f>
        <v>43698309</v>
      </c>
      <c r="L40" s="13" t="n">
        <f aca="false">SUMPRODUCT(($E$6:$E$31="Administración")*$F$6:$F$31*L$6:L$31)</f>
        <v>43698309</v>
      </c>
      <c r="M40" s="13" t="n">
        <f aca="false">SUMPRODUCT(($E$6:$E$31="Administración")*$F$6:$F$31*M$6:M$31)</f>
        <v>43698309</v>
      </c>
      <c r="N40" s="13" t="n">
        <f aca="false">SUMPRODUCT(($E$6:$E$31="Administración")*$F$6:$F$31*N$6:N$31)</f>
        <v>43698309</v>
      </c>
      <c r="O40" s="13" t="n">
        <f aca="false">SUMPRODUCT(($E$6:$E$31="Administración")*$F$6:$F$31*O$6:O$31)</f>
        <v>43698309</v>
      </c>
      <c r="P40" s="13" t="n">
        <f aca="false">SUMPRODUCT(($E$6:$E$31="Administración")*$F$6:$F$31*P$6:P$31)</f>
        <v>43698309</v>
      </c>
    </row>
    <row r="41" customFormat="false" ht="15" hidden="false" customHeight="false" outlineLevel="0" collapsed="false">
      <c r="B41" s="8" t="s">
        <v>955</v>
      </c>
      <c r="G41" s="13" t="n">
        <f aca="false">ROUND(G35*e_FactDot,0)</f>
        <v>43</v>
      </c>
      <c r="H41" s="13" t="n">
        <f aca="false">ROUND(H35*e_FactDot,0)</f>
        <v>43</v>
      </c>
      <c r="I41" s="13" t="n">
        <f aca="false">ROUND(I35*e_FactDot,0)</f>
        <v>46</v>
      </c>
      <c r="J41" s="13" t="n">
        <f aca="false">ROUND(J35*e_FactDot,0)</f>
        <v>49</v>
      </c>
      <c r="K41" s="13" t="n">
        <f aca="false">ROUND(K35*e_FactDot,0)</f>
        <v>52</v>
      </c>
      <c r="L41" s="13" t="n">
        <f aca="false">ROUND(L35*e_FactDot,0)</f>
        <v>52</v>
      </c>
      <c r="M41" s="13" t="n">
        <f aca="false">ROUND(M35*e_FactDot,0)</f>
        <v>52</v>
      </c>
      <c r="N41" s="13" t="n">
        <f aca="false">ROUND(N35*e_FactDot,0)</f>
        <v>52</v>
      </c>
      <c r="O41" s="13" t="n">
        <f aca="false">ROUND(O35*e_FactDot,0)</f>
        <v>52</v>
      </c>
      <c r="P41" s="13" t="n">
        <f aca="false">ROUND(P35*e_FactDot,0)</f>
        <v>52</v>
      </c>
    </row>
    <row r="42" customFormat="false" ht="15" hidden="false" customHeight="false" outlineLevel="0" collapsed="false">
      <c r="B42" s="8" t="s">
        <v>956</v>
      </c>
      <c r="G42" s="13" t="n">
        <f aca="false">IF(G35&gt;0,G38*G41/G35,0)</f>
        <v>149118910</v>
      </c>
      <c r="H42" s="13" t="n">
        <f aca="false">IF(H35&gt;0,H38*H41/H35,0)</f>
        <v>149118910</v>
      </c>
      <c r="I42" s="13" t="n">
        <f aca="false">IF(I35&gt;0,I38*I41/I35,0)</f>
        <v>161407365</v>
      </c>
      <c r="J42" s="13" t="n">
        <f aca="false">IF(J35&gt;0,J38*J41/J35,0)</f>
        <v>171006984</v>
      </c>
      <c r="K42" s="13" t="n">
        <f aca="false">IF(K35&gt;0,K38*K41/K35,0)</f>
        <v>182977194</v>
      </c>
      <c r="L42" s="13" t="n">
        <f aca="false">IF(L35&gt;0,L38*L41/L35,0)</f>
        <v>182977194</v>
      </c>
      <c r="M42" s="13" t="n">
        <f aca="false">IF(M35&gt;0,M38*M41/M35,0)</f>
        <v>182977194</v>
      </c>
      <c r="N42" s="13" t="n">
        <f aca="false">IF(N35&gt;0,N38*N41/N35,0)</f>
        <v>182977194</v>
      </c>
      <c r="O42" s="13" t="n">
        <f aca="false">IF(O35&gt;0,O38*O41/O35,0)</f>
        <v>182977194</v>
      </c>
      <c r="P42" s="13" t="n">
        <f aca="false">IF(P35&gt;0,P38*P41/P35,0)</f>
        <v>182977194</v>
      </c>
    </row>
    <row r="44" customFormat="false" ht="15" hidden="false" customHeight="false" outlineLevel="0" collapsed="false">
      <c r="A44" s="3" t="s">
        <v>957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customFormat="false" ht="22.35" hidden="false" customHeight="false" outlineLevel="0" collapsed="false">
      <c r="A45" s="10" t="s">
        <v>147</v>
      </c>
      <c r="B45" s="10" t="s">
        <v>958</v>
      </c>
      <c r="C45" s="10" t="s">
        <v>959</v>
      </c>
      <c r="D45" s="10" t="s">
        <v>960</v>
      </c>
      <c r="E45" s="10" t="s">
        <v>37</v>
      </c>
      <c r="F45" s="10" t="s">
        <v>961</v>
      </c>
      <c r="G45" s="10" t="s">
        <v>962</v>
      </c>
      <c r="H45" s="10" t="s">
        <v>963</v>
      </c>
      <c r="I45" s="10" t="s">
        <v>964</v>
      </c>
      <c r="J45" s="10" t="s">
        <v>406</v>
      </c>
      <c r="K45" s="10"/>
      <c r="L45" s="10"/>
      <c r="M45" s="10" t="s">
        <v>153</v>
      </c>
    </row>
    <row r="46" customFormat="false" ht="15" hidden="false" customHeight="false" outlineLevel="0" collapsed="false">
      <c r="A46" s="8" t="s">
        <v>965</v>
      </c>
      <c r="B46" s="8" t="s">
        <v>966</v>
      </c>
      <c r="C46" s="8" t="s">
        <v>967</v>
      </c>
      <c r="D46" s="8" t="s">
        <v>968</v>
      </c>
      <c r="E46" s="69" t="s">
        <v>969</v>
      </c>
      <c r="F46" s="28" t="n">
        <f aca="false">Base_PDF!$E$199</f>
        <v>168000000</v>
      </c>
      <c r="G46" s="37" t="n">
        <v>0</v>
      </c>
      <c r="H46" s="29" t="n">
        <v>1</v>
      </c>
      <c r="I46" s="13" t="n">
        <f aca="false">IF(E46="PYG",F46/p_TC_Plan,F46)</f>
        <v>23013.698630137</v>
      </c>
      <c r="J46" s="8" t="s">
        <v>970</v>
      </c>
      <c r="M46" s="8" t="s">
        <v>971</v>
      </c>
    </row>
    <row r="47" customFormat="false" ht="15" hidden="false" customHeight="false" outlineLevel="0" collapsed="false">
      <c r="A47" s="8" t="s">
        <v>972</v>
      </c>
      <c r="B47" s="8" t="s">
        <v>973</v>
      </c>
      <c r="C47" s="8" t="s">
        <v>967</v>
      </c>
      <c r="D47" s="8" t="s">
        <v>974</v>
      </c>
      <c r="E47" s="69" t="s">
        <v>255</v>
      </c>
      <c r="F47" s="28" t="n">
        <f aca="false">Base_PDF!$F$172</f>
        <v>29708</v>
      </c>
      <c r="G47" s="37" t="n">
        <v>0</v>
      </c>
      <c r="H47" s="29" t="n">
        <v>1</v>
      </c>
      <c r="I47" s="13" t="n">
        <f aca="false">IF(E47="PYG",F47/p_TC_Plan,F47)</f>
        <v>29708</v>
      </c>
      <c r="J47" s="8" t="s">
        <v>975</v>
      </c>
      <c r="M47" s="8" t="s">
        <v>159</v>
      </c>
    </row>
    <row r="48" customFormat="false" ht="15" hidden="false" customHeight="false" outlineLevel="0" collapsed="false">
      <c r="A48" s="8" t="s">
        <v>976</v>
      </c>
      <c r="B48" s="8" t="s">
        <v>977</v>
      </c>
      <c r="C48" s="8" t="s">
        <v>927</v>
      </c>
      <c r="D48" s="8" t="s">
        <v>978</v>
      </c>
      <c r="E48" s="69" t="s">
        <v>969</v>
      </c>
      <c r="F48" s="28" t="n">
        <f aca="false">Base_PDF!$E$200</f>
        <v>9000000</v>
      </c>
      <c r="G48" s="37" t="n">
        <v>0</v>
      </c>
      <c r="H48" s="29" t="n">
        <v>1</v>
      </c>
      <c r="I48" s="13" t="n">
        <f aca="false">IF(E48="PYG",F48/p_TC_Plan,F48)</f>
        <v>1232.87671232877</v>
      </c>
      <c r="J48" s="8" t="s">
        <v>979</v>
      </c>
      <c r="M48" s="8" t="s">
        <v>980</v>
      </c>
    </row>
    <row r="49" customFormat="false" ht="15" hidden="false" customHeight="false" outlineLevel="0" collapsed="false">
      <c r="A49" s="8" t="s">
        <v>981</v>
      </c>
      <c r="B49" s="8" t="s">
        <v>982</v>
      </c>
      <c r="C49" s="8" t="s">
        <v>927</v>
      </c>
      <c r="D49" s="8" t="s">
        <v>978</v>
      </c>
      <c r="E49" s="69" t="s">
        <v>969</v>
      </c>
      <c r="F49" s="28" t="n">
        <f aca="false">Base_PDF!$E$201</f>
        <v>36000000</v>
      </c>
      <c r="G49" s="37" t="n">
        <v>0</v>
      </c>
      <c r="H49" s="29" t="n">
        <v>1</v>
      </c>
      <c r="I49" s="13" t="n">
        <f aca="false">IF(E49="PYG",F49/p_TC_Plan,F49)</f>
        <v>4931.50684931507</v>
      </c>
      <c r="J49" s="8" t="s">
        <v>983</v>
      </c>
      <c r="M49" s="8" t="s">
        <v>980</v>
      </c>
    </row>
    <row r="50" customFormat="false" ht="15" hidden="false" customHeight="false" outlineLevel="0" collapsed="false">
      <c r="A50" s="8" t="s">
        <v>984</v>
      </c>
      <c r="B50" s="8" t="s">
        <v>985</v>
      </c>
      <c r="C50" s="8" t="s">
        <v>927</v>
      </c>
      <c r="D50" s="8" t="s">
        <v>978</v>
      </c>
      <c r="E50" s="69" t="s">
        <v>969</v>
      </c>
      <c r="F50" s="28" t="n">
        <f aca="false">Base_PDF!$E$202</f>
        <v>60000000</v>
      </c>
      <c r="G50" s="37" t="n">
        <v>0</v>
      </c>
      <c r="H50" s="29" t="n">
        <v>1</v>
      </c>
      <c r="I50" s="13" t="n">
        <f aca="false">IF(E50="PYG",F50/p_TC_Plan,F50)</f>
        <v>8219.17808219178</v>
      </c>
      <c r="J50" s="8" t="s">
        <v>986</v>
      </c>
      <c r="M50" s="8" t="s">
        <v>980</v>
      </c>
    </row>
    <row r="51" customFormat="false" ht="15" hidden="false" customHeight="false" outlineLevel="0" collapsed="false">
      <c r="A51" s="8" t="s">
        <v>987</v>
      </c>
      <c r="B51" s="8" t="s">
        <v>988</v>
      </c>
      <c r="C51" s="8" t="s">
        <v>927</v>
      </c>
      <c r="D51" s="8" t="s">
        <v>978</v>
      </c>
      <c r="E51" s="69" t="s">
        <v>255</v>
      </c>
      <c r="F51" s="28" t="n">
        <f aca="false">Base_PDF!$F$186</f>
        <v>22060</v>
      </c>
      <c r="G51" s="37" t="n">
        <v>0</v>
      </c>
      <c r="H51" s="29" t="n">
        <v>1</v>
      </c>
      <c r="I51" s="13" t="n">
        <f aca="false">IF(E51="PYG",F51/p_TC_Plan,F51)</f>
        <v>22060</v>
      </c>
      <c r="J51" s="8" t="s">
        <v>975</v>
      </c>
      <c r="M51" s="8" t="s">
        <v>159</v>
      </c>
    </row>
    <row r="52" customFormat="false" ht="15" hidden="false" customHeight="false" outlineLevel="0" collapsed="false">
      <c r="A52" s="8" t="s">
        <v>989</v>
      </c>
      <c r="B52" s="8" t="s">
        <v>990</v>
      </c>
      <c r="C52" s="8" t="s">
        <v>927</v>
      </c>
      <c r="D52" s="8" t="s">
        <v>978</v>
      </c>
      <c r="E52" s="69" t="s">
        <v>969</v>
      </c>
      <c r="F52" s="28" t="n">
        <f aca="false">Base_PDF!$E$203</f>
        <v>182000000</v>
      </c>
      <c r="G52" s="37" t="n">
        <v>0</v>
      </c>
      <c r="H52" s="29" t="n">
        <v>1</v>
      </c>
      <c r="I52" s="13" t="n">
        <f aca="false">IF(E52="PYG",F52/p_TC_Plan,F52)</f>
        <v>24931.5068493151</v>
      </c>
      <c r="J52" s="8" t="s">
        <v>991</v>
      </c>
      <c r="M52" s="8" t="s">
        <v>980</v>
      </c>
    </row>
    <row r="53" customFormat="false" ht="15" hidden="false" customHeight="false" outlineLevel="0" collapsed="false">
      <c r="B53" s="2" t="s">
        <v>992</v>
      </c>
    </row>
    <row r="55" customFormat="false" ht="15" hidden="false" customHeight="false" outlineLevel="0" collapsed="false">
      <c r="A55" s="3" t="s">
        <v>993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customFormat="false" ht="15" hidden="false" customHeight="false" outlineLevel="0" collapsed="false">
      <c r="A56" s="10" t="s">
        <v>147</v>
      </c>
      <c r="B56" s="10" t="s">
        <v>958</v>
      </c>
      <c r="C56" s="10" t="s">
        <v>994</v>
      </c>
      <c r="D56" s="10" t="s">
        <v>93</v>
      </c>
    </row>
    <row r="57" customFormat="false" ht="15" hidden="false" customHeight="false" outlineLevel="0" collapsed="false">
      <c r="A57" s="8" t="s">
        <v>995</v>
      </c>
      <c r="B57" s="8" t="s">
        <v>996</v>
      </c>
      <c r="C57" s="29" t="n">
        <v>0</v>
      </c>
      <c r="D57" s="8" t="s">
        <v>997</v>
      </c>
    </row>
    <row r="58" customFormat="false" ht="15" hidden="false" customHeight="false" outlineLevel="0" collapsed="false">
      <c r="A58" s="8" t="s">
        <v>998</v>
      </c>
      <c r="B58" s="8" t="s">
        <v>999</v>
      </c>
      <c r="C58" s="29" t="n">
        <v>1</v>
      </c>
      <c r="D58" s="8" t="s">
        <v>997</v>
      </c>
    </row>
    <row r="59" customFormat="false" ht="15" hidden="false" customHeight="false" outlineLevel="0" collapsed="false">
      <c r="A59" s="8" t="s">
        <v>1000</v>
      </c>
      <c r="B59" s="8" t="s">
        <v>1001</v>
      </c>
      <c r="C59" s="29" t="n">
        <v>1</v>
      </c>
      <c r="D59" s="8" t="s">
        <v>997</v>
      </c>
    </row>
    <row r="60" customFormat="false" ht="15" hidden="false" customHeight="false" outlineLevel="0" collapsed="false">
      <c r="A60" s="8" t="s">
        <v>1002</v>
      </c>
      <c r="B60" s="8" t="s">
        <v>1003</v>
      </c>
      <c r="C60" s="29" t="n">
        <v>1</v>
      </c>
      <c r="D60" s="8" t="s">
        <v>997</v>
      </c>
    </row>
    <row r="61" customFormat="false" ht="15" hidden="false" customHeight="false" outlineLevel="0" collapsed="false">
      <c r="A61" s="8" t="s">
        <v>1004</v>
      </c>
      <c r="B61" s="8" t="s">
        <v>1005</v>
      </c>
      <c r="C61" s="29" t="n">
        <v>1</v>
      </c>
      <c r="D61" s="8" t="s">
        <v>997</v>
      </c>
    </row>
    <row r="62" customFormat="false" ht="15" hidden="false" customHeight="false" outlineLevel="0" collapsed="false">
      <c r="A62" s="8" t="s">
        <v>1006</v>
      </c>
      <c r="B62" s="8" t="s">
        <v>301</v>
      </c>
      <c r="C62" s="29" t="n">
        <v>1</v>
      </c>
      <c r="D62" s="8" t="s">
        <v>997</v>
      </c>
    </row>
    <row r="64" customFormat="false" ht="15" hidden="false" customHeight="false" outlineLevel="0" collapsed="false">
      <c r="A64" s="62" t="s">
        <v>807</v>
      </c>
      <c r="B64" s="58" t="s">
        <v>808</v>
      </c>
      <c r="C64" s="63"/>
      <c r="D64" s="63"/>
      <c r="E64" s="58" t="s">
        <v>809</v>
      </c>
      <c r="F64" s="59" t="n">
        <f aca="false">Calendario!F$5</f>
        <v>0</v>
      </c>
      <c r="G64" s="59" t="n">
        <f aca="false">Calendario!G$5</f>
        <v>1</v>
      </c>
      <c r="H64" s="59" t="n">
        <f aca="false">Calendario!H$5</f>
        <v>2</v>
      </c>
      <c r="I64" s="59" t="n">
        <f aca="false">Calendario!I$5</f>
        <v>3</v>
      </c>
      <c r="J64" s="59" t="n">
        <f aca="false">Calendario!J$5</f>
        <v>4</v>
      </c>
      <c r="K64" s="59" t="n">
        <f aca="false">Calendario!K$5</f>
        <v>5</v>
      </c>
      <c r="L64" s="59" t="n">
        <f aca="false">Calendario!L$5</f>
        <v>6</v>
      </c>
      <c r="M64" s="59" t="n">
        <f aca="false">Calendario!M$5</f>
        <v>7</v>
      </c>
      <c r="N64" s="59" t="n">
        <f aca="false">Calendario!N$5</f>
        <v>8</v>
      </c>
      <c r="O64" s="59" t="n">
        <f aca="false">Calendario!O$5</f>
        <v>9</v>
      </c>
      <c r="P64" s="59" t="n">
        <f aca="false">Calendario!P$5</f>
        <v>10</v>
      </c>
      <c r="Q64" s="59" t="n">
        <f aca="false">Calendario!Q$5</f>
        <v>11</v>
      </c>
      <c r="R64" s="59" t="n">
        <f aca="false">Calendario!R$5</f>
        <v>12</v>
      </c>
      <c r="S64" s="59" t="n">
        <f aca="false">Calendario!S$5</f>
        <v>13</v>
      </c>
      <c r="T64" s="59" t="n">
        <f aca="false">Calendario!T$5</f>
        <v>14</v>
      </c>
      <c r="U64" s="59" t="n">
        <f aca="false">Calendario!U$5</f>
        <v>15</v>
      </c>
      <c r="V64" s="59" t="n">
        <f aca="false">Calendario!V$5</f>
        <v>16</v>
      </c>
      <c r="W64" s="59" t="n">
        <f aca="false">Calendario!W$5</f>
        <v>17</v>
      </c>
      <c r="X64" s="59" t="n">
        <f aca="false">Calendario!X$5</f>
        <v>18</v>
      </c>
      <c r="Y64" s="59" t="n">
        <f aca="false">Calendario!Y$5</f>
        <v>19</v>
      </c>
      <c r="Z64" s="59" t="n">
        <f aca="false">Calendario!Z$5</f>
        <v>20</v>
      </c>
      <c r="AA64" s="59" t="n">
        <f aca="false">Calendario!AA$5</f>
        <v>21</v>
      </c>
      <c r="AB64" s="59" t="n">
        <f aca="false">Calendario!AB$5</f>
        <v>22</v>
      </c>
      <c r="AC64" s="59" t="n">
        <f aca="false">Calendario!AC$5</f>
        <v>23</v>
      </c>
      <c r="AD64" s="59" t="n">
        <f aca="false">Calendario!AD$5</f>
        <v>24</v>
      </c>
      <c r="AE64" s="59" t="n">
        <f aca="false">Calendario!AE$5</f>
        <v>25</v>
      </c>
      <c r="AF64" s="59" t="n">
        <f aca="false">Calendario!AF$5</f>
        <v>26</v>
      </c>
      <c r="AG64" s="59" t="n">
        <f aca="false">Calendario!AG$5</f>
        <v>27</v>
      </c>
      <c r="AH64" s="59" t="n">
        <f aca="false">Calendario!AH$5</f>
        <v>28</v>
      </c>
      <c r="AI64" s="59" t="n">
        <f aca="false">Calendario!AI$5</f>
        <v>29</v>
      </c>
      <c r="AJ64" s="59" t="n">
        <f aca="false">Calendario!AJ$5</f>
        <v>30</v>
      </c>
      <c r="AK64" s="59" t="n">
        <f aca="false">Calendario!AK$5</f>
        <v>31</v>
      </c>
      <c r="AL64" s="59" t="n">
        <f aca="false">Calendario!AL$5</f>
        <v>32</v>
      </c>
      <c r="AM64" s="59" t="n">
        <f aca="false">Calendario!AM$5</f>
        <v>33</v>
      </c>
      <c r="AN64" s="59" t="n">
        <f aca="false">Calendario!AN$5</f>
        <v>34</v>
      </c>
      <c r="AO64" s="59" t="n">
        <f aca="false">Calendario!AO$5</f>
        <v>35</v>
      </c>
      <c r="AP64" s="59" t="n">
        <f aca="false">Calendario!AP$5</f>
        <v>36</v>
      </c>
      <c r="AQ64" s="59" t="n">
        <f aca="false">Calendario!AQ$5</f>
        <v>37</v>
      </c>
      <c r="AR64" s="59" t="n">
        <f aca="false">Calendario!AR$5</f>
        <v>38</v>
      </c>
      <c r="AS64" s="59" t="n">
        <f aca="false">Calendario!AS$5</f>
        <v>39</v>
      </c>
      <c r="AT64" s="59" t="n">
        <f aca="false">Calendario!AT$5</f>
        <v>40</v>
      </c>
      <c r="AU64" s="59" t="n">
        <f aca="false">Calendario!AU$5</f>
        <v>41</v>
      </c>
      <c r="AV64" s="59" t="n">
        <f aca="false">Calendario!AV$5</f>
        <v>42</v>
      </c>
      <c r="AW64" s="59" t="n">
        <f aca="false">Calendario!AW$5</f>
        <v>43</v>
      </c>
      <c r="AX64" s="59" t="n">
        <f aca="false">Calendario!AX$5</f>
        <v>44</v>
      </c>
      <c r="AY64" s="59" t="n">
        <f aca="false">Calendario!AY$5</f>
        <v>45</v>
      </c>
      <c r="AZ64" s="59" t="n">
        <f aca="false">Calendario!AZ$5</f>
        <v>46</v>
      </c>
      <c r="BA64" s="59" t="n">
        <f aca="false">Calendario!BA$5</f>
        <v>47</v>
      </c>
      <c r="BB64" s="59" t="n">
        <f aca="false">Calendario!BB$5</f>
        <v>48</v>
      </c>
      <c r="BC64" s="59" t="n">
        <f aca="false">Calendario!BC$5</f>
        <v>49</v>
      </c>
      <c r="BD64" s="59" t="n">
        <f aca="false">Calendario!BD$5</f>
        <v>50</v>
      </c>
      <c r="BE64" s="59" t="n">
        <f aca="false">Calendario!BE$5</f>
        <v>51</v>
      </c>
      <c r="BF64" s="59" t="n">
        <f aca="false">Calendario!BF$5</f>
        <v>52</v>
      </c>
      <c r="BG64" s="59" t="n">
        <f aca="false">Calendario!BG$5</f>
        <v>53</v>
      </c>
      <c r="BH64" s="59" t="n">
        <f aca="false">Calendario!BH$5</f>
        <v>54</v>
      </c>
      <c r="BI64" s="59" t="n">
        <f aca="false">Calendario!BI$5</f>
        <v>55</v>
      </c>
      <c r="BJ64" s="59" t="n">
        <f aca="false">Calendario!BJ$5</f>
        <v>56</v>
      </c>
      <c r="BK64" s="59" t="n">
        <f aca="false">Calendario!BK$5</f>
        <v>57</v>
      </c>
      <c r="BL64" s="59" t="n">
        <f aca="false">Calendario!BL$5</f>
        <v>58</v>
      </c>
      <c r="BM64" s="59" t="n">
        <f aca="false">Calendario!BM$5</f>
        <v>59</v>
      </c>
      <c r="BN64" s="59" t="n">
        <f aca="false">Calendario!BN$5</f>
        <v>60</v>
      </c>
      <c r="BO64" s="59" t="n">
        <f aca="false">Calendario!BO$5</f>
        <v>61</v>
      </c>
      <c r="BP64" s="59" t="n">
        <f aca="false">Calendario!BP$5</f>
        <v>62</v>
      </c>
      <c r="BQ64" s="59" t="n">
        <f aca="false">Calendario!BQ$5</f>
        <v>63</v>
      </c>
      <c r="BR64" s="59" t="n">
        <f aca="false">Calendario!BR$5</f>
        <v>64</v>
      </c>
      <c r="BS64" s="59" t="n">
        <f aca="false">Calendario!BS$5</f>
        <v>65</v>
      </c>
      <c r="BT64" s="59" t="n">
        <f aca="false">Calendario!BT$5</f>
        <v>66</v>
      </c>
      <c r="BU64" s="59" t="n">
        <f aca="false">Calendario!BU$5</f>
        <v>67</v>
      </c>
      <c r="BV64" s="59" t="n">
        <f aca="false">Calendario!BV$5</f>
        <v>68</v>
      </c>
      <c r="BW64" s="59" t="n">
        <f aca="false">Calendario!BW$5</f>
        <v>69</v>
      </c>
      <c r="BX64" s="59" t="n">
        <f aca="false">Calendario!BX$5</f>
        <v>70</v>
      </c>
      <c r="BY64" s="59" t="n">
        <f aca="false">Calendario!BY$5</f>
        <v>71</v>
      </c>
      <c r="BZ64" s="59" t="n">
        <f aca="false">Calendario!BZ$5</f>
        <v>72</v>
      </c>
      <c r="CA64" s="59" t="n">
        <f aca="false">Calendario!CA$5</f>
        <v>73</v>
      </c>
      <c r="CB64" s="59" t="n">
        <f aca="false">Calendario!CB$5</f>
        <v>74</v>
      </c>
      <c r="CC64" s="59" t="n">
        <f aca="false">Calendario!CC$5</f>
        <v>75</v>
      </c>
      <c r="CD64" s="59" t="n">
        <f aca="false">Calendario!CD$5</f>
        <v>76</v>
      </c>
      <c r="CE64" s="59" t="n">
        <f aca="false">Calendario!CE$5</f>
        <v>77</v>
      </c>
      <c r="CF64" s="59" t="n">
        <f aca="false">Calendario!CF$5</f>
        <v>78</v>
      </c>
      <c r="CG64" s="59" t="n">
        <f aca="false">Calendario!CG$5</f>
        <v>79</v>
      </c>
      <c r="CH64" s="59" t="n">
        <f aca="false">Calendario!CH$5</f>
        <v>80</v>
      </c>
      <c r="CI64" s="59" t="n">
        <f aca="false">Calendario!CI$5</f>
        <v>81</v>
      </c>
      <c r="CJ64" s="59" t="n">
        <f aca="false">Calendario!CJ$5</f>
        <v>82</v>
      </c>
      <c r="CK64" s="59" t="n">
        <f aca="false">Calendario!CK$5</f>
        <v>83</v>
      </c>
      <c r="CL64" s="59" t="n">
        <f aca="false">Calendario!CL$5</f>
        <v>84</v>
      </c>
      <c r="CM64" s="59" t="n">
        <f aca="false">Calendario!CM$5</f>
        <v>85</v>
      </c>
      <c r="CN64" s="59" t="n">
        <f aca="false">Calendario!CN$5</f>
        <v>86</v>
      </c>
      <c r="CO64" s="59" t="n">
        <f aca="false">Calendario!CO$5</f>
        <v>87</v>
      </c>
      <c r="CP64" s="59" t="n">
        <f aca="false">Calendario!CP$5</f>
        <v>88</v>
      </c>
      <c r="CQ64" s="59" t="n">
        <f aca="false">Calendario!CQ$5</f>
        <v>89</v>
      </c>
      <c r="CR64" s="59" t="n">
        <f aca="false">Calendario!CR$5</f>
        <v>90</v>
      </c>
      <c r="CS64" s="59" t="n">
        <f aca="false">Calendario!CS$5</f>
        <v>91</v>
      </c>
      <c r="CT64" s="59" t="n">
        <f aca="false">Calendario!CT$5</f>
        <v>92</v>
      </c>
      <c r="CU64" s="59" t="n">
        <f aca="false">Calendario!CU$5</f>
        <v>93</v>
      </c>
      <c r="CV64" s="59" t="n">
        <f aca="false">Calendario!CV$5</f>
        <v>94</v>
      </c>
      <c r="CW64" s="59" t="n">
        <f aca="false">Calendario!CW$5</f>
        <v>95</v>
      </c>
      <c r="CX64" s="59" t="n">
        <f aca="false">Calendario!CX$5</f>
        <v>96</v>
      </c>
      <c r="CY64" s="59" t="n">
        <f aca="false">Calendario!CY$5</f>
        <v>97</v>
      </c>
      <c r="CZ64" s="59" t="n">
        <f aca="false">Calendario!CZ$5</f>
        <v>98</v>
      </c>
      <c r="DA64" s="59" t="n">
        <f aca="false">Calendario!DA$5</f>
        <v>99</v>
      </c>
      <c r="DB64" s="59" t="n">
        <f aca="false">Calendario!DB$5</f>
        <v>100</v>
      </c>
      <c r="DC64" s="59" t="n">
        <f aca="false">Calendario!DC$5</f>
        <v>101</v>
      </c>
      <c r="DD64" s="59" t="n">
        <f aca="false">Calendario!DD$5</f>
        <v>102</v>
      </c>
      <c r="DE64" s="59" t="n">
        <f aca="false">Calendario!DE$5</f>
        <v>103</v>
      </c>
      <c r="DF64" s="59" t="n">
        <f aca="false">Calendario!DF$5</f>
        <v>104</v>
      </c>
      <c r="DG64" s="59" t="n">
        <f aca="false">Calendario!DG$5</f>
        <v>105</v>
      </c>
      <c r="DH64" s="59" t="n">
        <f aca="false">Calendario!DH$5</f>
        <v>106</v>
      </c>
      <c r="DI64" s="59" t="n">
        <f aca="false">Calendario!DI$5</f>
        <v>107</v>
      </c>
      <c r="DJ64" s="59" t="n">
        <f aca="false">Calendario!DJ$5</f>
        <v>108</v>
      </c>
      <c r="DK64" s="59" t="n">
        <f aca="false">Calendario!DK$5</f>
        <v>109</v>
      </c>
      <c r="DL64" s="59" t="n">
        <f aca="false">Calendario!DL$5</f>
        <v>110</v>
      </c>
      <c r="DM64" s="59" t="n">
        <f aca="false">Calendario!DM$5</f>
        <v>111</v>
      </c>
      <c r="DN64" s="59" t="n">
        <f aca="false">Calendario!DN$5</f>
        <v>112</v>
      </c>
      <c r="DO64" s="59" t="n">
        <f aca="false">Calendario!DO$5</f>
        <v>113</v>
      </c>
      <c r="DP64" s="59" t="n">
        <f aca="false">Calendario!DP$5</f>
        <v>114</v>
      </c>
      <c r="DQ64" s="59" t="n">
        <f aca="false">Calendario!DQ$5</f>
        <v>115</v>
      </c>
      <c r="DR64" s="59" t="n">
        <f aca="false">Calendario!DR$5</f>
        <v>116</v>
      </c>
      <c r="DS64" s="59" t="n">
        <f aca="false">Calendario!DS$5</f>
        <v>117</v>
      </c>
      <c r="DT64" s="59" t="n">
        <f aca="false">Calendario!DT$5</f>
        <v>118</v>
      </c>
      <c r="DU64" s="59" t="n">
        <f aca="false">Calendario!DU$5</f>
        <v>119</v>
      </c>
      <c r="DV64" s="59" t="n">
        <f aca="false">Calendario!DV$5</f>
        <v>120</v>
      </c>
      <c r="DW64" s="59" t="n">
        <f aca="false">Calendario!DW$5</f>
        <v>121</v>
      </c>
      <c r="DX64" s="59" t="n">
        <f aca="false">Calendario!DX$5</f>
        <v>122</v>
      </c>
      <c r="DY64" s="59" t="n">
        <f aca="false">Calendario!DY$5</f>
        <v>123</v>
      </c>
      <c r="DZ64" s="59" t="n">
        <f aca="false">Calendario!DZ$5</f>
        <v>124</v>
      </c>
      <c r="EA64" s="59" t="n">
        <f aca="false">Calendario!EA$5</f>
        <v>125</v>
      </c>
      <c r="EB64" s="59" t="n">
        <f aca="false">Calendario!EB$5</f>
        <v>126</v>
      </c>
      <c r="EC64" s="59" t="n">
        <f aca="false">Calendario!EC$5</f>
        <v>127</v>
      </c>
      <c r="ED64" s="59" t="n">
        <f aca="false">Calendario!ED$5</f>
        <v>128</v>
      </c>
      <c r="EE64" s="59" t="n">
        <f aca="false">Calendario!EE$5</f>
        <v>129</v>
      </c>
      <c r="EF64" s="59" t="n">
        <f aca="false">Calendario!EF$5</f>
        <v>130</v>
      </c>
      <c r="EG64" s="59" t="n">
        <f aca="false">Calendario!EG$5</f>
        <v>131</v>
      </c>
      <c r="EH64" s="59" t="n">
        <f aca="false">Calendario!EH$5</f>
        <v>132</v>
      </c>
      <c r="EI64" s="59" t="n">
        <f aca="false">Calendario!EI$5</f>
        <v>133</v>
      </c>
      <c r="EJ64" s="59" t="n">
        <f aca="false">Calendario!EJ$5</f>
        <v>134</v>
      </c>
      <c r="EK64" s="59" t="n">
        <f aca="false">Calendario!EK$5</f>
        <v>135</v>
      </c>
      <c r="EL64" s="59" t="n">
        <f aca="false">Calendario!EL$5</f>
        <v>136</v>
      </c>
      <c r="EM64" s="59" t="n">
        <f aca="false">Calendario!EM$5</f>
        <v>137</v>
      </c>
      <c r="EN64" s="59" t="n">
        <f aca="false">Calendario!EN$5</f>
        <v>138</v>
      </c>
      <c r="EO64" s="59" t="n">
        <f aca="false">Calendario!EO$5</f>
        <v>139</v>
      </c>
      <c r="EP64" s="59" t="n">
        <f aca="false">Calendario!EP$5</f>
        <v>140</v>
      </c>
      <c r="EQ64" s="59" t="n">
        <f aca="false">Calendario!EQ$5</f>
        <v>141</v>
      </c>
      <c r="ER64" s="59" t="n">
        <f aca="false">Calendario!ER$5</f>
        <v>142</v>
      </c>
      <c r="ES64" s="59" t="n">
        <f aca="false">Calendario!ES$5</f>
        <v>143</v>
      </c>
      <c r="ET64" s="59" t="n">
        <f aca="false">Calendario!ET$5</f>
        <v>144</v>
      </c>
      <c r="EU64" s="59" t="n">
        <f aca="false">Calendario!EU$5</f>
        <v>145</v>
      </c>
      <c r="EV64" s="59" t="n">
        <f aca="false">Calendario!EV$5</f>
        <v>146</v>
      </c>
      <c r="EW64" s="59" t="n">
        <f aca="false">Calendario!EW$5</f>
        <v>147</v>
      </c>
      <c r="EX64" s="59" t="n">
        <f aca="false">Calendario!EX$5</f>
        <v>148</v>
      </c>
      <c r="EY64" s="59" t="n">
        <f aca="false">Calendario!EY$5</f>
        <v>149</v>
      </c>
      <c r="EZ64" s="59" t="n">
        <f aca="false">Calendario!EZ$5</f>
        <v>150</v>
      </c>
      <c r="FA64" s="59" t="n">
        <f aca="false">Calendario!FA$5</f>
        <v>151</v>
      </c>
      <c r="FB64" s="59" t="n">
        <f aca="false">Calendario!FB$5</f>
        <v>152</v>
      </c>
      <c r="FC64" s="59" t="n">
        <f aca="false">Calendario!FC$5</f>
        <v>153</v>
      </c>
      <c r="FD64" s="59" t="n">
        <f aca="false">Calendario!FD$5</f>
        <v>154</v>
      </c>
      <c r="FE64" s="59" t="n">
        <f aca="false">Calendario!FE$5</f>
        <v>155</v>
      </c>
      <c r="FF64" s="59" t="n">
        <f aca="false">Calendario!FF$5</f>
        <v>156</v>
      </c>
    </row>
    <row r="65" customFormat="false" ht="15" hidden="false" customHeight="false" outlineLevel="0" collapsed="false">
      <c r="A65" s="8" t="s">
        <v>810</v>
      </c>
      <c r="B65" s="5" t="s">
        <v>811</v>
      </c>
      <c r="F65" s="64" t="str">
        <f aca="false">Calendario!F$6</f>
        <v>s/f</v>
      </c>
      <c r="G65" s="64" t="str">
        <f aca="false">Calendario!G$6</f>
        <v>s/f</v>
      </c>
      <c r="H65" s="64" t="str">
        <f aca="false">Calendario!H$6</f>
        <v>s/f</v>
      </c>
      <c r="I65" s="64" t="str">
        <f aca="false">Calendario!I$6</f>
        <v>s/f</v>
      </c>
      <c r="J65" s="64" t="str">
        <f aca="false">Calendario!J$6</f>
        <v>s/f</v>
      </c>
      <c r="K65" s="64" t="str">
        <f aca="false">Calendario!K$6</f>
        <v>s/f</v>
      </c>
      <c r="L65" s="64" t="str">
        <f aca="false">Calendario!L$6</f>
        <v>s/f</v>
      </c>
      <c r="M65" s="64" t="str">
        <f aca="false">Calendario!M$6</f>
        <v>s/f</v>
      </c>
      <c r="N65" s="64" t="str">
        <f aca="false">Calendario!N$6</f>
        <v>s/f</v>
      </c>
      <c r="O65" s="64" t="str">
        <f aca="false">Calendario!O$6</f>
        <v>s/f</v>
      </c>
      <c r="P65" s="64" t="str">
        <f aca="false">Calendario!P$6</f>
        <v>s/f</v>
      </c>
      <c r="Q65" s="64" t="str">
        <f aca="false">Calendario!Q$6</f>
        <v>s/f</v>
      </c>
      <c r="R65" s="64" t="str">
        <f aca="false">Calendario!R$6</f>
        <v>s/f</v>
      </c>
      <c r="S65" s="64" t="str">
        <f aca="false">Calendario!S$6</f>
        <v>s/f</v>
      </c>
      <c r="T65" s="64" t="str">
        <f aca="false">Calendario!T$6</f>
        <v>s/f</v>
      </c>
      <c r="U65" s="64" t="str">
        <f aca="false">Calendario!U$6</f>
        <v>s/f</v>
      </c>
      <c r="V65" s="64" t="str">
        <f aca="false">Calendario!V$6</f>
        <v>s/f</v>
      </c>
      <c r="W65" s="64" t="str">
        <f aca="false">Calendario!W$6</f>
        <v>s/f</v>
      </c>
      <c r="X65" s="64" t="str">
        <f aca="false">Calendario!X$6</f>
        <v>s/f</v>
      </c>
      <c r="Y65" s="64" t="str">
        <f aca="false">Calendario!Y$6</f>
        <v>s/f</v>
      </c>
      <c r="Z65" s="64" t="str">
        <f aca="false">Calendario!Z$6</f>
        <v>s/f</v>
      </c>
      <c r="AA65" s="64" t="str">
        <f aca="false">Calendario!AA$6</f>
        <v>s/f</v>
      </c>
      <c r="AB65" s="64" t="str">
        <f aca="false">Calendario!AB$6</f>
        <v>s/f</v>
      </c>
      <c r="AC65" s="64" t="str">
        <f aca="false">Calendario!AC$6</f>
        <v>s/f</v>
      </c>
      <c r="AD65" s="64" t="str">
        <f aca="false">Calendario!AD$6</f>
        <v>s/f</v>
      </c>
      <c r="AE65" s="64" t="str">
        <f aca="false">Calendario!AE$6</f>
        <v>s/f</v>
      </c>
      <c r="AF65" s="64" t="str">
        <f aca="false">Calendario!AF$6</f>
        <v>s/f</v>
      </c>
      <c r="AG65" s="64" t="str">
        <f aca="false">Calendario!AG$6</f>
        <v>s/f</v>
      </c>
      <c r="AH65" s="64" t="str">
        <f aca="false">Calendario!AH$6</f>
        <v>s/f</v>
      </c>
      <c r="AI65" s="64" t="str">
        <f aca="false">Calendario!AI$6</f>
        <v>s/f</v>
      </c>
      <c r="AJ65" s="64" t="str">
        <f aca="false">Calendario!AJ$6</f>
        <v>s/f</v>
      </c>
      <c r="AK65" s="64" t="str">
        <f aca="false">Calendario!AK$6</f>
        <v>s/f</v>
      </c>
      <c r="AL65" s="64" t="str">
        <f aca="false">Calendario!AL$6</f>
        <v>s/f</v>
      </c>
      <c r="AM65" s="64" t="str">
        <f aca="false">Calendario!AM$6</f>
        <v>s/f</v>
      </c>
      <c r="AN65" s="64" t="str">
        <f aca="false">Calendario!AN$6</f>
        <v>s/f</v>
      </c>
      <c r="AO65" s="64" t="str">
        <f aca="false">Calendario!AO$6</f>
        <v>s/f</v>
      </c>
      <c r="AP65" s="64" t="str">
        <f aca="false">Calendario!AP$6</f>
        <v>s/f</v>
      </c>
      <c r="AQ65" s="64" t="str">
        <f aca="false">Calendario!AQ$6</f>
        <v>s/f</v>
      </c>
      <c r="AR65" s="64" t="str">
        <f aca="false">Calendario!AR$6</f>
        <v>s/f</v>
      </c>
      <c r="AS65" s="64" t="str">
        <f aca="false">Calendario!AS$6</f>
        <v>s/f</v>
      </c>
      <c r="AT65" s="64" t="str">
        <f aca="false">Calendario!AT$6</f>
        <v>s/f</v>
      </c>
      <c r="AU65" s="64" t="str">
        <f aca="false">Calendario!AU$6</f>
        <v>s/f</v>
      </c>
      <c r="AV65" s="64" t="str">
        <f aca="false">Calendario!AV$6</f>
        <v>s/f</v>
      </c>
      <c r="AW65" s="64" t="str">
        <f aca="false">Calendario!AW$6</f>
        <v>s/f</v>
      </c>
      <c r="AX65" s="64" t="str">
        <f aca="false">Calendario!AX$6</f>
        <v>s/f</v>
      </c>
      <c r="AY65" s="64" t="str">
        <f aca="false">Calendario!AY$6</f>
        <v>s/f</v>
      </c>
      <c r="AZ65" s="64" t="str">
        <f aca="false">Calendario!AZ$6</f>
        <v>s/f</v>
      </c>
      <c r="BA65" s="64" t="str">
        <f aca="false">Calendario!BA$6</f>
        <v>s/f</v>
      </c>
      <c r="BB65" s="64" t="str">
        <f aca="false">Calendario!BB$6</f>
        <v>s/f</v>
      </c>
      <c r="BC65" s="64" t="str">
        <f aca="false">Calendario!BC$6</f>
        <v>s/f</v>
      </c>
      <c r="BD65" s="64" t="str">
        <f aca="false">Calendario!BD$6</f>
        <v>s/f</v>
      </c>
      <c r="BE65" s="64" t="str">
        <f aca="false">Calendario!BE$6</f>
        <v>s/f</v>
      </c>
      <c r="BF65" s="64" t="str">
        <f aca="false">Calendario!BF$6</f>
        <v>s/f</v>
      </c>
      <c r="BG65" s="64" t="str">
        <f aca="false">Calendario!BG$6</f>
        <v>s/f</v>
      </c>
      <c r="BH65" s="64" t="str">
        <f aca="false">Calendario!BH$6</f>
        <v>s/f</v>
      </c>
      <c r="BI65" s="64" t="str">
        <f aca="false">Calendario!BI$6</f>
        <v>s/f</v>
      </c>
      <c r="BJ65" s="64" t="str">
        <f aca="false">Calendario!BJ$6</f>
        <v>s/f</v>
      </c>
      <c r="BK65" s="64" t="str">
        <f aca="false">Calendario!BK$6</f>
        <v>s/f</v>
      </c>
      <c r="BL65" s="64" t="str">
        <f aca="false">Calendario!BL$6</f>
        <v>s/f</v>
      </c>
      <c r="BM65" s="64" t="str">
        <f aca="false">Calendario!BM$6</f>
        <v>s/f</v>
      </c>
      <c r="BN65" s="64" t="str">
        <f aca="false">Calendario!BN$6</f>
        <v>s/f</v>
      </c>
      <c r="BO65" s="64" t="str">
        <f aca="false">Calendario!BO$6</f>
        <v>s/f</v>
      </c>
      <c r="BP65" s="64" t="str">
        <f aca="false">Calendario!BP$6</f>
        <v>s/f</v>
      </c>
      <c r="BQ65" s="64" t="str">
        <f aca="false">Calendario!BQ$6</f>
        <v>s/f</v>
      </c>
      <c r="BR65" s="64" t="str">
        <f aca="false">Calendario!BR$6</f>
        <v>s/f</v>
      </c>
      <c r="BS65" s="64" t="str">
        <f aca="false">Calendario!BS$6</f>
        <v>s/f</v>
      </c>
      <c r="BT65" s="64" t="str">
        <f aca="false">Calendario!BT$6</f>
        <v>s/f</v>
      </c>
      <c r="BU65" s="64" t="str">
        <f aca="false">Calendario!BU$6</f>
        <v>s/f</v>
      </c>
      <c r="BV65" s="64" t="str">
        <f aca="false">Calendario!BV$6</f>
        <v>s/f</v>
      </c>
      <c r="BW65" s="64" t="str">
        <f aca="false">Calendario!BW$6</f>
        <v>s/f</v>
      </c>
      <c r="BX65" s="64" t="str">
        <f aca="false">Calendario!BX$6</f>
        <v>s/f</v>
      </c>
      <c r="BY65" s="64" t="str">
        <f aca="false">Calendario!BY$6</f>
        <v>s/f</v>
      </c>
      <c r="BZ65" s="64" t="str">
        <f aca="false">Calendario!BZ$6</f>
        <v>s/f</v>
      </c>
      <c r="CA65" s="64" t="str">
        <f aca="false">Calendario!CA$6</f>
        <v>s/f</v>
      </c>
      <c r="CB65" s="64" t="str">
        <f aca="false">Calendario!CB$6</f>
        <v>s/f</v>
      </c>
      <c r="CC65" s="64" t="str">
        <f aca="false">Calendario!CC$6</f>
        <v>s/f</v>
      </c>
      <c r="CD65" s="64" t="str">
        <f aca="false">Calendario!CD$6</f>
        <v>s/f</v>
      </c>
      <c r="CE65" s="64" t="str">
        <f aca="false">Calendario!CE$6</f>
        <v>s/f</v>
      </c>
      <c r="CF65" s="64" t="str">
        <f aca="false">Calendario!CF$6</f>
        <v>s/f</v>
      </c>
      <c r="CG65" s="64" t="str">
        <f aca="false">Calendario!CG$6</f>
        <v>s/f</v>
      </c>
      <c r="CH65" s="64" t="str">
        <f aca="false">Calendario!CH$6</f>
        <v>s/f</v>
      </c>
      <c r="CI65" s="64" t="str">
        <f aca="false">Calendario!CI$6</f>
        <v>s/f</v>
      </c>
      <c r="CJ65" s="64" t="str">
        <f aca="false">Calendario!CJ$6</f>
        <v>s/f</v>
      </c>
      <c r="CK65" s="64" t="str">
        <f aca="false">Calendario!CK$6</f>
        <v>s/f</v>
      </c>
      <c r="CL65" s="64" t="str">
        <f aca="false">Calendario!CL$6</f>
        <v>s/f</v>
      </c>
      <c r="CM65" s="64" t="str">
        <f aca="false">Calendario!CM$6</f>
        <v>s/f</v>
      </c>
      <c r="CN65" s="64" t="str">
        <f aca="false">Calendario!CN$6</f>
        <v>s/f</v>
      </c>
      <c r="CO65" s="64" t="str">
        <f aca="false">Calendario!CO$6</f>
        <v>s/f</v>
      </c>
      <c r="CP65" s="64" t="str">
        <f aca="false">Calendario!CP$6</f>
        <v>s/f</v>
      </c>
      <c r="CQ65" s="64" t="str">
        <f aca="false">Calendario!CQ$6</f>
        <v>s/f</v>
      </c>
      <c r="CR65" s="64" t="str">
        <f aca="false">Calendario!CR$6</f>
        <v>s/f</v>
      </c>
      <c r="CS65" s="64" t="str">
        <f aca="false">Calendario!CS$6</f>
        <v>s/f</v>
      </c>
      <c r="CT65" s="64" t="str">
        <f aca="false">Calendario!CT$6</f>
        <v>s/f</v>
      </c>
      <c r="CU65" s="64" t="str">
        <f aca="false">Calendario!CU$6</f>
        <v>s/f</v>
      </c>
      <c r="CV65" s="64" t="str">
        <f aca="false">Calendario!CV$6</f>
        <v>s/f</v>
      </c>
      <c r="CW65" s="64" t="str">
        <f aca="false">Calendario!CW$6</f>
        <v>s/f</v>
      </c>
      <c r="CX65" s="64" t="str">
        <f aca="false">Calendario!CX$6</f>
        <v>s/f</v>
      </c>
      <c r="CY65" s="64" t="str">
        <f aca="false">Calendario!CY$6</f>
        <v>s/f</v>
      </c>
      <c r="CZ65" s="64" t="str">
        <f aca="false">Calendario!CZ$6</f>
        <v>s/f</v>
      </c>
      <c r="DA65" s="64" t="str">
        <f aca="false">Calendario!DA$6</f>
        <v>s/f</v>
      </c>
      <c r="DB65" s="64" t="str">
        <f aca="false">Calendario!DB$6</f>
        <v>s/f</v>
      </c>
      <c r="DC65" s="64" t="str">
        <f aca="false">Calendario!DC$6</f>
        <v>s/f</v>
      </c>
      <c r="DD65" s="64" t="str">
        <f aca="false">Calendario!DD$6</f>
        <v>s/f</v>
      </c>
      <c r="DE65" s="64" t="str">
        <f aca="false">Calendario!DE$6</f>
        <v>s/f</v>
      </c>
      <c r="DF65" s="64" t="str">
        <f aca="false">Calendario!DF$6</f>
        <v>s/f</v>
      </c>
      <c r="DG65" s="64" t="str">
        <f aca="false">Calendario!DG$6</f>
        <v>s/f</v>
      </c>
      <c r="DH65" s="64" t="str">
        <f aca="false">Calendario!DH$6</f>
        <v>s/f</v>
      </c>
      <c r="DI65" s="64" t="str">
        <f aca="false">Calendario!DI$6</f>
        <v>s/f</v>
      </c>
      <c r="DJ65" s="64" t="str">
        <f aca="false">Calendario!DJ$6</f>
        <v>s/f</v>
      </c>
      <c r="DK65" s="64" t="str">
        <f aca="false">Calendario!DK$6</f>
        <v>s/f</v>
      </c>
      <c r="DL65" s="64" t="str">
        <f aca="false">Calendario!DL$6</f>
        <v>s/f</v>
      </c>
      <c r="DM65" s="64" t="str">
        <f aca="false">Calendario!DM$6</f>
        <v>s/f</v>
      </c>
      <c r="DN65" s="64" t="str">
        <f aca="false">Calendario!DN$6</f>
        <v>s/f</v>
      </c>
      <c r="DO65" s="64" t="str">
        <f aca="false">Calendario!DO$6</f>
        <v>s/f</v>
      </c>
      <c r="DP65" s="64" t="str">
        <f aca="false">Calendario!DP$6</f>
        <v>s/f</v>
      </c>
      <c r="DQ65" s="64" t="str">
        <f aca="false">Calendario!DQ$6</f>
        <v>s/f</v>
      </c>
      <c r="DR65" s="64" t="str">
        <f aca="false">Calendario!DR$6</f>
        <v>s/f</v>
      </c>
      <c r="DS65" s="64" t="str">
        <f aca="false">Calendario!DS$6</f>
        <v>s/f</v>
      </c>
      <c r="DT65" s="64" t="str">
        <f aca="false">Calendario!DT$6</f>
        <v>s/f</v>
      </c>
      <c r="DU65" s="64" t="str">
        <f aca="false">Calendario!DU$6</f>
        <v>s/f</v>
      </c>
      <c r="DV65" s="64" t="str">
        <f aca="false">Calendario!DV$6</f>
        <v>s/f</v>
      </c>
      <c r="DW65" s="64" t="str">
        <f aca="false">Calendario!DW$6</f>
        <v>s/f</v>
      </c>
      <c r="DX65" s="64" t="str">
        <f aca="false">Calendario!DX$6</f>
        <v>s/f</v>
      </c>
      <c r="DY65" s="64" t="str">
        <f aca="false">Calendario!DY$6</f>
        <v>s/f</v>
      </c>
      <c r="DZ65" s="64" t="str">
        <f aca="false">Calendario!DZ$6</f>
        <v>s/f</v>
      </c>
      <c r="EA65" s="64" t="str">
        <f aca="false">Calendario!EA$6</f>
        <v>s/f</v>
      </c>
      <c r="EB65" s="64" t="str">
        <f aca="false">Calendario!EB$6</f>
        <v>s/f</v>
      </c>
      <c r="EC65" s="64" t="str">
        <f aca="false">Calendario!EC$6</f>
        <v>s/f</v>
      </c>
      <c r="ED65" s="64" t="str">
        <f aca="false">Calendario!ED$6</f>
        <v>s/f</v>
      </c>
      <c r="EE65" s="64" t="str">
        <f aca="false">Calendario!EE$6</f>
        <v>s/f</v>
      </c>
      <c r="EF65" s="64" t="str">
        <f aca="false">Calendario!EF$6</f>
        <v>s/f</v>
      </c>
      <c r="EG65" s="64" t="str">
        <f aca="false">Calendario!EG$6</f>
        <v>s/f</v>
      </c>
      <c r="EH65" s="64" t="str">
        <f aca="false">Calendario!EH$6</f>
        <v>s/f</v>
      </c>
      <c r="EI65" s="64" t="str">
        <f aca="false">Calendario!EI$6</f>
        <v>s/f</v>
      </c>
      <c r="EJ65" s="64" t="str">
        <f aca="false">Calendario!EJ$6</f>
        <v>s/f</v>
      </c>
      <c r="EK65" s="64" t="str">
        <f aca="false">Calendario!EK$6</f>
        <v>s/f</v>
      </c>
      <c r="EL65" s="64" t="str">
        <f aca="false">Calendario!EL$6</f>
        <v>s/f</v>
      </c>
      <c r="EM65" s="64" t="str">
        <f aca="false">Calendario!EM$6</f>
        <v>s/f</v>
      </c>
      <c r="EN65" s="64" t="str">
        <f aca="false">Calendario!EN$6</f>
        <v>s/f</v>
      </c>
      <c r="EO65" s="64" t="str">
        <f aca="false">Calendario!EO$6</f>
        <v>s/f</v>
      </c>
      <c r="EP65" s="64" t="str">
        <f aca="false">Calendario!EP$6</f>
        <v>s/f</v>
      </c>
      <c r="EQ65" s="64" t="str">
        <f aca="false">Calendario!EQ$6</f>
        <v>s/f</v>
      </c>
      <c r="ER65" s="64" t="str">
        <f aca="false">Calendario!ER$6</f>
        <v>s/f</v>
      </c>
      <c r="ES65" s="64" t="str">
        <f aca="false">Calendario!ES$6</f>
        <v>s/f</v>
      </c>
      <c r="ET65" s="64" t="str">
        <f aca="false">Calendario!ET$6</f>
        <v>s/f</v>
      </c>
      <c r="EU65" s="64" t="str">
        <f aca="false">Calendario!EU$6</f>
        <v>s/f</v>
      </c>
      <c r="EV65" s="64" t="str">
        <f aca="false">Calendario!EV$6</f>
        <v>s/f</v>
      </c>
      <c r="EW65" s="64" t="str">
        <f aca="false">Calendario!EW$6</f>
        <v>s/f</v>
      </c>
      <c r="EX65" s="64" t="str">
        <f aca="false">Calendario!EX$6</f>
        <v>s/f</v>
      </c>
      <c r="EY65" s="64" t="str">
        <f aca="false">Calendario!EY$6</f>
        <v>s/f</v>
      </c>
      <c r="EZ65" s="64" t="str">
        <f aca="false">Calendario!EZ$6</f>
        <v>s/f</v>
      </c>
      <c r="FA65" s="64" t="str">
        <f aca="false">Calendario!FA$6</f>
        <v>s/f</v>
      </c>
      <c r="FB65" s="64" t="str">
        <f aca="false">Calendario!FB$6</f>
        <v>s/f</v>
      </c>
      <c r="FC65" s="64" t="str">
        <f aca="false">Calendario!FC$6</f>
        <v>s/f</v>
      </c>
      <c r="FD65" s="64" t="str">
        <f aca="false">Calendario!FD$6</f>
        <v>s/f</v>
      </c>
      <c r="FE65" s="64" t="str">
        <f aca="false">Calendario!FE$6</f>
        <v>s/f</v>
      </c>
      <c r="FF65" s="64" t="str">
        <f aca="false">Calendario!FF$6</f>
        <v>s/f</v>
      </c>
    </row>
    <row r="66" customFormat="false" ht="15" hidden="false" customHeight="false" outlineLevel="0" collapsed="false">
      <c r="A66" s="8" t="s">
        <v>812</v>
      </c>
      <c r="B66" s="5" t="s">
        <v>813</v>
      </c>
      <c r="F66" s="43" t="n">
        <f aca="false">Calendario!F$7</f>
        <v>0</v>
      </c>
      <c r="G66" s="43" t="n">
        <f aca="false">Calendario!G$7</f>
        <v>1</v>
      </c>
      <c r="H66" s="43" t="n">
        <f aca="false">Calendario!H$7</f>
        <v>1</v>
      </c>
      <c r="I66" s="43" t="n">
        <f aca="false">Calendario!I$7</f>
        <v>1</v>
      </c>
      <c r="J66" s="43" t="n">
        <f aca="false">Calendario!J$7</f>
        <v>1</v>
      </c>
      <c r="K66" s="43" t="n">
        <f aca="false">Calendario!K$7</f>
        <v>1</v>
      </c>
      <c r="L66" s="43" t="n">
        <f aca="false">Calendario!L$7</f>
        <v>1</v>
      </c>
      <c r="M66" s="43" t="n">
        <f aca="false">Calendario!M$7</f>
        <v>1</v>
      </c>
      <c r="N66" s="43" t="n">
        <f aca="false">Calendario!N$7</f>
        <v>1</v>
      </c>
      <c r="O66" s="43" t="n">
        <f aca="false">Calendario!O$7</f>
        <v>1</v>
      </c>
      <c r="P66" s="43" t="n">
        <f aca="false">Calendario!P$7</f>
        <v>1</v>
      </c>
      <c r="Q66" s="43" t="n">
        <f aca="false">Calendario!Q$7</f>
        <v>1</v>
      </c>
      <c r="R66" s="43" t="n">
        <f aca="false">Calendario!R$7</f>
        <v>1</v>
      </c>
      <c r="S66" s="43" t="n">
        <f aca="false">Calendario!S$7</f>
        <v>2</v>
      </c>
      <c r="T66" s="43" t="n">
        <f aca="false">Calendario!T$7</f>
        <v>2</v>
      </c>
      <c r="U66" s="43" t="n">
        <f aca="false">Calendario!U$7</f>
        <v>2</v>
      </c>
      <c r="V66" s="43" t="n">
        <f aca="false">Calendario!V$7</f>
        <v>2</v>
      </c>
      <c r="W66" s="43" t="n">
        <f aca="false">Calendario!W$7</f>
        <v>2</v>
      </c>
      <c r="X66" s="43" t="n">
        <f aca="false">Calendario!X$7</f>
        <v>2</v>
      </c>
      <c r="Y66" s="43" t="n">
        <f aca="false">Calendario!Y$7</f>
        <v>2</v>
      </c>
      <c r="Z66" s="43" t="n">
        <f aca="false">Calendario!Z$7</f>
        <v>2</v>
      </c>
      <c r="AA66" s="43" t="n">
        <f aca="false">Calendario!AA$7</f>
        <v>2</v>
      </c>
      <c r="AB66" s="43" t="n">
        <f aca="false">Calendario!AB$7</f>
        <v>2</v>
      </c>
      <c r="AC66" s="43" t="n">
        <f aca="false">Calendario!AC$7</f>
        <v>2</v>
      </c>
      <c r="AD66" s="43" t="n">
        <f aca="false">Calendario!AD$7</f>
        <v>2</v>
      </c>
      <c r="AE66" s="43" t="n">
        <f aca="false">Calendario!AE$7</f>
        <v>3</v>
      </c>
      <c r="AF66" s="43" t="n">
        <f aca="false">Calendario!AF$7</f>
        <v>3</v>
      </c>
      <c r="AG66" s="43" t="n">
        <f aca="false">Calendario!AG$7</f>
        <v>3</v>
      </c>
      <c r="AH66" s="43" t="n">
        <f aca="false">Calendario!AH$7</f>
        <v>3</v>
      </c>
      <c r="AI66" s="43" t="n">
        <f aca="false">Calendario!AI$7</f>
        <v>3</v>
      </c>
      <c r="AJ66" s="43" t="n">
        <f aca="false">Calendario!AJ$7</f>
        <v>3</v>
      </c>
      <c r="AK66" s="43" t="n">
        <f aca="false">Calendario!AK$7</f>
        <v>3</v>
      </c>
      <c r="AL66" s="43" t="n">
        <f aca="false">Calendario!AL$7</f>
        <v>3</v>
      </c>
      <c r="AM66" s="43" t="n">
        <f aca="false">Calendario!AM$7</f>
        <v>3</v>
      </c>
      <c r="AN66" s="43" t="n">
        <f aca="false">Calendario!AN$7</f>
        <v>3</v>
      </c>
      <c r="AO66" s="43" t="n">
        <f aca="false">Calendario!AO$7</f>
        <v>3</v>
      </c>
      <c r="AP66" s="43" t="n">
        <f aca="false">Calendario!AP$7</f>
        <v>3</v>
      </c>
      <c r="AQ66" s="43" t="n">
        <f aca="false">Calendario!AQ$7</f>
        <v>4</v>
      </c>
      <c r="AR66" s="43" t="n">
        <f aca="false">Calendario!AR$7</f>
        <v>4</v>
      </c>
      <c r="AS66" s="43" t="n">
        <f aca="false">Calendario!AS$7</f>
        <v>4</v>
      </c>
      <c r="AT66" s="43" t="n">
        <f aca="false">Calendario!AT$7</f>
        <v>4</v>
      </c>
      <c r="AU66" s="43" t="n">
        <f aca="false">Calendario!AU$7</f>
        <v>4</v>
      </c>
      <c r="AV66" s="43" t="n">
        <f aca="false">Calendario!AV$7</f>
        <v>4</v>
      </c>
      <c r="AW66" s="43" t="n">
        <f aca="false">Calendario!AW$7</f>
        <v>4</v>
      </c>
      <c r="AX66" s="43" t="n">
        <f aca="false">Calendario!AX$7</f>
        <v>4</v>
      </c>
      <c r="AY66" s="43" t="n">
        <f aca="false">Calendario!AY$7</f>
        <v>4</v>
      </c>
      <c r="AZ66" s="43" t="n">
        <f aca="false">Calendario!AZ$7</f>
        <v>4</v>
      </c>
      <c r="BA66" s="43" t="n">
        <f aca="false">Calendario!BA$7</f>
        <v>4</v>
      </c>
      <c r="BB66" s="43" t="n">
        <f aca="false">Calendario!BB$7</f>
        <v>4</v>
      </c>
      <c r="BC66" s="43" t="n">
        <f aca="false">Calendario!BC$7</f>
        <v>5</v>
      </c>
      <c r="BD66" s="43" t="n">
        <f aca="false">Calendario!BD$7</f>
        <v>5</v>
      </c>
      <c r="BE66" s="43" t="n">
        <f aca="false">Calendario!BE$7</f>
        <v>5</v>
      </c>
      <c r="BF66" s="43" t="n">
        <f aca="false">Calendario!BF$7</f>
        <v>5</v>
      </c>
      <c r="BG66" s="43" t="n">
        <f aca="false">Calendario!BG$7</f>
        <v>5</v>
      </c>
      <c r="BH66" s="43" t="n">
        <f aca="false">Calendario!BH$7</f>
        <v>5</v>
      </c>
      <c r="BI66" s="43" t="n">
        <f aca="false">Calendario!BI$7</f>
        <v>5</v>
      </c>
      <c r="BJ66" s="43" t="n">
        <f aca="false">Calendario!BJ$7</f>
        <v>5</v>
      </c>
      <c r="BK66" s="43" t="n">
        <f aca="false">Calendario!BK$7</f>
        <v>5</v>
      </c>
      <c r="BL66" s="43" t="n">
        <f aca="false">Calendario!BL$7</f>
        <v>5</v>
      </c>
      <c r="BM66" s="43" t="n">
        <f aca="false">Calendario!BM$7</f>
        <v>5</v>
      </c>
      <c r="BN66" s="43" t="n">
        <f aca="false">Calendario!BN$7</f>
        <v>5</v>
      </c>
      <c r="BO66" s="43" t="n">
        <f aca="false">Calendario!BO$7</f>
        <v>6</v>
      </c>
      <c r="BP66" s="43" t="n">
        <f aca="false">Calendario!BP$7</f>
        <v>6</v>
      </c>
      <c r="BQ66" s="43" t="n">
        <f aca="false">Calendario!BQ$7</f>
        <v>6</v>
      </c>
      <c r="BR66" s="43" t="n">
        <f aca="false">Calendario!BR$7</f>
        <v>6</v>
      </c>
      <c r="BS66" s="43" t="n">
        <f aca="false">Calendario!BS$7</f>
        <v>6</v>
      </c>
      <c r="BT66" s="43" t="n">
        <f aca="false">Calendario!BT$7</f>
        <v>6</v>
      </c>
      <c r="BU66" s="43" t="n">
        <f aca="false">Calendario!BU$7</f>
        <v>6</v>
      </c>
      <c r="BV66" s="43" t="n">
        <f aca="false">Calendario!BV$7</f>
        <v>6</v>
      </c>
      <c r="BW66" s="43" t="n">
        <f aca="false">Calendario!BW$7</f>
        <v>6</v>
      </c>
      <c r="BX66" s="43" t="n">
        <f aca="false">Calendario!BX$7</f>
        <v>6</v>
      </c>
      <c r="BY66" s="43" t="n">
        <f aca="false">Calendario!BY$7</f>
        <v>6</v>
      </c>
      <c r="BZ66" s="43" t="n">
        <f aca="false">Calendario!BZ$7</f>
        <v>6</v>
      </c>
      <c r="CA66" s="43" t="n">
        <f aca="false">Calendario!CA$7</f>
        <v>7</v>
      </c>
      <c r="CB66" s="43" t="n">
        <f aca="false">Calendario!CB$7</f>
        <v>7</v>
      </c>
      <c r="CC66" s="43" t="n">
        <f aca="false">Calendario!CC$7</f>
        <v>7</v>
      </c>
      <c r="CD66" s="43" t="n">
        <f aca="false">Calendario!CD$7</f>
        <v>7</v>
      </c>
      <c r="CE66" s="43" t="n">
        <f aca="false">Calendario!CE$7</f>
        <v>7</v>
      </c>
      <c r="CF66" s="43" t="n">
        <f aca="false">Calendario!CF$7</f>
        <v>7</v>
      </c>
      <c r="CG66" s="43" t="n">
        <f aca="false">Calendario!CG$7</f>
        <v>7</v>
      </c>
      <c r="CH66" s="43" t="n">
        <f aca="false">Calendario!CH$7</f>
        <v>7</v>
      </c>
      <c r="CI66" s="43" t="n">
        <f aca="false">Calendario!CI$7</f>
        <v>7</v>
      </c>
      <c r="CJ66" s="43" t="n">
        <f aca="false">Calendario!CJ$7</f>
        <v>7</v>
      </c>
      <c r="CK66" s="43" t="n">
        <f aca="false">Calendario!CK$7</f>
        <v>7</v>
      </c>
      <c r="CL66" s="43" t="n">
        <f aca="false">Calendario!CL$7</f>
        <v>7</v>
      </c>
      <c r="CM66" s="43" t="n">
        <f aca="false">Calendario!CM$7</f>
        <v>8</v>
      </c>
      <c r="CN66" s="43" t="n">
        <f aca="false">Calendario!CN$7</f>
        <v>8</v>
      </c>
      <c r="CO66" s="43" t="n">
        <f aca="false">Calendario!CO$7</f>
        <v>8</v>
      </c>
      <c r="CP66" s="43" t="n">
        <f aca="false">Calendario!CP$7</f>
        <v>8</v>
      </c>
      <c r="CQ66" s="43" t="n">
        <f aca="false">Calendario!CQ$7</f>
        <v>8</v>
      </c>
      <c r="CR66" s="43" t="n">
        <f aca="false">Calendario!CR$7</f>
        <v>8</v>
      </c>
      <c r="CS66" s="43" t="n">
        <f aca="false">Calendario!CS$7</f>
        <v>8</v>
      </c>
      <c r="CT66" s="43" t="n">
        <f aca="false">Calendario!CT$7</f>
        <v>8</v>
      </c>
      <c r="CU66" s="43" t="n">
        <f aca="false">Calendario!CU$7</f>
        <v>8</v>
      </c>
      <c r="CV66" s="43" t="n">
        <f aca="false">Calendario!CV$7</f>
        <v>8</v>
      </c>
      <c r="CW66" s="43" t="n">
        <f aca="false">Calendario!CW$7</f>
        <v>8</v>
      </c>
      <c r="CX66" s="43" t="n">
        <f aca="false">Calendario!CX$7</f>
        <v>8</v>
      </c>
      <c r="CY66" s="43" t="n">
        <f aca="false">Calendario!CY$7</f>
        <v>9</v>
      </c>
      <c r="CZ66" s="43" t="n">
        <f aca="false">Calendario!CZ$7</f>
        <v>9</v>
      </c>
      <c r="DA66" s="43" t="n">
        <f aca="false">Calendario!DA$7</f>
        <v>9</v>
      </c>
      <c r="DB66" s="43" t="n">
        <f aca="false">Calendario!DB$7</f>
        <v>9</v>
      </c>
      <c r="DC66" s="43" t="n">
        <f aca="false">Calendario!DC$7</f>
        <v>9</v>
      </c>
      <c r="DD66" s="43" t="n">
        <f aca="false">Calendario!DD$7</f>
        <v>9</v>
      </c>
      <c r="DE66" s="43" t="n">
        <f aca="false">Calendario!DE$7</f>
        <v>9</v>
      </c>
      <c r="DF66" s="43" t="n">
        <f aca="false">Calendario!DF$7</f>
        <v>9</v>
      </c>
      <c r="DG66" s="43" t="n">
        <f aca="false">Calendario!DG$7</f>
        <v>9</v>
      </c>
      <c r="DH66" s="43" t="n">
        <f aca="false">Calendario!DH$7</f>
        <v>9</v>
      </c>
      <c r="DI66" s="43" t="n">
        <f aca="false">Calendario!DI$7</f>
        <v>9</v>
      </c>
      <c r="DJ66" s="43" t="n">
        <f aca="false">Calendario!DJ$7</f>
        <v>9</v>
      </c>
      <c r="DK66" s="43" t="n">
        <f aca="false">Calendario!DK$7</f>
        <v>10</v>
      </c>
      <c r="DL66" s="43" t="n">
        <f aca="false">Calendario!DL$7</f>
        <v>10</v>
      </c>
      <c r="DM66" s="43" t="n">
        <f aca="false">Calendario!DM$7</f>
        <v>10</v>
      </c>
      <c r="DN66" s="43" t="n">
        <f aca="false">Calendario!DN$7</f>
        <v>10</v>
      </c>
      <c r="DO66" s="43" t="n">
        <f aca="false">Calendario!DO$7</f>
        <v>10</v>
      </c>
      <c r="DP66" s="43" t="n">
        <f aca="false">Calendario!DP$7</f>
        <v>10</v>
      </c>
      <c r="DQ66" s="43" t="n">
        <f aca="false">Calendario!DQ$7</f>
        <v>10</v>
      </c>
      <c r="DR66" s="43" t="n">
        <f aca="false">Calendario!DR$7</f>
        <v>10</v>
      </c>
      <c r="DS66" s="43" t="n">
        <f aca="false">Calendario!DS$7</f>
        <v>10</v>
      </c>
      <c r="DT66" s="43" t="n">
        <f aca="false">Calendario!DT$7</f>
        <v>10</v>
      </c>
      <c r="DU66" s="43" t="n">
        <f aca="false">Calendario!DU$7</f>
        <v>10</v>
      </c>
      <c r="DV66" s="43" t="n">
        <f aca="false">Calendario!DV$7</f>
        <v>10</v>
      </c>
      <c r="DW66" s="43" t="n">
        <f aca="false">Calendario!DW$7</f>
        <v>11</v>
      </c>
      <c r="DX66" s="43" t="n">
        <f aca="false">Calendario!DX$7</f>
        <v>11</v>
      </c>
      <c r="DY66" s="43" t="n">
        <f aca="false">Calendario!DY$7</f>
        <v>11</v>
      </c>
      <c r="DZ66" s="43" t="n">
        <f aca="false">Calendario!DZ$7</f>
        <v>11</v>
      </c>
      <c r="EA66" s="43" t="n">
        <f aca="false">Calendario!EA$7</f>
        <v>11</v>
      </c>
      <c r="EB66" s="43" t="n">
        <f aca="false">Calendario!EB$7</f>
        <v>11</v>
      </c>
      <c r="EC66" s="43" t="n">
        <f aca="false">Calendario!EC$7</f>
        <v>11</v>
      </c>
      <c r="ED66" s="43" t="n">
        <f aca="false">Calendario!ED$7</f>
        <v>11</v>
      </c>
      <c r="EE66" s="43" t="n">
        <f aca="false">Calendario!EE$7</f>
        <v>11</v>
      </c>
      <c r="EF66" s="43" t="n">
        <f aca="false">Calendario!EF$7</f>
        <v>11</v>
      </c>
      <c r="EG66" s="43" t="n">
        <f aca="false">Calendario!EG$7</f>
        <v>11</v>
      </c>
      <c r="EH66" s="43" t="n">
        <f aca="false">Calendario!EH$7</f>
        <v>11</v>
      </c>
      <c r="EI66" s="43" t="n">
        <f aca="false">Calendario!EI$7</f>
        <v>12</v>
      </c>
      <c r="EJ66" s="43" t="n">
        <f aca="false">Calendario!EJ$7</f>
        <v>12</v>
      </c>
      <c r="EK66" s="43" t="n">
        <f aca="false">Calendario!EK$7</f>
        <v>12</v>
      </c>
      <c r="EL66" s="43" t="n">
        <f aca="false">Calendario!EL$7</f>
        <v>12</v>
      </c>
      <c r="EM66" s="43" t="n">
        <f aca="false">Calendario!EM$7</f>
        <v>12</v>
      </c>
      <c r="EN66" s="43" t="n">
        <f aca="false">Calendario!EN$7</f>
        <v>12</v>
      </c>
      <c r="EO66" s="43" t="n">
        <f aca="false">Calendario!EO$7</f>
        <v>12</v>
      </c>
      <c r="EP66" s="43" t="n">
        <f aca="false">Calendario!EP$7</f>
        <v>12</v>
      </c>
      <c r="EQ66" s="43" t="n">
        <f aca="false">Calendario!EQ$7</f>
        <v>12</v>
      </c>
      <c r="ER66" s="43" t="n">
        <f aca="false">Calendario!ER$7</f>
        <v>12</v>
      </c>
      <c r="ES66" s="43" t="n">
        <f aca="false">Calendario!ES$7</f>
        <v>12</v>
      </c>
      <c r="ET66" s="43" t="n">
        <f aca="false">Calendario!ET$7</f>
        <v>12</v>
      </c>
      <c r="EU66" s="43" t="n">
        <f aca="false">Calendario!EU$7</f>
        <v>13</v>
      </c>
      <c r="EV66" s="43" t="n">
        <f aca="false">Calendario!EV$7</f>
        <v>13</v>
      </c>
      <c r="EW66" s="43" t="n">
        <f aca="false">Calendario!EW$7</f>
        <v>13</v>
      </c>
      <c r="EX66" s="43" t="n">
        <f aca="false">Calendario!EX$7</f>
        <v>13</v>
      </c>
      <c r="EY66" s="43" t="n">
        <f aca="false">Calendario!EY$7</f>
        <v>13</v>
      </c>
      <c r="EZ66" s="43" t="n">
        <f aca="false">Calendario!EZ$7</f>
        <v>13</v>
      </c>
      <c r="FA66" s="43" t="n">
        <f aca="false">Calendario!FA$7</f>
        <v>13</v>
      </c>
      <c r="FB66" s="43" t="n">
        <f aca="false">Calendario!FB$7</f>
        <v>13</v>
      </c>
      <c r="FC66" s="43" t="n">
        <f aca="false">Calendario!FC$7</f>
        <v>13</v>
      </c>
      <c r="FD66" s="43" t="n">
        <f aca="false">Calendario!FD$7</f>
        <v>13</v>
      </c>
      <c r="FE66" s="43" t="n">
        <f aca="false">Calendario!FE$7</f>
        <v>13</v>
      </c>
      <c r="FF66" s="43" t="n">
        <f aca="false">Calendario!FF$7</f>
        <v>13</v>
      </c>
    </row>
    <row r="67" customFormat="false" ht="15" hidden="false" customHeight="false" outlineLevel="0" collapsed="false">
      <c r="A67" s="8" t="s">
        <v>814</v>
      </c>
      <c r="B67" s="5" t="s">
        <v>815</v>
      </c>
      <c r="F67" s="43" t="n">
        <f aca="false">Calendario!F$11</f>
        <v>0</v>
      </c>
      <c r="G67" s="43" t="n">
        <f aca="false">Calendario!G$11</f>
        <v>1</v>
      </c>
      <c r="H67" s="43" t="n">
        <f aca="false">Calendario!H$11</f>
        <v>1</v>
      </c>
      <c r="I67" s="43" t="n">
        <f aca="false">Calendario!I$11</f>
        <v>1</v>
      </c>
      <c r="J67" s="43" t="n">
        <f aca="false">Calendario!J$11</f>
        <v>1</v>
      </c>
      <c r="K67" s="43" t="n">
        <f aca="false">Calendario!K$11</f>
        <v>1</v>
      </c>
      <c r="L67" s="43" t="n">
        <f aca="false">Calendario!L$11</f>
        <v>1</v>
      </c>
      <c r="M67" s="43" t="n">
        <f aca="false">Calendario!M$11</f>
        <v>1</v>
      </c>
      <c r="N67" s="43" t="n">
        <f aca="false">Calendario!N$11</f>
        <v>1</v>
      </c>
      <c r="O67" s="43" t="n">
        <f aca="false">Calendario!O$11</f>
        <v>1</v>
      </c>
      <c r="P67" s="43" t="n">
        <f aca="false">Calendario!P$11</f>
        <v>1</v>
      </c>
      <c r="Q67" s="43" t="n">
        <f aca="false">Calendario!Q$11</f>
        <v>1</v>
      </c>
      <c r="R67" s="43" t="n">
        <f aca="false">Calendario!R$11</f>
        <v>1</v>
      </c>
      <c r="S67" s="43" t="n">
        <f aca="false">Calendario!S$11</f>
        <v>2</v>
      </c>
      <c r="T67" s="43" t="n">
        <f aca="false">Calendario!T$11</f>
        <v>2</v>
      </c>
      <c r="U67" s="43" t="n">
        <f aca="false">Calendario!U$11</f>
        <v>2</v>
      </c>
      <c r="V67" s="43" t="n">
        <f aca="false">Calendario!V$11</f>
        <v>2</v>
      </c>
      <c r="W67" s="43" t="n">
        <f aca="false">Calendario!W$11</f>
        <v>2</v>
      </c>
      <c r="X67" s="43" t="n">
        <f aca="false">Calendario!X$11</f>
        <v>2</v>
      </c>
      <c r="Y67" s="43" t="n">
        <f aca="false">Calendario!Y$11</f>
        <v>2</v>
      </c>
      <c r="Z67" s="43" t="n">
        <f aca="false">Calendario!Z$11</f>
        <v>2</v>
      </c>
      <c r="AA67" s="43" t="n">
        <f aca="false">Calendario!AA$11</f>
        <v>2</v>
      </c>
      <c r="AB67" s="43" t="n">
        <f aca="false">Calendario!AB$11</f>
        <v>2</v>
      </c>
      <c r="AC67" s="43" t="n">
        <f aca="false">Calendario!AC$11</f>
        <v>2</v>
      </c>
      <c r="AD67" s="43" t="n">
        <f aca="false">Calendario!AD$11</f>
        <v>2</v>
      </c>
      <c r="AE67" s="43" t="n">
        <f aca="false">Calendario!AE$11</f>
        <v>3</v>
      </c>
      <c r="AF67" s="43" t="n">
        <f aca="false">Calendario!AF$11</f>
        <v>3</v>
      </c>
      <c r="AG67" s="43" t="n">
        <f aca="false">Calendario!AG$11</f>
        <v>3</v>
      </c>
      <c r="AH67" s="43" t="n">
        <f aca="false">Calendario!AH$11</f>
        <v>3</v>
      </c>
      <c r="AI67" s="43" t="n">
        <f aca="false">Calendario!AI$11</f>
        <v>3</v>
      </c>
      <c r="AJ67" s="43" t="n">
        <f aca="false">Calendario!AJ$11</f>
        <v>3</v>
      </c>
      <c r="AK67" s="43" t="n">
        <f aca="false">Calendario!AK$11</f>
        <v>3</v>
      </c>
      <c r="AL67" s="43" t="n">
        <f aca="false">Calendario!AL$11</f>
        <v>3</v>
      </c>
      <c r="AM67" s="43" t="n">
        <f aca="false">Calendario!AM$11</f>
        <v>3</v>
      </c>
      <c r="AN67" s="43" t="n">
        <f aca="false">Calendario!AN$11</f>
        <v>3</v>
      </c>
      <c r="AO67" s="43" t="n">
        <f aca="false">Calendario!AO$11</f>
        <v>3</v>
      </c>
      <c r="AP67" s="43" t="n">
        <f aca="false">Calendario!AP$11</f>
        <v>3</v>
      </c>
      <c r="AQ67" s="43" t="n">
        <f aca="false">Calendario!AQ$11</f>
        <v>4</v>
      </c>
      <c r="AR67" s="43" t="n">
        <f aca="false">Calendario!AR$11</f>
        <v>4</v>
      </c>
      <c r="AS67" s="43" t="n">
        <f aca="false">Calendario!AS$11</f>
        <v>4</v>
      </c>
      <c r="AT67" s="43" t="n">
        <f aca="false">Calendario!AT$11</f>
        <v>4</v>
      </c>
      <c r="AU67" s="43" t="n">
        <f aca="false">Calendario!AU$11</f>
        <v>4</v>
      </c>
      <c r="AV67" s="43" t="n">
        <f aca="false">Calendario!AV$11</f>
        <v>4</v>
      </c>
      <c r="AW67" s="43" t="n">
        <f aca="false">Calendario!AW$11</f>
        <v>4</v>
      </c>
      <c r="AX67" s="43" t="n">
        <f aca="false">Calendario!AX$11</f>
        <v>4</v>
      </c>
      <c r="AY67" s="43" t="n">
        <f aca="false">Calendario!AY$11</f>
        <v>4</v>
      </c>
      <c r="AZ67" s="43" t="n">
        <f aca="false">Calendario!AZ$11</f>
        <v>4</v>
      </c>
      <c r="BA67" s="43" t="n">
        <f aca="false">Calendario!BA$11</f>
        <v>4</v>
      </c>
      <c r="BB67" s="43" t="n">
        <f aca="false">Calendario!BB$11</f>
        <v>4</v>
      </c>
      <c r="BC67" s="43" t="n">
        <f aca="false">Calendario!BC$11</f>
        <v>5</v>
      </c>
      <c r="BD67" s="43" t="n">
        <f aca="false">Calendario!BD$11</f>
        <v>5</v>
      </c>
      <c r="BE67" s="43" t="n">
        <f aca="false">Calendario!BE$11</f>
        <v>5</v>
      </c>
      <c r="BF67" s="43" t="n">
        <f aca="false">Calendario!BF$11</f>
        <v>5</v>
      </c>
      <c r="BG67" s="43" t="n">
        <f aca="false">Calendario!BG$11</f>
        <v>5</v>
      </c>
      <c r="BH67" s="43" t="n">
        <f aca="false">Calendario!BH$11</f>
        <v>5</v>
      </c>
      <c r="BI67" s="43" t="n">
        <f aca="false">Calendario!BI$11</f>
        <v>5</v>
      </c>
      <c r="BJ67" s="43" t="n">
        <f aca="false">Calendario!BJ$11</f>
        <v>5</v>
      </c>
      <c r="BK67" s="43" t="n">
        <f aca="false">Calendario!BK$11</f>
        <v>5</v>
      </c>
      <c r="BL67" s="43" t="n">
        <f aca="false">Calendario!BL$11</f>
        <v>5</v>
      </c>
      <c r="BM67" s="43" t="n">
        <f aca="false">Calendario!BM$11</f>
        <v>5</v>
      </c>
      <c r="BN67" s="43" t="n">
        <f aca="false">Calendario!BN$11</f>
        <v>5</v>
      </c>
      <c r="BO67" s="43" t="n">
        <f aca="false">Calendario!BO$11</f>
        <v>6</v>
      </c>
      <c r="BP67" s="43" t="n">
        <f aca="false">Calendario!BP$11</f>
        <v>6</v>
      </c>
      <c r="BQ67" s="43" t="n">
        <f aca="false">Calendario!BQ$11</f>
        <v>6</v>
      </c>
      <c r="BR67" s="43" t="n">
        <f aca="false">Calendario!BR$11</f>
        <v>6</v>
      </c>
      <c r="BS67" s="43" t="n">
        <f aca="false">Calendario!BS$11</f>
        <v>6</v>
      </c>
      <c r="BT67" s="43" t="n">
        <f aca="false">Calendario!BT$11</f>
        <v>6</v>
      </c>
      <c r="BU67" s="43" t="n">
        <f aca="false">Calendario!BU$11</f>
        <v>6</v>
      </c>
      <c r="BV67" s="43" t="n">
        <f aca="false">Calendario!BV$11</f>
        <v>6</v>
      </c>
      <c r="BW67" s="43" t="n">
        <f aca="false">Calendario!BW$11</f>
        <v>6</v>
      </c>
      <c r="BX67" s="43" t="n">
        <f aca="false">Calendario!BX$11</f>
        <v>6</v>
      </c>
      <c r="BY67" s="43" t="n">
        <f aca="false">Calendario!BY$11</f>
        <v>6</v>
      </c>
      <c r="BZ67" s="43" t="n">
        <f aca="false">Calendario!BZ$11</f>
        <v>6</v>
      </c>
      <c r="CA67" s="43" t="n">
        <f aca="false">Calendario!CA$11</f>
        <v>7</v>
      </c>
      <c r="CB67" s="43" t="n">
        <f aca="false">Calendario!CB$11</f>
        <v>7</v>
      </c>
      <c r="CC67" s="43" t="n">
        <f aca="false">Calendario!CC$11</f>
        <v>7</v>
      </c>
      <c r="CD67" s="43" t="n">
        <f aca="false">Calendario!CD$11</f>
        <v>7</v>
      </c>
      <c r="CE67" s="43" t="n">
        <f aca="false">Calendario!CE$11</f>
        <v>7</v>
      </c>
      <c r="CF67" s="43" t="n">
        <f aca="false">Calendario!CF$11</f>
        <v>7</v>
      </c>
      <c r="CG67" s="43" t="n">
        <f aca="false">Calendario!CG$11</f>
        <v>7</v>
      </c>
      <c r="CH67" s="43" t="n">
        <f aca="false">Calendario!CH$11</f>
        <v>7</v>
      </c>
      <c r="CI67" s="43" t="n">
        <f aca="false">Calendario!CI$11</f>
        <v>7</v>
      </c>
      <c r="CJ67" s="43" t="n">
        <f aca="false">Calendario!CJ$11</f>
        <v>7</v>
      </c>
      <c r="CK67" s="43" t="n">
        <f aca="false">Calendario!CK$11</f>
        <v>7</v>
      </c>
      <c r="CL67" s="43" t="n">
        <f aca="false">Calendario!CL$11</f>
        <v>7</v>
      </c>
      <c r="CM67" s="43" t="n">
        <f aca="false">Calendario!CM$11</f>
        <v>8</v>
      </c>
      <c r="CN67" s="43" t="n">
        <f aca="false">Calendario!CN$11</f>
        <v>8</v>
      </c>
      <c r="CO67" s="43" t="n">
        <f aca="false">Calendario!CO$11</f>
        <v>8</v>
      </c>
      <c r="CP67" s="43" t="n">
        <f aca="false">Calendario!CP$11</f>
        <v>8</v>
      </c>
      <c r="CQ67" s="43" t="n">
        <f aca="false">Calendario!CQ$11</f>
        <v>8</v>
      </c>
      <c r="CR67" s="43" t="n">
        <f aca="false">Calendario!CR$11</f>
        <v>8</v>
      </c>
      <c r="CS67" s="43" t="n">
        <f aca="false">Calendario!CS$11</f>
        <v>8</v>
      </c>
      <c r="CT67" s="43" t="n">
        <f aca="false">Calendario!CT$11</f>
        <v>8</v>
      </c>
      <c r="CU67" s="43" t="n">
        <f aca="false">Calendario!CU$11</f>
        <v>8</v>
      </c>
      <c r="CV67" s="43" t="n">
        <f aca="false">Calendario!CV$11</f>
        <v>8</v>
      </c>
      <c r="CW67" s="43" t="n">
        <f aca="false">Calendario!CW$11</f>
        <v>8</v>
      </c>
      <c r="CX67" s="43" t="n">
        <f aca="false">Calendario!CX$11</f>
        <v>8</v>
      </c>
      <c r="CY67" s="43" t="n">
        <f aca="false">Calendario!CY$11</f>
        <v>9</v>
      </c>
      <c r="CZ67" s="43" t="n">
        <f aca="false">Calendario!CZ$11</f>
        <v>9</v>
      </c>
      <c r="DA67" s="43" t="n">
        <f aca="false">Calendario!DA$11</f>
        <v>9</v>
      </c>
      <c r="DB67" s="43" t="n">
        <f aca="false">Calendario!DB$11</f>
        <v>9</v>
      </c>
      <c r="DC67" s="43" t="n">
        <f aca="false">Calendario!DC$11</f>
        <v>9</v>
      </c>
      <c r="DD67" s="43" t="n">
        <f aca="false">Calendario!DD$11</f>
        <v>9</v>
      </c>
      <c r="DE67" s="43" t="n">
        <f aca="false">Calendario!DE$11</f>
        <v>9</v>
      </c>
      <c r="DF67" s="43" t="n">
        <f aca="false">Calendario!DF$11</f>
        <v>9</v>
      </c>
      <c r="DG67" s="43" t="n">
        <f aca="false">Calendario!DG$11</f>
        <v>9</v>
      </c>
      <c r="DH67" s="43" t="n">
        <f aca="false">Calendario!DH$11</f>
        <v>9</v>
      </c>
      <c r="DI67" s="43" t="n">
        <f aca="false">Calendario!DI$11</f>
        <v>9</v>
      </c>
      <c r="DJ67" s="43" t="n">
        <f aca="false">Calendario!DJ$11</f>
        <v>9</v>
      </c>
      <c r="DK67" s="43" t="n">
        <f aca="false">Calendario!DK$11</f>
        <v>10</v>
      </c>
      <c r="DL67" s="43" t="n">
        <f aca="false">Calendario!DL$11</f>
        <v>10</v>
      </c>
      <c r="DM67" s="43" t="n">
        <f aca="false">Calendario!DM$11</f>
        <v>10</v>
      </c>
      <c r="DN67" s="43" t="n">
        <f aca="false">Calendario!DN$11</f>
        <v>10</v>
      </c>
      <c r="DO67" s="43" t="n">
        <f aca="false">Calendario!DO$11</f>
        <v>10</v>
      </c>
      <c r="DP67" s="43" t="n">
        <f aca="false">Calendario!DP$11</f>
        <v>10</v>
      </c>
      <c r="DQ67" s="43" t="n">
        <f aca="false">Calendario!DQ$11</f>
        <v>10</v>
      </c>
      <c r="DR67" s="43" t="n">
        <f aca="false">Calendario!DR$11</f>
        <v>10</v>
      </c>
      <c r="DS67" s="43" t="n">
        <f aca="false">Calendario!DS$11</f>
        <v>10</v>
      </c>
      <c r="DT67" s="43" t="n">
        <f aca="false">Calendario!DT$11</f>
        <v>10</v>
      </c>
      <c r="DU67" s="43" t="n">
        <f aca="false">Calendario!DU$11</f>
        <v>10</v>
      </c>
      <c r="DV67" s="43" t="n">
        <f aca="false">Calendario!DV$11</f>
        <v>10</v>
      </c>
      <c r="DW67" s="43" t="n">
        <f aca="false">Calendario!DW$11</f>
        <v>0</v>
      </c>
      <c r="DX67" s="43" t="n">
        <f aca="false">Calendario!DX$11</f>
        <v>0</v>
      </c>
      <c r="DY67" s="43" t="n">
        <f aca="false">Calendario!DY$11</f>
        <v>0</v>
      </c>
      <c r="DZ67" s="43" t="n">
        <f aca="false">Calendario!DZ$11</f>
        <v>0</v>
      </c>
      <c r="EA67" s="43" t="n">
        <f aca="false">Calendario!EA$11</f>
        <v>0</v>
      </c>
      <c r="EB67" s="43" t="n">
        <f aca="false">Calendario!EB$11</f>
        <v>0</v>
      </c>
      <c r="EC67" s="43" t="n">
        <f aca="false">Calendario!EC$11</f>
        <v>0</v>
      </c>
      <c r="ED67" s="43" t="n">
        <f aca="false">Calendario!ED$11</f>
        <v>0</v>
      </c>
      <c r="EE67" s="43" t="n">
        <f aca="false">Calendario!EE$11</f>
        <v>0</v>
      </c>
      <c r="EF67" s="43" t="n">
        <f aca="false">Calendario!EF$11</f>
        <v>0</v>
      </c>
      <c r="EG67" s="43" t="n">
        <f aca="false">Calendario!EG$11</f>
        <v>0</v>
      </c>
      <c r="EH67" s="43" t="n">
        <f aca="false">Calendario!EH$11</f>
        <v>0</v>
      </c>
      <c r="EI67" s="43" t="n">
        <f aca="false">Calendario!EI$11</f>
        <v>0</v>
      </c>
      <c r="EJ67" s="43" t="n">
        <f aca="false">Calendario!EJ$11</f>
        <v>0</v>
      </c>
      <c r="EK67" s="43" t="n">
        <f aca="false">Calendario!EK$11</f>
        <v>0</v>
      </c>
      <c r="EL67" s="43" t="n">
        <f aca="false">Calendario!EL$11</f>
        <v>0</v>
      </c>
      <c r="EM67" s="43" t="n">
        <f aca="false">Calendario!EM$11</f>
        <v>0</v>
      </c>
      <c r="EN67" s="43" t="n">
        <f aca="false">Calendario!EN$11</f>
        <v>0</v>
      </c>
      <c r="EO67" s="43" t="n">
        <f aca="false">Calendario!EO$11</f>
        <v>0</v>
      </c>
      <c r="EP67" s="43" t="n">
        <f aca="false">Calendario!EP$11</f>
        <v>0</v>
      </c>
      <c r="EQ67" s="43" t="n">
        <f aca="false">Calendario!EQ$11</f>
        <v>0</v>
      </c>
      <c r="ER67" s="43" t="n">
        <f aca="false">Calendario!ER$11</f>
        <v>0</v>
      </c>
      <c r="ES67" s="43" t="n">
        <f aca="false">Calendario!ES$11</f>
        <v>0</v>
      </c>
      <c r="ET67" s="43" t="n">
        <f aca="false">Calendario!ET$11</f>
        <v>0</v>
      </c>
      <c r="EU67" s="43" t="n">
        <f aca="false">Calendario!EU$11</f>
        <v>0</v>
      </c>
      <c r="EV67" s="43" t="n">
        <f aca="false">Calendario!EV$11</f>
        <v>0</v>
      </c>
      <c r="EW67" s="43" t="n">
        <f aca="false">Calendario!EW$11</f>
        <v>0</v>
      </c>
      <c r="EX67" s="43" t="n">
        <f aca="false">Calendario!EX$11</f>
        <v>0</v>
      </c>
      <c r="EY67" s="43" t="n">
        <f aca="false">Calendario!EY$11</f>
        <v>0</v>
      </c>
      <c r="EZ67" s="43" t="n">
        <f aca="false">Calendario!EZ$11</f>
        <v>0</v>
      </c>
      <c r="FA67" s="43" t="n">
        <f aca="false">Calendario!FA$11</f>
        <v>0</v>
      </c>
      <c r="FB67" s="43" t="n">
        <f aca="false">Calendario!FB$11</f>
        <v>0</v>
      </c>
      <c r="FC67" s="43" t="n">
        <f aca="false">Calendario!FC$11</f>
        <v>0</v>
      </c>
      <c r="FD67" s="43" t="n">
        <f aca="false">Calendario!FD$11</f>
        <v>0</v>
      </c>
      <c r="FE67" s="43" t="n">
        <f aca="false">Calendario!FE$11</f>
        <v>0</v>
      </c>
      <c r="FF67" s="43" t="n">
        <f aca="false">Calendario!FF$11</f>
        <v>0</v>
      </c>
    </row>
    <row r="68" customFormat="false" ht="15" hidden="false" customHeight="false" outlineLevel="0" collapsed="false">
      <c r="A68" s="8" t="s">
        <v>816</v>
      </c>
      <c r="B68" s="5" t="s">
        <v>784</v>
      </c>
      <c r="F68" s="43" t="n">
        <f aca="false">Calendario!F$12</f>
        <v>0</v>
      </c>
      <c r="G68" s="43" t="n">
        <f aca="false">Calendario!G$12</f>
        <v>1</v>
      </c>
      <c r="H68" s="43" t="n">
        <f aca="false">Calendario!H$12</f>
        <v>1</v>
      </c>
      <c r="I68" s="43" t="n">
        <f aca="false">Calendario!I$12</f>
        <v>1</v>
      </c>
      <c r="J68" s="43" t="n">
        <f aca="false">Calendario!J$12</f>
        <v>1</v>
      </c>
      <c r="K68" s="43" t="n">
        <f aca="false">Calendario!K$12</f>
        <v>1</v>
      </c>
      <c r="L68" s="43" t="n">
        <f aca="false">Calendario!L$12</f>
        <v>1</v>
      </c>
      <c r="M68" s="43" t="n">
        <f aca="false">Calendario!M$12</f>
        <v>1</v>
      </c>
      <c r="N68" s="43" t="n">
        <f aca="false">Calendario!N$12</f>
        <v>1</v>
      </c>
      <c r="O68" s="43" t="n">
        <f aca="false">Calendario!O$12</f>
        <v>1</v>
      </c>
      <c r="P68" s="43" t="n">
        <f aca="false">Calendario!P$12</f>
        <v>1</v>
      </c>
      <c r="Q68" s="43" t="n">
        <f aca="false">Calendario!Q$12</f>
        <v>1</v>
      </c>
      <c r="R68" s="43" t="n">
        <f aca="false">Calendario!R$12</f>
        <v>1</v>
      </c>
      <c r="S68" s="43" t="n">
        <f aca="false">Calendario!S$12</f>
        <v>1</v>
      </c>
      <c r="T68" s="43" t="n">
        <f aca="false">Calendario!T$12</f>
        <v>1</v>
      </c>
      <c r="U68" s="43" t="n">
        <f aca="false">Calendario!U$12</f>
        <v>1</v>
      </c>
      <c r="V68" s="43" t="n">
        <f aca="false">Calendario!V$12</f>
        <v>1</v>
      </c>
      <c r="W68" s="43" t="n">
        <f aca="false">Calendario!W$12</f>
        <v>1</v>
      </c>
      <c r="X68" s="43" t="n">
        <f aca="false">Calendario!X$12</f>
        <v>1</v>
      </c>
      <c r="Y68" s="43" t="n">
        <f aca="false">Calendario!Y$12</f>
        <v>1</v>
      </c>
      <c r="Z68" s="43" t="n">
        <f aca="false">Calendario!Z$12</f>
        <v>1</v>
      </c>
      <c r="AA68" s="43" t="n">
        <f aca="false">Calendario!AA$12</f>
        <v>1</v>
      </c>
      <c r="AB68" s="43" t="n">
        <f aca="false">Calendario!AB$12</f>
        <v>1</v>
      </c>
      <c r="AC68" s="43" t="n">
        <f aca="false">Calendario!AC$12</f>
        <v>1</v>
      </c>
      <c r="AD68" s="43" t="n">
        <f aca="false">Calendario!AD$12</f>
        <v>1</v>
      </c>
      <c r="AE68" s="43" t="n">
        <f aca="false">Calendario!AE$12</f>
        <v>1</v>
      </c>
      <c r="AF68" s="43" t="n">
        <f aca="false">Calendario!AF$12</f>
        <v>1</v>
      </c>
      <c r="AG68" s="43" t="n">
        <f aca="false">Calendario!AG$12</f>
        <v>1</v>
      </c>
      <c r="AH68" s="43" t="n">
        <f aca="false">Calendario!AH$12</f>
        <v>1</v>
      </c>
      <c r="AI68" s="43" t="n">
        <f aca="false">Calendario!AI$12</f>
        <v>1</v>
      </c>
      <c r="AJ68" s="43" t="n">
        <f aca="false">Calendario!AJ$12</f>
        <v>1</v>
      </c>
      <c r="AK68" s="43" t="n">
        <f aca="false">Calendario!AK$12</f>
        <v>1</v>
      </c>
      <c r="AL68" s="43" t="n">
        <f aca="false">Calendario!AL$12</f>
        <v>1</v>
      </c>
      <c r="AM68" s="43" t="n">
        <f aca="false">Calendario!AM$12</f>
        <v>1</v>
      </c>
      <c r="AN68" s="43" t="n">
        <f aca="false">Calendario!AN$12</f>
        <v>1</v>
      </c>
      <c r="AO68" s="43" t="n">
        <f aca="false">Calendario!AO$12</f>
        <v>1</v>
      </c>
      <c r="AP68" s="43" t="n">
        <f aca="false">Calendario!AP$12</f>
        <v>1</v>
      </c>
      <c r="AQ68" s="43" t="n">
        <f aca="false">Calendario!AQ$12</f>
        <v>1</v>
      </c>
      <c r="AR68" s="43" t="n">
        <f aca="false">Calendario!AR$12</f>
        <v>1</v>
      </c>
      <c r="AS68" s="43" t="n">
        <f aca="false">Calendario!AS$12</f>
        <v>1</v>
      </c>
      <c r="AT68" s="43" t="n">
        <f aca="false">Calendario!AT$12</f>
        <v>1</v>
      </c>
      <c r="AU68" s="43" t="n">
        <f aca="false">Calendario!AU$12</f>
        <v>1</v>
      </c>
      <c r="AV68" s="43" t="n">
        <f aca="false">Calendario!AV$12</f>
        <v>1</v>
      </c>
      <c r="AW68" s="43" t="n">
        <f aca="false">Calendario!AW$12</f>
        <v>1</v>
      </c>
      <c r="AX68" s="43" t="n">
        <f aca="false">Calendario!AX$12</f>
        <v>1</v>
      </c>
      <c r="AY68" s="43" t="n">
        <f aca="false">Calendario!AY$12</f>
        <v>1</v>
      </c>
      <c r="AZ68" s="43" t="n">
        <f aca="false">Calendario!AZ$12</f>
        <v>1</v>
      </c>
      <c r="BA68" s="43" t="n">
        <f aca="false">Calendario!BA$12</f>
        <v>1</v>
      </c>
      <c r="BB68" s="43" t="n">
        <f aca="false">Calendario!BB$12</f>
        <v>1</v>
      </c>
      <c r="BC68" s="43" t="n">
        <f aca="false">Calendario!BC$12</f>
        <v>1</v>
      </c>
      <c r="BD68" s="43" t="n">
        <f aca="false">Calendario!BD$12</f>
        <v>1</v>
      </c>
      <c r="BE68" s="43" t="n">
        <f aca="false">Calendario!BE$12</f>
        <v>1</v>
      </c>
      <c r="BF68" s="43" t="n">
        <f aca="false">Calendario!BF$12</f>
        <v>1</v>
      </c>
      <c r="BG68" s="43" t="n">
        <f aca="false">Calendario!BG$12</f>
        <v>1</v>
      </c>
      <c r="BH68" s="43" t="n">
        <f aca="false">Calendario!BH$12</f>
        <v>1</v>
      </c>
      <c r="BI68" s="43" t="n">
        <f aca="false">Calendario!BI$12</f>
        <v>1</v>
      </c>
      <c r="BJ68" s="43" t="n">
        <f aca="false">Calendario!BJ$12</f>
        <v>1</v>
      </c>
      <c r="BK68" s="43" t="n">
        <f aca="false">Calendario!BK$12</f>
        <v>1</v>
      </c>
      <c r="BL68" s="43" t="n">
        <f aca="false">Calendario!BL$12</f>
        <v>1</v>
      </c>
      <c r="BM68" s="43" t="n">
        <f aca="false">Calendario!BM$12</f>
        <v>1</v>
      </c>
      <c r="BN68" s="43" t="n">
        <f aca="false">Calendario!BN$12</f>
        <v>1</v>
      </c>
      <c r="BO68" s="43" t="n">
        <f aca="false">Calendario!BO$12</f>
        <v>1</v>
      </c>
      <c r="BP68" s="43" t="n">
        <f aca="false">Calendario!BP$12</f>
        <v>1</v>
      </c>
      <c r="BQ68" s="43" t="n">
        <f aca="false">Calendario!BQ$12</f>
        <v>1</v>
      </c>
      <c r="BR68" s="43" t="n">
        <f aca="false">Calendario!BR$12</f>
        <v>1</v>
      </c>
      <c r="BS68" s="43" t="n">
        <f aca="false">Calendario!BS$12</f>
        <v>1</v>
      </c>
      <c r="BT68" s="43" t="n">
        <f aca="false">Calendario!BT$12</f>
        <v>1</v>
      </c>
      <c r="BU68" s="43" t="n">
        <f aca="false">Calendario!BU$12</f>
        <v>1</v>
      </c>
      <c r="BV68" s="43" t="n">
        <f aca="false">Calendario!BV$12</f>
        <v>1</v>
      </c>
      <c r="BW68" s="43" t="n">
        <f aca="false">Calendario!BW$12</f>
        <v>1</v>
      </c>
      <c r="BX68" s="43" t="n">
        <f aca="false">Calendario!BX$12</f>
        <v>1</v>
      </c>
      <c r="BY68" s="43" t="n">
        <f aca="false">Calendario!BY$12</f>
        <v>1</v>
      </c>
      <c r="BZ68" s="43" t="n">
        <f aca="false">Calendario!BZ$12</f>
        <v>1</v>
      </c>
      <c r="CA68" s="43" t="n">
        <f aca="false">Calendario!CA$12</f>
        <v>1</v>
      </c>
      <c r="CB68" s="43" t="n">
        <f aca="false">Calendario!CB$12</f>
        <v>1</v>
      </c>
      <c r="CC68" s="43" t="n">
        <f aca="false">Calendario!CC$12</f>
        <v>1</v>
      </c>
      <c r="CD68" s="43" t="n">
        <f aca="false">Calendario!CD$12</f>
        <v>1</v>
      </c>
      <c r="CE68" s="43" t="n">
        <f aca="false">Calendario!CE$12</f>
        <v>1</v>
      </c>
      <c r="CF68" s="43" t="n">
        <f aca="false">Calendario!CF$12</f>
        <v>1</v>
      </c>
      <c r="CG68" s="43" t="n">
        <f aca="false">Calendario!CG$12</f>
        <v>1</v>
      </c>
      <c r="CH68" s="43" t="n">
        <f aca="false">Calendario!CH$12</f>
        <v>1</v>
      </c>
      <c r="CI68" s="43" t="n">
        <f aca="false">Calendario!CI$12</f>
        <v>1</v>
      </c>
      <c r="CJ68" s="43" t="n">
        <f aca="false">Calendario!CJ$12</f>
        <v>1</v>
      </c>
      <c r="CK68" s="43" t="n">
        <f aca="false">Calendario!CK$12</f>
        <v>1</v>
      </c>
      <c r="CL68" s="43" t="n">
        <f aca="false">Calendario!CL$12</f>
        <v>1</v>
      </c>
      <c r="CM68" s="43" t="n">
        <f aca="false">Calendario!CM$12</f>
        <v>1</v>
      </c>
      <c r="CN68" s="43" t="n">
        <f aca="false">Calendario!CN$12</f>
        <v>1</v>
      </c>
      <c r="CO68" s="43" t="n">
        <f aca="false">Calendario!CO$12</f>
        <v>1</v>
      </c>
      <c r="CP68" s="43" t="n">
        <f aca="false">Calendario!CP$12</f>
        <v>1</v>
      </c>
      <c r="CQ68" s="43" t="n">
        <f aca="false">Calendario!CQ$12</f>
        <v>1</v>
      </c>
      <c r="CR68" s="43" t="n">
        <f aca="false">Calendario!CR$12</f>
        <v>1</v>
      </c>
      <c r="CS68" s="43" t="n">
        <f aca="false">Calendario!CS$12</f>
        <v>1</v>
      </c>
      <c r="CT68" s="43" t="n">
        <f aca="false">Calendario!CT$12</f>
        <v>1</v>
      </c>
      <c r="CU68" s="43" t="n">
        <f aca="false">Calendario!CU$12</f>
        <v>1</v>
      </c>
      <c r="CV68" s="43" t="n">
        <f aca="false">Calendario!CV$12</f>
        <v>1</v>
      </c>
      <c r="CW68" s="43" t="n">
        <f aca="false">Calendario!CW$12</f>
        <v>1</v>
      </c>
      <c r="CX68" s="43" t="n">
        <f aca="false">Calendario!CX$12</f>
        <v>1</v>
      </c>
      <c r="CY68" s="43" t="n">
        <f aca="false">Calendario!CY$12</f>
        <v>1</v>
      </c>
      <c r="CZ68" s="43" t="n">
        <f aca="false">Calendario!CZ$12</f>
        <v>1</v>
      </c>
      <c r="DA68" s="43" t="n">
        <f aca="false">Calendario!DA$12</f>
        <v>1</v>
      </c>
      <c r="DB68" s="43" t="n">
        <f aca="false">Calendario!DB$12</f>
        <v>1</v>
      </c>
      <c r="DC68" s="43" t="n">
        <f aca="false">Calendario!DC$12</f>
        <v>1</v>
      </c>
      <c r="DD68" s="43" t="n">
        <f aca="false">Calendario!DD$12</f>
        <v>1</v>
      </c>
      <c r="DE68" s="43" t="n">
        <f aca="false">Calendario!DE$12</f>
        <v>1</v>
      </c>
      <c r="DF68" s="43" t="n">
        <f aca="false">Calendario!DF$12</f>
        <v>1</v>
      </c>
      <c r="DG68" s="43" t="n">
        <f aca="false">Calendario!DG$12</f>
        <v>1</v>
      </c>
      <c r="DH68" s="43" t="n">
        <f aca="false">Calendario!DH$12</f>
        <v>1</v>
      </c>
      <c r="DI68" s="43" t="n">
        <f aca="false">Calendario!DI$12</f>
        <v>1</v>
      </c>
      <c r="DJ68" s="43" t="n">
        <f aca="false">Calendario!DJ$12</f>
        <v>1</v>
      </c>
      <c r="DK68" s="43" t="n">
        <f aca="false">Calendario!DK$12</f>
        <v>1</v>
      </c>
      <c r="DL68" s="43" t="n">
        <f aca="false">Calendario!DL$12</f>
        <v>1</v>
      </c>
      <c r="DM68" s="43" t="n">
        <f aca="false">Calendario!DM$12</f>
        <v>1</v>
      </c>
      <c r="DN68" s="43" t="n">
        <f aca="false">Calendario!DN$12</f>
        <v>1</v>
      </c>
      <c r="DO68" s="43" t="n">
        <f aca="false">Calendario!DO$12</f>
        <v>1</v>
      </c>
      <c r="DP68" s="43" t="n">
        <f aca="false">Calendario!DP$12</f>
        <v>1</v>
      </c>
      <c r="DQ68" s="43" t="n">
        <f aca="false">Calendario!DQ$12</f>
        <v>1</v>
      </c>
      <c r="DR68" s="43" t="n">
        <f aca="false">Calendario!DR$12</f>
        <v>1</v>
      </c>
      <c r="DS68" s="43" t="n">
        <f aca="false">Calendario!DS$12</f>
        <v>1</v>
      </c>
      <c r="DT68" s="43" t="n">
        <f aca="false">Calendario!DT$12</f>
        <v>1</v>
      </c>
      <c r="DU68" s="43" t="n">
        <f aca="false">Calendario!DU$12</f>
        <v>1</v>
      </c>
      <c r="DV68" s="43" t="n">
        <f aca="false">Calendario!DV$12</f>
        <v>1</v>
      </c>
      <c r="DW68" s="43" t="n">
        <f aca="false">Calendario!DW$12</f>
        <v>0</v>
      </c>
      <c r="DX68" s="43" t="n">
        <f aca="false">Calendario!DX$12</f>
        <v>0</v>
      </c>
      <c r="DY68" s="43" t="n">
        <f aca="false">Calendario!DY$12</f>
        <v>0</v>
      </c>
      <c r="DZ68" s="43" t="n">
        <f aca="false">Calendario!DZ$12</f>
        <v>0</v>
      </c>
      <c r="EA68" s="43" t="n">
        <f aca="false">Calendario!EA$12</f>
        <v>0</v>
      </c>
      <c r="EB68" s="43" t="n">
        <f aca="false">Calendario!EB$12</f>
        <v>0</v>
      </c>
      <c r="EC68" s="43" t="n">
        <f aca="false">Calendario!EC$12</f>
        <v>0</v>
      </c>
      <c r="ED68" s="43" t="n">
        <f aca="false">Calendario!ED$12</f>
        <v>0</v>
      </c>
      <c r="EE68" s="43" t="n">
        <f aca="false">Calendario!EE$12</f>
        <v>0</v>
      </c>
      <c r="EF68" s="43" t="n">
        <f aca="false">Calendario!EF$12</f>
        <v>0</v>
      </c>
      <c r="EG68" s="43" t="n">
        <f aca="false">Calendario!EG$12</f>
        <v>0</v>
      </c>
      <c r="EH68" s="43" t="n">
        <f aca="false">Calendario!EH$12</f>
        <v>0</v>
      </c>
      <c r="EI68" s="43" t="n">
        <f aca="false">Calendario!EI$12</f>
        <v>0</v>
      </c>
      <c r="EJ68" s="43" t="n">
        <f aca="false">Calendario!EJ$12</f>
        <v>0</v>
      </c>
      <c r="EK68" s="43" t="n">
        <f aca="false">Calendario!EK$12</f>
        <v>0</v>
      </c>
      <c r="EL68" s="43" t="n">
        <f aca="false">Calendario!EL$12</f>
        <v>0</v>
      </c>
      <c r="EM68" s="43" t="n">
        <f aca="false">Calendario!EM$12</f>
        <v>0</v>
      </c>
      <c r="EN68" s="43" t="n">
        <f aca="false">Calendario!EN$12</f>
        <v>0</v>
      </c>
      <c r="EO68" s="43" t="n">
        <f aca="false">Calendario!EO$12</f>
        <v>0</v>
      </c>
      <c r="EP68" s="43" t="n">
        <f aca="false">Calendario!EP$12</f>
        <v>0</v>
      </c>
      <c r="EQ68" s="43" t="n">
        <f aca="false">Calendario!EQ$12</f>
        <v>0</v>
      </c>
      <c r="ER68" s="43" t="n">
        <f aca="false">Calendario!ER$12</f>
        <v>0</v>
      </c>
      <c r="ES68" s="43" t="n">
        <f aca="false">Calendario!ES$12</f>
        <v>0</v>
      </c>
      <c r="ET68" s="43" t="n">
        <f aca="false">Calendario!ET$12</f>
        <v>0</v>
      </c>
      <c r="EU68" s="43" t="n">
        <f aca="false">Calendario!EU$12</f>
        <v>0</v>
      </c>
      <c r="EV68" s="43" t="n">
        <f aca="false">Calendario!EV$12</f>
        <v>0</v>
      </c>
      <c r="EW68" s="43" t="n">
        <f aca="false">Calendario!EW$12</f>
        <v>0</v>
      </c>
      <c r="EX68" s="43" t="n">
        <f aca="false">Calendario!EX$12</f>
        <v>0</v>
      </c>
      <c r="EY68" s="43" t="n">
        <f aca="false">Calendario!EY$12</f>
        <v>0</v>
      </c>
      <c r="EZ68" s="43" t="n">
        <f aca="false">Calendario!EZ$12</f>
        <v>0</v>
      </c>
      <c r="FA68" s="43" t="n">
        <f aca="false">Calendario!FA$12</f>
        <v>0</v>
      </c>
      <c r="FB68" s="43" t="n">
        <f aca="false">Calendario!FB$12</f>
        <v>0</v>
      </c>
      <c r="FC68" s="43" t="n">
        <f aca="false">Calendario!FC$12</f>
        <v>0</v>
      </c>
      <c r="FD68" s="43" t="n">
        <f aca="false">Calendario!FD$12</f>
        <v>0</v>
      </c>
      <c r="FE68" s="43" t="n">
        <f aca="false">Calendario!FE$12</f>
        <v>0</v>
      </c>
      <c r="FF68" s="43" t="n">
        <f aca="false">Calendario!FF$12</f>
        <v>0</v>
      </c>
    </row>
    <row r="69" customFormat="false" ht="15" hidden="false" customHeight="false" outlineLevel="0" collapsed="false">
      <c r="A69" s="8" t="s">
        <v>817</v>
      </c>
      <c r="B69" s="5" t="s">
        <v>818</v>
      </c>
      <c r="F69" s="43" t="n">
        <f aca="false">Calendario!F$18</f>
        <v>0</v>
      </c>
      <c r="G69" s="43" t="n">
        <f aca="false">Calendario!G$18</f>
        <v>0</v>
      </c>
      <c r="H69" s="43" t="n">
        <f aca="false">Calendario!H$18</f>
        <v>0</v>
      </c>
      <c r="I69" s="43" t="n">
        <f aca="false">Calendario!I$18</f>
        <v>0</v>
      </c>
      <c r="J69" s="43" t="n">
        <f aca="false">Calendario!J$18</f>
        <v>0</v>
      </c>
      <c r="K69" s="43" t="n">
        <f aca="false">Calendario!K$18</f>
        <v>0</v>
      </c>
      <c r="L69" s="43" t="n">
        <f aca="false">Calendario!L$18</f>
        <v>0</v>
      </c>
      <c r="M69" s="43" t="n">
        <f aca="false">Calendario!M$18</f>
        <v>0</v>
      </c>
      <c r="N69" s="43" t="n">
        <f aca="false">Calendario!N$18</f>
        <v>0</v>
      </c>
      <c r="O69" s="43" t="n">
        <f aca="false">Calendario!O$18</f>
        <v>0</v>
      </c>
      <c r="P69" s="43" t="n">
        <f aca="false">Calendario!P$18</f>
        <v>0</v>
      </c>
      <c r="Q69" s="43" t="n">
        <f aca="false">Calendario!Q$18</f>
        <v>0</v>
      </c>
      <c r="R69" s="43" t="n">
        <f aca="false">Calendario!R$18</f>
        <v>0</v>
      </c>
      <c r="S69" s="43" t="n">
        <f aca="false">Calendario!S$18</f>
        <v>0</v>
      </c>
      <c r="T69" s="43" t="n">
        <f aca="false">Calendario!T$18</f>
        <v>0</v>
      </c>
      <c r="U69" s="43" t="n">
        <f aca="false">Calendario!U$18</f>
        <v>0</v>
      </c>
      <c r="V69" s="43" t="n">
        <f aca="false">Calendario!V$18</f>
        <v>0</v>
      </c>
      <c r="W69" s="43" t="n">
        <f aca="false">Calendario!W$18</f>
        <v>0</v>
      </c>
      <c r="X69" s="43" t="n">
        <f aca="false">Calendario!X$18</f>
        <v>0</v>
      </c>
      <c r="Y69" s="43" t="n">
        <f aca="false">Calendario!Y$18</f>
        <v>0</v>
      </c>
      <c r="Z69" s="43" t="n">
        <f aca="false">Calendario!Z$18</f>
        <v>0</v>
      </c>
      <c r="AA69" s="43" t="n">
        <f aca="false">Calendario!AA$18</f>
        <v>0</v>
      </c>
      <c r="AB69" s="43" t="n">
        <f aca="false">Calendario!AB$18</f>
        <v>0</v>
      </c>
      <c r="AC69" s="43" t="n">
        <f aca="false">Calendario!AC$18</f>
        <v>0</v>
      </c>
      <c r="AD69" s="43" t="n">
        <f aca="false">Calendario!AD$18</f>
        <v>0</v>
      </c>
      <c r="AE69" s="43" t="n">
        <f aca="false">Calendario!AE$18</f>
        <v>0</v>
      </c>
      <c r="AF69" s="43" t="n">
        <f aca="false">Calendario!AF$18</f>
        <v>0</v>
      </c>
      <c r="AG69" s="43" t="n">
        <f aca="false">Calendario!AG$18</f>
        <v>0</v>
      </c>
      <c r="AH69" s="43" t="n">
        <f aca="false">Calendario!AH$18</f>
        <v>0</v>
      </c>
      <c r="AI69" s="43" t="n">
        <f aca="false">Calendario!AI$18</f>
        <v>0</v>
      </c>
      <c r="AJ69" s="43" t="n">
        <f aca="false">Calendario!AJ$18</f>
        <v>0</v>
      </c>
      <c r="AK69" s="43" t="n">
        <f aca="false">Calendario!AK$18</f>
        <v>0</v>
      </c>
      <c r="AL69" s="43" t="n">
        <f aca="false">Calendario!AL$18</f>
        <v>0</v>
      </c>
      <c r="AM69" s="43" t="n">
        <f aca="false">Calendario!AM$18</f>
        <v>0</v>
      </c>
      <c r="AN69" s="43" t="n">
        <f aca="false">Calendario!AN$18</f>
        <v>0</v>
      </c>
      <c r="AO69" s="43" t="n">
        <f aca="false">Calendario!AO$18</f>
        <v>0</v>
      </c>
      <c r="AP69" s="43" t="n">
        <f aca="false">Calendario!AP$18</f>
        <v>0</v>
      </c>
      <c r="AQ69" s="43" t="n">
        <f aca="false">Calendario!AQ$18</f>
        <v>0</v>
      </c>
      <c r="AR69" s="43" t="n">
        <f aca="false">Calendario!AR$18</f>
        <v>0</v>
      </c>
      <c r="AS69" s="43" t="n">
        <f aca="false">Calendario!AS$18</f>
        <v>0</v>
      </c>
      <c r="AT69" s="43" t="n">
        <f aca="false">Calendario!AT$18</f>
        <v>0</v>
      </c>
      <c r="AU69" s="43" t="n">
        <f aca="false">Calendario!AU$18</f>
        <v>0</v>
      </c>
      <c r="AV69" s="43" t="n">
        <f aca="false">Calendario!AV$18</f>
        <v>0</v>
      </c>
      <c r="AW69" s="43" t="n">
        <f aca="false">Calendario!AW$18</f>
        <v>0</v>
      </c>
      <c r="AX69" s="43" t="n">
        <f aca="false">Calendario!AX$18</f>
        <v>0</v>
      </c>
      <c r="AY69" s="43" t="n">
        <f aca="false">Calendario!AY$18</f>
        <v>0</v>
      </c>
      <c r="AZ69" s="43" t="n">
        <f aca="false">Calendario!AZ$18</f>
        <v>0</v>
      </c>
      <c r="BA69" s="43" t="n">
        <f aca="false">Calendario!BA$18</f>
        <v>0</v>
      </c>
      <c r="BB69" s="43" t="n">
        <f aca="false">Calendario!BB$18</f>
        <v>0</v>
      </c>
      <c r="BC69" s="43" t="n">
        <f aca="false">Calendario!BC$18</f>
        <v>0</v>
      </c>
      <c r="BD69" s="43" t="n">
        <f aca="false">Calendario!BD$18</f>
        <v>0</v>
      </c>
      <c r="BE69" s="43" t="n">
        <f aca="false">Calendario!BE$18</f>
        <v>0</v>
      </c>
      <c r="BF69" s="43" t="n">
        <f aca="false">Calendario!BF$18</f>
        <v>0</v>
      </c>
      <c r="BG69" s="43" t="n">
        <f aca="false">Calendario!BG$18</f>
        <v>0</v>
      </c>
      <c r="BH69" s="43" t="n">
        <f aca="false">Calendario!BH$18</f>
        <v>0</v>
      </c>
      <c r="BI69" s="43" t="n">
        <f aca="false">Calendario!BI$18</f>
        <v>0</v>
      </c>
      <c r="BJ69" s="43" t="n">
        <f aca="false">Calendario!BJ$18</f>
        <v>0</v>
      </c>
      <c r="BK69" s="43" t="n">
        <f aca="false">Calendario!BK$18</f>
        <v>0</v>
      </c>
      <c r="BL69" s="43" t="n">
        <f aca="false">Calendario!BL$18</f>
        <v>0</v>
      </c>
      <c r="BM69" s="43" t="n">
        <f aca="false">Calendario!BM$18</f>
        <v>0</v>
      </c>
      <c r="BN69" s="43" t="n">
        <f aca="false">Calendario!BN$18</f>
        <v>0</v>
      </c>
      <c r="BO69" s="43" t="n">
        <f aca="false">Calendario!BO$18</f>
        <v>0</v>
      </c>
      <c r="BP69" s="43" t="n">
        <f aca="false">Calendario!BP$18</f>
        <v>0</v>
      </c>
      <c r="BQ69" s="43" t="n">
        <f aca="false">Calendario!BQ$18</f>
        <v>0</v>
      </c>
      <c r="BR69" s="43" t="n">
        <f aca="false">Calendario!BR$18</f>
        <v>0</v>
      </c>
      <c r="BS69" s="43" t="n">
        <f aca="false">Calendario!BS$18</f>
        <v>0</v>
      </c>
      <c r="BT69" s="43" t="n">
        <f aca="false">Calendario!BT$18</f>
        <v>0</v>
      </c>
      <c r="BU69" s="43" t="n">
        <f aca="false">Calendario!BU$18</f>
        <v>0</v>
      </c>
      <c r="BV69" s="43" t="n">
        <f aca="false">Calendario!BV$18</f>
        <v>0</v>
      </c>
      <c r="BW69" s="43" t="n">
        <f aca="false">Calendario!BW$18</f>
        <v>0</v>
      </c>
      <c r="BX69" s="43" t="n">
        <f aca="false">Calendario!BX$18</f>
        <v>0</v>
      </c>
      <c r="BY69" s="43" t="n">
        <f aca="false">Calendario!BY$18</f>
        <v>0</v>
      </c>
      <c r="BZ69" s="43" t="n">
        <f aca="false">Calendario!BZ$18</f>
        <v>0</v>
      </c>
      <c r="CA69" s="43" t="n">
        <f aca="false">Calendario!CA$18</f>
        <v>0</v>
      </c>
      <c r="CB69" s="43" t="n">
        <f aca="false">Calendario!CB$18</f>
        <v>0</v>
      </c>
      <c r="CC69" s="43" t="n">
        <f aca="false">Calendario!CC$18</f>
        <v>0</v>
      </c>
      <c r="CD69" s="43" t="n">
        <f aca="false">Calendario!CD$18</f>
        <v>0</v>
      </c>
      <c r="CE69" s="43" t="n">
        <f aca="false">Calendario!CE$18</f>
        <v>0</v>
      </c>
      <c r="CF69" s="43" t="n">
        <f aca="false">Calendario!CF$18</f>
        <v>0</v>
      </c>
      <c r="CG69" s="43" t="n">
        <f aca="false">Calendario!CG$18</f>
        <v>0</v>
      </c>
      <c r="CH69" s="43" t="n">
        <f aca="false">Calendario!CH$18</f>
        <v>0</v>
      </c>
      <c r="CI69" s="43" t="n">
        <f aca="false">Calendario!CI$18</f>
        <v>0</v>
      </c>
      <c r="CJ69" s="43" t="n">
        <f aca="false">Calendario!CJ$18</f>
        <v>0</v>
      </c>
      <c r="CK69" s="43" t="n">
        <f aca="false">Calendario!CK$18</f>
        <v>0</v>
      </c>
      <c r="CL69" s="43" t="n">
        <f aca="false">Calendario!CL$18</f>
        <v>0</v>
      </c>
      <c r="CM69" s="43" t="n">
        <f aca="false">Calendario!CM$18</f>
        <v>0</v>
      </c>
      <c r="CN69" s="43" t="n">
        <f aca="false">Calendario!CN$18</f>
        <v>0</v>
      </c>
      <c r="CO69" s="43" t="n">
        <f aca="false">Calendario!CO$18</f>
        <v>0</v>
      </c>
      <c r="CP69" s="43" t="n">
        <f aca="false">Calendario!CP$18</f>
        <v>0</v>
      </c>
      <c r="CQ69" s="43" t="n">
        <f aca="false">Calendario!CQ$18</f>
        <v>0</v>
      </c>
      <c r="CR69" s="43" t="n">
        <f aca="false">Calendario!CR$18</f>
        <v>0</v>
      </c>
      <c r="CS69" s="43" t="n">
        <f aca="false">Calendario!CS$18</f>
        <v>0</v>
      </c>
      <c r="CT69" s="43" t="n">
        <f aca="false">Calendario!CT$18</f>
        <v>0</v>
      </c>
      <c r="CU69" s="43" t="n">
        <f aca="false">Calendario!CU$18</f>
        <v>0</v>
      </c>
      <c r="CV69" s="43" t="n">
        <f aca="false">Calendario!CV$18</f>
        <v>0</v>
      </c>
      <c r="CW69" s="43" t="n">
        <f aca="false">Calendario!CW$18</f>
        <v>0</v>
      </c>
      <c r="CX69" s="43" t="n">
        <f aca="false">Calendario!CX$18</f>
        <v>0</v>
      </c>
      <c r="CY69" s="43" t="n">
        <f aca="false">Calendario!CY$18</f>
        <v>0</v>
      </c>
      <c r="CZ69" s="43" t="n">
        <f aca="false">Calendario!CZ$18</f>
        <v>0</v>
      </c>
      <c r="DA69" s="43" t="n">
        <f aca="false">Calendario!DA$18</f>
        <v>0</v>
      </c>
      <c r="DB69" s="43" t="n">
        <f aca="false">Calendario!DB$18</f>
        <v>0</v>
      </c>
      <c r="DC69" s="43" t="n">
        <f aca="false">Calendario!DC$18</f>
        <v>0</v>
      </c>
      <c r="DD69" s="43" t="n">
        <f aca="false">Calendario!DD$18</f>
        <v>0</v>
      </c>
      <c r="DE69" s="43" t="n">
        <f aca="false">Calendario!DE$18</f>
        <v>0</v>
      </c>
      <c r="DF69" s="43" t="n">
        <f aca="false">Calendario!DF$18</f>
        <v>0</v>
      </c>
      <c r="DG69" s="43" t="n">
        <f aca="false">Calendario!DG$18</f>
        <v>0</v>
      </c>
      <c r="DH69" s="43" t="n">
        <f aca="false">Calendario!DH$18</f>
        <v>0</v>
      </c>
      <c r="DI69" s="43" t="n">
        <f aca="false">Calendario!DI$18</f>
        <v>0</v>
      </c>
      <c r="DJ69" s="43" t="n">
        <f aca="false">Calendario!DJ$18</f>
        <v>0</v>
      </c>
      <c r="DK69" s="43" t="n">
        <f aca="false">Calendario!DK$18</f>
        <v>0</v>
      </c>
      <c r="DL69" s="43" t="n">
        <f aca="false">Calendario!DL$18</f>
        <v>0</v>
      </c>
      <c r="DM69" s="43" t="n">
        <f aca="false">Calendario!DM$18</f>
        <v>0</v>
      </c>
      <c r="DN69" s="43" t="n">
        <f aca="false">Calendario!DN$18</f>
        <v>0</v>
      </c>
      <c r="DO69" s="43" t="n">
        <f aca="false">Calendario!DO$18</f>
        <v>0</v>
      </c>
      <c r="DP69" s="43" t="n">
        <f aca="false">Calendario!DP$18</f>
        <v>0</v>
      </c>
      <c r="DQ69" s="43" t="n">
        <f aca="false">Calendario!DQ$18</f>
        <v>0</v>
      </c>
      <c r="DR69" s="43" t="n">
        <f aca="false">Calendario!DR$18</f>
        <v>0</v>
      </c>
      <c r="DS69" s="43" t="n">
        <f aca="false">Calendario!DS$18</f>
        <v>0</v>
      </c>
      <c r="DT69" s="43" t="n">
        <f aca="false">Calendario!DT$18</f>
        <v>0</v>
      </c>
      <c r="DU69" s="43" t="n">
        <f aca="false">Calendario!DU$18</f>
        <v>0</v>
      </c>
      <c r="DV69" s="43" t="n">
        <f aca="false">Calendario!DV$18</f>
        <v>0</v>
      </c>
      <c r="DW69" s="43" t="n">
        <f aca="false">Calendario!DW$18</f>
        <v>0</v>
      </c>
      <c r="DX69" s="43" t="n">
        <f aca="false">Calendario!DX$18</f>
        <v>0</v>
      </c>
      <c r="DY69" s="43" t="n">
        <f aca="false">Calendario!DY$18</f>
        <v>0</v>
      </c>
      <c r="DZ69" s="43" t="n">
        <f aca="false">Calendario!DZ$18</f>
        <v>0</v>
      </c>
      <c r="EA69" s="43" t="n">
        <f aca="false">Calendario!EA$18</f>
        <v>0</v>
      </c>
      <c r="EB69" s="43" t="n">
        <f aca="false">Calendario!EB$18</f>
        <v>0</v>
      </c>
      <c r="EC69" s="43" t="n">
        <f aca="false">Calendario!EC$18</f>
        <v>0</v>
      </c>
      <c r="ED69" s="43" t="n">
        <f aca="false">Calendario!ED$18</f>
        <v>0</v>
      </c>
      <c r="EE69" s="43" t="n">
        <f aca="false">Calendario!EE$18</f>
        <v>0</v>
      </c>
      <c r="EF69" s="43" t="n">
        <f aca="false">Calendario!EF$18</f>
        <v>0</v>
      </c>
      <c r="EG69" s="43" t="n">
        <f aca="false">Calendario!EG$18</f>
        <v>0</v>
      </c>
      <c r="EH69" s="43" t="n">
        <f aca="false">Calendario!EH$18</f>
        <v>0</v>
      </c>
      <c r="EI69" s="43" t="n">
        <f aca="false">Calendario!EI$18</f>
        <v>0</v>
      </c>
      <c r="EJ69" s="43" t="n">
        <f aca="false">Calendario!EJ$18</f>
        <v>0</v>
      </c>
      <c r="EK69" s="43" t="n">
        <f aca="false">Calendario!EK$18</f>
        <v>0</v>
      </c>
      <c r="EL69" s="43" t="n">
        <f aca="false">Calendario!EL$18</f>
        <v>0</v>
      </c>
      <c r="EM69" s="43" t="n">
        <f aca="false">Calendario!EM$18</f>
        <v>0</v>
      </c>
      <c r="EN69" s="43" t="n">
        <f aca="false">Calendario!EN$18</f>
        <v>0</v>
      </c>
      <c r="EO69" s="43" t="n">
        <f aca="false">Calendario!EO$18</f>
        <v>0</v>
      </c>
      <c r="EP69" s="43" t="n">
        <f aca="false">Calendario!EP$18</f>
        <v>0</v>
      </c>
      <c r="EQ69" s="43" t="n">
        <f aca="false">Calendario!EQ$18</f>
        <v>0</v>
      </c>
      <c r="ER69" s="43" t="n">
        <f aca="false">Calendario!ER$18</f>
        <v>0</v>
      </c>
      <c r="ES69" s="43" t="n">
        <f aca="false">Calendario!ES$18</f>
        <v>0</v>
      </c>
      <c r="ET69" s="43" t="n">
        <f aca="false">Calendario!ET$18</f>
        <v>0</v>
      </c>
      <c r="EU69" s="43" t="n">
        <f aca="false">Calendario!EU$18</f>
        <v>0</v>
      </c>
      <c r="EV69" s="43" t="n">
        <f aca="false">Calendario!EV$18</f>
        <v>0</v>
      </c>
      <c r="EW69" s="43" t="n">
        <f aca="false">Calendario!EW$18</f>
        <v>0</v>
      </c>
      <c r="EX69" s="43" t="n">
        <f aca="false">Calendario!EX$18</f>
        <v>0</v>
      </c>
      <c r="EY69" s="43" t="n">
        <f aca="false">Calendario!EY$18</f>
        <v>0</v>
      </c>
      <c r="EZ69" s="43" t="n">
        <f aca="false">Calendario!EZ$18</f>
        <v>0</v>
      </c>
      <c r="FA69" s="43" t="n">
        <f aca="false">Calendario!FA$18</f>
        <v>0</v>
      </c>
      <c r="FB69" s="43" t="n">
        <f aca="false">Calendario!FB$18</f>
        <v>0</v>
      </c>
      <c r="FC69" s="43" t="n">
        <f aca="false">Calendario!FC$18</f>
        <v>0</v>
      </c>
      <c r="FD69" s="43" t="n">
        <f aca="false">Calendario!FD$18</f>
        <v>0</v>
      </c>
      <c r="FE69" s="43" t="n">
        <f aca="false">Calendario!FE$18</f>
        <v>0</v>
      </c>
      <c r="FF69" s="43" t="n">
        <f aca="false">Calendario!FF$18</f>
        <v>0</v>
      </c>
    </row>
    <row r="70" customFormat="false" ht="15" hidden="false" customHeight="false" outlineLevel="0" collapsed="false">
      <c r="A70" s="4"/>
      <c r="B70" s="3" t="s">
        <v>1007</v>
      </c>
      <c r="C70" s="4"/>
      <c r="D70" s="4"/>
      <c r="E70" s="4"/>
    </row>
    <row r="71" customFormat="false" ht="15" hidden="false" customHeight="false" outlineLevel="0" collapsed="false">
      <c r="A71" s="2" t="s">
        <v>799</v>
      </c>
      <c r="B71" s="8" t="s">
        <v>1008</v>
      </c>
      <c r="C71" s="8" t="s">
        <v>156</v>
      </c>
      <c r="F71" s="28" t="n">
        <f aca="false">Calendario!F$20</f>
        <v>7300</v>
      </c>
      <c r="G71" s="28" t="n">
        <f aca="false">Calendario!G$20</f>
        <v>7300</v>
      </c>
      <c r="H71" s="28" t="n">
        <f aca="false">Calendario!H$20</f>
        <v>7300</v>
      </c>
      <c r="I71" s="28" t="n">
        <f aca="false">Calendario!I$20</f>
        <v>7300</v>
      </c>
      <c r="J71" s="28" t="n">
        <f aca="false">Calendario!J$20</f>
        <v>7300</v>
      </c>
      <c r="K71" s="28" t="n">
        <f aca="false">Calendario!K$20</f>
        <v>7300</v>
      </c>
      <c r="L71" s="28" t="n">
        <f aca="false">Calendario!L$20</f>
        <v>7300</v>
      </c>
      <c r="M71" s="28" t="n">
        <f aca="false">Calendario!M$20</f>
        <v>7300</v>
      </c>
      <c r="N71" s="28" t="n">
        <f aca="false">Calendario!N$20</f>
        <v>7300</v>
      </c>
      <c r="O71" s="28" t="n">
        <f aca="false">Calendario!O$20</f>
        <v>7300</v>
      </c>
      <c r="P71" s="28" t="n">
        <f aca="false">Calendario!P$20</f>
        <v>7300</v>
      </c>
      <c r="Q71" s="28" t="n">
        <f aca="false">Calendario!Q$20</f>
        <v>7300</v>
      </c>
      <c r="R71" s="28" t="n">
        <f aca="false">Calendario!R$20</f>
        <v>7300</v>
      </c>
      <c r="S71" s="28" t="n">
        <f aca="false">Calendario!S$20</f>
        <v>7300</v>
      </c>
      <c r="T71" s="28" t="n">
        <f aca="false">Calendario!T$20</f>
        <v>7300</v>
      </c>
      <c r="U71" s="28" t="n">
        <f aca="false">Calendario!U$20</f>
        <v>7300</v>
      </c>
      <c r="V71" s="28" t="n">
        <f aca="false">Calendario!V$20</f>
        <v>7300</v>
      </c>
      <c r="W71" s="28" t="n">
        <f aca="false">Calendario!W$20</f>
        <v>7300</v>
      </c>
      <c r="X71" s="28" t="n">
        <f aca="false">Calendario!X$20</f>
        <v>7300</v>
      </c>
      <c r="Y71" s="28" t="n">
        <f aca="false">Calendario!Y$20</f>
        <v>7300</v>
      </c>
      <c r="Z71" s="28" t="n">
        <f aca="false">Calendario!Z$20</f>
        <v>7300</v>
      </c>
      <c r="AA71" s="28" t="n">
        <f aca="false">Calendario!AA$20</f>
        <v>7300</v>
      </c>
      <c r="AB71" s="28" t="n">
        <f aca="false">Calendario!AB$20</f>
        <v>7300</v>
      </c>
      <c r="AC71" s="28" t="n">
        <f aca="false">Calendario!AC$20</f>
        <v>7300</v>
      </c>
      <c r="AD71" s="28" t="n">
        <f aca="false">Calendario!AD$20</f>
        <v>7300</v>
      </c>
      <c r="AE71" s="28" t="n">
        <f aca="false">Calendario!AE$20</f>
        <v>7300</v>
      </c>
      <c r="AF71" s="28" t="n">
        <f aca="false">Calendario!AF$20</f>
        <v>7300</v>
      </c>
      <c r="AG71" s="28" t="n">
        <f aca="false">Calendario!AG$20</f>
        <v>7300</v>
      </c>
      <c r="AH71" s="28" t="n">
        <f aca="false">Calendario!AH$20</f>
        <v>7300</v>
      </c>
      <c r="AI71" s="28" t="n">
        <f aca="false">Calendario!AI$20</f>
        <v>7300</v>
      </c>
      <c r="AJ71" s="28" t="n">
        <f aca="false">Calendario!AJ$20</f>
        <v>7300</v>
      </c>
      <c r="AK71" s="28" t="n">
        <f aca="false">Calendario!AK$20</f>
        <v>7300</v>
      </c>
      <c r="AL71" s="28" t="n">
        <f aca="false">Calendario!AL$20</f>
        <v>7300</v>
      </c>
      <c r="AM71" s="28" t="n">
        <f aca="false">Calendario!AM$20</f>
        <v>7300</v>
      </c>
      <c r="AN71" s="28" t="n">
        <f aca="false">Calendario!AN$20</f>
        <v>7300</v>
      </c>
      <c r="AO71" s="28" t="n">
        <f aca="false">Calendario!AO$20</f>
        <v>7300</v>
      </c>
      <c r="AP71" s="28" t="n">
        <f aca="false">Calendario!AP$20</f>
        <v>7300</v>
      </c>
      <c r="AQ71" s="28" t="n">
        <f aca="false">Calendario!AQ$20</f>
        <v>7300</v>
      </c>
      <c r="AR71" s="28" t="n">
        <f aca="false">Calendario!AR$20</f>
        <v>7300</v>
      </c>
      <c r="AS71" s="28" t="n">
        <f aca="false">Calendario!AS$20</f>
        <v>7300</v>
      </c>
      <c r="AT71" s="28" t="n">
        <f aca="false">Calendario!AT$20</f>
        <v>7300</v>
      </c>
      <c r="AU71" s="28" t="n">
        <f aca="false">Calendario!AU$20</f>
        <v>7300</v>
      </c>
      <c r="AV71" s="28" t="n">
        <f aca="false">Calendario!AV$20</f>
        <v>7300</v>
      </c>
      <c r="AW71" s="28" t="n">
        <f aca="false">Calendario!AW$20</f>
        <v>7300</v>
      </c>
      <c r="AX71" s="28" t="n">
        <f aca="false">Calendario!AX$20</f>
        <v>7300</v>
      </c>
      <c r="AY71" s="28" t="n">
        <f aca="false">Calendario!AY$20</f>
        <v>7300</v>
      </c>
      <c r="AZ71" s="28" t="n">
        <f aca="false">Calendario!AZ$20</f>
        <v>7300</v>
      </c>
      <c r="BA71" s="28" t="n">
        <f aca="false">Calendario!BA$20</f>
        <v>7300</v>
      </c>
      <c r="BB71" s="28" t="n">
        <f aca="false">Calendario!BB$20</f>
        <v>7300</v>
      </c>
      <c r="BC71" s="28" t="n">
        <f aca="false">Calendario!BC$20</f>
        <v>7300</v>
      </c>
      <c r="BD71" s="28" t="n">
        <f aca="false">Calendario!BD$20</f>
        <v>7300</v>
      </c>
      <c r="BE71" s="28" t="n">
        <f aca="false">Calendario!BE$20</f>
        <v>7300</v>
      </c>
      <c r="BF71" s="28" t="n">
        <f aca="false">Calendario!BF$20</f>
        <v>7300</v>
      </c>
      <c r="BG71" s="28" t="n">
        <f aca="false">Calendario!BG$20</f>
        <v>7300</v>
      </c>
      <c r="BH71" s="28" t="n">
        <f aca="false">Calendario!BH$20</f>
        <v>7300</v>
      </c>
      <c r="BI71" s="28" t="n">
        <f aca="false">Calendario!BI$20</f>
        <v>7300</v>
      </c>
      <c r="BJ71" s="28" t="n">
        <f aca="false">Calendario!BJ$20</f>
        <v>7300</v>
      </c>
      <c r="BK71" s="28" t="n">
        <f aca="false">Calendario!BK$20</f>
        <v>7300</v>
      </c>
      <c r="BL71" s="28" t="n">
        <f aca="false">Calendario!BL$20</f>
        <v>7300</v>
      </c>
      <c r="BM71" s="28" t="n">
        <f aca="false">Calendario!BM$20</f>
        <v>7300</v>
      </c>
      <c r="BN71" s="28" t="n">
        <f aca="false">Calendario!BN$20</f>
        <v>7300</v>
      </c>
      <c r="BO71" s="28" t="n">
        <f aca="false">Calendario!BO$20</f>
        <v>7300</v>
      </c>
      <c r="BP71" s="28" t="n">
        <f aca="false">Calendario!BP$20</f>
        <v>7300</v>
      </c>
      <c r="BQ71" s="28" t="n">
        <f aca="false">Calendario!BQ$20</f>
        <v>7300</v>
      </c>
      <c r="BR71" s="28" t="n">
        <f aca="false">Calendario!BR$20</f>
        <v>7300</v>
      </c>
      <c r="BS71" s="28" t="n">
        <f aca="false">Calendario!BS$20</f>
        <v>7300</v>
      </c>
      <c r="BT71" s="28" t="n">
        <f aca="false">Calendario!BT$20</f>
        <v>7300</v>
      </c>
      <c r="BU71" s="28" t="n">
        <f aca="false">Calendario!BU$20</f>
        <v>7300</v>
      </c>
      <c r="BV71" s="28" t="n">
        <f aca="false">Calendario!BV$20</f>
        <v>7300</v>
      </c>
      <c r="BW71" s="28" t="n">
        <f aca="false">Calendario!BW$20</f>
        <v>7300</v>
      </c>
      <c r="BX71" s="28" t="n">
        <f aca="false">Calendario!BX$20</f>
        <v>7300</v>
      </c>
      <c r="BY71" s="28" t="n">
        <f aca="false">Calendario!BY$20</f>
        <v>7300</v>
      </c>
      <c r="BZ71" s="28" t="n">
        <f aca="false">Calendario!BZ$20</f>
        <v>7300</v>
      </c>
      <c r="CA71" s="28" t="n">
        <f aca="false">Calendario!CA$20</f>
        <v>7300</v>
      </c>
      <c r="CB71" s="28" t="n">
        <f aca="false">Calendario!CB$20</f>
        <v>7300</v>
      </c>
      <c r="CC71" s="28" t="n">
        <f aca="false">Calendario!CC$20</f>
        <v>7300</v>
      </c>
      <c r="CD71" s="28" t="n">
        <f aca="false">Calendario!CD$20</f>
        <v>7300</v>
      </c>
      <c r="CE71" s="28" t="n">
        <f aca="false">Calendario!CE$20</f>
        <v>7300</v>
      </c>
      <c r="CF71" s="28" t="n">
        <f aca="false">Calendario!CF$20</f>
        <v>7300</v>
      </c>
      <c r="CG71" s="28" t="n">
        <f aca="false">Calendario!CG$20</f>
        <v>7300</v>
      </c>
      <c r="CH71" s="28" t="n">
        <f aca="false">Calendario!CH$20</f>
        <v>7300</v>
      </c>
      <c r="CI71" s="28" t="n">
        <f aca="false">Calendario!CI$20</f>
        <v>7300</v>
      </c>
      <c r="CJ71" s="28" t="n">
        <f aca="false">Calendario!CJ$20</f>
        <v>7300</v>
      </c>
      <c r="CK71" s="28" t="n">
        <f aca="false">Calendario!CK$20</f>
        <v>7300</v>
      </c>
      <c r="CL71" s="28" t="n">
        <f aca="false">Calendario!CL$20</f>
        <v>7300</v>
      </c>
      <c r="CM71" s="28" t="n">
        <f aca="false">Calendario!CM$20</f>
        <v>7300</v>
      </c>
      <c r="CN71" s="28" t="n">
        <f aca="false">Calendario!CN$20</f>
        <v>7300</v>
      </c>
      <c r="CO71" s="28" t="n">
        <f aca="false">Calendario!CO$20</f>
        <v>7300</v>
      </c>
      <c r="CP71" s="28" t="n">
        <f aca="false">Calendario!CP$20</f>
        <v>7300</v>
      </c>
      <c r="CQ71" s="28" t="n">
        <f aca="false">Calendario!CQ$20</f>
        <v>7300</v>
      </c>
      <c r="CR71" s="28" t="n">
        <f aca="false">Calendario!CR$20</f>
        <v>7300</v>
      </c>
      <c r="CS71" s="28" t="n">
        <f aca="false">Calendario!CS$20</f>
        <v>7300</v>
      </c>
      <c r="CT71" s="28" t="n">
        <f aca="false">Calendario!CT$20</f>
        <v>7300</v>
      </c>
      <c r="CU71" s="28" t="n">
        <f aca="false">Calendario!CU$20</f>
        <v>7300</v>
      </c>
      <c r="CV71" s="28" t="n">
        <f aca="false">Calendario!CV$20</f>
        <v>7300</v>
      </c>
      <c r="CW71" s="28" t="n">
        <f aca="false">Calendario!CW$20</f>
        <v>7300</v>
      </c>
      <c r="CX71" s="28" t="n">
        <f aca="false">Calendario!CX$20</f>
        <v>7300</v>
      </c>
      <c r="CY71" s="28" t="n">
        <f aca="false">Calendario!CY$20</f>
        <v>7300</v>
      </c>
      <c r="CZ71" s="28" t="n">
        <f aca="false">Calendario!CZ$20</f>
        <v>7300</v>
      </c>
      <c r="DA71" s="28" t="n">
        <f aca="false">Calendario!DA$20</f>
        <v>7300</v>
      </c>
      <c r="DB71" s="28" t="n">
        <f aca="false">Calendario!DB$20</f>
        <v>7300</v>
      </c>
      <c r="DC71" s="28" t="n">
        <f aca="false">Calendario!DC$20</f>
        <v>7300</v>
      </c>
      <c r="DD71" s="28" t="n">
        <f aca="false">Calendario!DD$20</f>
        <v>7300</v>
      </c>
      <c r="DE71" s="28" t="n">
        <f aca="false">Calendario!DE$20</f>
        <v>7300</v>
      </c>
      <c r="DF71" s="28" t="n">
        <f aca="false">Calendario!DF$20</f>
        <v>7300</v>
      </c>
      <c r="DG71" s="28" t="n">
        <f aca="false">Calendario!DG$20</f>
        <v>7300</v>
      </c>
      <c r="DH71" s="28" t="n">
        <f aca="false">Calendario!DH$20</f>
        <v>7300</v>
      </c>
      <c r="DI71" s="28" t="n">
        <f aca="false">Calendario!DI$20</f>
        <v>7300</v>
      </c>
      <c r="DJ71" s="28" t="n">
        <f aca="false">Calendario!DJ$20</f>
        <v>7300</v>
      </c>
      <c r="DK71" s="28" t="n">
        <f aca="false">Calendario!DK$20</f>
        <v>7300</v>
      </c>
      <c r="DL71" s="28" t="n">
        <f aca="false">Calendario!DL$20</f>
        <v>7300</v>
      </c>
      <c r="DM71" s="28" t="n">
        <f aca="false">Calendario!DM$20</f>
        <v>7300</v>
      </c>
      <c r="DN71" s="28" t="n">
        <f aca="false">Calendario!DN$20</f>
        <v>7300</v>
      </c>
      <c r="DO71" s="28" t="n">
        <f aca="false">Calendario!DO$20</f>
        <v>7300</v>
      </c>
      <c r="DP71" s="28" t="n">
        <f aca="false">Calendario!DP$20</f>
        <v>7300</v>
      </c>
      <c r="DQ71" s="28" t="n">
        <f aca="false">Calendario!DQ$20</f>
        <v>7300</v>
      </c>
      <c r="DR71" s="28" t="n">
        <f aca="false">Calendario!DR$20</f>
        <v>7300</v>
      </c>
      <c r="DS71" s="28" t="n">
        <f aca="false">Calendario!DS$20</f>
        <v>7300</v>
      </c>
      <c r="DT71" s="28" t="n">
        <f aca="false">Calendario!DT$20</f>
        <v>7300</v>
      </c>
      <c r="DU71" s="28" t="n">
        <f aca="false">Calendario!DU$20</f>
        <v>7300</v>
      </c>
      <c r="DV71" s="28" t="n">
        <f aca="false">Calendario!DV$20</f>
        <v>7300</v>
      </c>
      <c r="DW71" s="28" t="n">
        <f aca="false">Calendario!DW$20</f>
        <v>7300</v>
      </c>
      <c r="DX71" s="28" t="n">
        <f aca="false">Calendario!DX$20</f>
        <v>7300</v>
      </c>
      <c r="DY71" s="28" t="n">
        <f aca="false">Calendario!DY$20</f>
        <v>7300</v>
      </c>
      <c r="DZ71" s="28" t="n">
        <f aca="false">Calendario!DZ$20</f>
        <v>7300</v>
      </c>
      <c r="EA71" s="28" t="n">
        <f aca="false">Calendario!EA$20</f>
        <v>7300</v>
      </c>
      <c r="EB71" s="28" t="n">
        <f aca="false">Calendario!EB$20</f>
        <v>7300</v>
      </c>
      <c r="EC71" s="28" t="n">
        <f aca="false">Calendario!EC$20</f>
        <v>7300</v>
      </c>
      <c r="ED71" s="28" t="n">
        <f aca="false">Calendario!ED$20</f>
        <v>7300</v>
      </c>
      <c r="EE71" s="28" t="n">
        <f aca="false">Calendario!EE$20</f>
        <v>7300</v>
      </c>
      <c r="EF71" s="28" t="n">
        <f aca="false">Calendario!EF$20</f>
        <v>7300</v>
      </c>
      <c r="EG71" s="28" t="n">
        <f aca="false">Calendario!EG$20</f>
        <v>7300</v>
      </c>
      <c r="EH71" s="28" t="n">
        <f aca="false">Calendario!EH$20</f>
        <v>7300</v>
      </c>
      <c r="EI71" s="28" t="n">
        <f aca="false">Calendario!EI$20</f>
        <v>7300</v>
      </c>
      <c r="EJ71" s="28" t="n">
        <f aca="false">Calendario!EJ$20</f>
        <v>7300</v>
      </c>
      <c r="EK71" s="28" t="n">
        <f aca="false">Calendario!EK$20</f>
        <v>7300</v>
      </c>
      <c r="EL71" s="28" t="n">
        <f aca="false">Calendario!EL$20</f>
        <v>7300</v>
      </c>
      <c r="EM71" s="28" t="n">
        <f aca="false">Calendario!EM$20</f>
        <v>7300</v>
      </c>
      <c r="EN71" s="28" t="n">
        <f aca="false">Calendario!EN$20</f>
        <v>7300</v>
      </c>
      <c r="EO71" s="28" t="n">
        <f aca="false">Calendario!EO$20</f>
        <v>7300</v>
      </c>
      <c r="EP71" s="28" t="n">
        <f aca="false">Calendario!EP$20</f>
        <v>7300</v>
      </c>
      <c r="EQ71" s="28" t="n">
        <f aca="false">Calendario!EQ$20</f>
        <v>7300</v>
      </c>
      <c r="ER71" s="28" t="n">
        <f aca="false">Calendario!ER$20</f>
        <v>7300</v>
      </c>
      <c r="ES71" s="28" t="n">
        <f aca="false">Calendario!ES$20</f>
        <v>7300</v>
      </c>
      <c r="ET71" s="28" t="n">
        <f aca="false">Calendario!ET$20</f>
        <v>7300</v>
      </c>
      <c r="EU71" s="28" t="n">
        <f aca="false">Calendario!EU$20</f>
        <v>7300</v>
      </c>
      <c r="EV71" s="28" t="n">
        <f aca="false">Calendario!EV$20</f>
        <v>7300</v>
      </c>
      <c r="EW71" s="28" t="n">
        <f aca="false">Calendario!EW$20</f>
        <v>7300</v>
      </c>
      <c r="EX71" s="28" t="n">
        <f aca="false">Calendario!EX$20</f>
        <v>7300</v>
      </c>
      <c r="EY71" s="28" t="n">
        <f aca="false">Calendario!EY$20</f>
        <v>7300</v>
      </c>
      <c r="EZ71" s="28" t="n">
        <f aca="false">Calendario!EZ$20</f>
        <v>7300</v>
      </c>
      <c r="FA71" s="28" t="n">
        <f aca="false">Calendario!FA$20</f>
        <v>7300</v>
      </c>
      <c r="FB71" s="28" t="n">
        <f aca="false">Calendario!FB$20</f>
        <v>7300</v>
      </c>
      <c r="FC71" s="28" t="n">
        <f aca="false">Calendario!FC$20</f>
        <v>7300</v>
      </c>
      <c r="FD71" s="28" t="n">
        <f aca="false">Calendario!FD$20</f>
        <v>7300</v>
      </c>
      <c r="FE71" s="28" t="n">
        <f aca="false">Calendario!FE$20</f>
        <v>7300</v>
      </c>
      <c r="FF71" s="28" t="n">
        <f aca="false">Calendario!FF$20</f>
        <v>7300</v>
      </c>
    </row>
    <row r="72" customFormat="false" ht="15" hidden="false" customHeight="false" outlineLevel="0" collapsed="false">
      <c r="A72" s="2" t="s">
        <v>1009</v>
      </c>
      <c r="B72" s="8" t="s">
        <v>1010</v>
      </c>
      <c r="C72" s="8" t="s">
        <v>156</v>
      </c>
      <c r="F72" s="13" t="n">
        <f aca="false">IF(p_C1=1,F$71,p_TC_NomPDF)</f>
        <v>7300</v>
      </c>
      <c r="G72" s="13" t="n">
        <f aca="false">IF(p_C1=1,G$71,p_TC_NomPDF)</f>
        <v>7300</v>
      </c>
      <c r="H72" s="13" t="n">
        <f aca="false">IF(p_C1=1,H$71,p_TC_NomPDF)</f>
        <v>7300</v>
      </c>
      <c r="I72" s="13" t="n">
        <f aca="false">IF(p_C1=1,I$71,p_TC_NomPDF)</f>
        <v>7300</v>
      </c>
      <c r="J72" s="13" t="n">
        <f aca="false">IF(p_C1=1,J$71,p_TC_NomPDF)</f>
        <v>7300</v>
      </c>
      <c r="K72" s="13" t="n">
        <f aca="false">IF(p_C1=1,K$71,p_TC_NomPDF)</f>
        <v>7300</v>
      </c>
      <c r="L72" s="13" t="n">
        <f aca="false">IF(p_C1=1,L$71,p_TC_NomPDF)</f>
        <v>7300</v>
      </c>
      <c r="M72" s="13" t="n">
        <f aca="false">IF(p_C1=1,M$71,p_TC_NomPDF)</f>
        <v>7300</v>
      </c>
      <c r="N72" s="13" t="n">
        <f aca="false">IF(p_C1=1,N$71,p_TC_NomPDF)</f>
        <v>7300</v>
      </c>
      <c r="O72" s="13" t="n">
        <f aca="false">IF(p_C1=1,O$71,p_TC_NomPDF)</f>
        <v>7300</v>
      </c>
      <c r="P72" s="13" t="n">
        <f aca="false">IF(p_C1=1,P$71,p_TC_NomPDF)</f>
        <v>7300</v>
      </c>
      <c r="Q72" s="13" t="n">
        <f aca="false">IF(p_C1=1,Q$71,p_TC_NomPDF)</f>
        <v>7300</v>
      </c>
      <c r="R72" s="13" t="n">
        <f aca="false">IF(p_C1=1,R$71,p_TC_NomPDF)</f>
        <v>7300</v>
      </c>
      <c r="S72" s="13" t="n">
        <f aca="false">IF(p_C1=1,S$71,p_TC_NomPDF)</f>
        <v>7300</v>
      </c>
      <c r="T72" s="13" t="n">
        <f aca="false">IF(p_C1=1,T$71,p_TC_NomPDF)</f>
        <v>7300</v>
      </c>
      <c r="U72" s="13" t="n">
        <f aca="false">IF(p_C1=1,U$71,p_TC_NomPDF)</f>
        <v>7300</v>
      </c>
      <c r="V72" s="13" t="n">
        <f aca="false">IF(p_C1=1,V$71,p_TC_NomPDF)</f>
        <v>7300</v>
      </c>
      <c r="W72" s="13" t="n">
        <f aca="false">IF(p_C1=1,W$71,p_TC_NomPDF)</f>
        <v>7300</v>
      </c>
      <c r="X72" s="13" t="n">
        <f aca="false">IF(p_C1=1,X$71,p_TC_NomPDF)</f>
        <v>7300</v>
      </c>
      <c r="Y72" s="13" t="n">
        <f aca="false">IF(p_C1=1,Y$71,p_TC_NomPDF)</f>
        <v>7300</v>
      </c>
      <c r="Z72" s="13" t="n">
        <f aca="false">IF(p_C1=1,Z$71,p_TC_NomPDF)</f>
        <v>7300</v>
      </c>
      <c r="AA72" s="13" t="n">
        <f aca="false">IF(p_C1=1,AA$71,p_TC_NomPDF)</f>
        <v>7300</v>
      </c>
      <c r="AB72" s="13" t="n">
        <f aca="false">IF(p_C1=1,AB$71,p_TC_NomPDF)</f>
        <v>7300</v>
      </c>
      <c r="AC72" s="13" t="n">
        <f aca="false">IF(p_C1=1,AC$71,p_TC_NomPDF)</f>
        <v>7300</v>
      </c>
      <c r="AD72" s="13" t="n">
        <f aca="false">IF(p_C1=1,AD$71,p_TC_NomPDF)</f>
        <v>7300</v>
      </c>
      <c r="AE72" s="13" t="n">
        <f aca="false">IF(p_C1=1,AE$71,p_TC_NomPDF)</f>
        <v>7300</v>
      </c>
      <c r="AF72" s="13" t="n">
        <f aca="false">IF(p_C1=1,AF$71,p_TC_NomPDF)</f>
        <v>7300</v>
      </c>
      <c r="AG72" s="13" t="n">
        <f aca="false">IF(p_C1=1,AG$71,p_TC_NomPDF)</f>
        <v>7300</v>
      </c>
      <c r="AH72" s="13" t="n">
        <f aca="false">IF(p_C1=1,AH$71,p_TC_NomPDF)</f>
        <v>7300</v>
      </c>
      <c r="AI72" s="13" t="n">
        <f aca="false">IF(p_C1=1,AI$71,p_TC_NomPDF)</f>
        <v>7300</v>
      </c>
      <c r="AJ72" s="13" t="n">
        <f aca="false">IF(p_C1=1,AJ$71,p_TC_NomPDF)</f>
        <v>7300</v>
      </c>
      <c r="AK72" s="13" t="n">
        <f aca="false">IF(p_C1=1,AK$71,p_TC_NomPDF)</f>
        <v>7300</v>
      </c>
      <c r="AL72" s="13" t="n">
        <f aca="false">IF(p_C1=1,AL$71,p_TC_NomPDF)</f>
        <v>7300</v>
      </c>
      <c r="AM72" s="13" t="n">
        <f aca="false">IF(p_C1=1,AM$71,p_TC_NomPDF)</f>
        <v>7300</v>
      </c>
      <c r="AN72" s="13" t="n">
        <f aca="false">IF(p_C1=1,AN$71,p_TC_NomPDF)</f>
        <v>7300</v>
      </c>
      <c r="AO72" s="13" t="n">
        <f aca="false">IF(p_C1=1,AO$71,p_TC_NomPDF)</f>
        <v>7300</v>
      </c>
      <c r="AP72" s="13" t="n">
        <f aca="false">IF(p_C1=1,AP$71,p_TC_NomPDF)</f>
        <v>7300</v>
      </c>
      <c r="AQ72" s="13" t="n">
        <f aca="false">IF(p_C1=1,AQ$71,p_TC_NomPDF)</f>
        <v>7300</v>
      </c>
      <c r="AR72" s="13" t="n">
        <f aca="false">IF(p_C1=1,AR$71,p_TC_NomPDF)</f>
        <v>7300</v>
      </c>
      <c r="AS72" s="13" t="n">
        <f aca="false">IF(p_C1=1,AS$71,p_TC_NomPDF)</f>
        <v>7300</v>
      </c>
      <c r="AT72" s="13" t="n">
        <f aca="false">IF(p_C1=1,AT$71,p_TC_NomPDF)</f>
        <v>7300</v>
      </c>
      <c r="AU72" s="13" t="n">
        <f aca="false">IF(p_C1=1,AU$71,p_TC_NomPDF)</f>
        <v>7300</v>
      </c>
      <c r="AV72" s="13" t="n">
        <f aca="false">IF(p_C1=1,AV$71,p_TC_NomPDF)</f>
        <v>7300</v>
      </c>
      <c r="AW72" s="13" t="n">
        <f aca="false">IF(p_C1=1,AW$71,p_TC_NomPDF)</f>
        <v>7300</v>
      </c>
      <c r="AX72" s="13" t="n">
        <f aca="false">IF(p_C1=1,AX$71,p_TC_NomPDF)</f>
        <v>7300</v>
      </c>
      <c r="AY72" s="13" t="n">
        <f aca="false">IF(p_C1=1,AY$71,p_TC_NomPDF)</f>
        <v>7300</v>
      </c>
      <c r="AZ72" s="13" t="n">
        <f aca="false">IF(p_C1=1,AZ$71,p_TC_NomPDF)</f>
        <v>7300</v>
      </c>
      <c r="BA72" s="13" t="n">
        <f aca="false">IF(p_C1=1,BA$71,p_TC_NomPDF)</f>
        <v>7300</v>
      </c>
      <c r="BB72" s="13" t="n">
        <f aca="false">IF(p_C1=1,BB$71,p_TC_NomPDF)</f>
        <v>7300</v>
      </c>
      <c r="BC72" s="13" t="n">
        <f aca="false">IF(p_C1=1,BC$71,p_TC_NomPDF)</f>
        <v>7300</v>
      </c>
      <c r="BD72" s="13" t="n">
        <f aca="false">IF(p_C1=1,BD$71,p_TC_NomPDF)</f>
        <v>7300</v>
      </c>
      <c r="BE72" s="13" t="n">
        <f aca="false">IF(p_C1=1,BE$71,p_TC_NomPDF)</f>
        <v>7300</v>
      </c>
      <c r="BF72" s="13" t="n">
        <f aca="false">IF(p_C1=1,BF$71,p_TC_NomPDF)</f>
        <v>7300</v>
      </c>
      <c r="BG72" s="13" t="n">
        <f aca="false">IF(p_C1=1,BG$71,p_TC_NomPDF)</f>
        <v>7300</v>
      </c>
      <c r="BH72" s="13" t="n">
        <f aca="false">IF(p_C1=1,BH$71,p_TC_NomPDF)</f>
        <v>7300</v>
      </c>
      <c r="BI72" s="13" t="n">
        <f aca="false">IF(p_C1=1,BI$71,p_TC_NomPDF)</f>
        <v>7300</v>
      </c>
      <c r="BJ72" s="13" t="n">
        <f aca="false">IF(p_C1=1,BJ$71,p_TC_NomPDF)</f>
        <v>7300</v>
      </c>
      <c r="BK72" s="13" t="n">
        <f aca="false">IF(p_C1=1,BK$71,p_TC_NomPDF)</f>
        <v>7300</v>
      </c>
      <c r="BL72" s="13" t="n">
        <f aca="false">IF(p_C1=1,BL$71,p_TC_NomPDF)</f>
        <v>7300</v>
      </c>
      <c r="BM72" s="13" t="n">
        <f aca="false">IF(p_C1=1,BM$71,p_TC_NomPDF)</f>
        <v>7300</v>
      </c>
      <c r="BN72" s="13" t="n">
        <f aca="false">IF(p_C1=1,BN$71,p_TC_NomPDF)</f>
        <v>7300</v>
      </c>
      <c r="BO72" s="13" t="n">
        <f aca="false">IF(p_C1=1,BO$71,p_TC_NomPDF)</f>
        <v>7300</v>
      </c>
      <c r="BP72" s="13" t="n">
        <f aca="false">IF(p_C1=1,BP$71,p_TC_NomPDF)</f>
        <v>7300</v>
      </c>
      <c r="BQ72" s="13" t="n">
        <f aca="false">IF(p_C1=1,BQ$71,p_TC_NomPDF)</f>
        <v>7300</v>
      </c>
      <c r="BR72" s="13" t="n">
        <f aca="false">IF(p_C1=1,BR$71,p_TC_NomPDF)</f>
        <v>7300</v>
      </c>
      <c r="BS72" s="13" t="n">
        <f aca="false">IF(p_C1=1,BS$71,p_TC_NomPDF)</f>
        <v>7300</v>
      </c>
      <c r="BT72" s="13" t="n">
        <f aca="false">IF(p_C1=1,BT$71,p_TC_NomPDF)</f>
        <v>7300</v>
      </c>
      <c r="BU72" s="13" t="n">
        <f aca="false">IF(p_C1=1,BU$71,p_TC_NomPDF)</f>
        <v>7300</v>
      </c>
      <c r="BV72" s="13" t="n">
        <f aca="false">IF(p_C1=1,BV$71,p_TC_NomPDF)</f>
        <v>7300</v>
      </c>
      <c r="BW72" s="13" t="n">
        <f aca="false">IF(p_C1=1,BW$71,p_TC_NomPDF)</f>
        <v>7300</v>
      </c>
      <c r="BX72" s="13" t="n">
        <f aca="false">IF(p_C1=1,BX$71,p_TC_NomPDF)</f>
        <v>7300</v>
      </c>
      <c r="BY72" s="13" t="n">
        <f aca="false">IF(p_C1=1,BY$71,p_TC_NomPDF)</f>
        <v>7300</v>
      </c>
      <c r="BZ72" s="13" t="n">
        <f aca="false">IF(p_C1=1,BZ$71,p_TC_NomPDF)</f>
        <v>7300</v>
      </c>
      <c r="CA72" s="13" t="n">
        <f aca="false">IF(p_C1=1,CA$71,p_TC_NomPDF)</f>
        <v>7300</v>
      </c>
      <c r="CB72" s="13" t="n">
        <f aca="false">IF(p_C1=1,CB$71,p_TC_NomPDF)</f>
        <v>7300</v>
      </c>
      <c r="CC72" s="13" t="n">
        <f aca="false">IF(p_C1=1,CC$71,p_TC_NomPDF)</f>
        <v>7300</v>
      </c>
      <c r="CD72" s="13" t="n">
        <f aca="false">IF(p_C1=1,CD$71,p_TC_NomPDF)</f>
        <v>7300</v>
      </c>
      <c r="CE72" s="13" t="n">
        <f aca="false">IF(p_C1=1,CE$71,p_TC_NomPDF)</f>
        <v>7300</v>
      </c>
      <c r="CF72" s="13" t="n">
        <f aca="false">IF(p_C1=1,CF$71,p_TC_NomPDF)</f>
        <v>7300</v>
      </c>
      <c r="CG72" s="13" t="n">
        <f aca="false">IF(p_C1=1,CG$71,p_TC_NomPDF)</f>
        <v>7300</v>
      </c>
      <c r="CH72" s="13" t="n">
        <f aca="false">IF(p_C1=1,CH$71,p_TC_NomPDF)</f>
        <v>7300</v>
      </c>
      <c r="CI72" s="13" t="n">
        <f aca="false">IF(p_C1=1,CI$71,p_TC_NomPDF)</f>
        <v>7300</v>
      </c>
      <c r="CJ72" s="13" t="n">
        <f aca="false">IF(p_C1=1,CJ$71,p_TC_NomPDF)</f>
        <v>7300</v>
      </c>
      <c r="CK72" s="13" t="n">
        <f aca="false">IF(p_C1=1,CK$71,p_TC_NomPDF)</f>
        <v>7300</v>
      </c>
      <c r="CL72" s="13" t="n">
        <f aca="false">IF(p_C1=1,CL$71,p_TC_NomPDF)</f>
        <v>7300</v>
      </c>
      <c r="CM72" s="13" t="n">
        <f aca="false">IF(p_C1=1,CM$71,p_TC_NomPDF)</f>
        <v>7300</v>
      </c>
      <c r="CN72" s="13" t="n">
        <f aca="false">IF(p_C1=1,CN$71,p_TC_NomPDF)</f>
        <v>7300</v>
      </c>
      <c r="CO72" s="13" t="n">
        <f aca="false">IF(p_C1=1,CO$71,p_TC_NomPDF)</f>
        <v>7300</v>
      </c>
      <c r="CP72" s="13" t="n">
        <f aca="false">IF(p_C1=1,CP$71,p_TC_NomPDF)</f>
        <v>7300</v>
      </c>
      <c r="CQ72" s="13" t="n">
        <f aca="false">IF(p_C1=1,CQ$71,p_TC_NomPDF)</f>
        <v>7300</v>
      </c>
      <c r="CR72" s="13" t="n">
        <f aca="false">IF(p_C1=1,CR$71,p_TC_NomPDF)</f>
        <v>7300</v>
      </c>
      <c r="CS72" s="13" t="n">
        <f aca="false">IF(p_C1=1,CS$71,p_TC_NomPDF)</f>
        <v>7300</v>
      </c>
      <c r="CT72" s="13" t="n">
        <f aca="false">IF(p_C1=1,CT$71,p_TC_NomPDF)</f>
        <v>7300</v>
      </c>
      <c r="CU72" s="13" t="n">
        <f aca="false">IF(p_C1=1,CU$71,p_TC_NomPDF)</f>
        <v>7300</v>
      </c>
      <c r="CV72" s="13" t="n">
        <f aca="false">IF(p_C1=1,CV$71,p_TC_NomPDF)</f>
        <v>7300</v>
      </c>
      <c r="CW72" s="13" t="n">
        <f aca="false">IF(p_C1=1,CW$71,p_TC_NomPDF)</f>
        <v>7300</v>
      </c>
      <c r="CX72" s="13" t="n">
        <f aca="false">IF(p_C1=1,CX$71,p_TC_NomPDF)</f>
        <v>7300</v>
      </c>
      <c r="CY72" s="13" t="n">
        <f aca="false">IF(p_C1=1,CY$71,p_TC_NomPDF)</f>
        <v>7300</v>
      </c>
      <c r="CZ72" s="13" t="n">
        <f aca="false">IF(p_C1=1,CZ$71,p_TC_NomPDF)</f>
        <v>7300</v>
      </c>
      <c r="DA72" s="13" t="n">
        <f aca="false">IF(p_C1=1,DA$71,p_TC_NomPDF)</f>
        <v>7300</v>
      </c>
      <c r="DB72" s="13" t="n">
        <f aca="false">IF(p_C1=1,DB$71,p_TC_NomPDF)</f>
        <v>7300</v>
      </c>
      <c r="DC72" s="13" t="n">
        <f aca="false">IF(p_C1=1,DC$71,p_TC_NomPDF)</f>
        <v>7300</v>
      </c>
      <c r="DD72" s="13" t="n">
        <f aca="false">IF(p_C1=1,DD$71,p_TC_NomPDF)</f>
        <v>7300</v>
      </c>
      <c r="DE72" s="13" t="n">
        <f aca="false">IF(p_C1=1,DE$71,p_TC_NomPDF)</f>
        <v>7300</v>
      </c>
      <c r="DF72" s="13" t="n">
        <f aca="false">IF(p_C1=1,DF$71,p_TC_NomPDF)</f>
        <v>7300</v>
      </c>
      <c r="DG72" s="13" t="n">
        <f aca="false">IF(p_C1=1,DG$71,p_TC_NomPDF)</f>
        <v>7300</v>
      </c>
      <c r="DH72" s="13" t="n">
        <f aca="false">IF(p_C1=1,DH$71,p_TC_NomPDF)</f>
        <v>7300</v>
      </c>
      <c r="DI72" s="13" t="n">
        <f aca="false">IF(p_C1=1,DI$71,p_TC_NomPDF)</f>
        <v>7300</v>
      </c>
      <c r="DJ72" s="13" t="n">
        <f aca="false">IF(p_C1=1,DJ$71,p_TC_NomPDF)</f>
        <v>7300</v>
      </c>
      <c r="DK72" s="13" t="n">
        <f aca="false">IF(p_C1=1,DK$71,p_TC_NomPDF)</f>
        <v>7300</v>
      </c>
      <c r="DL72" s="13" t="n">
        <f aca="false">IF(p_C1=1,DL$71,p_TC_NomPDF)</f>
        <v>7300</v>
      </c>
      <c r="DM72" s="13" t="n">
        <f aca="false">IF(p_C1=1,DM$71,p_TC_NomPDF)</f>
        <v>7300</v>
      </c>
      <c r="DN72" s="13" t="n">
        <f aca="false">IF(p_C1=1,DN$71,p_TC_NomPDF)</f>
        <v>7300</v>
      </c>
      <c r="DO72" s="13" t="n">
        <f aca="false">IF(p_C1=1,DO$71,p_TC_NomPDF)</f>
        <v>7300</v>
      </c>
      <c r="DP72" s="13" t="n">
        <f aca="false">IF(p_C1=1,DP$71,p_TC_NomPDF)</f>
        <v>7300</v>
      </c>
      <c r="DQ72" s="13" t="n">
        <f aca="false">IF(p_C1=1,DQ$71,p_TC_NomPDF)</f>
        <v>7300</v>
      </c>
      <c r="DR72" s="13" t="n">
        <f aca="false">IF(p_C1=1,DR$71,p_TC_NomPDF)</f>
        <v>7300</v>
      </c>
      <c r="DS72" s="13" t="n">
        <f aca="false">IF(p_C1=1,DS$71,p_TC_NomPDF)</f>
        <v>7300</v>
      </c>
      <c r="DT72" s="13" t="n">
        <f aca="false">IF(p_C1=1,DT$71,p_TC_NomPDF)</f>
        <v>7300</v>
      </c>
      <c r="DU72" s="13" t="n">
        <f aca="false">IF(p_C1=1,DU$71,p_TC_NomPDF)</f>
        <v>7300</v>
      </c>
      <c r="DV72" s="13" t="n">
        <f aca="false">IF(p_C1=1,DV$71,p_TC_NomPDF)</f>
        <v>7300</v>
      </c>
      <c r="DW72" s="13" t="n">
        <f aca="false">IF(p_C1=1,DW$71,p_TC_NomPDF)</f>
        <v>7300</v>
      </c>
      <c r="DX72" s="13" t="n">
        <f aca="false">IF(p_C1=1,DX$71,p_TC_NomPDF)</f>
        <v>7300</v>
      </c>
      <c r="DY72" s="13" t="n">
        <f aca="false">IF(p_C1=1,DY$71,p_TC_NomPDF)</f>
        <v>7300</v>
      </c>
      <c r="DZ72" s="13" t="n">
        <f aca="false">IF(p_C1=1,DZ$71,p_TC_NomPDF)</f>
        <v>7300</v>
      </c>
      <c r="EA72" s="13" t="n">
        <f aca="false">IF(p_C1=1,EA$71,p_TC_NomPDF)</f>
        <v>7300</v>
      </c>
      <c r="EB72" s="13" t="n">
        <f aca="false">IF(p_C1=1,EB$71,p_TC_NomPDF)</f>
        <v>7300</v>
      </c>
      <c r="EC72" s="13" t="n">
        <f aca="false">IF(p_C1=1,EC$71,p_TC_NomPDF)</f>
        <v>7300</v>
      </c>
      <c r="ED72" s="13" t="n">
        <f aca="false">IF(p_C1=1,ED$71,p_TC_NomPDF)</f>
        <v>7300</v>
      </c>
      <c r="EE72" s="13" t="n">
        <f aca="false">IF(p_C1=1,EE$71,p_TC_NomPDF)</f>
        <v>7300</v>
      </c>
      <c r="EF72" s="13" t="n">
        <f aca="false">IF(p_C1=1,EF$71,p_TC_NomPDF)</f>
        <v>7300</v>
      </c>
      <c r="EG72" s="13" t="n">
        <f aca="false">IF(p_C1=1,EG$71,p_TC_NomPDF)</f>
        <v>7300</v>
      </c>
      <c r="EH72" s="13" t="n">
        <f aca="false">IF(p_C1=1,EH$71,p_TC_NomPDF)</f>
        <v>7300</v>
      </c>
      <c r="EI72" s="13" t="n">
        <f aca="false">IF(p_C1=1,EI$71,p_TC_NomPDF)</f>
        <v>7300</v>
      </c>
      <c r="EJ72" s="13" t="n">
        <f aca="false">IF(p_C1=1,EJ$71,p_TC_NomPDF)</f>
        <v>7300</v>
      </c>
      <c r="EK72" s="13" t="n">
        <f aca="false">IF(p_C1=1,EK$71,p_TC_NomPDF)</f>
        <v>7300</v>
      </c>
      <c r="EL72" s="13" t="n">
        <f aca="false">IF(p_C1=1,EL$71,p_TC_NomPDF)</f>
        <v>7300</v>
      </c>
      <c r="EM72" s="13" t="n">
        <f aca="false">IF(p_C1=1,EM$71,p_TC_NomPDF)</f>
        <v>7300</v>
      </c>
      <c r="EN72" s="13" t="n">
        <f aca="false">IF(p_C1=1,EN$71,p_TC_NomPDF)</f>
        <v>7300</v>
      </c>
      <c r="EO72" s="13" t="n">
        <f aca="false">IF(p_C1=1,EO$71,p_TC_NomPDF)</f>
        <v>7300</v>
      </c>
      <c r="EP72" s="13" t="n">
        <f aca="false">IF(p_C1=1,EP$71,p_TC_NomPDF)</f>
        <v>7300</v>
      </c>
      <c r="EQ72" s="13" t="n">
        <f aca="false">IF(p_C1=1,EQ$71,p_TC_NomPDF)</f>
        <v>7300</v>
      </c>
      <c r="ER72" s="13" t="n">
        <f aca="false">IF(p_C1=1,ER$71,p_TC_NomPDF)</f>
        <v>7300</v>
      </c>
      <c r="ES72" s="13" t="n">
        <f aca="false">IF(p_C1=1,ES$71,p_TC_NomPDF)</f>
        <v>7300</v>
      </c>
      <c r="ET72" s="13" t="n">
        <f aca="false">IF(p_C1=1,ET$71,p_TC_NomPDF)</f>
        <v>7300</v>
      </c>
      <c r="EU72" s="13" t="n">
        <f aca="false">IF(p_C1=1,EU$71,p_TC_NomPDF)</f>
        <v>7300</v>
      </c>
      <c r="EV72" s="13" t="n">
        <f aca="false">IF(p_C1=1,EV$71,p_TC_NomPDF)</f>
        <v>7300</v>
      </c>
      <c r="EW72" s="13" t="n">
        <f aca="false">IF(p_C1=1,EW$71,p_TC_NomPDF)</f>
        <v>7300</v>
      </c>
      <c r="EX72" s="13" t="n">
        <f aca="false">IF(p_C1=1,EX$71,p_TC_NomPDF)</f>
        <v>7300</v>
      </c>
      <c r="EY72" s="13" t="n">
        <f aca="false">IF(p_C1=1,EY$71,p_TC_NomPDF)</f>
        <v>7300</v>
      </c>
      <c r="EZ72" s="13" t="n">
        <f aca="false">IF(p_C1=1,EZ$71,p_TC_NomPDF)</f>
        <v>7300</v>
      </c>
      <c r="FA72" s="13" t="n">
        <f aca="false">IF(p_C1=1,FA$71,p_TC_NomPDF)</f>
        <v>7300</v>
      </c>
      <c r="FB72" s="13" t="n">
        <f aca="false">IF(p_C1=1,FB$71,p_TC_NomPDF)</f>
        <v>7300</v>
      </c>
      <c r="FC72" s="13" t="n">
        <f aca="false">IF(p_C1=1,FC$71,p_TC_NomPDF)</f>
        <v>7300</v>
      </c>
      <c r="FD72" s="13" t="n">
        <f aca="false">IF(p_C1=1,FD$71,p_TC_NomPDF)</f>
        <v>7300</v>
      </c>
      <c r="FE72" s="13" t="n">
        <f aca="false">IF(p_C1=1,FE$71,p_TC_NomPDF)</f>
        <v>7300</v>
      </c>
      <c r="FF72" s="13" t="n">
        <f aca="false">IF(p_C1=1,FF$71,p_TC_NomPDF)</f>
        <v>7300</v>
      </c>
    </row>
    <row r="73" customFormat="false" ht="15" hidden="false" customHeight="false" outlineLevel="0" collapsed="false">
      <c r="A73" s="2" t="s">
        <v>1011</v>
      </c>
      <c r="B73" s="8" t="s">
        <v>1012</v>
      </c>
      <c r="C73" s="8" t="s">
        <v>1013</v>
      </c>
      <c r="F73" s="53" t="n">
        <f aca="false">(1+e_AjSal)^(Calendario!F$19-1)</f>
        <v>1</v>
      </c>
      <c r="G73" s="53" t="n">
        <f aca="false">(1+e_AjSal)^(Calendario!G$19-1)</f>
        <v>1</v>
      </c>
      <c r="H73" s="53" t="n">
        <f aca="false">(1+e_AjSal)^(Calendario!H$19-1)</f>
        <v>1</v>
      </c>
      <c r="I73" s="53" t="n">
        <f aca="false">(1+e_AjSal)^(Calendario!I$19-1)</f>
        <v>1</v>
      </c>
      <c r="J73" s="53" t="n">
        <f aca="false">(1+e_AjSal)^(Calendario!J$19-1)</f>
        <v>1</v>
      </c>
      <c r="K73" s="53" t="n">
        <f aca="false">(1+e_AjSal)^(Calendario!K$19-1)</f>
        <v>1</v>
      </c>
      <c r="L73" s="53" t="n">
        <f aca="false">(1+e_AjSal)^(Calendario!L$19-1)</f>
        <v>1</v>
      </c>
      <c r="M73" s="53" t="n">
        <f aca="false">(1+e_AjSal)^(Calendario!M$19-1)</f>
        <v>1</v>
      </c>
      <c r="N73" s="53" t="n">
        <f aca="false">(1+e_AjSal)^(Calendario!N$19-1)</f>
        <v>1</v>
      </c>
      <c r="O73" s="53" t="n">
        <f aca="false">(1+e_AjSal)^(Calendario!O$19-1)</f>
        <v>1</v>
      </c>
      <c r="P73" s="53" t="n">
        <f aca="false">(1+e_AjSal)^(Calendario!P$19-1)</f>
        <v>1</v>
      </c>
      <c r="Q73" s="53" t="n">
        <f aca="false">(1+e_AjSal)^(Calendario!Q$19-1)</f>
        <v>1</v>
      </c>
      <c r="R73" s="53" t="n">
        <f aca="false">(1+e_AjSal)^(Calendario!R$19-1)</f>
        <v>1</v>
      </c>
      <c r="S73" s="53" t="n">
        <f aca="false">(1+e_AjSal)^(Calendario!S$19-1)</f>
        <v>1</v>
      </c>
      <c r="T73" s="53" t="n">
        <f aca="false">(1+e_AjSal)^(Calendario!T$19-1)</f>
        <v>1</v>
      </c>
      <c r="U73" s="53" t="n">
        <f aca="false">(1+e_AjSal)^(Calendario!U$19-1)</f>
        <v>1</v>
      </c>
      <c r="V73" s="53" t="n">
        <f aca="false">(1+e_AjSal)^(Calendario!V$19-1)</f>
        <v>1</v>
      </c>
      <c r="W73" s="53" t="n">
        <f aca="false">(1+e_AjSal)^(Calendario!W$19-1)</f>
        <v>1</v>
      </c>
      <c r="X73" s="53" t="n">
        <f aca="false">(1+e_AjSal)^(Calendario!X$19-1)</f>
        <v>1</v>
      </c>
      <c r="Y73" s="53" t="n">
        <f aca="false">(1+e_AjSal)^(Calendario!Y$19-1)</f>
        <v>1</v>
      </c>
      <c r="Z73" s="53" t="n">
        <f aca="false">(1+e_AjSal)^(Calendario!Z$19-1)</f>
        <v>1</v>
      </c>
      <c r="AA73" s="53" t="n">
        <f aca="false">(1+e_AjSal)^(Calendario!AA$19-1)</f>
        <v>1</v>
      </c>
      <c r="AB73" s="53" t="n">
        <f aca="false">(1+e_AjSal)^(Calendario!AB$19-1)</f>
        <v>1</v>
      </c>
      <c r="AC73" s="53" t="n">
        <f aca="false">(1+e_AjSal)^(Calendario!AC$19-1)</f>
        <v>1</v>
      </c>
      <c r="AD73" s="53" t="n">
        <f aca="false">(1+e_AjSal)^(Calendario!AD$19-1)</f>
        <v>1</v>
      </c>
      <c r="AE73" s="53" t="n">
        <f aca="false">(1+e_AjSal)^(Calendario!AE$19-1)</f>
        <v>1</v>
      </c>
      <c r="AF73" s="53" t="n">
        <f aca="false">(1+e_AjSal)^(Calendario!AF$19-1)</f>
        <v>1</v>
      </c>
      <c r="AG73" s="53" t="n">
        <f aca="false">(1+e_AjSal)^(Calendario!AG$19-1)</f>
        <v>1</v>
      </c>
      <c r="AH73" s="53" t="n">
        <f aca="false">(1+e_AjSal)^(Calendario!AH$19-1)</f>
        <v>1</v>
      </c>
      <c r="AI73" s="53" t="n">
        <f aca="false">(1+e_AjSal)^(Calendario!AI$19-1)</f>
        <v>1</v>
      </c>
      <c r="AJ73" s="53" t="n">
        <f aca="false">(1+e_AjSal)^(Calendario!AJ$19-1)</f>
        <v>1</v>
      </c>
      <c r="AK73" s="53" t="n">
        <f aca="false">(1+e_AjSal)^(Calendario!AK$19-1)</f>
        <v>1</v>
      </c>
      <c r="AL73" s="53" t="n">
        <f aca="false">(1+e_AjSal)^(Calendario!AL$19-1)</f>
        <v>1</v>
      </c>
      <c r="AM73" s="53" t="n">
        <f aca="false">(1+e_AjSal)^(Calendario!AM$19-1)</f>
        <v>1</v>
      </c>
      <c r="AN73" s="53" t="n">
        <f aca="false">(1+e_AjSal)^(Calendario!AN$19-1)</f>
        <v>1</v>
      </c>
      <c r="AO73" s="53" t="n">
        <f aca="false">(1+e_AjSal)^(Calendario!AO$19-1)</f>
        <v>1</v>
      </c>
      <c r="AP73" s="53" t="n">
        <f aca="false">(1+e_AjSal)^(Calendario!AP$19-1)</f>
        <v>1</v>
      </c>
      <c r="AQ73" s="53" t="n">
        <f aca="false">(1+e_AjSal)^(Calendario!AQ$19-1)</f>
        <v>1</v>
      </c>
      <c r="AR73" s="53" t="n">
        <f aca="false">(1+e_AjSal)^(Calendario!AR$19-1)</f>
        <v>1</v>
      </c>
      <c r="AS73" s="53" t="n">
        <f aca="false">(1+e_AjSal)^(Calendario!AS$19-1)</f>
        <v>1</v>
      </c>
      <c r="AT73" s="53" t="n">
        <f aca="false">(1+e_AjSal)^(Calendario!AT$19-1)</f>
        <v>1</v>
      </c>
      <c r="AU73" s="53" t="n">
        <f aca="false">(1+e_AjSal)^(Calendario!AU$19-1)</f>
        <v>1</v>
      </c>
      <c r="AV73" s="53" t="n">
        <f aca="false">(1+e_AjSal)^(Calendario!AV$19-1)</f>
        <v>1</v>
      </c>
      <c r="AW73" s="53" t="n">
        <f aca="false">(1+e_AjSal)^(Calendario!AW$19-1)</f>
        <v>1</v>
      </c>
      <c r="AX73" s="53" t="n">
        <f aca="false">(1+e_AjSal)^(Calendario!AX$19-1)</f>
        <v>1</v>
      </c>
      <c r="AY73" s="53" t="n">
        <f aca="false">(1+e_AjSal)^(Calendario!AY$19-1)</f>
        <v>1</v>
      </c>
      <c r="AZ73" s="53" t="n">
        <f aca="false">(1+e_AjSal)^(Calendario!AZ$19-1)</f>
        <v>1</v>
      </c>
      <c r="BA73" s="53" t="n">
        <f aca="false">(1+e_AjSal)^(Calendario!BA$19-1)</f>
        <v>1</v>
      </c>
      <c r="BB73" s="53" t="n">
        <f aca="false">(1+e_AjSal)^(Calendario!BB$19-1)</f>
        <v>1</v>
      </c>
      <c r="BC73" s="53" t="n">
        <f aca="false">(1+e_AjSal)^(Calendario!BC$19-1)</f>
        <v>1</v>
      </c>
      <c r="BD73" s="53" t="n">
        <f aca="false">(1+e_AjSal)^(Calendario!BD$19-1)</f>
        <v>1</v>
      </c>
      <c r="BE73" s="53" t="n">
        <f aca="false">(1+e_AjSal)^(Calendario!BE$19-1)</f>
        <v>1</v>
      </c>
      <c r="BF73" s="53" t="n">
        <f aca="false">(1+e_AjSal)^(Calendario!BF$19-1)</f>
        <v>1</v>
      </c>
      <c r="BG73" s="53" t="n">
        <f aca="false">(1+e_AjSal)^(Calendario!BG$19-1)</f>
        <v>1</v>
      </c>
      <c r="BH73" s="53" t="n">
        <f aca="false">(1+e_AjSal)^(Calendario!BH$19-1)</f>
        <v>1</v>
      </c>
      <c r="BI73" s="53" t="n">
        <f aca="false">(1+e_AjSal)^(Calendario!BI$19-1)</f>
        <v>1</v>
      </c>
      <c r="BJ73" s="53" t="n">
        <f aca="false">(1+e_AjSal)^(Calendario!BJ$19-1)</f>
        <v>1</v>
      </c>
      <c r="BK73" s="53" t="n">
        <f aca="false">(1+e_AjSal)^(Calendario!BK$19-1)</f>
        <v>1</v>
      </c>
      <c r="BL73" s="53" t="n">
        <f aca="false">(1+e_AjSal)^(Calendario!BL$19-1)</f>
        <v>1</v>
      </c>
      <c r="BM73" s="53" t="n">
        <f aca="false">(1+e_AjSal)^(Calendario!BM$19-1)</f>
        <v>1</v>
      </c>
      <c r="BN73" s="53" t="n">
        <f aca="false">(1+e_AjSal)^(Calendario!BN$19-1)</f>
        <v>1</v>
      </c>
      <c r="BO73" s="53" t="n">
        <f aca="false">(1+e_AjSal)^(Calendario!BO$19-1)</f>
        <v>1</v>
      </c>
      <c r="BP73" s="53" t="n">
        <f aca="false">(1+e_AjSal)^(Calendario!BP$19-1)</f>
        <v>1</v>
      </c>
      <c r="BQ73" s="53" t="n">
        <f aca="false">(1+e_AjSal)^(Calendario!BQ$19-1)</f>
        <v>1</v>
      </c>
      <c r="BR73" s="53" t="n">
        <f aca="false">(1+e_AjSal)^(Calendario!BR$19-1)</f>
        <v>1</v>
      </c>
      <c r="BS73" s="53" t="n">
        <f aca="false">(1+e_AjSal)^(Calendario!BS$19-1)</f>
        <v>1</v>
      </c>
      <c r="BT73" s="53" t="n">
        <f aca="false">(1+e_AjSal)^(Calendario!BT$19-1)</f>
        <v>1</v>
      </c>
      <c r="BU73" s="53" t="n">
        <f aca="false">(1+e_AjSal)^(Calendario!BU$19-1)</f>
        <v>1</v>
      </c>
      <c r="BV73" s="53" t="n">
        <f aca="false">(1+e_AjSal)^(Calendario!BV$19-1)</f>
        <v>1</v>
      </c>
      <c r="BW73" s="53" t="n">
        <f aca="false">(1+e_AjSal)^(Calendario!BW$19-1)</f>
        <v>1</v>
      </c>
      <c r="BX73" s="53" t="n">
        <f aca="false">(1+e_AjSal)^(Calendario!BX$19-1)</f>
        <v>1</v>
      </c>
      <c r="BY73" s="53" t="n">
        <f aca="false">(1+e_AjSal)^(Calendario!BY$19-1)</f>
        <v>1</v>
      </c>
      <c r="BZ73" s="53" t="n">
        <f aca="false">(1+e_AjSal)^(Calendario!BZ$19-1)</f>
        <v>1</v>
      </c>
      <c r="CA73" s="53" t="n">
        <f aca="false">(1+e_AjSal)^(Calendario!CA$19-1)</f>
        <v>1</v>
      </c>
      <c r="CB73" s="53" t="n">
        <f aca="false">(1+e_AjSal)^(Calendario!CB$19-1)</f>
        <v>1</v>
      </c>
      <c r="CC73" s="53" t="n">
        <f aca="false">(1+e_AjSal)^(Calendario!CC$19-1)</f>
        <v>1</v>
      </c>
      <c r="CD73" s="53" t="n">
        <f aca="false">(1+e_AjSal)^(Calendario!CD$19-1)</f>
        <v>1</v>
      </c>
      <c r="CE73" s="53" t="n">
        <f aca="false">(1+e_AjSal)^(Calendario!CE$19-1)</f>
        <v>1</v>
      </c>
      <c r="CF73" s="53" t="n">
        <f aca="false">(1+e_AjSal)^(Calendario!CF$19-1)</f>
        <v>1</v>
      </c>
      <c r="CG73" s="53" t="n">
        <f aca="false">(1+e_AjSal)^(Calendario!CG$19-1)</f>
        <v>1</v>
      </c>
      <c r="CH73" s="53" t="n">
        <f aca="false">(1+e_AjSal)^(Calendario!CH$19-1)</f>
        <v>1</v>
      </c>
      <c r="CI73" s="53" t="n">
        <f aca="false">(1+e_AjSal)^(Calendario!CI$19-1)</f>
        <v>1</v>
      </c>
      <c r="CJ73" s="53" t="n">
        <f aca="false">(1+e_AjSal)^(Calendario!CJ$19-1)</f>
        <v>1</v>
      </c>
      <c r="CK73" s="53" t="n">
        <f aca="false">(1+e_AjSal)^(Calendario!CK$19-1)</f>
        <v>1</v>
      </c>
      <c r="CL73" s="53" t="n">
        <f aca="false">(1+e_AjSal)^(Calendario!CL$19-1)</f>
        <v>1</v>
      </c>
      <c r="CM73" s="53" t="n">
        <f aca="false">(1+e_AjSal)^(Calendario!CM$19-1)</f>
        <v>1</v>
      </c>
      <c r="CN73" s="53" t="n">
        <f aca="false">(1+e_AjSal)^(Calendario!CN$19-1)</f>
        <v>1</v>
      </c>
      <c r="CO73" s="53" t="n">
        <f aca="false">(1+e_AjSal)^(Calendario!CO$19-1)</f>
        <v>1</v>
      </c>
      <c r="CP73" s="53" t="n">
        <f aca="false">(1+e_AjSal)^(Calendario!CP$19-1)</f>
        <v>1</v>
      </c>
      <c r="CQ73" s="53" t="n">
        <f aca="false">(1+e_AjSal)^(Calendario!CQ$19-1)</f>
        <v>1</v>
      </c>
      <c r="CR73" s="53" t="n">
        <f aca="false">(1+e_AjSal)^(Calendario!CR$19-1)</f>
        <v>1</v>
      </c>
      <c r="CS73" s="53" t="n">
        <f aca="false">(1+e_AjSal)^(Calendario!CS$19-1)</f>
        <v>1</v>
      </c>
      <c r="CT73" s="53" t="n">
        <f aca="false">(1+e_AjSal)^(Calendario!CT$19-1)</f>
        <v>1</v>
      </c>
      <c r="CU73" s="53" t="n">
        <f aca="false">(1+e_AjSal)^(Calendario!CU$19-1)</f>
        <v>1</v>
      </c>
      <c r="CV73" s="53" t="n">
        <f aca="false">(1+e_AjSal)^(Calendario!CV$19-1)</f>
        <v>1</v>
      </c>
      <c r="CW73" s="53" t="n">
        <f aca="false">(1+e_AjSal)^(Calendario!CW$19-1)</f>
        <v>1</v>
      </c>
      <c r="CX73" s="53" t="n">
        <f aca="false">(1+e_AjSal)^(Calendario!CX$19-1)</f>
        <v>1</v>
      </c>
      <c r="CY73" s="53" t="n">
        <f aca="false">(1+e_AjSal)^(Calendario!CY$19-1)</f>
        <v>1</v>
      </c>
      <c r="CZ73" s="53" t="n">
        <f aca="false">(1+e_AjSal)^(Calendario!CZ$19-1)</f>
        <v>1</v>
      </c>
      <c r="DA73" s="53" t="n">
        <f aca="false">(1+e_AjSal)^(Calendario!DA$19-1)</f>
        <v>1</v>
      </c>
      <c r="DB73" s="53" t="n">
        <f aca="false">(1+e_AjSal)^(Calendario!DB$19-1)</f>
        <v>1</v>
      </c>
      <c r="DC73" s="53" t="n">
        <f aca="false">(1+e_AjSal)^(Calendario!DC$19-1)</f>
        <v>1</v>
      </c>
      <c r="DD73" s="53" t="n">
        <f aca="false">(1+e_AjSal)^(Calendario!DD$19-1)</f>
        <v>1</v>
      </c>
      <c r="DE73" s="53" t="n">
        <f aca="false">(1+e_AjSal)^(Calendario!DE$19-1)</f>
        <v>1</v>
      </c>
      <c r="DF73" s="53" t="n">
        <f aca="false">(1+e_AjSal)^(Calendario!DF$19-1)</f>
        <v>1</v>
      </c>
      <c r="DG73" s="53" t="n">
        <f aca="false">(1+e_AjSal)^(Calendario!DG$19-1)</f>
        <v>1</v>
      </c>
      <c r="DH73" s="53" t="n">
        <f aca="false">(1+e_AjSal)^(Calendario!DH$19-1)</f>
        <v>1</v>
      </c>
      <c r="DI73" s="53" t="n">
        <f aca="false">(1+e_AjSal)^(Calendario!DI$19-1)</f>
        <v>1</v>
      </c>
      <c r="DJ73" s="53" t="n">
        <f aca="false">(1+e_AjSal)^(Calendario!DJ$19-1)</f>
        <v>1</v>
      </c>
      <c r="DK73" s="53" t="n">
        <f aca="false">(1+e_AjSal)^(Calendario!DK$19-1)</f>
        <v>1</v>
      </c>
      <c r="DL73" s="53" t="n">
        <f aca="false">(1+e_AjSal)^(Calendario!DL$19-1)</f>
        <v>1</v>
      </c>
      <c r="DM73" s="53" t="n">
        <f aca="false">(1+e_AjSal)^(Calendario!DM$19-1)</f>
        <v>1</v>
      </c>
      <c r="DN73" s="53" t="n">
        <f aca="false">(1+e_AjSal)^(Calendario!DN$19-1)</f>
        <v>1</v>
      </c>
      <c r="DO73" s="53" t="n">
        <f aca="false">(1+e_AjSal)^(Calendario!DO$19-1)</f>
        <v>1</v>
      </c>
      <c r="DP73" s="53" t="n">
        <f aca="false">(1+e_AjSal)^(Calendario!DP$19-1)</f>
        <v>1</v>
      </c>
      <c r="DQ73" s="53" t="n">
        <f aca="false">(1+e_AjSal)^(Calendario!DQ$19-1)</f>
        <v>1</v>
      </c>
      <c r="DR73" s="53" t="n">
        <f aca="false">(1+e_AjSal)^(Calendario!DR$19-1)</f>
        <v>1</v>
      </c>
      <c r="DS73" s="53" t="n">
        <f aca="false">(1+e_AjSal)^(Calendario!DS$19-1)</f>
        <v>1</v>
      </c>
      <c r="DT73" s="53" t="n">
        <f aca="false">(1+e_AjSal)^(Calendario!DT$19-1)</f>
        <v>1</v>
      </c>
      <c r="DU73" s="53" t="n">
        <f aca="false">(1+e_AjSal)^(Calendario!DU$19-1)</f>
        <v>1</v>
      </c>
      <c r="DV73" s="53" t="n">
        <f aca="false">(1+e_AjSal)^(Calendario!DV$19-1)</f>
        <v>1</v>
      </c>
      <c r="DW73" s="53" t="n">
        <f aca="false">(1+e_AjSal)^(Calendario!DW$19-1)</f>
        <v>1</v>
      </c>
      <c r="DX73" s="53" t="n">
        <f aca="false">(1+e_AjSal)^(Calendario!DX$19-1)</f>
        <v>1</v>
      </c>
      <c r="DY73" s="53" t="n">
        <f aca="false">(1+e_AjSal)^(Calendario!DY$19-1)</f>
        <v>1</v>
      </c>
      <c r="DZ73" s="53" t="n">
        <f aca="false">(1+e_AjSal)^(Calendario!DZ$19-1)</f>
        <v>1</v>
      </c>
      <c r="EA73" s="53" t="n">
        <f aca="false">(1+e_AjSal)^(Calendario!EA$19-1)</f>
        <v>1</v>
      </c>
      <c r="EB73" s="53" t="n">
        <f aca="false">(1+e_AjSal)^(Calendario!EB$19-1)</f>
        <v>1</v>
      </c>
      <c r="EC73" s="53" t="n">
        <f aca="false">(1+e_AjSal)^(Calendario!EC$19-1)</f>
        <v>1</v>
      </c>
      <c r="ED73" s="53" t="n">
        <f aca="false">(1+e_AjSal)^(Calendario!ED$19-1)</f>
        <v>1</v>
      </c>
      <c r="EE73" s="53" t="n">
        <f aca="false">(1+e_AjSal)^(Calendario!EE$19-1)</f>
        <v>1</v>
      </c>
      <c r="EF73" s="53" t="n">
        <f aca="false">(1+e_AjSal)^(Calendario!EF$19-1)</f>
        <v>1</v>
      </c>
      <c r="EG73" s="53" t="n">
        <f aca="false">(1+e_AjSal)^(Calendario!EG$19-1)</f>
        <v>1</v>
      </c>
      <c r="EH73" s="53" t="n">
        <f aca="false">(1+e_AjSal)^(Calendario!EH$19-1)</f>
        <v>1</v>
      </c>
      <c r="EI73" s="53" t="n">
        <f aca="false">(1+e_AjSal)^(Calendario!EI$19-1)</f>
        <v>1</v>
      </c>
      <c r="EJ73" s="53" t="n">
        <f aca="false">(1+e_AjSal)^(Calendario!EJ$19-1)</f>
        <v>1</v>
      </c>
      <c r="EK73" s="53" t="n">
        <f aca="false">(1+e_AjSal)^(Calendario!EK$19-1)</f>
        <v>1</v>
      </c>
      <c r="EL73" s="53" t="n">
        <f aca="false">(1+e_AjSal)^(Calendario!EL$19-1)</f>
        <v>1</v>
      </c>
      <c r="EM73" s="53" t="n">
        <f aca="false">(1+e_AjSal)^(Calendario!EM$19-1)</f>
        <v>1</v>
      </c>
      <c r="EN73" s="53" t="n">
        <f aca="false">(1+e_AjSal)^(Calendario!EN$19-1)</f>
        <v>1</v>
      </c>
      <c r="EO73" s="53" t="n">
        <f aca="false">(1+e_AjSal)^(Calendario!EO$19-1)</f>
        <v>1</v>
      </c>
      <c r="EP73" s="53" t="n">
        <f aca="false">(1+e_AjSal)^(Calendario!EP$19-1)</f>
        <v>1</v>
      </c>
      <c r="EQ73" s="53" t="n">
        <f aca="false">(1+e_AjSal)^(Calendario!EQ$19-1)</f>
        <v>1</v>
      </c>
      <c r="ER73" s="53" t="n">
        <f aca="false">(1+e_AjSal)^(Calendario!ER$19-1)</f>
        <v>1</v>
      </c>
      <c r="ES73" s="53" t="n">
        <f aca="false">(1+e_AjSal)^(Calendario!ES$19-1)</f>
        <v>1</v>
      </c>
      <c r="ET73" s="53" t="n">
        <f aca="false">(1+e_AjSal)^(Calendario!ET$19-1)</f>
        <v>1</v>
      </c>
      <c r="EU73" s="53" t="n">
        <f aca="false">(1+e_AjSal)^(Calendario!EU$19-1)</f>
        <v>1</v>
      </c>
      <c r="EV73" s="53" t="n">
        <f aca="false">(1+e_AjSal)^(Calendario!EV$19-1)</f>
        <v>1</v>
      </c>
      <c r="EW73" s="53" t="n">
        <f aca="false">(1+e_AjSal)^(Calendario!EW$19-1)</f>
        <v>1</v>
      </c>
      <c r="EX73" s="53" t="n">
        <f aca="false">(1+e_AjSal)^(Calendario!EX$19-1)</f>
        <v>1</v>
      </c>
      <c r="EY73" s="53" t="n">
        <f aca="false">(1+e_AjSal)^(Calendario!EY$19-1)</f>
        <v>1</v>
      </c>
      <c r="EZ73" s="53" t="n">
        <f aca="false">(1+e_AjSal)^(Calendario!EZ$19-1)</f>
        <v>1</v>
      </c>
      <c r="FA73" s="53" t="n">
        <f aca="false">(1+e_AjSal)^(Calendario!FA$19-1)</f>
        <v>1</v>
      </c>
      <c r="FB73" s="53" t="n">
        <f aca="false">(1+e_AjSal)^(Calendario!FB$19-1)</f>
        <v>1</v>
      </c>
      <c r="FC73" s="53" t="n">
        <f aca="false">(1+e_AjSal)^(Calendario!FC$19-1)</f>
        <v>1</v>
      </c>
      <c r="FD73" s="53" t="n">
        <f aca="false">(1+e_AjSal)^(Calendario!FD$19-1)</f>
        <v>1</v>
      </c>
      <c r="FE73" s="53" t="n">
        <f aca="false">(1+e_AjSal)^(Calendario!FE$19-1)</f>
        <v>1</v>
      </c>
      <c r="FF73" s="53" t="n">
        <f aca="false">(1+e_AjSal)^(Calendario!FF$19-1)</f>
        <v>1</v>
      </c>
    </row>
    <row r="74" customFormat="false" ht="15" hidden="false" customHeight="false" outlineLevel="0" collapsed="false">
      <c r="A74" s="2" t="s">
        <v>1014</v>
      </c>
      <c r="B74" s="8" t="s">
        <v>1015</v>
      </c>
      <c r="C74" s="8" t="s">
        <v>1013</v>
      </c>
      <c r="F74" s="53" t="n">
        <f aca="false">(1+e_InflFij)^(Calendario!F$19-1)</f>
        <v>1</v>
      </c>
      <c r="G74" s="53" t="n">
        <f aca="false">(1+e_InflFij)^(Calendario!G$19-1)</f>
        <v>1</v>
      </c>
      <c r="H74" s="53" t="n">
        <f aca="false">(1+e_InflFij)^(Calendario!H$19-1)</f>
        <v>1</v>
      </c>
      <c r="I74" s="53" t="n">
        <f aca="false">(1+e_InflFij)^(Calendario!I$19-1)</f>
        <v>1</v>
      </c>
      <c r="J74" s="53" t="n">
        <f aca="false">(1+e_InflFij)^(Calendario!J$19-1)</f>
        <v>1</v>
      </c>
      <c r="K74" s="53" t="n">
        <f aca="false">(1+e_InflFij)^(Calendario!K$19-1)</f>
        <v>1</v>
      </c>
      <c r="L74" s="53" t="n">
        <f aca="false">(1+e_InflFij)^(Calendario!L$19-1)</f>
        <v>1</v>
      </c>
      <c r="M74" s="53" t="n">
        <f aca="false">(1+e_InflFij)^(Calendario!M$19-1)</f>
        <v>1</v>
      </c>
      <c r="N74" s="53" t="n">
        <f aca="false">(1+e_InflFij)^(Calendario!N$19-1)</f>
        <v>1</v>
      </c>
      <c r="O74" s="53" t="n">
        <f aca="false">(1+e_InflFij)^(Calendario!O$19-1)</f>
        <v>1</v>
      </c>
      <c r="P74" s="53" t="n">
        <f aca="false">(1+e_InflFij)^(Calendario!P$19-1)</f>
        <v>1</v>
      </c>
      <c r="Q74" s="53" t="n">
        <f aca="false">(1+e_InflFij)^(Calendario!Q$19-1)</f>
        <v>1</v>
      </c>
      <c r="R74" s="53" t="n">
        <f aca="false">(1+e_InflFij)^(Calendario!R$19-1)</f>
        <v>1</v>
      </c>
      <c r="S74" s="53" t="n">
        <f aca="false">(1+e_InflFij)^(Calendario!S$19-1)</f>
        <v>1</v>
      </c>
      <c r="T74" s="53" t="n">
        <f aca="false">(1+e_InflFij)^(Calendario!T$19-1)</f>
        <v>1</v>
      </c>
      <c r="U74" s="53" t="n">
        <f aca="false">(1+e_InflFij)^(Calendario!U$19-1)</f>
        <v>1</v>
      </c>
      <c r="V74" s="53" t="n">
        <f aca="false">(1+e_InflFij)^(Calendario!V$19-1)</f>
        <v>1</v>
      </c>
      <c r="W74" s="53" t="n">
        <f aca="false">(1+e_InflFij)^(Calendario!W$19-1)</f>
        <v>1</v>
      </c>
      <c r="X74" s="53" t="n">
        <f aca="false">(1+e_InflFij)^(Calendario!X$19-1)</f>
        <v>1</v>
      </c>
      <c r="Y74" s="53" t="n">
        <f aca="false">(1+e_InflFij)^(Calendario!Y$19-1)</f>
        <v>1</v>
      </c>
      <c r="Z74" s="53" t="n">
        <f aca="false">(1+e_InflFij)^(Calendario!Z$19-1)</f>
        <v>1</v>
      </c>
      <c r="AA74" s="53" t="n">
        <f aca="false">(1+e_InflFij)^(Calendario!AA$19-1)</f>
        <v>1</v>
      </c>
      <c r="AB74" s="53" t="n">
        <f aca="false">(1+e_InflFij)^(Calendario!AB$19-1)</f>
        <v>1</v>
      </c>
      <c r="AC74" s="53" t="n">
        <f aca="false">(1+e_InflFij)^(Calendario!AC$19-1)</f>
        <v>1</v>
      </c>
      <c r="AD74" s="53" t="n">
        <f aca="false">(1+e_InflFij)^(Calendario!AD$19-1)</f>
        <v>1</v>
      </c>
      <c r="AE74" s="53" t="n">
        <f aca="false">(1+e_InflFij)^(Calendario!AE$19-1)</f>
        <v>1</v>
      </c>
      <c r="AF74" s="53" t="n">
        <f aca="false">(1+e_InflFij)^(Calendario!AF$19-1)</f>
        <v>1</v>
      </c>
      <c r="AG74" s="53" t="n">
        <f aca="false">(1+e_InflFij)^(Calendario!AG$19-1)</f>
        <v>1</v>
      </c>
      <c r="AH74" s="53" t="n">
        <f aca="false">(1+e_InflFij)^(Calendario!AH$19-1)</f>
        <v>1</v>
      </c>
      <c r="AI74" s="53" t="n">
        <f aca="false">(1+e_InflFij)^(Calendario!AI$19-1)</f>
        <v>1</v>
      </c>
      <c r="AJ74" s="53" t="n">
        <f aca="false">(1+e_InflFij)^(Calendario!AJ$19-1)</f>
        <v>1</v>
      </c>
      <c r="AK74" s="53" t="n">
        <f aca="false">(1+e_InflFij)^(Calendario!AK$19-1)</f>
        <v>1</v>
      </c>
      <c r="AL74" s="53" t="n">
        <f aca="false">(1+e_InflFij)^(Calendario!AL$19-1)</f>
        <v>1</v>
      </c>
      <c r="AM74" s="53" t="n">
        <f aca="false">(1+e_InflFij)^(Calendario!AM$19-1)</f>
        <v>1</v>
      </c>
      <c r="AN74" s="53" t="n">
        <f aca="false">(1+e_InflFij)^(Calendario!AN$19-1)</f>
        <v>1</v>
      </c>
      <c r="AO74" s="53" t="n">
        <f aca="false">(1+e_InflFij)^(Calendario!AO$19-1)</f>
        <v>1</v>
      </c>
      <c r="AP74" s="53" t="n">
        <f aca="false">(1+e_InflFij)^(Calendario!AP$19-1)</f>
        <v>1</v>
      </c>
      <c r="AQ74" s="53" t="n">
        <f aca="false">(1+e_InflFij)^(Calendario!AQ$19-1)</f>
        <v>1</v>
      </c>
      <c r="AR74" s="53" t="n">
        <f aca="false">(1+e_InflFij)^(Calendario!AR$19-1)</f>
        <v>1</v>
      </c>
      <c r="AS74" s="53" t="n">
        <f aca="false">(1+e_InflFij)^(Calendario!AS$19-1)</f>
        <v>1</v>
      </c>
      <c r="AT74" s="53" t="n">
        <f aca="false">(1+e_InflFij)^(Calendario!AT$19-1)</f>
        <v>1</v>
      </c>
      <c r="AU74" s="53" t="n">
        <f aca="false">(1+e_InflFij)^(Calendario!AU$19-1)</f>
        <v>1</v>
      </c>
      <c r="AV74" s="53" t="n">
        <f aca="false">(1+e_InflFij)^(Calendario!AV$19-1)</f>
        <v>1</v>
      </c>
      <c r="AW74" s="53" t="n">
        <f aca="false">(1+e_InflFij)^(Calendario!AW$19-1)</f>
        <v>1</v>
      </c>
      <c r="AX74" s="53" t="n">
        <f aca="false">(1+e_InflFij)^(Calendario!AX$19-1)</f>
        <v>1</v>
      </c>
      <c r="AY74" s="53" t="n">
        <f aca="false">(1+e_InflFij)^(Calendario!AY$19-1)</f>
        <v>1</v>
      </c>
      <c r="AZ74" s="53" t="n">
        <f aca="false">(1+e_InflFij)^(Calendario!AZ$19-1)</f>
        <v>1</v>
      </c>
      <c r="BA74" s="53" t="n">
        <f aca="false">(1+e_InflFij)^(Calendario!BA$19-1)</f>
        <v>1</v>
      </c>
      <c r="BB74" s="53" t="n">
        <f aca="false">(1+e_InflFij)^(Calendario!BB$19-1)</f>
        <v>1</v>
      </c>
      <c r="BC74" s="53" t="n">
        <f aca="false">(1+e_InflFij)^(Calendario!BC$19-1)</f>
        <v>1</v>
      </c>
      <c r="BD74" s="53" t="n">
        <f aca="false">(1+e_InflFij)^(Calendario!BD$19-1)</f>
        <v>1</v>
      </c>
      <c r="BE74" s="53" t="n">
        <f aca="false">(1+e_InflFij)^(Calendario!BE$19-1)</f>
        <v>1</v>
      </c>
      <c r="BF74" s="53" t="n">
        <f aca="false">(1+e_InflFij)^(Calendario!BF$19-1)</f>
        <v>1</v>
      </c>
      <c r="BG74" s="53" t="n">
        <f aca="false">(1+e_InflFij)^(Calendario!BG$19-1)</f>
        <v>1</v>
      </c>
      <c r="BH74" s="53" t="n">
        <f aca="false">(1+e_InflFij)^(Calendario!BH$19-1)</f>
        <v>1</v>
      </c>
      <c r="BI74" s="53" t="n">
        <f aca="false">(1+e_InflFij)^(Calendario!BI$19-1)</f>
        <v>1</v>
      </c>
      <c r="BJ74" s="53" t="n">
        <f aca="false">(1+e_InflFij)^(Calendario!BJ$19-1)</f>
        <v>1</v>
      </c>
      <c r="BK74" s="53" t="n">
        <f aca="false">(1+e_InflFij)^(Calendario!BK$19-1)</f>
        <v>1</v>
      </c>
      <c r="BL74" s="53" t="n">
        <f aca="false">(1+e_InflFij)^(Calendario!BL$19-1)</f>
        <v>1</v>
      </c>
      <c r="BM74" s="53" t="n">
        <f aca="false">(1+e_InflFij)^(Calendario!BM$19-1)</f>
        <v>1</v>
      </c>
      <c r="BN74" s="53" t="n">
        <f aca="false">(1+e_InflFij)^(Calendario!BN$19-1)</f>
        <v>1</v>
      </c>
      <c r="BO74" s="53" t="n">
        <f aca="false">(1+e_InflFij)^(Calendario!BO$19-1)</f>
        <v>1</v>
      </c>
      <c r="BP74" s="53" t="n">
        <f aca="false">(1+e_InflFij)^(Calendario!BP$19-1)</f>
        <v>1</v>
      </c>
      <c r="BQ74" s="53" t="n">
        <f aca="false">(1+e_InflFij)^(Calendario!BQ$19-1)</f>
        <v>1</v>
      </c>
      <c r="BR74" s="53" t="n">
        <f aca="false">(1+e_InflFij)^(Calendario!BR$19-1)</f>
        <v>1</v>
      </c>
      <c r="BS74" s="53" t="n">
        <f aca="false">(1+e_InflFij)^(Calendario!BS$19-1)</f>
        <v>1</v>
      </c>
      <c r="BT74" s="53" t="n">
        <f aca="false">(1+e_InflFij)^(Calendario!BT$19-1)</f>
        <v>1</v>
      </c>
      <c r="BU74" s="53" t="n">
        <f aca="false">(1+e_InflFij)^(Calendario!BU$19-1)</f>
        <v>1</v>
      </c>
      <c r="BV74" s="53" t="n">
        <f aca="false">(1+e_InflFij)^(Calendario!BV$19-1)</f>
        <v>1</v>
      </c>
      <c r="BW74" s="53" t="n">
        <f aca="false">(1+e_InflFij)^(Calendario!BW$19-1)</f>
        <v>1</v>
      </c>
      <c r="BX74" s="53" t="n">
        <f aca="false">(1+e_InflFij)^(Calendario!BX$19-1)</f>
        <v>1</v>
      </c>
      <c r="BY74" s="53" t="n">
        <f aca="false">(1+e_InflFij)^(Calendario!BY$19-1)</f>
        <v>1</v>
      </c>
      <c r="BZ74" s="53" t="n">
        <f aca="false">(1+e_InflFij)^(Calendario!BZ$19-1)</f>
        <v>1</v>
      </c>
      <c r="CA74" s="53" t="n">
        <f aca="false">(1+e_InflFij)^(Calendario!CA$19-1)</f>
        <v>1</v>
      </c>
      <c r="CB74" s="53" t="n">
        <f aca="false">(1+e_InflFij)^(Calendario!CB$19-1)</f>
        <v>1</v>
      </c>
      <c r="CC74" s="53" t="n">
        <f aca="false">(1+e_InflFij)^(Calendario!CC$19-1)</f>
        <v>1</v>
      </c>
      <c r="CD74" s="53" t="n">
        <f aca="false">(1+e_InflFij)^(Calendario!CD$19-1)</f>
        <v>1</v>
      </c>
      <c r="CE74" s="53" t="n">
        <f aca="false">(1+e_InflFij)^(Calendario!CE$19-1)</f>
        <v>1</v>
      </c>
      <c r="CF74" s="53" t="n">
        <f aca="false">(1+e_InflFij)^(Calendario!CF$19-1)</f>
        <v>1</v>
      </c>
      <c r="CG74" s="53" t="n">
        <f aca="false">(1+e_InflFij)^(Calendario!CG$19-1)</f>
        <v>1</v>
      </c>
      <c r="CH74" s="53" t="n">
        <f aca="false">(1+e_InflFij)^(Calendario!CH$19-1)</f>
        <v>1</v>
      </c>
      <c r="CI74" s="53" t="n">
        <f aca="false">(1+e_InflFij)^(Calendario!CI$19-1)</f>
        <v>1</v>
      </c>
      <c r="CJ74" s="53" t="n">
        <f aca="false">(1+e_InflFij)^(Calendario!CJ$19-1)</f>
        <v>1</v>
      </c>
      <c r="CK74" s="53" t="n">
        <f aca="false">(1+e_InflFij)^(Calendario!CK$19-1)</f>
        <v>1</v>
      </c>
      <c r="CL74" s="53" t="n">
        <f aca="false">(1+e_InflFij)^(Calendario!CL$19-1)</f>
        <v>1</v>
      </c>
      <c r="CM74" s="53" t="n">
        <f aca="false">(1+e_InflFij)^(Calendario!CM$19-1)</f>
        <v>1</v>
      </c>
      <c r="CN74" s="53" t="n">
        <f aca="false">(1+e_InflFij)^(Calendario!CN$19-1)</f>
        <v>1</v>
      </c>
      <c r="CO74" s="53" t="n">
        <f aca="false">(1+e_InflFij)^(Calendario!CO$19-1)</f>
        <v>1</v>
      </c>
      <c r="CP74" s="53" t="n">
        <f aca="false">(1+e_InflFij)^(Calendario!CP$19-1)</f>
        <v>1</v>
      </c>
      <c r="CQ74" s="53" t="n">
        <f aca="false">(1+e_InflFij)^(Calendario!CQ$19-1)</f>
        <v>1</v>
      </c>
      <c r="CR74" s="53" t="n">
        <f aca="false">(1+e_InflFij)^(Calendario!CR$19-1)</f>
        <v>1</v>
      </c>
      <c r="CS74" s="53" t="n">
        <f aca="false">(1+e_InflFij)^(Calendario!CS$19-1)</f>
        <v>1</v>
      </c>
      <c r="CT74" s="53" t="n">
        <f aca="false">(1+e_InflFij)^(Calendario!CT$19-1)</f>
        <v>1</v>
      </c>
      <c r="CU74" s="53" t="n">
        <f aca="false">(1+e_InflFij)^(Calendario!CU$19-1)</f>
        <v>1</v>
      </c>
      <c r="CV74" s="53" t="n">
        <f aca="false">(1+e_InflFij)^(Calendario!CV$19-1)</f>
        <v>1</v>
      </c>
      <c r="CW74" s="53" t="n">
        <f aca="false">(1+e_InflFij)^(Calendario!CW$19-1)</f>
        <v>1</v>
      </c>
      <c r="CX74" s="53" t="n">
        <f aca="false">(1+e_InflFij)^(Calendario!CX$19-1)</f>
        <v>1</v>
      </c>
      <c r="CY74" s="53" t="n">
        <f aca="false">(1+e_InflFij)^(Calendario!CY$19-1)</f>
        <v>1</v>
      </c>
      <c r="CZ74" s="53" t="n">
        <f aca="false">(1+e_InflFij)^(Calendario!CZ$19-1)</f>
        <v>1</v>
      </c>
      <c r="DA74" s="53" t="n">
        <f aca="false">(1+e_InflFij)^(Calendario!DA$19-1)</f>
        <v>1</v>
      </c>
      <c r="DB74" s="53" t="n">
        <f aca="false">(1+e_InflFij)^(Calendario!DB$19-1)</f>
        <v>1</v>
      </c>
      <c r="DC74" s="53" t="n">
        <f aca="false">(1+e_InflFij)^(Calendario!DC$19-1)</f>
        <v>1</v>
      </c>
      <c r="DD74" s="53" t="n">
        <f aca="false">(1+e_InflFij)^(Calendario!DD$19-1)</f>
        <v>1</v>
      </c>
      <c r="DE74" s="53" t="n">
        <f aca="false">(1+e_InflFij)^(Calendario!DE$19-1)</f>
        <v>1</v>
      </c>
      <c r="DF74" s="53" t="n">
        <f aca="false">(1+e_InflFij)^(Calendario!DF$19-1)</f>
        <v>1</v>
      </c>
      <c r="DG74" s="53" t="n">
        <f aca="false">(1+e_InflFij)^(Calendario!DG$19-1)</f>
        <v>1</v>
      </c>
      <c r="DH74" s="53" t="n">
        <f aca="false">(1+e_InflFij)^(Calendario!DH$19-1)</f>
        <v>1</v>
      </c>
      <c r="DI74" s="53" t="n">
        <f aca="false">(1+e_InflFij)^(Calendario!DI$19-1)</f>
        <v>1</v>
      </c>
      <c r="DJ74" s="53" t="n">
        <f aca="false">(1+e_InflFij)^(Calendario!DJ$19-1)</f>
        <v>1</v>
      </c>
      <c r="DK74" s="53" t="n">
        <f aca="false">(1+e_InflFij)^(Calendario!DK$19-1)</f>
        <v>1</v>
      </c>
      <c r="DL74" s="53" t="n">
        <f aca="false">(1+e_InflFij)^(Calendario!DL$19-1)</f>
        <v>1</v>
      </c>
      <c r="DM74" s="53" t="n">
        <f aca="false">(1+e_InflFij)^(Calendario!DM$19-1)</f>
        <v>1</v>
      </c>
      <c r="DN74" s="53" t="n">
        <f aca="false">(1+e_InflFij)^(Calendario!DN$19-1)</f>
        <v>1</v>
      </c>
      <c r="DO74" s="53" t="n">
        <f aca="false">(1+e_InflFij)^(Calendario!DO$19-1)</f>
        <v>1</v>
      </c>
      <c r="DP74" s="53" t="n">
        <f aca="false">(1+e_InflFij)^(Calendario!DP$19-1)</f>
        <v>1</v>
      </c>
      <c r="DQ74" s="53" t="n">
        <f aca="false">(1+e_InflFij)^(Calendario!DQ$19-1)</f>
        <v>1</v>
      </c>
      <c r="DR74" s="53" t="n">
        <f aca="false">(1+e_InflFij)^(Calendario!DR$19-1)</f>
        <v>1</v>
      </c>
      <c r="DS74" s="53" t="n">
        <f aca="false">(1+e_InflFij)^(Calendario!DS$19-1)</f>
        <v>1</v>
      </c>
      <c r="DT74" s="53" t="n">
        <f aca="false">(1+e_InflFij)^(Calendario!DT$19-1)</f>
        <v>1</v>
      </c>
      <c r="DU74" s="53" t="n">
        <f aca="false">(1+e_InflFij)^(Calendario!DU$19-1)</f>
        <v>1</v>
      </c>
      <c r="DV74" s="53" t="n">
        <f aca="false">(1+e_InflFij)^(Calendario!DV$19-1)</f>
        <v>1</v>
      </c>
      <c r="DW74" s="53" t="n">
        <f aca="false">(1+e_InflFij)^(Calendario!DW$19-1)</f>
        <v>1</v>
      </c>
      <c r="DX74" s="53" t="n">
        <f aca="false">(1+e_InflFij)^(Calendario!DX$19-1)</f>
        <v>1</v>
      </c>
      <c r="DY74" s="53" t="n">
        <f aca="false">(1+e_InflFij)^(Calendario!DY$19-1)</f>
        <v>1</v>
      </c>
      <c r="DZ74" s="53" t="n">
        <f aca="false">(1+e_InflFij)^(Calendario!DZ$19-1)</f>
        <v>1</v>
      </c>
      <c r="EA74" s="53" t="n">
        <f aca="false">(1+e_InflFij)^(Calendario!EA$19-1)</f>
        <v>1</v>
      </c>
      <c r="EB74" s="53" t="n">
        <f aca="false">(1+e_InflFij)^(Calendario!EB$19-1)</f>
        <v>1</v>
      </c>
      <c r="EC74" s="53" t="n">
        <f aca="false">(1+e_InflFij)^(Calendario!EC$19-1)</f>
        <v>1</v>
      </c>
      <c r="ED74" s="53" t="n">
        <f aca="false">(1+e_InflFij)^(Calendario!ED$19-1)</f>
        <v>1</v>
      </c>
      <c r="EE74" s="53" t="n">
        <f aca="false">(1+e_InflFij)^(Calendario!EE$19-1)</f>
        <v>1</v>
      </c>
      <c r="EF74" s="53" t="n">
        <f aca="false">(1+e_InflFij)^(Calendario!EF$19-1)</f>
        <v>1</v>
      </c>
      <c r="EG74" s="53" t="n">
        <f aca="false">(1+e_InflFij)^(Calendario!EG$19-1)</f>
        <v>1</v>
      </c>
      <c r="EH74" s="53" t="n">
        <f aca="false">(1+e_InflFij)^(Calendario!EH$19-1)</f>
        <v>1</v>
      </c>
      <c r="EI74" s="53" t="n">
        <f aca="false">(1+e_InflFij)^(Calendario!EI$19-1)</f>
        <v>1</v>
      </c>
      <c r="EJ74" s="53" t="n">
        <f aca="false">(1+e_InflFij)^(Calendario!EJ$19-1)</f>
        <v>1</v>
      </c>
      <c r="EK74" s="53" t="n">
        <f aca="false">(1+e_InflFij)^(Calendario!EK$19-1)</f>
        <v>1</v>
      </c>
      <c r="EL74" s="53" t="n">
        <f aca="false">(1+e_InflFij)^(Calendario!EL$19-1)</f>
        <v>1</v>
      </c>
      <c r="EM74" s="53" t="n">
        <f aca="false">(1+e_InflFij)^(Calendario!EM$19-1)</f>
        <v>1</v>
      </c>
      <c r="EN74" s="53" t="n">
        <f aca="false">(1+e_InflFij)^(Calendario!EN$19-1)</f>
        <v>1</v>
      </c>
      <c r="EO74" s="53" t="n">
        <f aca="false">(1+e_InflFij)^(Calendario!EO$19-1)</f>
        <v>1</v>
      </c>
      <c r="EP74" s="53" t="n">
        <f aca="false">(1+e_InflFij)^(Calendario!EP$19-1)</f>
        <v>1</v>
      </c>
      <c r="EQ74" s="53" t="n">
        <f aca="false">(1+e_InflFij)^(Calendario!EQ$19-1)</f>
        <v>1</v>
      </c>
      <c r="ER74" s="53" t="n">
        <f aca="false">(1+e_InflFij)^(Calendario!ER$19-1)</f>
        <v>1</v>
      </c>
      <c r="ES74" s="53" t="n">
        <f aca="false">(1+e_InflFij)^(Calendario!ES$19-1)</f>
        <v>1</v>
      </c>
      <c r="ET74" s="53" t="n">
        <f aca="false">(1+e_InflFij)^(Calendario!ET$19-1)</f>
        <v>1</v>
      </c>
      <c r="EU74" s="53" t="n">
        <f aca="false">(1+e_InflFij)^(Calendario!EU$19-1)</f>
        <v>1</v>
      </c>
      <c r="EV74" s="53" t="n">
        <f aca="false">(1+e_InflFij)^(Calendario!EV$19-1)</f>
        <v>1</v>
      </c>
      <c r="EW74" s="53" t="n">
        <f aca="false">(1+e_InflFij)^(Calendario!EW$19-1)</f>
        <v>1</v>
      </c>
      <c r="EX74" s="53" t="n">
        <f aca="false">(1+e_InflFij)^(Calendario!EX$19-1)</f>
        <v>1</v>
      </c>
      <c r="EY74" s="53" t="n">
        <f aca="false">(1+e_InflFij)^(Calendario!EY$19-1)</f>
        <v>1</v>
      </c>
      <c r="EZ74" s="53" t="n">
        <f aca="false">(1+e_InflFij)^(Calendario!EZ$19-1)</f>
        <v>1</v>
      </c>
      <c r="FA74" s="53" t="n">
        <f aca="false">(1+e_InflFij)^(Calendario!FA$19-1)</f>
        <v>1</v>
      </c>
      <c r="FB74" s="53" t="n">
        <f aca="false">(1+e_InflFij)^(Calendario!FB$19-1)</f>
        <v>1</v>
      </c>
      <c r="FC74" s="53" t="n">
        <f aca="false">(1+e_InflFij)^(Calendario!FC$19-1)</f>
        <v>1</v>
      </c>
      <c r="FD74" s="53" t="n">
        <f aca="false">(1+e_InflFij)^(Calendario!FD$19-1)</f>
        <v>1</v>
      </c>
      <c r="FE74" s="53" t="n">
        <f aca="false">(1+e_InflFij)^(Calendario!FE$19-1)</f>
        <v>1</v>
      </c>
      <c r="FF74" s="53" t="n">
        <f aca="false">(1+e_InflFij)^(Calendario!FF$19-1)</f>
        <v>1</v>
      </c>
    </row>
    <row r="75" customFormat="false" ht="15" hidden="false" customHeight="false" outlineLevel="0" collapsed="false">
      <c r="A75" s="2" t="s">
        <v>1016</v>
      </c>
      <c r="B75" s="8" t="s">
        <v>1017</v>
      </c>
      <c r="C75" s="8" t="s">
        <v>201</v>
      </c>
      <c r="F75" s="48" t="n">
        <f aca="false">IF(F$68=1,1,IF(Calendario!F$14=1,p_EspFijos,0))</f>
        <v>0</v>
      </c>
      <c r="G75" s="48" t="n">
        <f aca="false">IF(G$68=1,1,IF(Calendario!G$14=1,p_EspFijos,0))</f>
        <v>1</v>
      </c>
      <c r="H75" s="48" t="n">
        <f aca="false">IF(H$68=1,1,IF(Calendario!H$14=1,p_EspFijos,0))</f>
        <v>1</v>
      </c>
      <c r="I75" s="48" t="n">
        <f aca="false">IF(I$68=1,1,IF(Calendario!I$14=1,p_EspFijos,0))</f>
        <v>1</v>
      </c>
      <c r="J75" s="48" t="n">
        <f aca="false">IF(J$68=1,1,IF(Calendario!J$14=1,p_EspFijos,0))</f>
        <v>1</v>
      </c>
      <c r="K75" s="48" t="n">
        <f aca="false">IF(K$68=1,1,IF(Calendario!K$14=1,p_EspFijos,0))</f>
        <v>1</v>
      </c>
      <c r="L75" s="48" t="n">
        <f aca="false">IF(L$68=1,1,IF(Calendario!L$14=1,p_EspFijos,0))</f>
        <v>1</v>
      </c>
      <c r="M75" s="48" t="n">
        <f aca="false">IF(M$68=1,1,IF(Calendario!M$14=1,p_EspFijos,0))</f>
        <v>1</v>
      </c>
      <c r="N75" s="48" t="n">
        <f aca="false">IF(N$68=1,1,IF(Calendario!N$14=1,p_EspFijos,0))</f>
        <v>1</v>
      </c>
      <c r="O75" s="48" t="n">
        <f aca="false">IF(O$68=1,1,IF(Calendario!O$14=1,p_EspFijos,0))</f>
        <v>1</v>
      </c>
      <c r="P75" s="48" t="n">
        <f aca="false">IF(P$68=1,1,IF(Calendario!P$14=1,p_EspFijos,0))</f>
        <v>1</v>
      </c>
      <c r="Q75" s="48" t="n">
        <f aca="false">IF(Q$68=1,1,IF(Calendario!Q$14=1,p_EspFijos,0))</f>
        <v>1</v>
      </c>
      <c r="R75" s="48" t="n">
        <f aca="false">IF(R$68=1,1,IF(Calendario!R$14=1,p_EspFijos,0))</f>
        <v>1</v>
      </c>
      <c r="S75" s="48" t="n">
        <f aca="false">IF(S$68=1,1,IF(Calendario!S$14=1,p_EspFijos,0))</f>
        <v>1</v>
      </c>
      <c r="T75" s="48" t="n">
        <f aca="false">IF(T$68=1,1,IF(Calendario!T$14=1,p_EspFijos,0))</f>
        <v>1</v>
      </c>
      <c r="U75" s="48" t="n">
        <f aca="false">IF(U$68=1,1,IF(Calendario!U$14=1,p_EspFijos,0))</f>
        <v>1</v>
      </c>
      <c r="V75" s="48" t="n">
        <f aca="false">IF(V$68=1,1,IF(Calendario!V$14=1,p_EspFijos,0))</f>
        <v>1</v>
      </c>
      <c r="W75" s="48" t="n">
        <f aca="false">IF(W$68=1,1,IF(Calendario!W$14=1,p_EspFijos,0))</f>
        <v>1</v>
      </c>
      <c r="X75" s="48" t="n">
        <f aca="false">IF(X$68=1,1,IF(Calendario!X$14=1,p_EspFijos,0))</f>
        <v>1</v>
      </c>
      <c r="Y75" s="48" t="n">
        <f aca="false">IF(Y$68=1,1,IF(Calendario!Y$14=1,p_EspFijos,0))</f>
        <v>1</v>
      </c>
      <c r="Z75" s="48" t="n">
        <f aca="false">IF(Z$68=1,1,IF(Calendario!Z$14=1,p_EspFijos,0))</f>
        <v>1</v>
      </c>
      <c r="AA75" s="48" t="n">
        <f aca="false">IF(AA$68=1,1,IF(Calendario!AA$14=1,p_EspFijos,0))</f>
        <v>1</v>
      </c>
      <c r="AB75" s="48" t="n">
        <f aca="false">IF(AB$68=1,1,IF(Calendario!AB$14=1,p_EspFijos,0))</f>
        <v>1</v>
      </c>
      <c r="AC75" s="48" t="n">
        <f aca="false">IF(AC$68=1,1,IF(Calendario!AC$14=1,p_EspFijos,0))</f>
        <v>1</v>
      </c>
      <c r="AD75" s="48" t="n">
        <f aca="false">IF(AD$68=1,1,IF(Calendario!AD$14=1,p_EspFijos,0))</f>
        <v>1</v>
      </c>
      <c r="AE75" s="48" t="n">
        <f aca="false">IF(AE$68=1,1,IF(Calendario!AE$14=1,p_EspFijos,0))</f>
        <v>1</v>
      </c>
      <c r="AF75" s="48" t="n">
        <f aca="false">IF(AF$68=1,1,IF(Calendario!AF$14=1,p_EspFijos,0))</f>
        <v>1</v>
      </c>
      <c r="AG75" s="48" t="n">
        <f aca="false">IF(AG$68=1,1,IF(Calendario!AG$14=1,p_EspFijos,0))</f>
        <v>1</v>
      </c>
      <c r="AH75" s="48" t="n">
        <f aca="false">IF(AH$68=1,1,IF(Calendario!AH$14=1,p_EspFijos,0))</f>
        <v>1</v>
      </c>
      <c r="AI75" s="48" t="n">
        <f aca="false">IF(AI$68=1,1,IF(Calendario!AI$14=1,p_EspFijos,0))</f>
        <v>1</v>
      </c>
      <c r="AJ75" s="48" t="n">
        <f aca="false">IF(AJ$68=1,1,IF(Calendario!AJ$14=1,p_EspFijos,0))</f>
        <v>1</v>
      </c>
      <c r="AK75" s="48" t="n">
        <f aca="false">IF(AK$68=1,1,IF(Calendario!AK$14=1,p_EspFijos,0))</f>
        <v>1</v>
      </c>
      <c r="AL75" s="48" t="n">
        <f aca="false">IF(AL$68=1,1,IF(Calendario!AL$14=1,p_EspFijos,0))</f>
        <v>1</v>
      </c>
      <c r="AM75" s="48" t="n">
        <f aca="false">IF(AM$68=1,1,IF(Calendario!AM$14=1,p_EspFijos,0))</f>
        <v>1</v>
      </c>
      <c r="AN75" s="48" t="n">
        <f aca="false">IF(AN$68=1,1,IF(Calendario!AN$14=1,p_EspFijos,0))</f>
        <v>1</v>
      </c>
      <c r="AO75" s="48" t="n">
        <f aca="false">IF(AO$68=1,1,IF(Calendario!AO$14=1,p_EspFijos,0))</f>
        <v>1</v>
      </c>
      <c r="AP75" s="48" t="n">
        <f aca="false">IF(AP$68=1,1,IF(Calendario!AP$14=1,p_EspFijos,0))</f>
        <v>1</v>
      </c>
      <c r="AQ75" s="48" t="n">
        <f aca="false">IF(AQ$68=1,1,IF(Calendario!AQ$14=1,p_EspFijos,0))</f>
        <v>1</v>
      </c>
      <c r="AR75" s="48" t="n">
        <f aca="false">IF(AR$68=1,1,IF(Calendario!AR$14=1,p_EspFijos,0))</f>
        <v>1</v>
      </c>
      <c r="AS75" s="48" t="n">
        <f aca="false">IF(AS$68=1,1,IF(Calendario!AS$14=1,p_EspFijos,0))</f>
        <v>1</v>
      </c>
      <c r="AT75" s="48" t="n">
        <f aca="false">IF(AT$68=1,1,IF(Calendario!AT$14=1,p_EspFijos,0))</f>
        <v>1</v>
      </c>
      <c r="AU75" s="48" t="n">
        <f aca="false">IF(AU$68=1,1,IF(Calendario!AU$14=1,p_EspFijos,0))</f>
        <v>1</v>
      </c>
      <c r="AV75" s="48" t="n">
        <f aca="false">IF(AV$68=1,1,IF(Calendario!AV$14=1,p_EspFijos,0))</f>
        <v>1</v>
      </c>
      <c r="AW75" s="48" t="n">
        <f aca="false">IF(AW$68=1,1,IF(Calendario!AW$14=1,p_EspFijos,0))</f>
        <v>1</v>
      </c>
      <c r="AX75" s="48" t="n">
        <f aca="false">IF(AX$68=1,1,IF(Calendario!AX$14=1,p_EspFijos,0))</f>
        <v>1</v>
      </c>
      <c r="AY75" s="48" t="n">
        <f aca="false">IF(AY$68=1,1,IF(Calendario!AY$14=1,p_EspFijos,0))</f>
        <v>1</v>
      </c>
      <c r="AZ75" s="48" t="n">
        <f aca="false">IF(AZ$68=1,1,IF(Calendario!AZ$14=1,p_EspFijos,0))</f>
        <v>1</v>
      </c>
      <c r="BA75" s="48" t="n">
        <f aca="false">IF(BA$68=1,1,IF(Calendario!BA$14=1,p_EspFijos,0))</f>
        <v>1</v>
      </c>
      <c r="BB75" s="48" t="n">
        <f aca="false">IF(BB$68=1,1,IF(Calendario!BB$14=1,p_EspFijos,0))</f>
        <v>1</v>
      </c>
      <c r="BC75" s="48" t="n">
        <f aca="false">IF(BC$68=1,1,IF(Calendario!BC$14=1,p_EspFijos,0))</f>
        <v>1</v>
      </c>
      <c r="BD75" s="48" t="n">
        <f aca="false">IF(BD$68=1,1,IF(Calendario!BD$14=1,p_EspFijos,0))</f>
        <v>1</v>
      </c>
      <c r="BE75" s="48" t="n">
        <f aca="false">IF(BE$68=1,1,IF(Calendario!BE$14=1,p_EspFijos,0))</f>
        <v>1</v>
      </c>
      <c r="BF75" s="48" t="n">
        <f aca="false">IF(BF$68=1,1,IF(Calendario!BF$14=1,p_EspFijos,0))</f>
        <v>1</v>
      </c>
      <c r="BG75" s="48" t="n">
        <f aca="false">IF(BG$68=1,1,IF(Calendario!BG$14=1,p_EspFijos,0))</f>
        <v>1</v>
      </c>
      <c r="BH75" s="48" t="n">
        <f aca="false">IF(BH$68=1,1,IF(Calendario!BH$14=1,p_EspFijos,0))</f>
        <v>1</v>
      </c>
      <c r="BI75" s="48" t="n">
        <f aca="false">IF(BI$68=1,1,IF(Calendario!BI$14=1,p_EspFijos,0))</f>
        <v>1</v>
      </c>
      <c r="BJ75" s="48" t="n">
        <f aca="false">IF(BJ$68=1,1,IF(Calendario!BJ$14=1,p_EspFijos,0))</f>
        <v>1</v>
      </c>
      <c r="BK75" s="48" t="n">
        <f aca="false">IF(BK$68=1,1,IF(Calendario!BK$14=1,p_EspFijos,0))</f>
        <v>1</v>
      </c>
      <c r="BL75" s="48" t="n">
        <f aca="false">IF(BL$68=1,1,IF(Calendario!BL$14=1,p_EspFijos,0))</f>
        <v>1</v>
      </c>
      <c r="BM75" s="48" t="n">
        <f aca="false">IF(BM$68=1,1,IF(Calendario!BM$14=1,p_EspFijos,0))</f>
        <v>1</v>
      </c>
      <c r="BN75" s="48" t="n">
        <f aca="false">IF(BN$68=1,1,IF(Calendario!BN$14=1,p_EspFijos,0))</f>
        <v>1</v>
      </c>
      <c r="BO75" s="48" t="n">
        <f aca="false">IF(BO$68=1,1,IF(Calendario!BO$14=1,p_EspFijos,0))</f>
        <v>1</v>
      </c>
      <c r="BP75" s="48" t="n">
        <f aca="false">IF(BP$68=1,1,IF(Calendario!BP$14=1,p_EspFijos,0))</f>
        <v>1</v>
      </c>
      <c r="BQ75" s="48" t="n">
        <f aca="false">IF(BQ$68=1,1,IF(Calendario!BQ$14=1,p_EspFijos,0))</f>
        <v>1</v>
      </c>
      <c r="BR75" s="48" t="n">
        <f aca="false">IF(BR$68=1,1,IF(Calendario!BR$14=1,p_EspFijos,0))</f>
        <v>1</v>
      </c>
      <c r="BS75" s="48" t="n">
        <f aca="false">IF(BS$68=1,1,IF(Calendario!BS$14=1,p_EspFijos,0))</f>
        <v>1</v>
      </c>
      <c r="BT75" s="48" t="n">
        <f aca="false">IF(BT$68=1,1,IF(Calendario!BT$14=1,p_EspFijos,0))</f>
        <v>1</v>
      </c>
      <c r="BU75" s="48" t="n">
        <f aca="false">IF(BU$68=1,1,IF(Calendario!BU$14=1,p_EspFijos,0))</f>
        <v>1</v>
      </c>
      <c r="BV75" s="48" t="n">
        <f aca="false">IF(BV$68=1,1,IF(Calendario!BV$14=1,p_EspFijos,0))</f>
        <v>1</v>
      </c>
      <c r="BW75" s="48" t="n">
        <f aca="false">IF(BW$68=1,1,IF(Calendario!BW$14=1,p_EspFijos,0))</f>
        <v>1</v>
      </c>
      <c r="BX75" s="48" t="n">
        <f aca="false">IF(BX$68=1,1,IF(Calendario!BX$14=1,p_EspFijos,0))</f>
        <v>1</v>
      </c>
      <c r="BY75" s="48" t="n">
        <f aca="false">IF(BY$68=1,1,IF(Calendario!BY$14=1,p_EspFijos,0))</f>
        <v>1</v>
      </c>
      <c r="BZ75" s="48" t="n">
        <f aca="false">IF(BZ$68=1,1,IF(Calendario!BZ$14=1,p_EspFijos,0))</f>
        <v>1</v>
      </c>
      <c r="CA75" s="48" t="n">
        <f aca="false">IF(CA$68=1,1,IF(Calendario!CA$14=1,p_EspFijos,0))</f>
        <v>1</v>
      </c>
      <c r="CB75" s="48" t="n">
        <f aca="false">IF(CB$68=1,1,IF(Calendario!CB$14=1,p_EspFijos,0))</f>
        <v>1</v>
      </c>
      <c r="CC75" s="48" t="n">
        <f aca="false">IF(CC$68=1,1,IF(Calendario!CC$14=1,p_EspFijos,0))</f>
        <v>1</v>
      </c>
      <c r="CD75" s="48" t="n">
        <f aca="false">IF(CD$68=1,1,IF(Calendario!CD$14=1,p_EspFijos,0))</f>
        <v>1</v>
      </c>
      <c r="CE75" s="48" t="n">
        <f aca="false">IF(CE$68=1,1,IF(Calendario!CE$14=1,p_EspFijos,0))</f>
        <v>1</v>
      </c>
      <c r="CF75" s="48" t="n">
        <f aca="false">IF(CF$68=1,1,IF(Calendario!CF$14=1,p_EspFijos,0))</f>
        <v>1</v>
      </c>
      <c r="CG75" s="48" t="n">
        <f aca="false">IF(CG$68=1,1,IF(Calendario!CG$14=1,p_EspFijos,0))</f>
        <v>1</v>
      </c>
      <c r="CH75" s="48" t="n">
        <f aca="false">IF(CH$68=1,1,IF(Calendario!CH$14=1,p_EspFijos,0))</f>
        <v>1</v>
      </c>
      <c r="CI75" s="48" t="n">
        <f aca="false">IF(CI$68=1,1,IF(Calendario!CI$14=1,p_EspFijos,0))</f>
        <v>1</v>
      </c>
      <c r="CJ75" s="48" t="n">
        <f aca="false">IF(CJ$68=1,1,IF(Calendario!CJ$14=1,p_EspFijos,0))</f>
        <v>1</v>
      </c>
      <c r="CK75" s="48" t="n">
        <f aca="false">IF(CK$68=1,1,IF(Calendario!CK$14=1,p_EspFijos,0))</f>
        <v>1</v>
      </c>
      <c r="CL75" s="48" t="n">
        <f aca="false">IF(CL$68=1,1,IF(Calendario!CL$14=1,p_EspFijos,0))</f>
        <v>1</v>
      </c>
      <c r="CM75" s="48" t="n">
        <f aca="false">IF(CM$68=1,1,IF(Calendario!CM$14=1,p_EspFijos,0))</f>
        <v>1</v>
      </c>
      <c r="CN75" s="48" t="n">
        <f aca="false">IF(CN$68=1,1,IF(Calendario!CN$14=1,p_EspFijos,0))</f>
        <v>1</v>
      </c>
      <c r="CO75" s="48" t="n">
        <f aca="false">IF(CO$68=1,1,IF(Calendario!CO$14=1,p_EspFijos,0))</f>
        <v>1</v>
      </c>
      <c r="CP75" s="48" t="n">
        <f aca="false">IF(CP$68=1,1,IF(Calendario!CP$14=1,p_EspFijos,0))</f>
        <v>1</v>
      </c>
      <c r="CQ75" s="48" t="n">
        <f aca="false">IF(CQ$68=1,1,IF(Calendario!CQ$14=1,p_EspFijos,0))</f>
        <v>1</v>
      </c>
      <c r="CR75" s="48" t="n">
        <f aca="false">IF(CR$68=1,1,IF(Calendario!CR$14=1,p_EspFijos,0))</f>
        <v>1</v>
      </c>
      <c r="CS75" s="48" t="n">
        <f aca="false">IF(CS$68=1,1,IF(Calendario!CS$14=1,p_EspFijos,0))</f>
        <v>1</v>
      </c>
      <c r="CT75" s="48" t="n">
        <f aca="false">IF(CT$68=1,1,IF(Calendario!CT$14=1,p_EspFijos,0))</f>
        <v>1</v>
      </c>
      <c r="CU75" s="48" t="n">
        <f aca="false">IF(CU$68=1,1,IF(Calendario!CU$14=1,p_EspFijos,0))</f>
        <v>1</v>
      </c>
      <c r="CV75" s="48" t="n">
        <f aca="false">IF(CV$68=1,1,IF(Calendario!CV$14=1,p_EspFijos,0))</f>
        <v>1</v>
      </c>
      <c r="CW75" s="48" t="n">
        <f aca="false">IF(CW$68=1,1,IF(Calendario!CW$14=1,p_EspFijos,0))</f>
        <v>1</v>
      </c>
      <c r="CX75" s="48" t="n">
        <f aca="false">IF(CX$68=1,1,IF(Calendario!CX$14=1,p_EspFijos,0))</f>
        <v>1</v>
      </c>
      <c r="CY75" s="48" t="n">
        <f aca="false">IF(CY$68=1,1,IF(Calendario!CY$14=1,p_EspFijos,0))</f>
        <v>1</v>
      </c>
      <c r="CZ75" s="48" t="n">
        <f aca="false">IF(CZ$68=1,1,IF(Calendario!CZ$14=1,p_EspFijos,0))</f>
        <v>1</v>
      </c>
      <c r="DA75" s="48" t="n">
        <f aca="false">IF(DA$68=1,1,IF(Calendario!DA$14=1,p_EspFijos,0))</f>
        <v>1</v>
      </c>
      <c r="DB75" s="48" t="n">
        <f aca="false">IF(DB$68=1,1,IF(Calendario!DB$14=1,p_EspFijos,0))</f>
        <v>1</v>
      </c>
      <c r="DC75" s="48" t="n">
        <f aca="false">IF(DC$68=1,1,IF(Calendario!DC$14=1,p_EspFijos,0))</f>
        <v>1</v>
      </c>
      <c r="DD75" s="48" t="n">
        <f aca="false">IF(DD$68=1,1,IF(Calendario!DD$14=1,p_EspFijos,0))</f>
        <v>1</v>
      </c>
      <c r="DE75" s="48" t="n">
        <f aca="false">IF(DE$68=1,1,IF(Calendario!DE$14=1,p_EspFijos,0))</f>
        <v>1</v>
      </c>
      <c r="DF75" s="48" t="n">
        <f aca="false">IF(DF$68=1,1,IF(Calendario!DF$14=1,p_EspFijos,0))</f>
        <v>1</v>
      </c>
      <c r="DG75" s="48" t="n">
        <f aca="false">IF(DG$68=1,1,IF(Calendario!DG$14=1,p_EspFijos,0))</f>
        <v>1</v>
      </c>
      <c r="DH75" s="48" t="n">
        <f aca="false">IF(DH$68=1,1,IF(Calendario!DH$14=1,p_EspFijos,0))</f>
        <v>1</v>
      </c>
      <c r="DI75" s="48" t="n">
        <f aca="false">IF(DI$68=1,1,IF(Calendario!DI$14=1,p_EspFijos,0))</f>
        <v>1</v>
      </c>
      <c r="DJ75" s="48" t="n">
        <f aca="false">IF(DJ$68=1,1,IF(Calendario!DJ$14=1,p_EspFijos,0))</f>
        <v>1</v>
      </c>
      <c r="DK75" s="48" t="n">
        <f aca="false">IF(DK$68=1,1,IF(Calendario!DK$14=1,p_EspFijos,0))</f>
        <v>1</v>
      </c>
      <c r="DL75" s="48" t="n">
        <f aca="false">IF(DL$68=1,1,IF(Calendario!DL$14=1,p_EspFijos,0))</f>
        <v>1</v>
      </c>
      <c r="DM75" s="48" t="n">
        <f aca="false">IF(DM$68=1,1,IF(Calendario!DM$14=1,p_EspFijos,0))</f>
        <v>1</v>
      </c>
      <c r="DN75" s="48" t="n">
        <f aca="false">IF(DN$68=1,1,IF(Calendario!DN$14=1,p_EspFijos,0))</f>
        <v>1</v>
      </c>
      <c r="DO75" s="48" t="n">
        <f aca="false">IF(DO$68=1,1,IF(Calendario!DO$14=1,p_EspFijos,0))</f>
        <v>1</v>
      </c>
      <c r="DP75" s="48" t="n">
        <f aca="false">IF(DP$68=1,1,IF(Calendario!DP$14=1,p_EspFijos,0))</f>
        <v>1</v>
      </c>
      <c r="DQ75" s="48" t="n">
        <f aca="false">IF(DQ$68=1,1,IF(Calendario!DQ$14=1,p_EspFijos,0))</f>
        <v>1</v>
      </c>
      <c r="DR75" s="48" t="n">
        <f aca="false">IF(DR$68=1,1,IF(Calendario!DR$14=1,p_EspFijos,0))</f>
        <v>1</v>
      </c>
      <c r="DS75" s="48" t="n">
        <f aca="false">IF(DS$68=1,1,IF(Calendario!DS$14=1,p_EspFijos,0))</f>
        <v>1</v>
      </c>
      <c r="DT75" s="48" t="n">
        <f aca="false">IF(DT$68=1,1,IF(Calendario!DT$14=1,p_EspFijos,0))</f>
        <v>1</v>
      </c>
      <c r="DU75" s="48" t="n">
        <f aca="false">IF(DU$68=1,1,IF(Calendario!DU$14=1,p_EspFijos,0))</f>
        <v>1</v>
      </c>
      <c r="DV75" s="48" t="n">
        <f aca="false">IF(DV$68=1,1,IF(Calendario!DV$14=1,p_EspFijos,0))</f>
        <v>1</v>
      </c>
      <c r="DW75" s="48" t="n">
        <f aca="false">IF(DW$68=1,1,IF(Calendario!DW$14=1,p_EspFijos,0))</f>
        <v>0</v>
      </c>
      <c r="DX75" s="48" t="n">
        <f aca="false">IF(DX$68=1,1,IF(Calendario!DX$14=1,p_EspFijos,0))</f>
        <v>0</v>
      </c>
      <c r="DY75" s="48" t="n">
        <f aca="false">IF(DY$68=1,1,IF(Calendario!DY$14=1,p_EspFijos,0))</f>
        <v>0</v>
      </c>
      <c r="DZ75" s="48" t="n">
        <f aca="false">IF(DZ$68=1,1,IF(Calendario!DZ$14=1,p_EspFijos,0))</f>
        <v>0</v>
      </c>
      <c r="EA75" s="48" t="n">
        <f aca="false">IF(EA$68=1,1,IF(Calendario!EA$14=1,p_EspFijos,0))</f>
        <v>0</v>
      </c>
      <c r="EB75" s="48" t="n">
        <f aca="false">IF(EB$68=1,1,IF(Calendario!EB$14=1,p_EspFijos,0))</f>
        <v>0</v>
      </c>
      <c r="EC75" s="48" t="n">
        <f aca="false">IF(EC$68=1,1,IF(Calendario!EC$14=1,p_EspFijos,0))</f>
        <v>0</v>
      </c>
      <c r="ED75" s="48" t="n">
        <f aca="false">IF(ED$68=1,1,IF(Calendario!ED$14=1,p_EspFijos,0))</f>
        <v>0</v>
      </c>
      <c r="EE75" s="48" t="n">
        <f aca="false">IF(EE$68=1,1,IF(Calendario!EE$14=1,p_EspFijos,0))</f>
        <v>0</v>
      </c>
      <c r="EF75" s="48" t="n">
        <f aca="false">IF(EF$68=1,1,IF(Calendario!EF$14=1,p_EspFijos,0))</f>
        <v>0</v>
      </c>
      <c r="EG75" s="48" t="n">
        <f aca="false">IF(EG$68=1,1,IF(Calendario!EG$14=1,p_EspFijos,0))</f>
        <v>0</v>
      </c>
      <c r="EH75" s="48" t="n">
        <f aca="false">IF(EH$68=1,1,IF(Calendario!EH$14=1,p_EspFijos,0))</f>
        <v>0</v>
      </c>
      <c r="EI75" s="48" t="n">
        <f aca="false">IF(EI$68=1,1,IF(Calendario!EI$14=1,p_EspFijos,0))</f>
        <v>0</v>
      </c>
      <c r="EJ75" s="48" t="n">
        <f aca="false">IF(EJ$68=1,1,IF(Calendario!EJ$14=1,p_EspFijos,0))</f>
        <v>0</v>
      </c>
      <c r="EK75" s="48" t="n">
        <f aca="false">IF(EK$68=1,1,IF(Calendario!EK$14=1,p_EspFijos,0))</f>
        <v>0</v>
      </c>
      <c r="EL75" s="48" t="n">
        <f aca="false">IF(EL$68=1,1,IF(Calendario!EL$14=1,p_EspFijos,0))</f>
        <v>0</v>
      </c>
      <c r="EM75" s="48" t="n">
        <f aca="false">IF(EM$68=1,1,IF(Calendario!EM$14=1,p_EspFijos,0))</f>
        <v>0</v>
      </c>
      <c r="EN75" s="48" t="n">
        <f aca="false">IF(EN$68=1,1,IF(Calendario!EN$14=1,p_EspFijos,0))</f>
        <v>0</v>
      </c>
      <c r="EO75" s="48" t="n">
        <f aca="false">IF(EO$68=1,1,IF(Calendario!EO$14=1,p_EspFijos,0))</f>
        <v>0</v>
      </c>
      <c r="EP75" s="48" t="n">
        <f aca="false">IF(EP$68=1,1,IF(Calendario!EP$14=1,p_EspFijos,0))</f>
        <v>0</v>
      </c>
      <c r="EQ75" s="48" t="n">
        <f aca="false">IF(EQ$68=1,1,IF(Calendario!EQ$14=1,p_EspFijos,0))</f>
        <v>0</v>
      </c>
      <c r="ER75" s="48" t="n">
        <f aca="false">IF(ER$68=1,1,IF(Calendario!ER$14=1,p_EspFijos,0))</f>
        <v>0</v>
      </c>
      <c r="ES75" s="48" t="n">
        <f aca="false">IF(ES$68=1,1,IF(Calendario!ES$14=1,p_EspFijos,0))</f>
        <v>0</v>
      </c>
      <c r="ET75" s="48" t="n">
        <f aca="false">IF(ET$68=1,1,IF(Calendario!ET$14=1,p_EspFijos,0))</f>
        <v>0</v>
      </c>
      <c r="EU75" s="48" t="n">
        <f aca="false">IF(EU$68=1,1,IF(Calendario!EU$14=1,p_EspFijos,0))</f>
        <v>0</v>
      </c>
      <c r="EV75" s="48" t="n">
        <f aca="false">IF(EV$68=1,1,IF(Calendario!EV$14=1,p_EspFijos,0))</f>
        <v>0</v>
      </c>
      <c r="EW75" s="48" t="n">
        <f aca="false">IF(EW$68=1,1,IF(Calendario!EW$14=1,p_EspFijos,0))</f>
        <v>0</v>
      </c>
      <c r="EX75" s="48" t="n">
        <f aca="false">IF(EX$68=1,1,IF(Calendario!EX$14=1,p_EspFijos,0))</f>
        <v>0</v>
      </c>
      <c r="EY75" s="48" t="n">
        <f aca="false">IF(EY$68=1,1,IF(Calendario!EY$14=1,p_EspFijos,0))</f>
        <v>0</v>
      </c>
      <c r="EZ75" s="48" t="n">
        <f aca="false">IF(EZ$68=1,1,IF(Calendario!EZ$14=1,p_EspFijos,0))</f>
        <v>0</v>
      </c>
      <c r="FA75" s="48" t="n">
        <f aca="false">IF(FA$68=1,1,IF(Calendario!FA$14=1,p_EspFijos,0))</f>
        <v>0</v>
      </c>
      <c r="FB75" s="48" t="n">
        <f aca="false">IF(FB$68=1,1,IF(Calendario!FB$14=1,p_EspFijos,0))</f>
        <v>0</v>
      </c>
      <c r="FC75" s="48" t="n">
        <f aca="false">IF(FC$68=1,1,IF(Calendario!FC$14=1,p_EspFijos,0))</f>
        <v>0</v>
      </c>
      <c r="FD75" s="48" t="n">
        <f aca="false">IF(FD$68=1,1,IF(Calendario!FD$14=1,p_EspFijos,0))</f>
        <v>0</v>
      </c>
      <c r="FE75" s="48" t="n">
        <f aca="false">IF(FE$68=1,1,IF(Calendario!FE$14=1,p_EspFijos,0))</f>
        <v>0</v>
      </c>
      <c r="FF75" s="48" t="n">
        <f aca="false">IF(FF$68=1,1,IF(Calendario!FF$14=1,p_EspFijos,0))</f>
        <v>0</v>
      </c>
    </row>
    <row r="76" customFormat="false" ht="15" hidden="false" customHeight="false" outlineLevel="0" collapsed="false">
      <c r="A76" s="2" t="s">
        <v>1018</v>
      </c>
      <c r="B76" s="8" t="s">
        <v>1019</v>
      </c>
      <c r="C76" s="8" t="s">
        <v>201</v>
      </c>
      <c r="F76" s="48" t="n">
        <f aca="false">IF(F$68=1,1,IF(Calendario!F$14=1,p_EspEne,0))</f>
        <v>0</v>
      </c>
      <c r="G76" s="48" t="n">
        <f aca="false">IF(G$68=1,1,IF(Calendario!G$14=1,p_EspEne,0))</f>
        <v>1</v>
      </c>
      <c r="H76" s="48" t="n">
        <f aca="false">IF(H$68=1,1,IF(Calendario!H$14=1,p_EspEne,0))</f>
        <v>1</v>
      </c>
      <c r="I76" s="48" t="n">
        <f aca="false">IF(I$68=1,1,IF(Calendario!I$14=1,p_EspEne,0))</f>
        <v>1</v>
      </c>
      <c r="J76" s="48" t="n">
        <f aca="false">IF(J$68=1,1,IF(Calendario!J$14=1,p_EspEne,0))</f>
        <v>1</v>
      </c>
      <c r="K76" s="48" t="n">
        <f aca="false">IF(K$68=1,1,IF(Calendario!K$14=1,p_EspEne,0))</f>
        <v>1</v>
      </c>
      <c r="L76" s="48" t="n">
        <f aca="false">IF(L$68=1,1,IF(Calendario!L$14=1,p_EspEne,0))</f>
        <v>1</v>
      </c>
      <c r="M76" s="48" t="n">
        <f aca="false">IF(M$68=1,1,IF(Calendario!M$14=1,p_EspEne,0))</f>
        <v>1</v>
      </c>
      <c r="N76" s="48" t="n">
        <f aca="false">IF(N$68=1,1,IF(Calendario!N$14=1,p_EspEne,0))</f>
        <v>1</v>
      </c>
      <c r="O76" s="48" t="n">
        <f aca="false">IF(O$68=1,1,IF(Calendario!O$14=1,p_EspEne,0))</f>
        <v>1</v>
      </c>
      <c r="P76" s="48" t="n">
        <f aca="false">IF(P$68=1,1,IF(Calendario!P$14=1,p_EspEne,0))</f>
        <v>1</v>
      </c>
      <c r="Q76" s="48" t="n">
        <f aca="false">IF(Q$68=1,1,IF(Calendario!Q$14=1,p_EspEne,0))</f>
        <v>1</v>
      </c>
      <c r="R76" s="48" t="n">
        <f aca="false">IF(R$68=1,1,IF(Calendario!R$14=1,p_EspEne,0))</f>
        <v>1</v>
      </c>
      <c r="S76" s="48" t="n">
        <f aca="false">IF(S$68=1,1,IF(Calendario!S$14=1,p_EspEne,0))</f>
        <v>1</v>
      </c>
      <c r="T76" s="48" t="n">
        <f aca="false">IF(T$68=1,1,IF(Calendario!T$14=1,p_EspEne,0))</f>
        <v>1</v>
      </c>
      <c r="U76" s="48" t="n">
        <f aca="false">IF(U$68=1,1,IF(Calendario!U$14=1,p_EspEne,0))</f>
        <v>1</v>
      </c>
      <c r="V76" s="48" t="n">
        <f aca="false">IF(V$68=1,1,IF(Calendario!V$14=1,p_EspEne,0))</f>
        <v>1</v>
      </c>
      <c r="W76" s="48" t="n">
        <f aca="false">IF(W$68=1,1,IF(Calendario!W$14=1,p_EspEne,0))</f>
        <v>1</v>
      </c>
      <c r="X76" s="48" t="n">
        <f aca="false">IF(X$68=1,1,IF(Calendario!X$14=1,p_EspEne,0))</f>
        <v>1</v>
      </c>
      <c r="Y76" s="48" t="n">
        <f aca="false">IF(Y$68=1,1,IF(Calendario!Y$14=1,p_EspEne,0))</f>
        <v>1</v>
      </c>
      <c r="Z76" s="48" t="n">
        <f aca="false">IF(Z$68=1,1,IF(Calendario!Z$14=1,p_EspEne,0))</f>
        <v>1</v>
      </c>
      <c r="AA76" s="48" t="n">
        <f aca="false">IF(AA$68=1,1,IF(Calendario!AA$14=1,p_EspEne,0))</f>
        <v>1</v>
      </c>
      <c r="AB76" s="48" t="n">
        <f aca="false">IF(AB$68=1,1,IF(Calendario!AB$14=1,p_EspEne,0))</f>
        <v>1</v>
      </c>
      <c r="AC76" s="48" t="n">
        <f aca="false">IF(AC$68=1,1,IF(Calendario!AC$14=1,p_EspEne,0))</f>
        <v>1</v>
      </c>
      <c r="AD76" s="48" t="n">
        <f aca="false">IF(AD$68=1,1,IF(Calendario!AD$14=1,p_EspEne,0))</f>
        <v>1</v>
      </c>
      <c r="AE76" s="48" t="n">
        <f aca="false">IF(AE$68=1,1,IF(Calendario!AE$14=1,p_EspEne,0))</f>
        <v>1</v>
      </c>
      <c r="AF76" s="48" t="n">
        <f aca="false">IF(AF$68=1,1,IF(Calendario!AF$14=1,p_EspEne,0))</f>
        <v>1</v>
      </c>
      <c r="AG76" s="48" t="n">
        <f aca="false">IF(AG$68=1,1,IF(Calendario!AG$14=1,p_EspEne,0))</f>
        <v>1</v>
      </c>
      <c r="AH76" s="48" t="n">
        <f aca="false">IF(AH$68=1,1,IF(Calendario!AH$14=1,p_EspEne,0))</f>
        <v>1</v>
      </c>
      <c r="AI76" s="48" t="n">
        <f aca="false">IF(AI$68=1,1,IF(Calendario!AI$14=1,p_EspEne,0))</f>
        <v>1</v>
      </c>
      <c r="AJ76" s="48" t="n">
        <f aca="false">IF(AJ$68=1,1,IF(Calendario!AJ$14=1,p_EspEne,0))</f>
        <v>1</v>
      </c>
      <c r="AK76" s="48" t="n">
        <f aca="false">IF(AK$68=1,1,IF(Calendario!AK$14=1,p_EspEne,0))</f>
        <v>1</v>
      </c>
      <c r="AL76" s="48" t="n">
        <f aca="false">IF(AL$68=1,1,IF(Calendario!AL$14=1,p_EspEne,0))</f>
        <v>1</v>
      </c>
      <c r="AM76" s="48" t="n">
        <f aca="false">IF(AM$68=1,1,IF(Calendario!AM$14=1,p_EspEne,0))</f>
        <v>1</v>
      </c>
      <c r="AN76" s="48" t="n">
        <f aca="false">IF(AN$68=1,1,IF(Calendario!AN$14=1,p_EspEne,0))</f>
        <v>1</v>
      </c>
      <c r="AO76" s="48" t="n">
        <f aca="false">IF(AO$68=1,1,IF(Calendario!AO$14=1,p_EspEne,0))</f>
        <v>1</v>
      </c>
      <c r="AP76" s="48" t="n">
        <f aca="false">IF(AP$68=1,1,IF(Calendario!AP$14=1,p_EspEne,0))</f>
        <v>1</v>
      </c>
      <c r="AQ76" s="48" t="n">
        <f aca="false">IF(AQ$68=1,1,IF(Calendario!AQ$14=1,p_EspEne,0))</f>
        <v>1</v>
      </c>
      <c r="AR76" s="48" t="n">
        <f aca="false">IF(AR$68=1,1,IF(Calendario!AR$14=1,p_EspEne,0))</f>
        <v>1</v>
      </c>
      <c r="AS76" s="48" t="n">
        <f aca="false">IF(AS$68=1,1,IF(Calendario!AS$14=1,p_EspEne,0))</f>
        <v>1</v>
      </c>
      <c r="AT76" s="48" t="n">
        <f aca="false">IF(AT$68=1,1,IF(Calendario!AT$14=1,p_EspEne,0))</f>
        <v>1</v>
      </c>
      <c r="AU76" s="48" t="n">
        <f aca="false">IF(AU$68=1,1,IF(Calendario!AU$14=1,p_EspEne,0))</f>
        <v>1</v>
      </c>
      <c r="AV76" s="48" t="n">
        <f aca="false">IF(AV$68=1,1,IF(Calendario!AV$14=1,p_EspEne,0))</f>
        <v>1</v>
      </c>
      <c r="AW76" s="48" t="n">
        <f aca="false">IF(AW$68=1,1,IF(Calendario!AW$14=1,p_EspEne,0))</f>
        <v>1</v>
      </c>
      <c r="AX76" s="48" t="n">
        <f aca="false">IF(AX$68=1,1,IF(Calendario!AX$14=1,p_EspEne,0))</f>
        <v>1</v>
      </c>
      <c r="AY76" s="48" t="n">
        <f aca="false">IF(AY$68=1,1,IF(Calendario!AY$14=1,p_EspEne,0))</f>
        <v>1</v>
      </c>
      <c r="AZ76" s="48" t="n">
        <f aca="false">IF(AZ$68=1,1,IF(Calendario!AZ$14=1,p_EspEne,0))</f>
        <v>1</v>
      </c>
      <c r="BA76" s="48" t="n">
        <f aca="false">IF(BA$68=1,1,IF(Calendario!BA$14=1,p_EspEne,0))</f>
        <v>1</v>
      </c>
      <c r="BB76" s="48" t="n">
        <f aca="false">IF(BB$68=1,1,IF(Calendario!BB$14=1,p_EspEne,0))</f>
        <v>1</v>
      </c>
      <c r="BC76" s="48" t="n">
        <f aca="false">IF(BC$68=1,1,IF(Calendario!BC$14=1,p_EspEne,0))</f>
        <v>1</v>
      </c>
      <c r="BD76" s="48" t="n">
        <f aca="false">IF(BD$68=1,1,IF(Calendario!BD$14=1,p_EspEne,0))</f>
        <v>1</v>
      </c>
      <c r="BE76" s="48" t="n">
        <f aca="false">IF(BE$68=1,1,IF(Calendario!BE$14=1,p_EspEne,0))</f>
        <v>1</v>
      </c>
      <c r="BF76" s="48" t="n">
        <f aca="false">IF(BF$68=1,1,IF(Calendario!BF$14=1,p_EspEne,0))</f>
        <v>1</v>
      </c>
      <c r="BG76" s="48" t="n">
        <f aca="false">IF(BG$68=1,1,IF(Calendario!BG$14=1,p_EspEne,0))</f>
        <v>1</v>
      </c>
      <c r="BH76" s="48" t="n">
        <f aca="false">IF(BH$68=1,1,IF(Calendario!BH$14=1,p_EspEne,0))</f>
        <v>1</v>
      </c>
      <c r="BI76" s="48" t="n">
        <f aca="false">IF(BI$68=1,1,IF(Calendario!BI$14=1,p_EspEne,0))</f>
        <v>1</v>
      </c>
      <c r="BJ76" s="48" t="n">
        <f aca="false">IF(BJ$68=1,1,IF(Calendario!BJ$14=1,p_EspEne,0))</f>
        <v>1</v>
      </c>
      <c r="BK76" s="48" t="n">
        <f aca="false">IF(BK$68=1,1,IF(Calendario!BK$14=1,p_EspEne,0))</f>
        <v>1</v>
      </c>
      <c r="BL76" s="48" t="n">
        <f aca="false">IF(BL$68=1,1,IF(Calendario!BL$14=1,p_EspEne,0))</f>
        <v>1</v>
      </c>
      <c r="BM76" s="48" t="n">
        <f aca="false">IF(BM$68=1,1,IF(Calendario!BM$14=1,p_EspEne,0))</f>
        <v>1</v>
      </c>
      <c r="BN76" s="48" t="n">
        <f aca="false">IF(BN$68=1,1,IF(Calendario!BN$14=1,p_EspEne,0))</f>
        <v>1</v>
      </c>
      <c r="BO76" s="48" t="n">
        <f aca="false">IF(BO$68=1,1,IF(Calendario!BO$14=1,p_EspEne,0))</f>
        <v>1</v>
      </c>
      <c r="BP76" s="48" t="n">
        <f aca="false">IF(BP$68=1,1,IF(Calendario!BP$14=1,p_EspEne,0))</f>
        <v>1</v>
      </c>
      <c r="BQ76" s="48" t="n">
        <f aca="false">IF(BQ$68=1,1,IF(Calendario!BQ$14=1,p_EspEne,0))</f>
        <v>1</v>
      </c>
      <c r="BR76" s="48" t="n">
        <f aca="false">IF(BR$68=1,1,IF(Calendario!BR$14=1,p_EspEne,0))</f>
        <v>1</v>
      </c>
      <c r="BS76" s="48" t="n">
        <f aca="false">IF(BS$68=1,1,IF(Calendario!BS$14=1,p_EspEne,0))</f>
        <v>1</v>
      </c>
      <c r="BT76" s="48" t="n">
        <f aca="false">IF(BT$68=1,1,IF(Calendario!BT$14=1,p_EspEne,0))</f>
        <v>1</v>
      </c>
      <c r="BU76" s="48" t="n">
        <f aca="false">IF(BU$68=1,1,IF(Calendario!BU$14=1,p_EspEne,0))</f>
        <v>1</v>
      </c>
      <c r="BV76" s="48" t="n">
        <f aca="false">IF(BV$68=1,1,IF(Calendario!BV$14=1,p_EspEne,0))</f>
        <v>1</v>
      </c>
      <c r="BW76" s="48" t="n">
        <f aca="false">IF(BW$68=1,1,IF(Calendario!BW$14=1,p_EspEne,0))</f>
        <v>1</v>
      </c>
      <c r="BX76" s="48" t="n">
        <f aca="false">IF(BX$68=1,1,IF(Calendario!BX$14=1,p_EspEne,0))</f>
        <v>1</v>
      </c>
      <c r="BY76" s="48" t="n">
        <f aca="false">IF(BY$68=1,1,IF(Calendario!BY$14=1,p_EspEne,0))</f>
        <v>1</v>
      </c>
      <c r="BZ76" s="48" t="n">
        <f aca="false">IF(BZ$68=1,1,IF(Calendario!BZ$14=1,p_EspEne,0))</f>
        <v>1</v>
      </c>
      <c r="CA76" s="48" t="n">
        <f aca="false">IF(CA$68=1,1,IF(Calendario!CA$14=1,p_EspEne,0))</f>
        <v>1</v>
      </c>
      <c r="CB76" s="48" t="n">
        <f aca="false">IF(CB$68=1,1,IF(Calendario!CB$14=1,p_EspEne,0))</f>
        <v>1</v>
      </c>
      <c r="CC76" s="48" t="n">
        <f aca="false">IF(CC$68=1,1,IF(Calendario!CC$14=1,p_EspEne,0))</f>
        <v>1</v>
      </c>
      <c r="CD76" s="48" t="n">
        <f aca="false">IF(CD$68=1,1,IF(Calendario!CD$14=1,p_EspEne,0))</f>
        <v>1</v>
      </c>
      <c r="CE76" s="48" t="n">
        <f aca="false">IF(CE$68=1,1,IF(Calendario!CE$14=1,p_EspEne,0))</f>
        <v>1</v>
      </c>
      <c r="CF76" s="48" t="n">
        <f aca="false">IF(CF$68=1,1,IF(Calendario!CF$14=1,p_EspEne,0))</f>
        <v>1</v>
      </c>
      <c r="CG76" s="48" t="n">
        <f aca="false">IF(CG$68=1,1,IF(Calendario!CG$14=1,p_EspEne,0))</f>
        <v>1</v>
      </c>
      <c r="CH76" s="48" t="n">
        <f aca="false">IF(CH$68=1,1,IF(Calendario!CH$14=1,p_EspEne,0))</f>
        <v>1</v>
      </c>
      <c r="CI76" s="48" t="n">
        <f aca="false">IF(CI$68=1,1,IF(Calendario!CI$14=1,p_EspEne,0))</f>
        <v>1</v>
      </c>
      <c r="CJ76" s="48" t="n">
        <f aca="false">IF(CJ$68=1,1,IF(Calendario!CJ$14=1,p_EspEne,0))</f>
        <v>1</v>
      </c>
      <c r="CK76" s="48" t="n">
        <f aca="false">IF(CK$68=1,1,IF(Calendario!CK$14=1,p_EspEne,0))</f>
        <v>1</v>
      </c>
      <c r="CL76" s="48" t="n">
        <f aca="false">IF(CL$68=1,1,IF(Calendario!CL$14=1,p_EspEne,0))</f>
        <v>1</v>
      </c>
      <c r="CM76" s="48" t="n">
        <f aca="false">IF(CM$68=1,1,IF(Calendario!CM$14=1,p_EspEne,0))</f>
        <v>1</v>
      </c>
      <c r="CN76" s="48" t="n">
        <f aca="false">IF(CN$68=1,1,IF(Calendario!CN$14=1,p_EspEne,0))</f>
        <v>1</v>
      </c>
      <c r="CO76" s="48" t="n">
        <f aca="false">IF(CO$68=1,1,IF(Calendario!CO$14=1,p_EspEne,0))</f>
        <v>1</v>
      </c>
      <c r="CP76" s="48" t="n">
        <f aca="false">IF(CP$68=1,1,IF(Calendario!CP$14=1,p_EspEne,0))</f>
        <v>1</v>
      </c>
      <c r="CQ76" s="48" t="n">
        <f aca="false">IF(CQ$68=1,1,IF(Calendario!CQ$14=1,p_EspEne,0))</f>
        <v>1</v>
      </c>
      <c r="CR76" s="48" t="n">
        <f aca="false">IF(CR$68=1,1,IF(Calendario!CR$14=1,p_EspEne,0))</f>
        <v>1</v>
      </c>
      <c r="CS76" s="48" t="n">
        <f aca="false">IF(CS$68=1,1,IF(Calendario!CS$14=1,p_EspEne,0))</f>
        <v>1</v>
      </c>
      <c r="CT76" s="48" t="n">
        <f aca="false">IF(CT$68=1,1,IF(Calendario!CT$14=1,p_EspEne,0))</f>
        <v>1</v>
      </c>
      <c r="CU76" s="48" t="n">
        <f aca="false">IF(CU$68=1,1,IF(Calendario!CU$14=1,p_EspEne,0))</f>
        <v>1</v>
      </c>
      <c r="CV76" s="48" t="n">
        <f aca="false">IF(CV$68=1,1,IF(Calendario!CV$14=1,p_EspEne,0))</f>
        <v>1</v>
      </c>
      <c r="CW76" s="48" t="n">
        <f aca="false">IF(CW$68=1,1,IF(Calendario!CW$14=1,p_EspEne,0))</f>
        <v>1</v>
      </c>
      <c r="CX76" s="48" t="n">
        <f aca="false">IF(CX$68=1,1,IF(Calendario!CX$14=1,p_EspEne,0))</f>
        <v>1</v>
      </c>
      <c r="CY76" s="48" t="n">
        <f aca="false">IF(CY$68=1,1,IF(Calendario!CY$14=1,p_EspEne,0))</f>
        <v>1</v>
      </c>
      <c r="CZ76" s="48" t="n">
        <f aca="false">IF(CZ$68=1,1,IF(Calendario!CZ$14=1,p_EspEne,0))</f>
        <v>1</v>
      </c>
      <c r="DA76" s="48" t="n">
        <f aca="false">IF(DA$68=1,1,IF(Calendario!DA$14=1,p_EspEne,0))</f>
        <v>1</v>
      </c>
      <c r="DB76" s="48" t="n">
        <f aca="false">IF(DB$68=1,1,IF(Calendario!DB$14=1,p_EspEne,0))</f>
        <v>1</v>
      </c>
      <c r="DC76" s="48" t="n">
        <f aca="false">IF(DC$68=1,1,IF(Calendario!DC$14=1,p_EspEne,0))</f>
        <v>1</v>
      </c>
      <c r="DD76" s="48" t="n">
        <f aca="false">IF(DD$68=1,1,IF(Calendario!DD$14=1,p_EspEne,0))</f>
        <v>1</v>
      </c>
      <c r="DE76" s="48" t="n">
        <f aca="false">IF(DE$68=1,1,IF(Calendario!DE$14=1,p_EspEne,0))</f>
        <v>1</v>
      </c>
      <c r="DF76" s="48" t="n">
        <f aca="false">IF(DF$68=1,1,IF(Calendario!DF$14=1,p_EspEne,0))</f>
        <v>1</v>
      </c>
      <c r="DG76" s="48" t="n">
        <f aca="false">IF(DG$68=1,1,IF(Calendario!DG$14=1,p_EspEne,0))</f>
        <v>1</v>
      </c>
      <c r="DH76" s="48" t="n">
        <f aca="false">IF(DH$68=1,1,IF(Calendario!DH$14=1,p_EspEne,0))</f>
        <v>1</v>
      </c>
      <c r="DI76" s="48" t="n">
        <f aca="false">IF(DI$68=1,1,IF(Calendario!DI$14=1,p_EspEne,0))</f>
        <v>1</v>
      </c>
      <c r="DJ76" s="48" t="n">
        <f aca="false">IF(DJ$68=1,1,IF(Calendario!DJ$14=1,p_EspEne,0))</f>
        <v>1</v>
      </c>
      <c r="DK76" s="48" t="n">
        <f aca="false">IF(DK$68=1,1,IF(Calendario!DK$14=1,p_EspEne,0))</f>
        <v>1</v>
      </c>
      <c r="DL76" s="48" t="n">
        <f aca="false">IF(DL$68=1,1,IF(Calendario!DL$14=1,p_EspEne,0))</f>
        <v>1</v>
      </c>
      <c r="DM76" s="48" t="n">
        <f aca="false">IF(DM$68=1,1,IF(Calendario!DM$14=1,p_EspEne,0))</f>
        <v>1</v>
      </c>
      <c r="DN76" s="48" t="n">
        <f aca="false">IF(DN$68=1,1,IF(Calendario!DN$14=1,p_EspEne,0))</f>
        <v>1</v>
      </c>
      <c r="DO76" s="48" t="n">
        <f aca="false">IF(DO$68=1,1,IF(Calendario!DO$14=1,p_EspEne,0))</f>
        <v>1</v>
      </c>
      <c r="DP76" s="48" t="n">
        <f aca="false">IF(DP$68=1,1,IF(Calendario!DP$14=1,p_EspEne,0))</f>
        <v>1</v>
      </c>
      <c r="DQ76" s="48" t="n">
        <f aca="false">IF(DQ$68=1,1,IF(Calendario!DQ$14=1,p_EspEne,0))</f>
        <v>1</v>
      </c>
      <c r="DR76" s="48" t="n">
        <f aca="false">IF(DR$68=1,1,IF(Calendario!DR$14=1,p_EspEne,0))</f>
        <v>1</v>
      </c>
      <c r="DS76" s="48" t="n">
        <f aca="false">IF(DS$68=1,1,IF(Calendario!DS$14=1,p_EspEne,0))</f>
        <v>1</v>
      </c>
      <c r="DT76" s="48" t="n">
        <f aca="false">IF(DT$68=1,1,IF(Calendario!DT$14=1,p_EspEne,0))</f>
        <v>1</v>
      </c>
      <c r="DU76" s="48" t="n">
        <f aca="false">IF(DU$68=1,1,IF(Calendario!DU$14=1,p_EspEne,0))</f>
        <v>1</v>
      </c>
      <c r="DV76" s="48" t="n">
        <f aca="false">IF(DV$68=1,1,IF(Calendario!DV$14=1,p_EspEne,0))</f>
        <v>1</v>
      </c>
      <c r="DW76" s="48" t="n">
        <f aca="false">IF(DW$68=1,1,IF(Calendario!DW$14=1,p_EspEne,0))</f>
        <v>0</v>
      </c>
      <c r="DX76" s="48" t="n">
        <f aca="false">IF(DX$68=1,1,IF(Calendario!DX$14=1,p_EspEne,0))</f>
        <v>0</v>
      </c>
      <c r="DY76" s="48" t="n">
        <f aca="false">IF(DY$68=1,1,IF(Calendario!DY$14=1,p_EspEne,0))</f>
        <v>0</v>
      </c>
      <c r="DZ76" s="48" t="n">
        <f aca="false">IF(DZ$68=1,1,IF(Calendario!DZ$14=1,p_EspEne,0))</f>
        <v>0</v>
      </c>
      <c r="EA76" s="48" t="n">
        <f aca="false">IF(EA$68=1,1,IF(Calendario!EA$14=1,p_EspEne,0))</f>
        <v>0</v>
      </c>
      <c r="EB76" s="48" t="n">
        <f aca="false">IF(EB$68=1,1,IF(Calendario!EB$14=1,p_EspEne,0))</f>
        <v>0</v>
      </c>
      <c r="EC76" s="48" t="n">
        <f aca="false">IF(EC$68=1,1,IF(Calendario!EC$14=1,p_EspEne,0))</f>
        <v>0</v>
      </c>
      <c r="ED76" s="48" t="n">
        <f aca="false">IF(ED$68=1,1,IF(Calendario!ED$14=1,p_EspEne,0))</f>
        <v>0</v>
      </c>
      <c r="EE76" s="48" t="n">
        <f aca="false">IF(EE$68=1,1,IF(Calendario!EE$14=1,p_EspEne,0))</f>
        <v>0</v>
      </c>
      <c r="EF76" s="48" t="n">
        <f aca="false">IF(EF$68=1,1,IF(Calendario!EF$14=1,p_EspEne,0))</f>
        <v>0</v>
      </c>
      <c r="EG76" s="48" t="n">
        <f aca="false">IF(EG$68=1,1,IF(Calendario!EG$14=1,p_EspEne,0))</f>
        <v>0</v>
      </c>
      <c r="EH76" s="48" t="n">
        <f aca="false">IF(EH$68=1,1,IF(Calendario!EH$14=1,p_EspEne,0))</f>
        <v>0</v>
      </c>
      <c r="EI76" s="48" t="n">
        <f aca="false">IF(EI$68=1,1,IF(Calendario!EI$14=1,p_EspEne,0))</f>
        <v>0</v>
      </c>
      <c r="EJ76" s="48" t="n">
        <f aca="false">IF(EJ$68=1,1,IF(Calendario!EJ$14=1,p_EspEne,0))</f>
        <v>0</v>
      </c>
      <c r="EK76" s="48" t="n">
        <f aca="false">IF(EK$68=1,1,IF(Calendario!EK$14=1,p_EspEne,0))</f>
        <v>0</v>
      </c>
      <c r="EL76" s="48" t="n">
        <f aca="false">IF(EL$68=1,1,IF(Calendario!EL$14=1,p_EspEne,0))</f>
        <v>0</v>
      </c>
      <c r="EM76" s="48" t="n">
        <f aca="false">IF(EM$68=1,1,IF(Calendario!EM$14=1,p_EspEne,0))</f>
        <v>0</v>
      </c>
      <c r="EN76" s="48" t="n">
        <f aca="false">IF(EN$68=1,1,IF(Calendario!EN$14=1,p_EspEne,0))</f>
        <v>0</v>
      </c>
      <c r="EO76" s="48" t="n">
        <f aca="false">IF(EO$68=1,1,IF(Calendario!EO$14=1,p_EspEne,0))</f>
        <v>0</v>
      </c>
      <c r="EP76" s="48" t="n">
        <f aca="false">IF(EP$68=1,1,IF(Calendario!EP$14=1,p_EspEne,0))</f>
        <v>0</v>
      </c>
      <c r="EQ76" s="48" t="n">
        <f aca="false">IF(EQ$68=1,1,IF(Calendario!EQ$14=1,p_EspEne,0))</f>
        <v>0</v>
      </c>
      <c r="ER76" s="48" t="n">
        <f aca="false">IF(ER$68=1,1,IF(Calendario!ER$14=1,p_EspEne,0))</f>
        <v>0</v>
      </c>
      <c r="ES76" s="48" t="n">
        <f aca="false">IF(ES$68=1,1,IF(Calendario!ES$14=1,p_EspEne,0))</f>
        <v>0</v>
      </c>
      <c r="ET76" s="48" t="n">
        <f aca="false">IF(ET$68=1,1,IF(Calendario!ET$14=1,p_EspEne,0))</f>
        <v>0</v>
      </c>
      <c r="EU76" s="48" t="n">
        <f aca="false">IF(EU$68=1,1,IF(Calendario!EU$14=1,p_EspEne,0))</f>
        <v>0</v>
      </c>
      <c r="EV76" s="48" t="n">
        <f aca="false">IF(EV$68=1,1,IF(Calendario!EV$14=1,p_EspEne,0))</f>
        <v>0</v>
      </c>
      <c r="EW76" s="48" t="n">
        <f aca="false">IF(EW$68=1,1,IF(Calendario!EW$14=1,p_EspEne,0))</f>
        <v>0</v>
      </c>
      <c r="EX76" s="48" t="n">
        <f aca="false">IF(EX$68=1,1,IF(Calendario!EX$14=1,p_EspEne,0))</f>
        <v>0</v>
      </c>
      <c r="EY76" s="48" t="n">
        <f aca="false">IF(EY$68=1,1,IF(Calendario!EY$14=1,p_EspEne,0))</f>
        <v>0</v>
      </c>
      <c r="EZ76" s="48" t="n">
        <f aca="false">IF(EZ$68=1,1,IF(Calendario!EZ$14=1,p_EspEne,0))</f>
        <v>0</v>
      </c>
      <c r="FA76" s="48" t="n">
        <f aca="false">IF(FA$68=1,1,IF(Calendario!FA$14=1,p_EspEne,0))</f>
        <v>0</v>
      </c>
      <c r="FB76" s="48" t="n">
        <f aca="false">IF(FB$68=1,1,IF(Calendario!FB$14=1,p_EspEne,0))</f>
        <v>0</v>
      </c>
      <c r="FC76" s="48" t="n">
        <f aca="false">IF(FC$68=1,1,IF(Calendario!FC$14=1,p_EspEne,0))</f>
        <v>0</v>
      </c>
      <c r="FD76" s="48" t="n">
        <f aca="false">IF(FD$68=1,1,IF(Calendario!FD$14=1,p_EspEne,0))</f>
        <v>0</v>
      </c>
      <c r="FE76" s="48" t="n">
        <f aca="false">IF(FE$68=1,1,IF(Calendario!FE$14=1,p_EspEne,0))</f>
        <v>0</v>
      </c>
      <c r="FF76" s="48" t="n">
        <f aca="false">IF(FF$68=1,1,IF(Calendario!FF$14=1,p_EspEne,0))</f>
        <v>0</v>
      </c>
    </row>
    <row r="77" customFormat="false" ht="15" hidden="false" customHeight="false" outlineLevel="0" collapsed="false">
      <c r="A77" s="4"/>
      <c r="B77" s="3" t="s">
        <v>1020</v>
      </c>
      <c r="C77" s="4"/>
      <c r="D77" s="4"/>
      <c r="E77" s="4"/>
    </row>
    <row r="78" customFormat="false" ht="15" hidden="false" customHeight="false" outlineLevel="0" collapsed="false">
      <c r="A78" s="2" t="s">
        <v>1021</v>
      </c>
      <c r="B78" s="8" t="s">
        <v>1022</v>
      </c>
      <c r="C78" s="8" t="s">
        <v>1023</v>
      </c>
      <c r="F78" s="19" t="n">
        <f aca="false">IF(F$68=1,INDEX($G$41:$P$41,1,F$67),IF(Calendario!F$14=1,INDEX($G$41:$P$41,1,1)*p_EspDir,0))</f>
        <v>0</v>
      </c>
      <c r="G78" s="19" t="n">
        <f aca="false">IF(G$68=1,INDEX($G$41:$P$41,1,G$67),IF(Calendario!G$14=1,INDEX($G$41:$P$41,1,1)*p_EspDir,0))</f>
        <v>43</v>
      </c>
      <c r="H78" s="19" t="n">
        <f aca="false">IF(H$68=1,INDEX($G$41:$P$41,1,H$67),IF(Calendario!H$14=1,INDEX($G$41:$P$41,1,1)*p_EspDir,0))</f>
        <v>43</v>
      </c>
      <c r="I78" s="19" t="n">
        <f aca="false">IF(I$68=1,INDEX($G$41:$P$41,1,I$67),IF(Calendario!I$14=1,INDEX($G$41:$P$41,1,1)*p_EspDir,0))</f>
        <v>43</v>
      </c>
      <c r="J78" s="19" t="n">
        <f aca="false">IF(J$68=1,INDEX($G$41:$P$41,1,J$67),IF(Calendario!J$14=1,INDEX($G$41:$P$41,1,1)*p_EspDir,0))</f>
        <v>43</v>
      </c>
      <c r="K78" s="19" t="n">
        <f aca="false">IF(K$68=1,INDEX($G$41:$P$41,1,K$67),IF(Calendario!K$14=1,INDEX($G$41:$P$41,1,1)*p_EspDir,0))</f>
        <v>43</v>
      </c>
      <c r="L78" s="19" t="n">
        <f aca="false">IF(L$68=1,INDEX($G$41:$P$41,1,L$67),IF(Calendario!L$14=1,INDEX($G$41:$P$41,1,1)*p_EspDir,0))</f>
        <v>43</v>
      </c>
      <c r="M78" s="19" t="n">
        <f aca="false">IF(M$68=1,INDEX($G$41:$P$41,1,M$67),IF(Calendario!M$14=1,INDEX($G$41:$P$41,1,1)*p_EspDir,0))</f>
        <v>43</v>
      </c>
      <c r="N78" s="19" t="n">
        <f aca="false">IF(N$68=1,INDEX($G$41:$P$41,1,N$67),IF(Calendario!N$14=1,INDEX($G$41:$P$41,1,1)*p_EspDir,0))</f>
        <v>43</v>
      </c>
      <c r="O78" s="19" t="n">
        <f aca="false">IF(O$68=1,INDEX($G$41:$P$41,1,O$67),IF(Calendario!O$14=1,INDEX($G$41:$P$41,1,1)*p_EspDir,0))</f>
        <v>43</v>
      </c>
      <c r="P78" s="19" t="n">
        <f aca="false">IF(P$68=1,INDEX($G$41:$P$41,1,P$67),IF(Calendario!P$14=1,INDEX($G$41:$P$41,1,1)*p_EspDir,0))</f>
        <v>43</v>
      </c>
      <c r="Q78" s="19" t="n">
        <f aca="false">IF(Q$68=1,INDEX($G$41:$P$41,1,Q$67),IF(Calendario!Q$14=1,INDEX($G$41:$P$41,1,1)*p_EspDir,0))</f>
        <v>43</v>
      </c>
      <c r="R78" s="19" t="n">
        <f aca="false">IF(R$68=1,INDEX($G$41:$P$41,1,R$67),IF(Calendario!R$14=1,INDEX($G$41:$P$41,1,1)*p_EspDir,0))</f>
        <v>43</v>
      </c>
      <c r="S78" s="19" t="n">
        <f aca="false">IF(S$68=1,INDEX($G$41:$P$41,1,S$67),IF(Calendario!S$14=1,INDEX($G$41:$P$41,1,1)*p_EspDir,0))</f>
        <v>43</v>
      </c>
      <c r="T78" s="19" t="n">
        <f aca="false">IF(T$68=1,INDEX($G$41:$P$41,1,T$67),IF(Calendario!T$14=1,INDEX($G$41:$P$41,1,1)*p_EspDir,0))</f>
        <v>43</v>
      </c>
      <c r="U78" s="19" t="n">
        <f aca="false">IF(U$68=1,INDEX($G$41:$P$41,1,U$67),IF(Calendario!U$14=1,INDEX($G$41:$P$41,1,1)*p_EspDir,0))</f>
        <v>43</v>
      </c>
      <c r="V78" s="19" t="n">
        <f aca="false">IF(V$68=1,INDEX($G$41:$P$41,1,V$67),IF(Calendario!V$14=1,INDEX($G$41:$P$41,1,1)*p_EspDir,0))</f>
        <v>43</v>
      </c>
      <c r="W78" s="19" t="n">
        <f aca="false">IF(W$68=1,INDEX($G$41:$P$41,1,W$67),IF(Calendario!W$14=1,INDEX($G$41:$P$41,1,1)*p_EspDir,0))</f>
        <v>43</v>
      </c>
      <c r="X78" s="19" t="n">
        <f aca="false">IF(X$68=1,INDEX($G$41:$P$41,1,X$67),IF(Calendario!X$14=1,INDEX($G$41:$P$41,1,1)*p_EspDir,0))</f>
        <v>43</v>
      </c>
      <c r="Y78" s="19" t="n">
        <f aca="false">IF(Y$68=1,INDEX($G$41:$P$41,1,Y$67),IF(Calendario!Y$14=1,INDEX($G$41:$P$41,1,1)*p_EspDir,0))</f>
        <v>43</v>
      </c>
      <c r="Z78" s="19" t="n">
        <f aca="false">IF(Z$68=1,INDEX($G$41:$P$41,1,Z$67),IF(Calendario!Z$14=1,INDEX($G$41:$P$41,1,1)*p_EspDir,0))</f>
        <v>43</v>
      </c>
      <c r="AA78" s="19" t="n">
        <f aca="false">IF(AA$68=1,INDEX($G$41:$P$41,1,AA$67),IF(Calendario!AA$14=1,INDEX($G$41:$P$41,1,1)*p_EspDir,0))</f>
        <v>43</v>
      </c>
      <c r="AB78" s="19" t="n">
        <f aca="false">IF(AB$68=1,INDEX($G$41:$P$41,1,AB$67),IF(Calendario!AB$14=1,INDEX($G$41:$P$41,1,1)*p_EspDir,0))</f>
        <v>43</v>
      </c>
      <c r="AC78" s="19" t="n">
        <f aca="false">IF(AC$68=1,INDEX($G$41:$P$41,1,AC$67),IF(Calendario!AC$14=1,INDEX($G$41:$P$41,1,1)*p_EspDir,0))</f>
        <v>43</v>
      </c>
      <c r="AD78" s="19" t="n">
        <f aca="false">IF(AD$68=1,INDEX($G$41:$P$41,1,AD$67),IF(Calendario!AD$14=1,INDEX($G$41:$P$41,1,1)*p_EspDir,0))</f>
        <v>43</v>
      </c>
      <c r="AE78" s="19" t="n">
        <f aca="false">IF(AE$68=1,INDEX($G$41:$P$41,1,AE$67),IF(Calendario!AE$14=1,INDEX($G$41:$P$41,1,1)*p_EspDir,0))</f>
        <v>46</v>
      </c>
      <c r="AF78" s="19" t="n">
        <f aca="false">IF(AF$68=1,INDEX($G$41:$P$41,1,AF$67),IF(Calendario!AF$14=1,INDEX($G$41:$P$41,1,1)*p_EspDir,0))</f>
        <v>46</v>
      </c>
      <c r="AG78" s="19" t="n">
        <f aca="false">IF(AG$68=1,INDEX($G$41:$P$41,1,AG$67),IF(Calendario!AG$14=1,INDEX($G$41:$P$41,1,1)*p_EspDir,0))</f>
        <v>46</v>
      </c>
      <c r="AH78" s="19" t="n">
        <f aca="false">IF(AH$68=1,INDEX($G$41:$P$41,1,AH$67),IF(Calendario!AH$14=1,INDEX($G$41:$P$41,1,1)*p_EspDir,0))</f>
        <v>46</v>
      </c>
      <c r="AI78" s="19" t="n">
        <f aca="false">IF(AI$68=1,INDEX($G$41:$P$41,1,AI$67),IF(Calendario!AI$14=1,INDEX($G$41:$P$41,1,1)*p_EspDir,0))</f>
        <v>46</v>
      </c>
      <c r="AJ78" s="19" t="n">
        <f aca="false">IF(AJ$68=1,INDEX($G$41:$P$41,1,AJ$67),IF(Calendario!AJ$14=1,INDEX($G$41:$P$41,1,1)*p_EspDir,0))</f>
        <v>46</v>
      </c>
      <c r="AK78" s="19" t="n">
        <f aca="false">IF(AK$68=1,INDEX($G$41:$P$41,1,AK$67),IF(Calendario!AK$14=1,INDEX($G$41:$P$41,1,1)*p_EspDir,0))</f>
        <v>46</v>
      </c>
      <c r="AL78" s="19" t="n">
        <f aca="false">IF(AL$68=1,INDEX($G$41:$P$41,1,AL$67),IF(Calendario!AL$14=1,INDEX($G$41:$P$41,1,1)*p_EspDir,0))</f>
        <v>46</v>
      </c>
      <c r="AM78" s="19" t="n">
        <f aca="false">IF(AM$68=1,INDEX($G$41:$P$41,1,AM$67),IF(Calendario!AM$14=1,INDEX($G$41:$P$41,1,1)*p_EspDir,0))</f>
        <v>46</v>
      </c>
      <c r="AN78" s="19" t="n">
        <f aca="false">IF(AN$68=1,INDEX($G$41:$P$41,1,AN$67),IF(Calendario!AN$14=1,INDEX($G$41:$P$41,1,1)*p_EspDir,0))</f>
        <v>46</v>
      </c>
      <c r="AO78" s="19" t="n">
        <f aca="false">IF(AO$68=1,INDEX($G$41:$P$41,1,AO$67),IF(Calendario!AO$14=1,INDEX($G$41:$P$41,1,1)*p_EspDir,0))</f>
        <v>46</v>
      </c>
      <c r="AP78" s="19" t="n">
        <f aca="false">IF(AP$68=1,INDEX($G$41:$P$41,1,AP$67),IF(Calendario!AP$14=1,INDEX($G$41:$P$41,1,1)*p_EspDir,0))</f>
        <v>46</v>
      </c>
      <c r="AQ78" s="19" t="n">
        <f aca="false">IF(AQ$68=1,INDEX($G$41:$P$41,1,AQ$67),IF(Calendario!AQ$14=1,INDEX($G$41:$P$41,1,1)*p_EspDir,0))</f>
        <v>49</v>
      </c>
      <c r="AR78" s="19" t="n">
        <f aca="false">IF(AR$68=1,INDEX($G$41:$P$41,1,AR$67),IF(Calendario!AR$14=1,INDEX($G$41:$P$41,1,1)*p_EspDir,0))</f>
        <v>49</v>
      </c>
      <c r="AS78" s="19" t="n">
        <f aca="false">IF(AS$68=1,INDEX($G$41:$P$41,1,AS$67),IF(Calendario!AS$14=1,INDEX($G$41:$P$41,1,1)*p_EspDir,0))</f>
        <v>49</v>
      </c>
      <c r="AT78" s="19" t="n">
        <f aca="false">IF(AT$68=1,INDEX($G$41:$P$41,1,AT$67),IF(Calendario!AT$14=1,INDEX($G$41:$P$41,1,1)*p_EspDir,0))</f>
        <v>49</v>
      </c>
      <c r="AU78" s="19" t="n">
        <f aca="false">IF(AU$68=1,INDEX($G$41:$P$41,1,AU$67),IF(Calendario!AU$14=1,INDEX($G$41:$P$41,1,1)*p_EspDir,0))</f>
        <v>49</v>
      </c>
      <c r="AV78" s="19" t="n">
        <f aca="false">IF(AV$68=1,INDEX($G$41:$P$41,1,AV$67),IF(Calendario!AV$14=1,INDEX($G$41:$P$41,1,1)*p_EspDir,0))</f>
        <v>49</v>
      </c>
      <c r="AW78" s="19" t="n">
        <f aca="false">IF(AW$68=1,INDEX($G$41:$P$41,1,AW$67),IF(Calendario!AW$14=1,INDEX($G$41:$P$41,1,1)*p_EspDir,0))</f>
        <v>49</v>
      </c>
      <c r="AX78" s="19" t="n">
        <f aca="false">IF(AX$68=1,INDEX($G$41:$P$41,1,AX$67),IF(Calendario!AX$14=1,INDEX($G$41:$P$41,1,1)*p_EspDir,0))</f>
        <v>49</v>
      </c>
      <c r="AY78" s="19" t="n">
        <f aca="false">IF(AY$68=1,INDEX($G$41:$P$41,1,AY$67),IF(Calendario!AY$14=1,INDEX($G$41:$P$41,1,1)*p_EspDir,0))</f>
        <v>49</v>
      </c>
      <c r="AZ78" s="19" t="n">
        <f aca="false">IF(AZ$68=1,INDEX($G$41:$P$41,1,AZ$67),IF(Calendario!AZ$14=1,INDEX($G$41:$P$41,1,1)*p_EspDir,0))</f>
        <v>49</v>
      </c>
      <c r="BA78" s="19" t="n">
        <f aca="false">IF(BA$68=1,INDEX($G$41:$P$41,1,BA$67),IF(Calendario!BA$14=1,INDEX($G$41:$P$41,1,1)*p_EspDir,0))</f>
        <v>49</v>
      </c>
      <c r="BB78" s="19" t="n">
        <f aca="false">IF(BB$68=1,INDEX($G$41:$P$41,1,BB$67),IF(Calendario!BB$14=1,INDEX($G$41:$P$41,1,1)*p_EspDir,0))</f>
        <v>49</v>
      </c>
      <c r="BC78" s="19" t="n">
        <f aca="false">IF(BC$68=1,INDEX($G$41:$P$41,1,BC$67),IF(Calendario!BC$14=1,INDEX($G$41:$P$41,1,1)*p_EspDir,0))</f>
        <v>52</v>
      </c>
      <c r="BD78" s="19" t="n">
        <f aca="false">IF(BD$68=1,INDEX($G$41:$P$41,1,BD$67),IF(Calendario!BD$14=1,INDEX($G$41:$P$41,1,1)*p_EspDir,0))</f>
        <v>52</v>
      </c>
      <c r="BE78" s="19" t="n">
        <f aca="false">IF(BE$68=1,INDEX($G$41:$P$41,1,BE$67),IF(Calendario!BE$14=1,INDEX($G$41:$P$41,1,1)*p_EspDir,0))</f>
        <v>52</v>
      </c>
      <c r="BF78" s="19" t="n">
        <f aca="false">IF(BF$68=1,INDEX($G$41:$P$41,1,BF$67),IF(Calendario!BF$14=1,INDEX($G$41:$P$41,1,1)*p_EspDir,0))</f>
        <v>52</v>
      </c>
      <c r="BG78" s="19" t="n">
        <f aca="false">IF(BG$68=1,INDEX($G$41:$P$41,1,BG$67),IF(Calendario!BG$14=1,INDEX($G$41:$P$41,1,1)*p_EspDir,0))</f>
        <v>52</v>
      </c>
      <c r="BH78" s="19" t="n">
        <f aca="false">IF(BH$68=1,INDEX($G$41:$P$41,1,BH$67),IF(Calendario!BH$14=1,INDEX($G$41:$P$41,1,1)*p_EspDir,0))</f>
        <v>52</v>
      </c>
      <c r="BI78" s="19" t="n">
        <f aca="false">IF(BI$68=1,INDEX($G$41:$P$41,1,BI$67),IF(Calendario!BI$14=1,INDEX($G$41:$P$41,1,1)*p_EspDir,0))</f>
        <v>52</v>
      </c>
      <c r="BJ78" s="19" t="n">
        <f aca="false">IF(BJ$68=1,INDEX($G$41:$P$41,1,BJ$67),IF(Calendario!BJ$14=1,INDEX($G$41:$P$41,1,1)*p_EspDir,0))</f>
        <v>52</v>
      </c>
      <c r="BK78" s="19" t="n">
        <f aca="false">IF(BK$68=1,INDEX($G$41:$P$41,1,BK$67),IF(Calendario!BK$14=1,INDEX($G$41:$P$41,1,1)*p_EspDir,0))</f>
        <v>52</v>
      </c>
      <c r="BL78" s="19" t="n">
        <f aca="false">IF(BL$68=1,INDEX($G$41:$P$41,1,BL$67),IF(Calendario!BL$14=1,INDEX($G$41:$P$41,1,1)*p_EspDir,0))</f>
        <v>52</v>
      </c>
      <c r="BM78" s="19" t="n">
        <f aca="false">IF(BM$68=1,INDEX($G$41:$P$41,1,BM$67),IF(Calendario!BM$14=1,INDEX($G$41:$P$41,1,1)*p_EspDir,0))</f>
        <v>52</v>
      </c>
      <c r="BN78" s="19" t="n">
        <f aca="false">IF(BN$68=1,INDEX($G$41:$P$41,1,BN$67),IF(Calendario!BN$14=1,INDEX($G$41:$P$41,1,1)*p_EspDir,0))</f>
        <v>52</v>
      </c>
      <c r="BO78" s="19" t="n">
        <f aca="false">IF(BO$68=1,INDEX($G$41:$P$41,1,BO$67),IF(Calendario!BO$14=1,INDEX($G$41:$P$41,1,1)*p_EspDir,0))</f>
        <v>52</v>
      </c>
      <c r="BP78" s="19" t="n">
        <f aca="false">IF(BP$68=1,INDEX($G$41:$P$41,1,BP$67),IF(Calendario!BP$14=1,INDEX($G$41:$P$41,1,1)*p_EspDir,0))</f>
        <v>52</v>
      </c>
      <c r="BQ78" s="19" t="n">
        <f aca="false">IF(BQ$68=1,INDEX($G$41:$P$41,1,BQ$67),IF(Calendario!BQ$14=1,INDEX($G$41:$P$41,1,1)*p_EspDir,0))</f>
        <v>52</v>
      </c>
      <c r="BR78" s="19" t="n">
        <f aca="false">IF(BR$68=1,INDEX($G$41:$P$41,1,BR$67),IF(Calendario!BR$14=1,INDEX($G$41:$P$41,1,1)*p_EspDir,0))</f>
        <v>52</v>
      </c>
      <c r="BS78" s="19" t="n">
        <f aca="false">IF(BS$68=1,INDEX($G$41:$P$41,1,BS$67),IF(Calendario!BS$14=1,INDEX($G$41:$P$41,1,1)*p_EspDir,0))</f>
        <v>52</v>
      </c>
      <c r="BT78" s="19" t="n">
        <f aca="false">IF(BT$68=1,INDEX($G$41:$P$41,1,BT$67),IF(Calendario!BT$14=1,INDEX($G$41:$P$41,1,1)*p_EspDir,0))</f>
        <v>52</v>
      </c>
      <c r="BU78" s="19" t="n">
        <f aca="false">IF(BU$68=1,INDEX($G$41:$P$41,1,BU$67),IF(Calendario!BU$14=1,INDEX($G$41:$P$41,1,1)*p_EspDir,0))</f>
        <v>52</v>
      </c>
      <c r="BV78" s="19" t="n">
        <f aca="false">IF(BV$68=1,INDEX($G$41:$P$41,1,BV$67),IF(Calendario!BV$14=1,INDEX($G$41:$P$41,1,1)*p_EspDir,0))</f>
        <v>52</v>
      </c>
      <c r="BW78" s="19" t="n">
        <f aca="false">IF(BW$68=1,INDEX($G$41:$P$41,1,BW$67),IF(Calendario!BW$14=1,INDEX($G$41:$P$41,1,1)*p_EspDir,0))</f>
        <v>52</v>
      </c>
      <c r="BX78" s="19" t="n">
        <f aca="false">IF(BX$68=1,INDEX($G$41:$P$41,1,BX$67),IF(Calendario!BX$14=1,INDEX($G$41:$P$41,1,1)*p_EspDir,0))</f>
        <v>52</v>
      </c>
      <c r="BY78" s="19" t="n">
        <f aca="false">IF(BY$68=1,INDEX($G$41:$P$41,1,BY$67),IF(Calendario!BY$14=1,INDEX($G$41:$P$41,1,1)*p_EspDir,0))</f>
        <v>52</v>
      </c>
      <c r="BZ78" s="19" t="n">
        <f aca="false">IF(BZ$68=1,INDEX($G$41:$P$41,1,BZ$67),IF(Calendario!BZ$14=1,INDEX($G$41:$P$41,1,1)*p_EspDir,0))</f>
        <v>52</v>
      </c>
      <c r="CA78" s="19" t="n">
        <f aca="false">IF(CA$68=1,INDEX($G$41:$P$41,1,CA$67),IF(Calendario!CA$14=1,INDEX($G$41:$P$41,1,1)*p_EspDir,0))</f>
        <v>52</v>
      </c>
      <c r="CB78" s="19" t="n">
        <f aca="false">IF(CB$68=1,INDEX($G$41:$P$41,1,CB$67),IF(Calendario!CB$14=1,INDEX($G$41:$P$41,1,1)*p_EspDir,0))</f>
        <v>52</v>
      </c>
      <c r="CC78" s="19" t="n">
        <f aca="false">IF(CC$68=1,INDEX($G$41:$P$41,1,CC$67),IF(Calendario!CC$14=1,INDEX($G$41:$P$41,1,1)*p_EspDir,0))</f>
        <v>52</v>
      </c>
      <c r="CD78" s="19" t="n">
        <f aca="false">IF(CD$68=1,INDEX($G$41:$P$41,1,CD$67),IF(Calendario!CD$14=1,INDEX($G$41:$P$41,1,1)*p_EspDir,0))</f>
        <v>52</v>
      </c>
      <c r="CE78" s="19" t="n">
        <f aca="false">IF(CE$68=1,INDEX($G$41:$P$41,1,CE$67),IF(Calendario!CE$14=1,INDEX($G$41:$P$41,1,1)*p_EspDir,0))</f>
        <v>52</v>
      </c>
      <c r="CF78" s="19" t="n">
        <f aca="false">IF(CF$68=1,INDEX($G$41:$P$41,1,CF$67),IF(Calendario!CF$14=1,INDEX($G$41:$P$41,1,1)*p_EspDir,0))</f>
        <v>52</v>
      </c>
      <c r="CG78" s="19" t="n">
        <f aca="false">IF(CG$68=1,INDEX($G$41:$P$41,1,CG$67),IF(Calendario!CG$14=1,INDEX($G$41:$P$41,1,1)*p_EspDir,0))</f>
        <v>52</v>
      </c>
      <c r="CH78" s="19" t="n">
        <f aca="false">IF(CH$68=1,INDEX($G$41:$P$41,1,CH$67),IF(Calendario!CH$14=1,INDEX($G$41:$P$41,1,1)*p_EspDir,0))</f>
        <v>52</v>
      </c>
      <c r="CI78" s="19" t="n">
        <f aca="false">IF(CI$68=1,INDEX($G$41:$P$41,1,CI$67),IF(Calendario!CI$14=1,INDEX($G$41:$P$41,1,1)*p_EspDir,0))</f>
        <v>52</v>
      </c>
      <c r="CJ78" s="19" t="n">
        <f aca="false">IF(CJ$68=1,INDEX($G$41:$P$41,1,CJ$67),IF(Calendario!CJ$14=1,INDEX($G$41:$P$41,1,1)*p_EspDir,0))</f>
        <v>52</v>
      </c>
      <c r="CK78" s="19" t="n">
        <f aca="false">IF(CK$68=1,INDEX($G$41:$P$41,1,CK$67),IF(Calendario!CK$14=1,INDEX($G$41:$P$41,1,1)*p_EspDir,0))</f>
        <v>52</v>
      </c>
      <c r="CL78" s="19" t="n">
        <f aca="false">IF(CL$68=1,INDEX($G$41:$P$41,1,CL$67),IF(Calendario!CL$14=1,INDEX($G$41:$P$41,1,1)*p_EspDir,0))</f>
        <v>52</v>
      </c>
      <c r="CM78" s="19" t="n">
        <f aca="false">IF(CM$68=1,INDEX($G$41:$P$41,1,CM$67),IF(Calendario!CM$14=1,INDEX($G$41:$P$41,1,1)*p_EspDir,0))</f>
        <v>52</v>
      </c>
      <c r="CN78" s="19" t="n">
        <f aca="false">IF(CN$68=1,INDEX($G$41:$P$41,1,CN$67),IF(Calendario!CN$14=1,INDEX($G$41:$P$41,1,1)*p_EspDir,0))</f>
        <v>52</v>
      </c>
      <c r="CO78" s="19" t="n">
        <f aca="false">IF(CO$68=1,INDEX($G$41:$P$41,1,CO$67),IF(Calendario!CO$14=1,INDEX($G$41:$P$41,1,1)*p_EspDir,0))</f>
        <v>52</v>
      </c>
      <c r="CP78" s="19" t="n">
        <f aca="false">IF(CP$68=1,INDEX($G$41:$P$41,1,CP$67),IF(Calendario!CP$14=1,INDEX($G$41:$P$41,1,1)*p_EspDir,0))</f>
        <v>52</v>
      </c>
      <c r="CQ78" s="19" t="n">
        <f aca="false">IF(CQ$68=1,INDEX($G$41:$P$41,1,CQ$67),IF(Calendario!CQ$14=1,INDEX($G$41:$P$41,1,1)*p_EspDir,0))</f>
        <v>52</v>
      </c>
      <c r="CR78" s="19" t="n">
        <f aca="false">IF(CR$68=1,INDEX($G$41:$P$41,1,CR$67),IF(Calendario!CR$14=1,INDEX($G$41:$P$41,1,1)*p_EspDir,0))</f>
        <v>52</v>
      </c>
      <c r="CS78" s="19" t="n">
        <f aca="false">IF(CS$68=1,INDEX($G$41:$P$41,1,CS$67),IF(Calendario!CS$14=1,INDEX($G$41:$P$41,1,1)*p_EspDir,0))</f>
        <v>52</v>
      </c>
      <c r="CT78" s="19" t="n">
        <f aca="false">IF(CT$68=1,INDEX($G$41:$P$41,1,CT$67),IF(Calendario!CT$14=1,INDEX($G$41:$P$41,1,1)*p_EspDir,0))</f>
        <v>52</v>
      </c>
      <c r="CU78" s="19" t="n">
        <f aca="false">IF(CU$68=1,INDEX($G$41:$P$41,1,CU$67),IF(Calendario!CU$14=1,INDEX($G$41:$P$41,1,1)*p_EspDir,0))</f>
        <v>52</v>
      </c>
      <c r="CV78" s="19" t="n">
        <f aca="false">IF(CV$68=1,INDEX($G$41:$P$41,1,CV$67),IF(Calendario!CV$14=1,INDEX($G$41:$P$41,1,1)*p_EspDir,0))</f>
        <v>52</v>
      </c>
      <c r="CW78" s="19" t="n">
        <f aca="false">IF(CW$68=1,INDEX($G$41:$P$41,1,CW$67),IF(Calendario!CW$14=1,INDEX($G$41:$P$41,1,1)*p_EspDir,0))</f>
        <v>52</v>
      </c>
      <c r="CX78" s="19" t="n">
        <f aca="false">IF(CX$68=1,INDEX($G$41:$P$41,1,CX$67),IF(Calendario!CX$14=1,INDEX($G$41:$P$41,1,1)*p_EspDir,0))</f>
        <v>52</v>
      </c>
      <c r="CY78" s="19" t="n">
        <f aca="false">IF(CY$68=1,INDEX($G$41:$P$41,1,CY$67),IF(Calendario!CY$14=1,INDEX($G$41:$P$41,1,1)*p_EspDir,0))</f>
        <v>52</v>
      </c>
      <c r="CZ78" s="19" t="n">
        <f aca="false">IF(CZ$68=1,INDEX($G$41:$P$41,1,CZ$67),IF(Calendario!CZ$14=1,INDEX($G$41:$P$41,1,1)*p_EspDir,0))</f>
        <v>52</v>
      </c>
      <c r="DA78" s="19" t="n">
        <f aca="false">IF(DA$68=1,INDEX($G$41:$P$41,1,DA$67),IF(Calendario!DA$14=1,INDEX($G$41:$P$41,1,1)*p_EspDir,0))</f>
        <v>52</v>
      </c>
      <c r="DB78" s="19" t="n">
        <f aca="false">IF(DB$68=1,INDEX($G$41:$P$41,1,DB$67),IF(Calendario!DB$14=1,INDEX($G$41:$P$41,1,1)*p_EspDir,0))</f>
        <v>52</v>
      </c>
      <c r="DC78" s="19" t="n">
        <f aca="false">IF(DC$68=1,INDEX($G$41:$P$41,1,DC$67),IF(Calendario!DC$14=1,INDEX($G$41:$P$41,1,1)*p_EspDir,0))</f>
        <v>52</v>
      </c>
      <c r="DD78" s="19" t="n">
        <f aca="false">IF(DD$68=1,INDEX($G$41:$P$41,1,DD$67),IF(Calendario!DD$14=1,INDEX($G$41:$P$41,1,1)*p_EspDir,0))</f>
        <v>52</v>
      </c>
      <c r="DE78" s="19" t="n">
        <f aca="false">IF(DE$68=1,INDEX($G$41:$P$41,1,DE$67),IF(Calendario!DE$14=1,INDEX($G$41:$P$41,1,1)*p_EspDir,0))</f>
        <v>52</v>
      </c>
      <c r="DF78" s="19" t="n">
        <f aca="false">IF(DF$68=1,INDEX($G$41:$P$41,1,DF$67),IF(Calendario!DF$14=1,INDEX($G$41:$P$41,1,1)*p_EspDir,0))</f>
        <v>52</v>
      </c>
      <c r="DG78" s="19" t="n">
        <f aca="false">IF(DG$68=1,INDEX($G$41:$P$41,1,DG$67),IF(Calendario!DG$14=1,INDEX($G$41:$P$41,1,1)*p_EspDir,0))</f>
        <v>52</v>
      </c>
      <c r="DH78" s="19" t="n">
        <f aca="false">IF(DH$68=1,INDEX($G$41:$P$41,1,DH$67),IF(Calendario!DH$14=1,INDEX($G$41:$P$41,1,1)*p_EspDir,0))</f>
        <v>52</v>
      </c>
      <c r="DI78" s="19" t="n">
        <f aca="false">IF(DI$68=1,INDEX($G$41:$P$41,1,DI$67),IF(Calendario!DI$14=1,INDEX($G$41:$P$41,1,1)*p_EspDir,0))</f>
        <v>52</v>
      </c>
      <c r="DJ78" s="19" t="n">
        <f aca="false">IF(DJ$68=1,INDEX($G$41:$P$41,1,DJ$67),IF(Calendario!DJ$14=1,INDEX($G$41:$P$41,1,1)*p_EspDir,0))</f>
        <v>52</v>
      </c>
      <c r="DK78" s="19" t="n">
        <f aca="false">IF(DK$68=1,INDEX($G$41:$P$41,1,DK$67),IF(Calendario!DK$14=1,INDEX($G$41:$P$41,1,1)*p_EspDir,0))</f>
        <v>52</v>
      </c>
      <c r="DL78" s="19" t="n">
        <f aca="false">IF(DL$68=1,INDEX($G$41:$P$41,1,DL$67),IF(Calendario!DL$14=1,INDEX($G$41:$P$41,1,1)*p_EspDir,0))</f>
        <v>52</v>
      </c>
      <c r="DM78" s="19" t="n">
        <f aca="false">IF(DM$68=1,INDEX($G$41:$P$41,1,DM$67),IF(Calendario!DM$14=1,INDEX($G$41:$P$41,1,1)*p_EspDir,0))</f>
        <v>52</v>
      </c>
      <c r="DN78" s="19" t="n">
        <f aca="false">IF(DN$68=1,INDEX($G$41:$P$41,1,DN$67),IF(Calendario!DN$14=1,INDEX($G$41:$P$41,1,1)*p_EspDir,0))</f>
        <v>52</v>
      </c>
      <c r="DO78" s="19" t="n">
        <f aca="false">IF(DO$68=1,INDEX($G$41:$P$41,1,DO$67),IF(Calendario!DO$14=1,INDEX($G$41:$P$41,1,1)*p_EspDir,0))</f>
        <v>52</v>
      </c>
      <c r="DP78" s="19" t="n">
        <f aca="false">IF(DP$68=1,INDEX($G$41:$P$41,1,DP$67),IF(Calendario!DP$14=1,INDEX($G$41:$P$41,1,1)*p_EspDir,0))</f>
        <v>52</v>
      </c>
      <c r="DQ78" s="19" t="n">
        <f aca="false">IF(DQ$68=1,INDEX($G$41:$P$41,1,DQ$67),IF(Calendario!DQ$14=1,INDEX($G$41:$P$41,1,1)*p_EspDir,0))</f>
        <v>52</v>
      </c>
      <c r="DR78" s="19" t="n">
        <f aca="false">IF(DR$68=1,INDEX($G$41:$P$41,1,DR$67),IF(Calendario!DR$14=1,INDEX($G$41:$P$41,1,1)*p_EspDir,0))</f>
        <v>52</v>
      </c>
      <c r="DS78" s="19" t="n">
        <f aca="false">IF(DS$68=1,INDEX($G$41:$P$41,1,DS$67),IF(Calendario!DS$14=1,INDEX($G$41:$P$41,1,1)*p_EspDir,0))</f>
        <v>52</v>
      </c>
      <c r="DT78" s="19" t="n">
        <f aca="false">IF(DT$68=1,INDEX($G$41:$P$41,1,DT$67),IF(Calendario!DT$14=1,INDEX($G$41:$P$41,1,1)*p_EspDir,0))</f>
        <v>52</v>
      </c>
      <c r="DU78" s="19" t="n">
        <f aca="false">IF(DU$68=1,INDEX($G$41:$P$41,1,DU$67),IF(Calendario!DU$14=1,INDEX($G$41:$P$41,1,1)*p_EspDir,0))</f>
        <v>52</v>
      </c>
      <c r="DV78" s="19" t="n">
        <f aca="false">IF(DV$68=1,INDEX($G$41:$P$41,1,DV$67),IF(Calendario!DV$14=1,INDEX($G$41:$P$41,1,1)*p_EspDir,0))</f>
        <v>52</v>
      </c>
      <c r="DW78" s="19" t="n">
        <f aca="false">IF(DW$68=1,INDEX($G$41:$P$41,1,DW$67),IF(Calendario!DW$14=1,INDEX($G$41:$P$41,1,1)*p_EspDir,0))</f>
        <v>0</v>
      </c>
      <c r="DX78" s="19" t="n">
        <f aca="false">IF(DX$68=1,INDEX($G$41:$P$41,1,DX$67),IF(Calendario!DX$14=1,INDEX($G$41:$P$41,1,1)*p_EspDir,0))</f>
        <v>0</v>
      </c>
      <c r="DY78" s="19" t="n">
        <f aca="false">IF(DY$68=1,INDEX($G$41:$P$41,1,DY$67),IF(Calendario!DY$14=1,INDEX($G$41:$P$41,1,1)*p_EspDir,0))</f>
        <v>0</v>
      </c>
      <c r="DZ78" s="19" t="n">
        <f aca="false">IF(DZ$68=1,INDEX($G$41:$P$41,1,DZ$67),IF(Calendario!DZ$14=1,INDEX($G$41:$P$41,1,1)*p_EspDir,0))</f>
        <v>0</v>
      </c>
      <c r="EA78" s="19" t="n">
        <f aca="false">IF(EA$68=1,INDEX($G$41:$P$41,1,EA$67),IF(Calendario!EA$14=1,INDEX($G$41:$P$41,1,1)*p_EspDir,0))</f>
        <v>0</v>
      </c>
      <c r="EB78" s="19" t="n">
        <f aca="false">IF(EB$68=1,INDEX($G$41:$P$41,1,EB$67),IF(Calendario!EB$14=1,INDEX($G$41:$P$41,1,1)*p_EspDir,0))</f>
        <v>0</v>
      </c>
      <c r="EC78" s="19" t="n">
        <f aca="false">IF(EC$68=1,INDEX($G$41:$P$41,1,EC$67),IF(Calendario!EC$14=1,INDEX($G$41:$P$41,1,1)*p_EspDir,0))</f>
        <v>0</v>
      </c>
      <c r="ED78" s="19" t="n">
        <f aca="false">IF(ED$68=1,INDEX($G$41:$P$41,1,ED$67),IF(Calendario!ED$14=1,INDEX($G$41:$P$41,1,1)*p_EspDir,0))</f>
        <v>0</v>
      </c>
      <c r="EE78" s="19" t="n">
        <f aca="false">IF(EE$68=1,INDEX($G$41:$P$41,1,EE$67),IF(Calendario!EE$14=1,INDEX($G$41:$P$41,1,1)*p_EspDir,0))</f>
        <v>0</v>
      </c>
      <c r="EF78" s="19" t="n">
        <f aca="false">IF(EF$68=1,INDEX($G$41:$P$41,1,EF$67),IF(Calendario!EF$14=1,INDEX($G$41:$P$41,1,1)*p_EspDir,0))</f>
        <v>0</v>
      </c>
      <c r="EG78" s="19" t="n">
        <f aca="false">IF(EG$68=1,INDEX($G$41:$P$41,1,EG$67),IF(Calendario!EG$14=1,INDEX($G$41:$P$41,1,1)*p_EspDir,0))</f>
        <v>0</v>
      </c>
      <c r="EH78" s="19" t="n">
        <f aca="false">IF(EH$68=1,INDEX($G$41:$P$41,1,EH$67),IF(Calendario!EH$14=1,INDEX($G$41:$P$41,1,1)*p_EspDir,0))</f>
        <v>0</v>
      </c>
      <c r="EI78" s="19" t="n">
        <f aca="false">IF(EI$68=1,INDEX($G$41:$P$41,1,EI$67),IF(Calendario!EI$14=1,INDEX($G$41:$P$41,1,1)*p_EspDir,0))</f>
        <v>0</v>
      </c>
      <c r="EJ78" s="19" t="n">
        <f aca="false">IF(EJ$68=1,INDEX($G$41:$P$41,1,EJ$67),IF(Calendario!EJ$14=1,INDEX($G$41:$P$41,1,1)*p_EspDir,0))</f>
        <v>0</v>
      </c>
      <c r="EK78" s="19" t="n">
        <f aca="false">IF(EK$68=1,INDEX($G$41:$P$41,1,EK$67),IF(Calendario!EK$14=1,INDEX($G$41:$P$41,1,1)*p_EspDir,0))</f>
        <v>0</v>
      </c>
      <c r="EL78" s="19" t="n">
        <f aca="false">IF(EL$68=1,INDEX($G$41:$P$41,1,EL$67),IF(Calendario!EL$14=1,INDEX($G$41:$P$41,1,1)*p_EspDir,0))</f>
        <v>0</v>
      </c>
      <c r="EM78" s="19" t="n">
        <f aca="false">IF(EM$68=1,INDEX($G$41:$P$41,1,EM$67),IF(Calendario!EM$14=1,INDEX($G$41:$P$41,1,1)*p_EspDir,0))</f>
        <v>0</v>
      </c>
      <c r="EN78" s="19" t="n">
        <f aca="false">IF(EN$68=1,INDEX($G$41:$P$41,1,EN$67),IF(Calendario!EN$14=1,INDEX($G$41:$P$41,1,1)*p_EspDir,0))</f>
        <v>0</v>
      </c>
      <c r="EO78" s="19" t="n">
        <f aca="false">IF(EO$68=1,INDEX($G$41:$P$41,1,EO$67),IF(Calendario!EO$14=1,INDEX($G$41:$P$41,1,1)*p_EspDir,0))</f>
        <v>0</v>
      </c>
      <c r="EP78" s="19" t="n">
        <f aca="false">IF(EP$68=1,INDEX($G$41:$P$41,1,EP$67),IF(Calendario!EP$14=1,INDEX($G$41:$P$41,1,1)*p_EspDir,0))</f>
        <v>0</v>
      </c>
      <c r="EQ78" s="19" t="n">
        <f aca="false">IF(EQ$68=1,INDEX($G$41:$P$41,1,EQ$67),IF(Calendario!EQ$14=1,INDEX($G$41:$P$41,1,1)*p_EspDir,0))</f>
        <v>0</v>
      </c>
      <c r="ER78" s="19" t="n">
        <f aca="false">IF(ER$68=1,INDEX($G$41:$P$41,1,ER$67),IF(Calendario!ER$14=1,INDEX($G$41:$P$41,1,1)*p_EspDir,0))</f>
        <v>0</v>
      </c>
      <c r="ES78" s="19" t="n">
        <f aca="false">IF(ES$68=1,INDEX($G$41:$P$41,1,ES$67),IF(Calendario!ES$14=1,INDEX($G$41:$P$41,1,1)*p_EspDir,0))</f>
        <v>0</v>
      </c>
      <c r="ET78" s="19" t="n">
        <f aca="false">IF(ET$68=1,INDEX($G$41:$P$41,1,ET$67),IF(Calendario!ET$14=1,INDEX($G$41:$P$41,1,1)*p_EspDir,0))</f>
        <v>0</v>
      </c>
      <c r="EU78" s="19" t="n">
        <f aca="false">IF(EU$68=1,INDEX($G$41:$P$41,1,EU$67),IF(Calendario!EU$14=1,INDEX($G$41:$P$41,1,1)*p_EspDir,0))</f>
        <v>0</v>
      </c>
      <c r="EV78" s="19" t="n">
        <f aca="false">IF(EV$68=1,INDEX($G$41:$P$41,1,EV$67),IF(Calendario!EV$14=1,INDEX($G$41:$P$41,1,1)*p_EspDir,0))</f>
        <v>0</v>
      </c>
      <c r="EW78" s="19" t="n">
        <f aca="false">IF(EW$68=1,INDEX($G$41:$P$41,1,EW$67),IF(Calendario!EW$14=1,INDEX($G$41:$P$41,1,1)*p_EspDir,0))</f>
        <v>0</v>
      </c>
      <c r="EX78" s="19" t="n">
        <f aca="false">IF(EX$68=1,INDEX($G$41:$P$41,1,EX$67),IF(Calendario!EX$14=1,INDEX($G$41:$P$41,1,1)*p_EspDir,0))</f>
        <v>0</v>
      </c>
      <c r="EY78" s="19" t="n">
        <f aca="false">IF(EY$68=1,INDEX($G$41:$P$41,1,EY$67),IF(Calendario!EY$14=1,INDEX($G$41:$P$41,1,1)*p_EspDir,0))</f>
        <v>0</v>
      </c>
      <c r="EZ78" s="19" t="n">
        <f aca="false">IF(EZ$68=1,INDEX($G$41:$P$41,1,EZ$67),IF(Calendario!EZ$14=1,INDEX($G$41:$P$41,1,1)*p_EspDir,0))</f>
        <v>0</v>
      </c>
      <c r="FA78" s="19" t="n">
        <f aca="false">IF(FA$68=1,INDEX($G$41:$P$41,1,FA$67),IF(Calendario!FA$14=1,INDEX($G$41:$P$41,1,1)*p_EspDir,0))</f>
        <v>0</v>
      </c>
      <c r="FB78" s="19" t="n">
        <f aca="false">IF(FB$68=1,INDEX($G$41:$P$41,1,FB$67),IF(Calendario!FB$14=1,INDEX($G$41:$P$41,1,1)*p_EspDir,0))</f>
        <v>0</v>
      </c>
      <c r="FC78" s="19" t="n">
        <f aca="false">IF(FC$68=1,INDEX($G$41:$P$41,1,FC$67),IF(Calendario!FC$14=1,INDEX($G$41:$P$41,1,1)*p_EspDir,0))</f>
        <v>0</v>
      </c>
      <c r="FD78" s="19" t="n">
        <f aca="false">IF(FD$68=1,INDEX($G$41:$P$41,1,FD$67),IF(Calendario!FD$14=1,INDEX($G$41:$P$41,1,1)*p_EspDir,0))</f>
        <v>0</v>
      </c>
      <c r="FE78" s="19" t="n">
        <f aca="false">IF(FE$68=1,INDEX($G$41:$P$41,1,FE$67),IF(Calendario!FE$14=1,INDEX($G$41:$P$41,1,1)*p_EspDir,0))</f>
        <v>0</v>
      </c>
      <c r="FF78" s="19" t="n">
        <f aca="false">IF(FF$68=1,INDEX($G$41:$P$41,1,FF$67),IF(Calendario!FF$14=1,INDEX($G$41:$P$41,1,1)*p_EspDir,0))</f>
        <v>0</v>
      </c>
    </row>
    <row r="79" customFormat="false" ht="15" hidden="false" customHeight="false" outlineLevel="0" collapsed="false">
      <c r="A79" s="2" t="s">
        <v>1024</v>
      </c>
      <c r="B79" s="8" t="s">
        <v>1025</v>
      </c>
      <c r="C79" s="8" t="s">
        <v>255</v>
      </c>
      <c r="E79" s="65" t="n">
        <f aca="false">SUM($F79:$FF79)</f>
        <v>2841395.06794521</v>
      </c>
      <c r="F79" s="13" t="n">
        <f aca="false">IF(F$68=1,INDEX($G$42:$P$42,1,F$67),IF(Calendario!F$14=1,INDEX($G$42:$P$42,1,1)*p_EspDir,0))*F$73/F$72</f>
        <v>0</v>
      </c>
      <c r="G79" s="13" t="n">
        <f aca="false">IF(G$68=1,INDEX($G$42:$P$42,1,G$67),IF(Calendario!G$14=1,INDEX($G$42:$P$42,1,1)*p_EspDir,0))*G$73/G$72</f>
        <v>20427.2479452055</v>
      </c>
      <c r="H79" s="13" t="n">
        <f aca="false">IF(H$68=1,INDEX($G$42:$P$42,1,H$67),IF(Calendario!H$14=1,INDEX($G$42:$P$42,1,1)*p_EspDir,0))*H$73/H$72</f>
        <v>20427.2479452055</v>
      </c>
      <c r="I79" s="13" t="n">
        <f aca="false">IF(I$68=1,INDEX($G$42:$P$42,1,I$67),IF(Calendario!I$14=1,INDEX($G$42:$P$42,1,1)*p_EspDir,0))*I$73/I$72</f>
        <v>20427.2479452055</v>
      </c>
      <c r="J79" s="13" t="n">
        <f aca="false">IF(J$68=1,INDEX($G$42:$P$42,1,J$67),IF(Calendario!J$14=1,INDEX($G$42:$P$42,1,1)*p_EspDir,0))*J$73/J$72</f>
        <v>20427.2479452055</v>
      </c>
      <c r="K79" s="13" t="n">
        <f aca="false">IF(K$68=1,INDEX($G$42:$P$42,1,K$67),IF(Calendario!K$14=1,INDEX($G$42:$P$42,1,1)*p_EspDir,0))*K$73/K$72</f>
        <v>20427.2479452055</v>
      </c>
      <c r="L79" s="13" t="n">
        <f aca="false">IF(L$68=1,INDEX($G$42:$P$42,1,L$67),IF(Calendario!L$14=1,INDEX($G$42:$P$42,1,1)*p_EspDir,0))*L$73/L$72</f>
        <v>20427.2479452055</v>
      </c>
      <c r="M79" s="13" t="n">
        <f aca="false">IF(M$68=1,INDEX($G$42:$P$42,1,M$67),IF(Calendario!M$14=1,INDEX($G$42:$P$42,1,1)*p_EspDir,0))*M$73/M$72</f>
        <v>20427.2479452055</v>
      </c>
      <c r="N79" s="13" t="n">
        <f aca="false">IF(N$68=1,INDEX($G$42:$P$42,1,N$67),IF(Calendario!N$14=1,INDEX($G$42:$P$42,1,1)*p_EspDir,0))*N$73/N$72</f>
        <v>20427.2479452055</v>
      </c>
      <c r="O79" s="13" t="n">
        <f aca="false">IF(O$68=1,INDEX($G$42:$P$42,1,O$67),IF(Calendario!O$14=1,INDEX($G$42:$P$42,1,1)*p_EspDir,0))*O$73/O$72</f>
        <v>20427.2479452055</v>
      </c>
      <c r="P79" s="13" t="n">
        <f aca="false">IF(P$68=1,INDEX($G$42:$P$42,1,P$67),IF(Calendario!P$14=1,INDEX($G$42:$P$42,1,1)*p_EspDir,0))*P$73/P$72</f>
        <v>20427.2479452055</v>
      </c>
      <c r="Q79" s="13" t="n">
        <f aca="false">IF(Q$68=1,INDEX($G$42:$P$42,1,Q$67),IF(Calendario!Q$14=1,INDEX($G$42:$P$42,1,1)*p_EspDir,0))*Q$73/Q$72</f>
        <v>20427.2479452055</v>
      </c>
      <c r="R79" s="13" t="n">
        <f aca="false">IF(R$68=1,INDEX($G$42:$P$42,1,R$67),IF(Calendario!R$14=1,INDEX($G$42:$P$42,1,1)*p_EspDir,0))*R$73/R$72</f>
        <v>20427.2479452055</v>
      </c>
      <c r="S79" s="13" t="n">
        <f aca="false">IF(S$68=1,INDEX($G$42:$P$42,1,S$67),IF(Calendario!S$14=1,INDEX($G$42:$P$42,1,1)*p_EspDir,0))*S$73/S$72</f>
        <v>20427.2479452055</v>
      </c>
      <c r="T79" s="13" t="n">
        <f aca="false">IF(T$68=1,INDEX($G$42:$P$42,1,T$67),IF(Calendario!T$14=1,INDEX($G$42:$P$42,1,1)*p_EspDir,0))*T$73/T$72</f>
        <v>20427.2479452055</v>
      </c>
      <c r="U79" s="13" t="n">
        <f aca="false">IF(U$68=1,INDEX($G$42:$P$42,1,U$67),IF(Calendario!U$14=1,INDEX($G$42:$P$42,1,1)*p_EspDir,0))*U$73/U$72</f>
        <v>20427.2479452055</v>
      </c>
      <c r="V79" s="13" t="n">
        <f aca="false">IF(V$68=1,INDEX($G$42:$P$42,1,V$67),IF(Calendario!V$14=1,INDEX($G$42:$P$42,1,1)*p_EspDir,0))*V$73/V$72</f>
        <v>20427.2479452055</v>
      </c>
      <c r="W79" s="13" t="n">
        <f aca="false">IF(W$68=1,INDEX($G$42:$P$42,1,W$67),IF(Calendario!W$14=1,INDEX($G$42:$P$42,1,1)*p_EspDir,0))*W$73/W$72</f>
        <v>20427.2479452055</v>
      </c>
      <c r="X79" s="13" t="n">
        <f aca="false">IF(X$68=1,INDEX($G$42:$P$42,1,X$67),IF(Calendario!X$14=1,INDEX($G$42:$P$42,1,1)*p_EspDir,0))*X$73/X$72</f>
        <v>20427.2479452055</v>
      </c>
      <c r="Y79" s="13" t="n">
        <f aca="false">IF(Y$68=1,INDEX($G$42:$P$42,1,Y$67),IF(Calendario!Y$14=1,INDEX($G$42:$P$42,1,1)*p_EspDir,0))*Y$73/Y$72</f>
        <v>20427.2479452055</v>
      </c>
      <c r="Z79" s="13" t="n">
        <f aca="false">IF(Z$68=1,INDEX($G$42:$P$42,1,Z$67),IF(Calendario!Z$14=1,INDEX($G$42:$P$42,1,1)*p_EspDir,0))*Z$73/Z$72</f>
        <v>20427.2479452055</v>
      </c>
      <c r="AA79" s="13" t="n">
        <f aca="false">IF(AA$68=1,INDEX($G$42:$P$42,1,AA$67),IF(Calendario!AA$14=1,INDEX($G$42:$P$42,1,1)*p_EspDir,0))*AA$73/AA$72</f>
        <v>20427.2479452055</v>
      </c>
      <c r="AB79" s="13" t="n">
        <f aca="false">IF(AB$68=1,INDEX($G$42:$P$42,1,AB$67),IF(Calendario!AB$14=1,INDEX($G$42:$P$42,1,1)*p_EspDir,0))*AB$73/AB$72</f>
        <v>20427.2479452055</v>
      </c>
      <c r="AC79" s="13" t="n">
        <f aca="false">IF(AC$68=1,INDEX($G$42:$P$42,1,AC$67),IF(Calendario!AC$14=1,INDEX($G$42:$P$42,1,1)*p_EspDir,0))*AC$73/AC$72</f>
        <v>20427.2479452055</v>
      </c>
      <c r="AD79" s="13" t="n">
        <f aca="false">IF(AD$68=1,INDEX($G$42:$P$42,1,AD$67),IF(Calendario!AD$14=1,INDEX($G$42:$P$42,1,1)*p_EspDir,0))*AD$73/AD$72</f>
        <v>20427.2479452055</v>
      </c>
      <c r="AE79" s="13" t="n">
        <f aca="false">IF(AE$68=1,INDEX($G$42:$P$42,1,AE$67),IF(Calendario!AE$14=1,INDEX($G$42:$P$42,1,1)*p_EspDir,0))*AE$73/AE$72</f>
        <v>22110.5979452055</v>
      </c>
      <c r="AF79" s="13" t="n">
        <f aca="false">IF(AF$68=1,INDEX($G$42:$P$42,1,AF$67),IF(Calendario!AF$14=1,INDEX($G$42:$P$42,1,1)*p_EspDir,0))*AF$73/AF$72</f>
        <v>22110.5979452055</v>
      </c>
      <c r="AG79" s="13" t="n">
        <f aca="false">IF(AG$68=1,INDEX($G$42:$P$42,1,AG$67),IF(Calendario!AG$14=1,INDEX($G$42:$P$42,1,1)*p_EspDir,0))*AG$73/AG$72</f>
        <v>22110.5979452055</v>
      </c>
      <c r="AH79" s="13" t="n">
        <f aca="false">IF(AH$68=1,INDEX($G$42:$P$42,1,AH$67),IF(Calendario!AH$14=1,INDEX($G$42:$P$42,1,1)*p_EspDir,0))*AH$73/AH$72</f>
        <v>22110.5979452055</v>
      </c>
      <c r="AI79" s="13" t="n">
        <f aca="false">IF(AI$68=1,INDEX($G$42:$P$42,1,AI$67),IF(Calendario!AI$14=1,INDEX($G$42:$P$42,1,1)*p_EspDir,0))*AI$73/AI$72</f>
        <v>22110.5979452055</v>
      </c>
      <c r="AJ79" s="13" t="n">
        <f aca="false">IF(AJ$68=1,INDEX($G$42:$P$42,1,AJ$67),IF(Calendario!AJ$14=1,INDEX($G$42:$P$42,1,1)*p_EspDir,0))*AJ$73/AJ$72</f>
        <v>22110.5979452055</v>
      </c>
      <c r="AK79" s="13" t="n">
        <f aca="false">IF(AK$68=1,INDEX($G$42:$P$42,1,AK$67),IF(Calendario!AK$14=1,INDEX($G$42:$P$42,1,1)*p_EspDir,0))*AK$73/AK$72</f>
        <v>22110.5979452055</v>
      </c>
      <c r="AL79" s="13" t="n">
        <f aca="false">IF(AL$68=1,INDEX($G$42:$P$42,1,AL$67),IF(Calendario!AL$14=1,INDEX($G$42:$P$42,1,1)*p_EspDir,0))*AL$73/AL$72</f>
        <v>22110.5979452055</v>
      </c>
      <c r="AM79" s="13" t="n">
        <f aca="false">IF(AM$68=1,INDEX($G$42:$P$42,1,AM$67),IF(Calendario!AM$14=1,INDEX($G$42:$P$42,1,1)*p_EspDir,0))*AM$73/AM$72</f>
        <v>22110.5979452055</v>
      </c>
      <c r="AN79" s="13" t="n">
        <f aca="false">IF(AN$68=1,INDEX($G$42:$P$42,1,AN$67),IF(Calendario!AN$14=1,INDEX($G$42:$P$42,1,1)*p_EspDir,0))*AN$73/AN$72</f>
        <v>22110.5979452055</v>
      </c>
      <c r="AO79" s="13" t="n">
        <f aca="false">IF(AO$68=1,INDEX($G$42:$P$42,1,AO$67),IF(Calendario!AO$14=1,INDEX($G$42:$P$42,1,1)*p_EspDir,0))*AO$73/AO$72</f>
        <v>22110.5979452055</v>
      </c>
      <c r="AP79" s="13" t="n">
        <f aca="false">IF(AP$68=1,INDEX($G$42:$P$42,1,AP$67),IF(Calendario!AP$14=1,INDEX($G$42:$P$42,1,1)*p_EspDir,0))*AP$73/AP$72</f>
        <v>22110.5979452055</v>
      </c>
      <c r="AQ79" s="13" t="n">
        <f aca="false">IF(AQ$68=1,INDEX($G$42:$P$42,1,AQ$67),IF(Calendario!AQ$14=1,INDEX($G$42:$P$42,1,1)*p_EspDir,0))*AQ$73/AQ$72</f>
        <v>23425.6142465753</v>
      </c>
      <c r="AR79" s="13" t="n">
        <f aca="false">IF(AR$68=1,INDEX($G$42:$P$42,1,AR$67),IF(Calendario!AR$14=1,INDEX($G$42:$P$42,1,1)*p_EspDir,0))*AR$73/AR$72</f>
        <v>23425.6142465753</v>
      </c>
      <c r="AS79" s="13" t="n">
        <f aca="false">IF(AS$68=1,INDEX($G$42:$P$42,1,AS$67),IF(Calendario!AS$14=1,INDEX($G$42:$P$42,1,1)*p_EspDir,0))*AS$73/AS$72</f>
        <v>23425.6142465753</v>
      </c>
      <c r="AT79" s="13" t="n">
        <f aca="false">IF(AT$68=1,INDEX($G$42:$P$42,1,AT$67),IF(Calendario!AT$14=1,INDEX($G$42:$P$42,1,1)*p_EspDir,0))*AT$73/AT$72</f>
        <v>23425.6142465753</v>
      </c>
      <c r="AU79" s="13" t="n">
        <f aca="false">IF(AU$68=1,INDEX($G$42:$P$42,1,AU$67),IF(Calendario!AU$14=1,INDEX($G$42:$P$42,1,1)*p_EspDir,0))*AU$73/AU$72</f>
        <v>23425.6142465753</v>
      </c>
      <c r="AV79" s="13" t="n">
        <f aca="false">IF(AV$68=1,INDEX($G$42:$P$42,1,AV$67),IF(Calendario!AV$14=1,INDEX($G$42:$P$42,1,1)*p_EspDir,0))*AV$73/AV$72</f>
        <v>23425.6142465753</v>
      </c>
      <c r="AW79" s="13" t="n">
        <f aca="false">IF(AW$68=1,INDEX($G$42:$P$42,1,AW$67),IF(Calendario!AW$14=1,INDEX($G$42:$P$42,1,1)*p_EspDir,0))*AW$73/AW$72</f>
        <v>23425.6142465753</v>
      </c>
      <c r="AX79" s="13" t="n">
        <f aca="false">IF(AX$68=1,INDEX($G$42:$P$42,1,AX$67),IF(Calendario!AX$14=1,INDEX($G$42:$P$42,1,1)*p_EspDir,0))*AX$73/AX$72</f>
        <v>23425.6142465753</v>
      </c>
      <c r="AY79" s="13" t="n">
        <f aca="false">IF(AY$68=1,INDEX($G$42:$P$42,1,AY$67),IF(Calendario!AY$14=1,INDEX($G$42:$P$42,1,1)*p_EspDir,0))*AY$73/AY$72</f>
        <v>23425.6142465753</v>
      </c>
      <c r="AZ79" s="13" t="n">
        <f aca="false">IF(AZ$68=1,INDEX($G$42:$P$42,1,AZ$67),IF(Calendario!AZ$14=1,INDEX($G$42:$P$42,1,1)*p_EspDir,0))*AZ$73/AZ$72</f>
        <v>23425.6142465753</v>
      </c>
      <c r="BA79" s="13" t="n">
        <f aca="false">IF(BA$68=1,INDEX($G$42:$P$42,1,BA$67),IF(Calendario!BA$14=1,INDEX($G$42:$P$42,1,1)*p_EspDir,0))*BA$73/BA$72</f>
        <v>23425.6142465753</v>
      </c>
      <c r="BB79" s="13" t="n">
        <f aca="false">IF(BB$68=1,INDEX($G$42:$P$42,1,BB$67),IF(Calendario!BB$14=1,INDEX($G$42:$P$42,1,1)*p_EspDir,0))*BB$73/BB$72</f>
        <v>23425.6142465753</v>
      </c>
      <c r="BC79" s="13" t="n">
        <f aca="false">IF(BC$68=1,INDEX($G$42:$P$42,1,BC$67),IF(Calendario!BC$14=1,INDEX($G$42:$P$42,1,1)*p_EspDir,0))*BC$73/BC$72</f>
        <v>25065.3690410959</v>
      </c>
      <c r="BD79" s="13" t="n">
        <f aca="false">IF(BD$68=1,INDEX($G$42:$P$42,1,BD$67),IF(Calendario!BD$14=1,INDEX($G$42:$P$42,1,1)*p_EspDir,0))*BD$73/BD$72</f>
        <v>25065.3690410959</v>
      </c>
      <c r="BE79" s="13" t="n">
        <f aca="false">IF(BE$68=1,INDEX($G$42:$P$42,1,BE$67),IF(Calendario!BE$14=1,INDEX($G$42:$P$42,1,1)*p_EspDir,0))*BE$73/BE$72</f>
        <v>25065.3690410959</v>
      </c>
      <c r="BF79" s="13" t="n">
        <f aca="false">IF(BF$68=1,INDEX($G$42:$P$42,1,BF$67),IF(Calendario!BF$14=1,INDEX($G$42:$P$42,1,1)*p_EspDir,0))*BF$73/BF$72</f>
        <v>25065.3690410959</v>
      </c>
      <c r="BG79" s="13" t="n">
        <f aca="false">IF(BG$68=1,INDEX($G$42:$P$42,1,BG$67),IF(Calendario!BG$14=1,INDEX($G$42:$P$42,1,1)*p_EspDir,0))*BG$73/BG$72</f>
        <v>25065.3690410959</v>
      </c>
      <c r="BH79" s="13" t="n">
        <f aca="false">IF(BH$68=1,INDEX($G$42:$P$42,1,BH$67),IF(Calendario!BH$14=1,INDEX($G$42:$P$42,1,1)*p_EspDir,0))*BH$73/BH$72</f>
        <v>25065.3690410959</v>
      </c>
      <c r="BI79" s="13" t="n">
        <f aca="false">IF(BI$68=1,INDEX($G$42:$P$42,1,BI$67),IF(Calendario!BI$14=1,INDEX($G$42:$P$42,1,1)*p_EspDir,0))*BI$73/BI$72</f>
        <v>25065.3690410959</v>
      </c>
      <c r="BJ79" s="13" t="n">
        <f aca="false">IF(BJ$68=1,INDEX($G$42:$P$42,1,BJ$67),IF(Calendario!BJ$14=1,INDEX($G$42:$P$42,1,1)*p_EspDir,0))*BJ$73/BJ$72</f>
        <v>25065.3690410959</v>
      </c>
      <c r="BK79" s="13" t="n">
        <f aca="false">IF(BK$68=1,INDEX($G$42:$P$42,1,BK$67),IF(Calendario!BK$14=1,INDEX($G$42:$P$42,1,1)*p_EspDir,0))*BK$73/BK$72</f>
        <v>25065.3690410959</v>
      </c>
      <c r="BL79" s="13" t="n">
        <f aca="false">IF(BL$68=1,INDEX($G$42:$P$42,1,BL$67),IF(Calendario!BL$14=1,INDEX($G$42:$P$42,1,1)*p_EspDir,0))*BL$73/BL$72</f>
        <v>25065.3690410959</v>
      </c>
      <c r="BM79" s="13" t="n">
        <f aca="false">IF(BM$68=1,INDEX($G$42:$P$42,1,BM$67),IF(Calendario!BM$14=1,INDEX($G$42:$P$42,1,1)*p_EspDir,0))*BM$73/BM$72</f>
        <v>25065.3690410959</v>
      </c>
      <c r="BN79" s="13" t="n">
        <f aca="false">IF(BN$68=1,INDEX($G$42:$P$42,1,BN$67),IF(Calendario!BN$14=1,INDEX($G$42:$P$42,1,1)*p_EspDir,0))*BN$73/BN$72</f>
        <v>25065.3690410959</v>
      </c>
      <c r="BO79" s="13" t="n">
        <f aca="false">IF(BO$68=1,INDEX($G$42:$P$42,1,BO$67),IF(Calendario!BO$14=1,INDEX($G$42:$P$42,1,1)*p_EspDir,0))*BO$73/BO$72</f>
        <v>25065.3690410959</v>
      </c>
      <c r="BP79" s="13" t="n">
        <f aca="false">IF(BP$68=1,INDEX($G$42:$P$42,1,BP$67),IF(Calendario!BP$14=1,INDEX($G$42:$P$42,1,1)*p_EspDir,0))*BP$73/BP$72</f>
        <v>25065.3690410959</v>
      </c>
      <c r="BQ79" s="13" t="n">
        <f aca="false">IF(BQ$68=1,INDEX($G$42:$P$42,1,BQ$67),IF(Calendario!BQ$14=1,INDEX($G$42:$P$42,1,1)*p_EspDir,0))*BQ$73/BQ$72</f>
        <v>25065.3690410959</v>
      </c>
      <c r="BR79" s="13" t="n">
        <f aca="false">IF(BR$68=1,INDEX($G$42:$P$42,1,BR$67),IF(Calendario!BR$14=1,INDEX($G$42:$P$42,1,1)*p_EspDir,0))*BR$73/BR$72</f>
        <v>25065.3690410959</v>
      </c>
      <c r="BS79" s="13" t="n">
        <f aca="false">IF(BS$68=1,INDEX($G$42:$P$42,1,BS$67),IF(Calendario!BS$14=1,INDEX($G$42:$P$42,1,1)*p_EspDir,0))*BS$73/BS$72</f>
        <v>25065.3690410959</v>
      </c>
      <c r="BT79" s="13" t="n">
        <f aca="false">IF(BT$68=1,INDEX($G$42:$P$42,1,BT$67),IF(Calendario!BT$14=1,INDEX($G$42:$P$42,1,1)*p_EspDir,0))*BT$73/BT$72</f>
        <v>25065.3690410959</v>
      </c>
      <c r="BU79" s="13" t="n">
        <f aca="false">IF(BU$68=1,INDEX($G$42:$P$42,1,BU$67),IF(Calendario!BU$14=1,INDEX($G$42:$P$42,1,1)*p_EspDir,0))*BU$73/BU$72</f>
        <v>25065.3690410959</v>
      </c>
      <c r="BV79" s="13" t="n">
        <f aca="false">IF(BV$68=1,INDEX($G$42:$P$42,1,BV$67),IF(Calendario!BV$14=1,INDEX($G$42:$P$42,1,1)*p_EspDir,0))*BV$73/BV$72</f>
        <v>25065.3690410959</v>
      </c>
      <c r="BW79" s="13" t="n">
        <f aca="false">IF(BW$68=1,INDEX($G$42:$P$42,1,BW$67),IF(Calendario!BW$14=1,INDEX($G$42:$P$42,1,1)*p_EspDir,0))*BW$73/BW$72</f>
        <v>25065.3690410959</v>
      </c>
      <c r="BX79" s="13" t="n">
        <f aca="false">IF(BX$68=1,INDEX($G$42:$P$42,1,BX$67),IF(Calendario!BX$14=1,INDEX($G$42:$P$42,1,1)*p_EspDir,0))*BX$73/BX$72</f>
        <v>25065.3690410959</v>
      </c>
      <c r="BY79" s="13" t="n">
        <f aca="false">IF(BY$68=1,INDEX($G$42:$P$42,1,BY$67),IF(Calendario!BY$14=1,INDEX($G$42:$P$42,1,1)*p_EspDir,0))*BY$73/BY$72</f>
        <v>25065.3690410959</v>
      </c>
      <c r="BZ79" s="13" t="n">
        <f aca="false">IF(BZ$68=1,INDEX($G$42:$P$42,1,BZ$67),IF(Calendario!BZ$14=1,INDEX($G$42:$P$42,1,1)*p_EspDir,0))*BZ$73/BZ$72</f>
        <v>25065.3690410959</v>
      </c>
      <c r="CA79" s="13" t="n">
        <f aca="false">IF(CA$68=1,INDEX($G$42:$P$42,1,CA$67),IF(Calendario!CA$14=1,INDEX($G$42:$P$42,1,1)*p_EspDir,0))*CA$73/CA$72</f>
        <v>25065.3690410959</v>
      </c>
      <c r="CB79" s="13" t="n">
        <f aca="false">IF(CB$68=1,INDEX($G$42:$P$42,1,CB$67),IF(Calendario!CB$14=1,INDEX($G$42:$P$42,1,1)*p_EspDir,0))*CB$73/CB$72</f>
        <v>25065.3690410959</v>
      </c>
      <c r="CC79" s="13" t="n">
        <f aca="false">IF(CC$68=1,INDEX($G$42:$P$42,1,CC$67),IF(Calendario!CC$14=1,INDEX($G$42:$P$42,1,1)*p_EspDir,0))*CC$73/CC$72</f>
        <v>25065.3690410959</v>
      </c>
      <c r="CD79" s="13" t="n">
        <f aca="false">IF(CD$68=1,INDEX($G$42:$P$42,1,CD$67),IF(Calendario!CD$14=1,INDEX($G$42:$P$42,1,1)*p_EspDir,0))*CD$73/CD$72</f>
        <v>25065.3690410959</v>
      </c>
      <c r="CE79" s="13" t="n">
        <f aca="false">IF(CE$68=1,INDEX($G$42:$P$42,1,CE$67),IF(Calendario!CE$14=1,INDEX($G$42:$P$42,1,1)*p_EspDir,0))*CE$73/CE$72</f>
        <v>25065.3690410959</v>
      </c>
      <c r="CF79" s="13" t="n">
        <f aca="false">IF(CF$68=1,INDEX($G$42:$P$42,1,CF$67),IF(Calendario!CF$14=1,INDEX($G$42:$P$42,1,1)*p_EspDir,0))*CF$73/CF$72</f>
        <v>25065.3690410959</v>
      </c>
      <c r="CG79" s="13" t="n">
        <f aca="false">IF(CG$68=1,INDEX($G$42:$P$42,1,CG$67),IF(Calendario!CG$14=1,INDEX($G$42:$P$42,1,1)*p_EspDir,0))*CG$73/CG$72</f>
        <v>25065.3690410959</v>
      </c>
      <c r="CH79" s="13" t="n">
        <f aca="false">IF(CH$68=1,INDEX($G$42:$P$42,1,CH$67),IF(Calendario!CH$14=1,INDEX($G$42:$P$42,1,1)*p_EspDir,0))*CH$73/CH$72</f>
        <v>25065.3690410959</v>
      </c>
      <c r="CI79" s="13" t="n">
        <f aca="false">IF(CI$68=1,INDEX($G$42:$P$42,1,CI$67),IF(Calendario!CI$14=1,INDEX($G$42:$P$42,1,1)*p_EspDir,0))*CI$73/CI$72</f>
        <v>25065.3690410959</v>
      </c>
      <c r="CJ79" s="13" t="n">
        <f aca="false">IF(CJ$68=1,INDEX($G$42:$P$42,1,CJ$67),IF(Calendario!CJ$14=1,INDEX($G$42:$P$42,1,1)*p_EspDir,0))*CJ$73/CJ$72</f>
        <v>25065.3690410959</v>
      </c>
      <c r="CK79" s="13" t="n">
        <f aca="false">IF(CK$68=1,INDEX($G$42:$P$42,1,CK$67),IF(Calendario!CK$14=1,INDEX($G$42:$P$42,1,1)*p_EspDir,0))*CK$73/CK$72</f>
        <v>25065.3690410959</v>
      </c>
      <c r="CL79" s="13" t="n">
        <f aca="false">IF(CL$68=1,INDEX($G$42:$P$42,1,CL$67),IF(Calendario!CL$14=1,INDEX($G$42:$P$42,1,1)*p_EspDir,0))*CL$73/CL$72</f>
        <v>25065.3690410959</v>
      </c>
      <c r="CM79" s="13" t="n">
        <f aca="false">IF(CM$68=1,INDEX($G$42:$P$42,1,CM$67),IF(Calendario!CM$14=1,INDEX($G$42:$P$42,1,1)*p_EspDir,0))*CM$73/CM$72</f>
        <v>25065.3690410959</v>
      </c>
      <c r="CN79" s="13" t="n">
        <f aca="false">IF(CN$68=1,INDEX($G$42:$P$42,1,CN$67),IF(Calendario!CN$14=1,INDEX($G$42:$P$42,1,1)*p_EspDir,0))*CN$73/CN$72</f>
        <v>25065.3690410959</v>
      </c>
      <c r="CO79" s="13" t="n">
        <f aca="false">IF(CO$68=1,INDEX($G$42:$P$42,1,CO$67),IF(Calendario!CO$14=1,INDEX($G$42:$P$42,1,1)*p_EspDir,0))*CO$73/CO$72</f>
        <v>25065.3690410959</v>
      </c>
      <c r="CP79" s="13" t="n">
        <f aca="false">IF(CP$68=1,INDEX($G$42:$P$42,1,CP$67),IF(Calendario!CP$14=1,INDEX($G$42:$P$42,1,1)*p_EspDir,0))*CP$73/CP$72</f>
        <v>25065.3690410959</v>
      </c>
      <c r="CQ79" s="13" t="n">
        <f aca="false">IF(CQ$68=1,INDEX($G$42:$P$42,1,CQ$67),IF(Calendario!CQ$14=1,INDEX($G$42:$P$42,1,1)*p_EspDir,0))*CQ$73/CQ$72</f>
        <v>25065.3690410959</v>
      </c>
      <c r="CR79" s="13" t="n">
        <f aca="false">IF(CR$68=1,INDEX($G$42:$P$42,1,CR$67),IF(Calendario!CR$14=1,INDEX($G$42:$P$42,1,1)*p_EspDir,0))*CR$73/CR$72</f>
        <v>25065.3690410959</v>
      </c>
      <c r="CS79" s="13" t="n">
        <f aca="false">IF(CS$68=1,INDEX($G$42:$P$42,1,CS$67),IF(Calendario!CS$14=1,INDEX($G$42:$P$42,1,1)*p_EspDir,0))*CS$73/CS$72</f>
        <v>25065.3690410959</v>
      </c>
      <c r="CT79" s="13" t="n">
        <f aca="false">IF(CT$68=1,INDEX($G$42:$P$42,1,CT$67),IF(Calendario!CT$14=1,INDEX($G$42:$P$42,1,1)*p_EspDir,0))*CT$73/CT$72</f>
        <v>25065.3690410959</v>
      </c>
      <c r="CU79" s="13" t="n">
        <f aca="false">IF(CU$68=1,INDEX($G$42:$P$42,1,CU$67),IF(Calendario!CU$14=1,INDEX($G$42:$P$42,1,1)*p_EspDir,0))*CU$73/CU$72</f>
        <v>25065.3690410959</v>
      </c>
      <c r="CV79" s="13" t="n">
        <f aca="false">IF(CV$68=1,INDEX($G$42:$P$42,1,CV$67),IF(Calendario!CV$14=1,INDEX($G$42:$P$42,1,1)*p_EspDir,0))*CV$73/CV$72</f>
        <v>25065.3690410959</v>
      </c>
      <c r="CW79" s="13" t="n">
        <f aca="false">IF(CW$68=1,INDEX($G$42:$P$42,1,CW$67),IF(Calendario!CW$14=1,INDEX($G$42:$P$42,1,1)*p_EspDir,0))*CW$73/CW$72</f>
        <v>25065.3690410959</v>
      </c>
      <c r="CX79" s="13" t="n">
        <f aca="false">IF(CX$68=1,INDEX($G$42:$P$42,1,CX$67),IF(Calendario!CX$14=1,INDEX($G$42:$P$42,1,1)*p_EspDir,0))*CX$73/CX$72</f>
        <v>25065.3690410959</v>
      </c>
      <c r="CY79" s="13" t="n">
        <f aca="false">IF(CY$68=1,INDEX($G$42:$P$42,1,CY$67),IF(Calendario!CY$14=1,INDEX($G$42:$P$42,1,1)*p_EspDir,0))*CY$73/CY$72</f>
        <v>25065.3690410959</v>
      </c>
      <c r="CZ79" s="13" t="n">
        <f aca="false">IF(CZ$68=1,INDEX($G$42:$P$42,1,CZ$67),IF(Calendario!CZ$14=1,INDEX($G$42:$P$42,1,1)*p_EspDir,0))*CZ$73/CZ$72</f>
        <v>25065.3690410959</v>
      </c>
      <c r="DA79" s="13" t="n">
        <f aca="false">IF(DA$68=1,INDEX($G$42:$P$42,1,DA$67),IF(Calendario!DA$14=1,INDEX($G$42:$P$42,1,1)*p_EspDir,0))*DA$73/DA$72</f>
        <v>25065.3690410959</v>
      </c>
      <c r="DB79" s="13" t="n">
        <f aca="false">IF(DB$68=1,INDEX($G$42:$P$42,1,DB$67),IF(Calendario!DB$14=1,INDEX($G$42:$P$42,1,1)*p_EspDir,0))*DB$73/DB$72</f>
        <v>25065.3690410959</v>
      </c>
      <c r="DC79" s="13" t="n">
        <f aca="false">IF(DC$68=1,INDEX($G$42:$P$42,1,DC$67),IF(Calendario!DC$14=1,INDEX($G$42:$P$42,1,1)*p_EspDir,0))*DC$73/DC$72</f>
        <v>25065.3690410959</v>
      </c>
      <c r="DD79" s="13" t="n">
        <f aca="false">IF(DD$68=1,INDEX($G$42:$P$42,1,DD$67),IF(Calendario!DD$14=1,INDEX($G$42:$P$42,1,1)*p_EspDir,0))*DD$73/DD$72</f>
        <v>25065.3690410959</v>
      </c>
      <c r="DE79" s="13" t="n">
        <f aca="false">IF(DE$68=1,INDEX($G$42:$P$42,1,DE$67),IF(Calendario!DE$14=1,INDEX($G$42:$P$42,1,1)*p_EspDir,0))*DE$73/DE$72</f>
        <v>25065.3690410959</v>
      </c>
      <c r="DF79" s="13" t="n">
        <f aca="false">IF(DF$68=1,INDEX($G$42:$P$42,1,DF$67),IF(Calendario!DF$14=1,INDEX($G$42:$P$42,1,1)*p_EspDir,0))*DF$73/DF$72</f>
        <v>25065.3690410959</v>
      </c>
      <c r="DG79" s="13" t="n">
        <f aca="false">IF(DG$68=1,INDEX($G$42:$P$42,1,DG$67),IF(Calendario!DG$14=1,INDEX($G$42:$P$42,1,1)*p_EspDir,0))*DG$73/DG$72</f>
        <v>25065.3690410959</v>
      </c>
      <c r="DH79" s="13" t="n">
        <f aca="false">IF(DH$68=1,INDEX($G$42:$P$42,1,DH$67),IF(Calendario!DH$14=1,INDEX($G$42:$P$42,1,1)*p_EspDir,0))*DH$73/DH$72</f>
        <v>25065.3690410959</v>
      </c>
      <c r="DI79" s="13" t="n">
        <f aca="false">IF(DI$68=1,INDEX($G$42:$P$42,1,DI$67),IF(Calendario!DI$14=1,INDEX($G$42:$P$42,1,1)*p_EspDir,0))*DI$73/DI$72</f>
        <v>25065.3690410959</v>
      </c>
      <c r="DJ79" s="13" t="n">
        <f aca="false">IF(DJ$68=1,INDEX($G$42:$P$42,1,DJ$67),IF(Calendario!DJ$14=1,INDEX($G$42:$P$42,1,1)*p_EspDir,0))*DJ$73/DJ$72</f>
        <v>25065.3690410959</v>
      </c>
      <c r="DK79" s="13" t="n">
        <f aca="false">IF(DK$68=1,INDEX($G$42:$P$42,1,DK$67),IF(Calendario!DK$14=1,INDEX($G$42:$P$42,1,1)*p_EspDir,0))*DK$73/DK$72</f>
        <v>25065.3690410959</v>
      </c>
      <c r="DL79" s="13" t="n">
        <f aca="false">IF(DL$68=1,INDEX($G$42:$P$42,1,DL$67),IF(Calendario!DL$14=1,INDEX($G$42:$P$42,1,1)*p_EspDir,0))*DL$73/DL$72</f>
        <v>25065.3690410959</v>
      </c>
      <c r="DM79" s="13" t="n">
        <f aca="false">IF(DM$68=1,INDEX($G$42:$P$42,1,DM$67),IF(Calendario!DM$14=1,INDEX($G$42:$P$42,1,1)*p_EspDir,0))*DM$73/DM$72</f>
        <v>25065.3690410959</v>
      </c>
      <c r="DN79" s="13" t="n">
        <f aca="false">IF(DN$68=1,INDEX($G$42:$P$42,1,DN$67),IF(Calendario!DN$14=1,INDEX($G$42:$P$42,1,1)*p_EspDir,0))*DN$73/DN$72</f>
        <v>25065.3690410959</v>
      </c>
      <c r="DO79" s="13" t="n">
        <f aca="false">IF(DO$68=1,INDEX($G$42:$P$42,1,DO$67),IF(Calendario!DO$14=1,INDEX($G$42:$P$42,1,1)*p_EspDir,0))*DO$73/DO$72</f>
        <v>25065.3690410959</v>
      </c>
      <c r="DP79" s="13" t="n">
        <f aca="false">IF(DP$68=1,INDEX($G$42:$P$42,1,DP$67),IF(Calendario!DP$14=1,INDEX($G$42:$P$42,1,1)*p_EspDir,0))*DP$73/DP$72</f>
        <v>25065.3690410959</v>
      </c>
      <c r="DQ79" s="13" t="n">
        <f aca="false">IF(DQ$68=1,INDEX($G$42:$P$42,1,DQ$67),IF(Calendario!DQ$14=1,INDEX($G$42:$P$42,1,1)*p_EspDir,0))*DQ$73/DQ$72</f>
        <v>25065.3690410959</v>
      </c>
      <c r="DR79" s="13" t="n">
        <f aca="false">IF(DR$68=1,INDEX($G$42:$P$42,1,DR$67),IF(Calendario!DR$14=1,INDEX($G$42:$P$42,1,1)*p_EspDir,0))*DR$73/DR$72</f>
        <v>25065.3690410959</v>
      </c>
      <c r="DS79" s="13" t="n">
        <f aca="false">IF(DS$68=1,INDEX($G$42:$P$42,1,DS$67),IF(Calendario!DS$14=1,INDEX($G$42:$P$42,1,1)*p_EspDir,0))*DS$73/DS$72</f>
        <v>25065.3690410959</v>
      </c>
      <c r="DT79" s="13" t="n">
        <f aca="false">IF(DT$68=1,INDEX($G$42:$P$42,1,DT$67),IF(Calendario!DT$14=1,INDEX($G$42:$P$42,1,1)*p_EspDir,0))*DT$73/DT$72</f>
        <v>25065.3690410959</v>
      </c>
      <c r="DU79" s="13" t="n">
        <f aca="false">IF(DU$68=1,INDEX($G$42:$P$42,1,DU$67),IF(Calendario!DU$14=1,INDEX($G$42:$P$42,1,1)*p_EspDir,0))*DU$73/DU$72</f>
        <v>25065.3690410959</v>
      </c>
      <c r="DV79" s="13" t="n">
        <f aca="false">IF(DV$68=1,INDEX($G$42:$P$42,1,DV$67),IF(Calendario!DV$14=1,INDEX($G$42:$P$42,1,1)*p_EspDir,0))*DV$73/DV$72</f>
        <v>25065.3690410959</v>
      </c>
      <c r="DW79" s="13" t="n">
        <f aca="false">IF(DW$68=1,INDEX($G$42:$P$42,1,DW$67),IF(Calendario!DW$14=1,INDEX($G$42:$P$42,1,1)*p_EspDir,0))*DW$73/DW$72</f>
        <v>0</v>
      </c>
      <c r="DX79" s="13" t="n">
        <f aca="false">IF(DX$68=1,INDEX($G$42:$P$42,1,DX$67),IF(Calendario!DX$14=1,INDEX($G$42:$P$42,1,1)*p_EspDir,0))*DX$73/DX$72</f>
        <v>0</v>
      </c>
      <c r="DY79" s="13" t="n">
        <f aca="false">IF(DY$68=1,INDEX($G$42:$P$42,1,DY$67),IF(Calendario!DY$14=1,INDEX($G$42:$P$42,1,1)*p_EspDir,0))*DY$73/DY$72</f>
        <v>0</v>
      </c>
      <c r="DZ79" s="13" t="n">
        <f aca="false">IF(DZ$68=1,INDEX($G$42:$P$42,1,DZ$67),IF(Calendario!DZ$14=1,INDEX($G$42:$P$42,1,1)*p_EspDir,0))*DZ$73/DZ$72</f>
        <v>0</v>
      </c>
      <c r="EA79" s="13" t="n">
        <f aca="false">IF(EA$68=1,INDEX($G$42:$P$42,1,EA$67),IF(Calendario!EA$14=1,INDEX($G$42:$P$42,1,1)*p_EspDir,0))*EA$73/EA$72</f>
        <v>0</v>
      </c>
      <c r="EB79" s="13" t="n">
        <f aca="false">IF(EB$68=1,INDEX($G$42:$P$42,1,EB$67),IF(Calendario!EB$14=1,INDEX($G$42:$P$42,1,1)*p_EspDir,0))*EB$73/EB$72</f>
        <v>0</v>
      </c>
      <c r="EC79" s="13" t="n">
        <f aca="false">IF(EC$68=1,INDEX($G$42:$P$42,1,EC$67),IF(Calendario!EC$14=1,INDEX($G$42:$P$42,1,1)*p_EspDir,0))*EC$73/EC$72</f>
        <v>0</v>
      </c>
      <c r="ED79" s="13" t="n">
        <f aca="false">IF(ED$68=1,INDEX($G$42:$P$42,1,ED$67),IF(Calendario!ED$14=1,INDEX($G$42:$P$42,1,1)*p_EspDir,0))*ED$73/ED$72</f>
        <v>0</v>
      </c>
      <c r="EE79" s="13" t="n">
        <f aca="false">IF(EE$68=1,INDEX($G$42:$P$42,1,EE$67),IF(Calendario!EE$14=1,INDEX($G$42:$P$42,1,1)*p_EspDir,0))*EE$73/EE$72</f>
        <v>0</v>
      </c>
      <c r="EF79" s="13" t="n">
        <f aca="false">IF(EF$68=1,INDEX($G$42:$P$42,1,EF$67),IF(Calendario!EF$14=1,INDEX($G$42:$P$42,1,1)*p_EspDir,0))*EF$73/EF$72</f>
        <v>0</v>
      </c>
      <c r="EG79" s="13" t="n">
        <f aca="false">IF(EG$68=1,INDEX($G$42:$P$42,1,EG$67),IF(Calendario!EG$14=1,INDEX($G$42:$P$42,1,1)*p_EspDir,0))*EG$73/EG$72</f>
        <v>0</v>
      </c>
      <c r="EH79" s="13" t="n">
        <f aca="false">IF(EH$68=1,INDEX($G$42:$P$42,1,EH$67),IF(Calendario!EH$14=1,INDEX($G$42:$P$42,1,1)*p_EspDir,0))*EH$73/EH$72</f>
        <v>0</v>
      </c>
      <c r="EI79" s="13" t="n">
        <f aca="false">IF(EI$68=1,INDEX($G$42:$P$42,1,EI$67),IF(Calendario!EI$14=1,INDEX($G$42:$P$42,1,1)*p_EspDir,0))*EI$73/EI$72</f>
        <v>0</v>
      </c>
      <c r="EJ79" s="13" t="n">
        <f aca="false">IF(EJ$68=1,INDEX($G$42:$P$42,1,EJ$67),IF(Calendario!EJ$14=1,INDEX($G$42:$P$42,1,1)*p_EspDir,0))*EJ$73/EJ$72</f>
        <v>0</v>
      </c>
      <c r="EK79" s="13" t="n">
        <f aca="false">IF(EK$68=1,INDEX($G$42:$P$42,1,EK$67),IF(Calendario!EK$14=1,INDEX($G$42:$P$42,1,1)*p_EspDir,0))*EK$73/EK$72</f>
        <v>0</v>
      </c>
      <c r="EL79" s="13" t="n">
        <f aca="false">IF(EL$68=1,INDEX($G$42:$P$42,1,EL$67),IF(Calendario!EL$14=1,INDEX($G$42:$P$42,1,1)*p_EspDir,0))*EL$73/EL$72</f>
        <v>0</v>
      </c>
      <c r="EM79" s="13" t="n">
        <f aca="false">IF(EM$68=1,INDEX($G$42:$P$42,1,EM$67),IF(Calendario!EM$14=1,INDEX($G$42:$P$42,1,1)*p_EspDir,0))*EM$73/EM$72</f>
        <v>0</v>
      </c>
      <c r="EN79" s="13" t="n">
        <f aca="false">IF(EN$68=1,INDEX($G$42:$P$42,1,EN$67),IF(Calendario!EN$14=1,INDEX($G$42:$P$42,1,1)*p_EspDir,0))*EN$73/EN$72</f>
        <v>0</v>
      </c>
      <c r="EO79" s="13" t="n">
        <f aca="false">IF(EO$68=1,INDEX($G$42:$P$42,1,EO$67),IF(Calendario!EO$14=1,INDEX($G$42:$P$42,1,1)*p_EspDir,0))*EO$73/EO$72</f>
        <v>0</v>
      </c>
      <c r="EP79" s="13" t="n">
        <f aca="false">IF(EP$68=1,INDEX($G$42:$P$42,1,EP$67),IF(Calendario!EP$14=1,INDEX($G$42:$P$42,1,1)*p_EspDir,0))*EP$73/EP$72</f>
        <v>0</v>
      </c>
      <c r="EQ79" s="13" t="n">
        <f aca="false">IF(EQ$68=1,INDEX($G$42:$P$42,1,EQ$67),IF(Calendario!EQ$14=1,INDEX($G$42:$P$42,1,1)*p_EspDir,0))*EQ$73/EQ$72</f>
        <v>0</v>
      </c>
      <c r="ER79" s="13" t="n">
        <f aca="false">IF(ER$68=1,INDEX($G$42:$P$42,1,ER$67),IF(Calendario!ER$14=1,INDEX($G$42:$P$42,1,1)*p_EspDir,0))*ER$73/ER$72</f>
        <v>0</v>
      </c>
      <c r="ES79" s="13" t="n">
        <f aca="false">IF(ES$68=1,INDEX($G$42:$P$42,1,ES$67),IF(Calendario!ES$14=1,INDEX($G$42:$P$42,1,1)*p_EspDir,0))*ES$73/ES$72</f>
        <v>0</v>
      </c>
      <c r="ET79" s="13" t="n">
        <f aca="false">IF(ET$68=1,INDEX($G$42:$P$42,1,ET$67),IF(Calendario!ET$14=1,INDEX($G$42:$P$42,1,1)*p_EspDir,0))*ET$73/ET$72</f>
        <v>0</v>
      </c>
      <c r="EU79" s="13" t="n">
        <f aca="false">IF(EU$68=1,INDEX($G$42:$P$42,1,EU$67),IF(Calendario!EU$14=1,INDEX($G$42:$P$42,1,1)*p_EspDir,0))*EU$73/EU$72</f>
        <v>0</v>
      </c>
      <c r="EV79" s="13" t="n">
        <f aca="false">IF(EV$68=1,INDEX($G$42:$P$42,1,EV$67),IF(Calendario!EV$14=1,INDEX($G$42:$P$42,1,1)*p_EspDir,0))*EV$73/EV$72</f>
        <v>0</v>
      </c>
      <c r="EW79" s="13" t="n">
        <f aca="false">IF(EW$68=1,INDEX($G$42:$P$42,1,EW$67),IF(Calendario!EW$14=1,INDEX($G$42:$P$42,1,1)*p_EspDir,0))*EW$73/EW$72</f>
        <v>0</v>
      </c>
      <c r="EX79" s="13" t="n">
        <f aca="false">IF(EX$68=1,INDEX($G$42:$P$42,1,EX$67),IF(Calendario!EX$14=1,INDEX($G$42:$P$42,1,1)*p_EspDir,0))*EX$73/EX$72</f>
        <v>0</v>
      </c>
      <c r="EY79" s="13" t="n">
        <f aca="false">IF(EY$68=1,INDEX($G$42:$P$42,1,EY$67),IF(Calendario!EY$14=1,INDEX($G$42:$P$42,1,1)*p_EspDir,0))*EY$73/EY$72</f>
        <v>0</v>
      </c>
      <c r="EZ79" s="13" t="n">
        <f aca="false">IF(EZ$68=1,INDEX($G$42:$P$42,1,EZ$67),IF(Calendario!EZ$14=1,INDEX($G$42:$P$42,1,1)*p_EspDir,0))*EZ$73/EZ$72</f>
        <v>0</v>
      </c>
      <c r="FA79" s="13" t="n">
        <f aca="false">IF(FA$68=1,INDEX($G$42:$P$42,1,FA$67),IF(Calendario!FA$14=1,INDEX($G$42:$P$42,1,1)*p_EspDir,0))*FA$73/FA$72</f>
        <v>0</v>
      </c>
      <c r="FB79" s="13" t="n">
        <f aca="false">IF(FB$68=1,INDEX($G$42:$P$42,1,FB$67),IF(Calendario!FB$14=1,INDEX($G$42:$P$42,1,1)*p_EspDir,0))*FB$73/FB$72</f>
        <v>0</v>
      </c>
      <c r="FC79" s="13" t="n">
        <f aca="false">IF(FC$68=1,INDEX($G$42:$P$42,1,FC$67),IF(Calendario!FC$14=1,INDEX($G$42:$P$42,1,1)*p_EspDir,0))*FC$73/FC$72</f>
        <v>0</v>
      </c>
      <c r="FD79" s="13" t="n">
        <f aca="false">IF(FD$68=1,INDEX($G$42:$P$42,1,FD$67),IF(Calendario!FD$14=1,INDEX($G$42:$P$42,1,1)*p_EspDir,0))*FD$73/FD$72</f>
        <v>0</v>
      </c>
      <c r="FE79" s="13" t="n">
        <f aca="false">IF(FE$68=1,INDEX($G$42:$P$42,1,FE$67),IF(Calendario!FE$14=1,INDEX($G$42:$P$42,1,1)*p_EspDir,0))*FE$73/FE$72</f>
        <v>0</v>
      </c>
      <c r="FF79" s="13" t="n">
        <f aca="false">IF(FF$68=1,INDEX($G$42:$P$42,1,FF$67),IF(Calendario!FF$14=1,INDEX($G$42:$P$42,1,1)*p_EspDir,0))*FF$73/FF$72</f>
        <v>0</v>
      </c>
    </row>
    <row r="80" customFormat="false" ht="15" hidden="false" customHeight="false" outlineLevel="0" collapsed="false">
      <c r="A80" s="2" t="s">
        <v>1026</v>
      </c>
      <c r="B80" s="8" t="s">
        <v>337</v>
      </c>
      <c r="C80" s="8" t="s">
        <v>255</v>
      </c>
      <c r="E80" s="65" t="n">
        <f aca="false">SUM($F80:$FF80)</f>
        <v>1224357.13477759</v>
      </c>
      <c r="F80" s="13" t="n">
        <f aca="false">F$79*p_Prest</f>
        <v>0</v>
      </c>
      <c r="G80" s="13" t="n">
        <f aca="false">G$79*p_Prest</f>
        <v>8802.10113958904</v>
      </c>
      <c r="H80" s="13" t="n">
        <f aca="false">H$79*p_Prest</f>
        <v>8802.10113958904</v>
      </c>
      <c r="I80" s="13" t="n">
        <f aca="false">I$79*p_Prest</f>
        <v>8802.10113958904</v>
      </c>
      <c r="J80" s="13" t="n">
        <f aca="false">J$79*p_Prest</f>
        <v>8802.10113958904</v>
      </c>
      <c r="K80" s="13" t="n">
        <f aca="false">K$79*p_Prest</f>
        <v>8802.10113958904</v>
      </c>
      <c r="L80" s="13" t="n">
        <f aca="false">L$79*p_Prest</f>
        <v>8802.10113958904</v>
      </c>
      <c r="M80" s="13" t="n">
        <f aca="false">M$79*p_Prest</f>
        <v>8802.10113958904</v>
      </c>
      <c r="N80" s="13" t="n">
        <f aca="false">N$79*p_Prest</f>
        <v>8802.10113958904</v>
      </c>
      <c r="O80" s="13" t="n">
        <f aca="false">O$79*p_Prest</f>
        <v>8802.10113958904</v>
      </c>
      <c r="P80" s="13" t="n">
        <f aca="false">P$79*p_Prest</f>
        <v>8802.10113958904</v>
      </c>
      <c r="Q80" s="13" t="n">
        <f aca="false">Q$79*p_Prest</f>
        <v>8802.10113958904</v>
      </c>
      <c r="R80" s="13" t="n">
        <f aca="false">R$79*p_Prest</f>
        <v>8802.10113958904</v>
      </c>
      <c r="S80" s="13" t="n">
        <f aca="false">S$79*p_Prest</f>
        <v>8802.10113958904</v>
      </c>
      <c r="T80" s="13" t="n">
        <f aca="false">T$79*p_Prest</f>
        <v>8802.10113958904</v>
      </c>
      <c r="U80" s="13" t="n">
        <f aca="false">U$79*p_Prest</f>
        <v>8802.10113958904</v>
      </c>
      <c r="V80" s="13" t="n">
        <f aca="false">V$79*p_Prest</f>
        <v>8802.10113958904</v>
      </c>
      <c r="W80" s="13" t="n">
        <f aca="false">W$79*p_Prest</f>
        <v>8802.10113958904</v>
      </c>
      <c r="X80" s="13" t="n">
        <f aca="false">X$79*p_Prest</f>
        <v>8802.10113958904</v>
      </c>
      <c r="Y80" s="13" t="n">
        <f aca="false">Y$79*p_Prest</f>
        <v>8802.10113958904</v>
      </c>
      <c r="Z80" s="13" t="n">
        <f aca="false">Z$79*p_Prest</f>
        <v>8802.10113958904</v>
      </c>
      <c r="AA80" s="13" t="n">
        <f aca="false">AA$79*p_Prest</f>
        <v>8802.10113958904</v>
      </c>
      <c r="AB80" s="13" t="n">
        <f aca="false">AB$79*p_Prest</f>
        <v>8802.10113958904</v>
      </c>
      <c r="AC80" s="13" t="n">
        <f aca="false">AC$79*p_Prest</f>
        <v>8802.10113958904</v>
      </c>
      <c r="AD80" s="13" t="n">
        <f aca="false">AD$79*p_Prest</f>
        <v>8802.10113958904</v>
      </c>
      <c r="AE80" s="13" t="n">
        <f aca="false">AE$79*p_Prest</f>
        <v>9527.45665458904</v>
      </c>
      <c r="AF80" s="13" t="n">
        <f aca="false">AF$79*p_Prest</f>
        <v>9527.45665458904</v>
      </c>
      <c r="AG80" s="13" t="n">
        <f aca="false">AG$79*p_Prest</f>
        <v>9527.45665458904</v>
      </c>
      <c r="AH80" s="13" t="n">
        <f aca="false">AH$79*p_Prest</f>
        <v>9527.45665458904</v>
      </c>
      <c r="AI80" s="13" t="n">
        <f aca="false">AI$79*p_Prest</f>
        <v>9527.45665458904</v>
      </c>
      <c r="AJ80" s="13" t="n">
        <f aca="false">AJ$79*p_Prest</f>
        <v>9527.45665458904</v>
      </c>
      <c r="AK80" s="13" t="n">
        <f aca="false">AK$79*p_Prest</f>
        <v>9527.45665458904</v>
      </c>
      <c r="AL80" s="13" t="n">
        <f aca="false">AL$79*p_Prest</f>
        <v>9527.45665458904</v>
      </c>
      <c r="AM80" s="13" t="n">
        <f aca="false">AM$79*p_Prest</f>
        <v>9527.45665458904</v>
      </c>
      <c r="AN80" s="13" t="n">
        <f aca="false">AN$79*p_Prest</f>
        <v>9527.45665458904</v>
      </c>
      <c r="AO80" s="13" t="n">
        <f aca="false">AO$79*p_Prest</f>
        <v>9527.45665458904</v>
      </c>
      <c r="AP80" s="13" t="n">
        <f aca="false">AP$79*p_Prest</f>
        <v>9527.45665458904</v>
      </c>
      <c r="AQ80" s="13" t="n">
        <f aca="false">AQ$79*p_Prest</f>
        <v>10094.0971788493</v>
      </c>
      <c r="AR80" s="13" t="n">
        <f aca="false">AR$79*p_Prest</f>
        <v>10094.0971788493</v>
      </c>
      <c r="AS80" s="13" t="n">
        <f aca="false">AS$79*p_Prest</f>
        <v>10094.0971788493</v>
      </c>
      <c r="AT80" s="13" t="n">
        <f aca="false">AT$79*p_Prest</f>
        <v>10094.0971788493</v>
      </c>
      <c r="AU80" s="13" t="n">
        <f aca="false">AU$79*p_Prest</f>
        <v>10094.0971788493</v>
      </c>
      <c r="AV80" s="13" t="n">
        <f aca="false">AV$79*p_Prest</f>
        <v>10094.0971788493</v>
      </c>
      <c r="AW80" s="13" t="n">
        <f aca="false">AW$79*p_Prest</f>
        <v>10094.0971788493</v>
      </c>
      <c r="AX80" s="13" t="n">
        <f aca="false">AX$79*p_Prest</f>
        <v>10094.0971788493</v>
      </c>
      <c r="AY80" s="13" t="n">
        <f aca="false">AY$79*p_Prest</f>
        <v>10094.0971788493</v>
      </c>
      <c r="AZ80" s="13" t="n">
        <f aca="false">AZ$79*p_Prest</f>
        <v>10094.0971788493</v>
      </c>
      <c r="BA80" s="13" t="n">
        <f aca="false">BA$79*p_Prest</f>
        <v>10094.0971788493</v>
      </c>
      <c r="BB80" s="13" t="n">
        <f aca="false">BB$79*p_Prest</f>
        <v>10094.0971788493</v>
      </c>
      <c r="BC80" s="13" t="n">
        <f aca="false">BC$79*p_Prest</f>
        <v>10800.6675198082</v>
      </c>
      <c r="BD80" s="13" t="n">
        <f aca="false">BD$79*p_Prest</f>
        <v>10800.6675198082</v>
      </c>
      <c r="BE80" s="13" t="n">
        <f aca="false">BE$79*p_Prest</f>
        <v>10800.6675198082</v>
      </c>
      <c r="BF80" s="13" t="n">
        <f aca="false">BF$79*p_Prest</f>
        <v>10800.6675198082</v>
      </c>
      <c r="BG80" s="13" t="n">
        <f aca="false">BG$79*p_Prest</f>
        <v>10800.6675198082</v>
      </c>
      <c r="BH80" s="13" t="n">
        <f aca="false">BH$79*p_Prest</f>
        <v>10800.6675198082</v>
      </c>
      <c r="BI80" s="13" t="n">
        <f aca="false">BI$79*p_Prest</f>
        <v>10800.6675198082</v>
      </c>
      <c r="BJ80" s="13" t="n">
        <f aca="false">BJ$79*p_Prest</f>
        <v>10800.6675198082</v>
      </c>
      <c r="BK80" s="13" t="n">
        <f aca="false">BK$79*p_Prest</f>
        <v>10800.6675198082</v>
      </c>
      <c r="BL80" s="13" t="n">
        <f aca="false">BL$79*p_Prest</f>
        <v>10800.6675198082</v>
      </c>
      <c r="BM80" s="13" t="n">
        <f aca="false">BM$79*p_Prest</f>
        <v>10800.6675198082</v>
      </c>
      <c r="BN80" s="13" t="n">
        <f aca="false">BN$79*p_Prest</f>
        <v>10800.6675198082</v>
      </c>
      <c r="BO80" s="13" t="n">
        <f aca="false">BO$79*p_Prest</f>
        <v>10800.6675198082</v>
      </c>
      <c r="BP80" s="13" t="n">
        <f aca="false">BP$79*p_Prest</f>
        <v>10800.6675198082</v>
      </c>
      <c r="BQ80" s="13" t="n">
        <f aca="false">BQ$79*p_Prest</f>
        <v>10800.6675198082</v>
      </c>
      <c r="BR80" s="13" t="n">
        <f aca="false">BR$79*p_Prest</f>
        <v>10800.6675198082</v>
      </c>
      <c r="BS80" s="13" t="n">
        <f aca="false">BS$79*p_Prest</f>
        <v>10800.6675198082</v>
      </c>
      <c r="BT80" s="13" t="n">
        <f aca="false">BT$79*p_Prest</f>
        <v>10800.6675198082</v>
      </c>
      <c r="BU80" s="13" t="n">
        <f aca="false">BU$79*p_Prest</f>
        <v>10800.6675198082</v>
      </c>
      <c r="BV80" s="13" t="n">
        <f aca="false">BV$79*p_Prest</f>
        <v>10800.6675198082</v>
      </c>
      <c r="BW80" s="13" t="n">
        <f aca="false">BW$79*p_Prest</f>
        <v>10800.6675198082</v>
      </c>
      <c r="BX80" s="13" t="n">
        <f aca="false">BX$79*p_Prest</f>
        <v>10800.6675198082</v>
      </c>
      <c r="BY80" s="13" t="n">
        <f aca="false">BY$79*p_Prest</f>
        <v>10800.6675198082</v>
      </c>
      <c r="BZ80" s="13" t="n">
        <f aca="false">BZ$79*p_Prest</f>
        <v>10800.6675198082</v>
      </c>
      <c r="CA80" s="13" t="n">
        <f aca="false">CA$79*p_Prest</f>
        <v>10800.6675198082</v>
      </c>
      <c r="CB80" s="13" t="n">
        <f aca="false">CB$79*p_Prest</f>
        <v>10800.6675198082</v>
      </c>
      <c r="CC80" s="13" t="n">
        <f aca="false">CC$79*p_Prest</f>
        <v>10800.6675198082</v>
      </c>
      <c r="CD80" s="13" t="n">
        <f aca="false">CD$79*p_Prest</f>
        <v>10800.6675198082</v>
      </c>
      <c r="CE80" s="13" t="n">
        <f aca="false">CE$79*p_Prest</f>
        <v>10800.6675198082</v>
      </c>
      <c r="CF80" s="13" t="n">
        <f aca="false">CF$79*p_Prest</f>
        <v>10800.6675198082</v>
      </c>
      <c r="CG80" s="13" t="n">
        <f aca="false">CG$79*p_Prest</f>
        <v>10800.6675198082</v>
      </c>
      <c r="CH80" s="13" t="n">
        <f aca="false">CH$79*p_Prest</f>
        <v>10800.6675198082</v>
      </c>
      <c r="CI80" s="13" t="n">
        <f aca="false">CI$79*p_Prest</f>
        <v>10800.6675198082</v>
      </c>
      <c r="CJ80" s="13" t="n">
        <f aca="false">CJ$79*p_Prest</f>
        <v>10800.6675198082</v>
      </c>
      <c r="CK80" s="13" t="n">
        <f aca="false">CK$79*p_Prest</f>
        <v>10800.6675198082</v>
      </c>
      <c r="CL80" s="13" t="n">
        <f aca="false">CL$79*p_Prest</f>
        <v>10800.6675198082</v>
      </c>
      <c r="CM80" s="13" t="n">
        <f aca="false">CM$79*p_Prest</f>
        <v>10800.6675198082</v>
      </c>
      <c r="CN80" s="13" t="n">
        <f aca="false">CN$79*p_Prest</f>
        <v>10800.6675198082</v>
      </c>
      <c r="CO80" s="13" t="n">
        <f aca="false">CO$79*p_Prest</f>
        <v>10800.6675198082</v>
      </c>
      <c r="CP80" s="13" t="n">
        <f aca="false">CP$79*p_Prest</f>
        <v>10800.6675198082</v>
      </c>
      <c r="CQ80" s="13" t="n">
        <f aca="false">CQ$79*p_Prest</f>
        <v>10800.6675198082</v>
      </c>
      <c r="CR80" s="13" t="n">
        <f aca="false">CR$79*p_Prest</f>
        <v>10800.6675198082</v>
      </c>
      <c r="CS80" s="13" t="n">
        <f aca="false">CS$79*p_Prest</f>
        <v>10800.6675198082</v>
      </c>
      <c r="CT80" s="13" t="n">
        <f aca="false">CT$79*p_Prest</f>
        <v>10800.6675198082</v>
      </c>
      <c r="CU80" s="13" t="n">
        <f aca="false">CU$79*p_Prest</f>
        <v>10800.6675198082</v>
      </c>
      <c r="CV80" s="13" t="n">
        <f aca="false">CV$79*p_Prest</f>
        <v>10800.6675198082</v>
      </c>
      <c r="CW80" s="13" t="n">
        <f aca="false">CW$79*p_Prest</f>
        <v>10800.6675198082</v>
      </c>
      <c r="CX80" s="13" t="n">
        <f aca="false">CX$79*p_Prest</f>
        <v>10800.6675198082</v>
      </c>
      <c r="CY80" s="13" t="n">
        <f aca="false">CY$79*p_Prest</f>
        <v>10800.6675198082</v>
      </c>
      <c r="CZ80" s="13" t="n">
        <f aca="false">CZ$79*p_Prest</f>
        <v>10800.6675198082</v>
      </c>
      <c r="DA80" s="13" t="n">
        <f aca="false">DA$79*p_Prest</f>
        <v>10800.6675198082</v>
      </c>
      <c r="DB80" s="13" t="n">
        <f aca="false">DB$79*p_Prest</f>
        <v>10800.6675198082</v>
      </c>
      <c r="DC80" s="13" t="n">
        <f aca="false">DC$79*p_Prest</f>
        <v>10800.6675198082</v>
      </c>
      <c r="DD80" s="13" t="n">
        <f aca="false">DD$79*p_Prest</f>
        <v>10800.6675198082</v>
      </c>
      <c r="DE80" s="13" t="n">
        <f aca="false">DE$79*p_Prest</f>
        <v>10800.6675198082</v>
      </c>
      <c r="DF80" s="13" t="n">
        <f aca="false">DF$79*p_Prest</f>
        <v>10800.6675198082</v>
      </c>
      <c r="DG80" s="13" t="n">
        <f aca="false">DG$79*p_Prest</f>
        <v>10800.6675198082</v>
      </c>
      <c r="DH80" s="13" t="n">
        <f aca="false">DH$79*p_Prest</f>
        <v>10800.6675198082</v>
      </c>
      <c r="DI80" s="13" t="n">
        <f aca="false">DI$79*p_Prest</f>
        <v>10800.6675198082</v>
      </c>
      <c r="DJ80" s="13" t="n">
        <f aca="false">DJ$79*p_Prest</f>
        <v>10800.6675198082</v>
      </c>
      <c r="DK80" s="13" t="n">
        <f aca="false">DK$79*p_Prest</f>
        <v>10800.6675198082</v>
      </c>
      <c r="DL80" s="13" t="n">
        <f aca="false">DL$79*p_Prest</f>
        <v>10800.6675198082</v>
      </c>
      <c r="DM80" s="13" t="n">
        <f aca="false">DM$79*p_Prest</f>
        <v>10800.6675198082</v>
      </c>
      <c r="DN80" s="13" t="n">
        <f aca="false">DN$79*p_Prest</f>
        <v>10800.6675198082</v>
      </c>
      <c r="DO80" s="13" t="n">
        <f aca="false">DO$79*p_Prest</f>
        <v>10800.6675198082</v>
      </c>
      <c r="DP80" s="13" t="n">
        <f aca="false">DP$79*p_Prest</f>
        <v>10800.6675198082</v>
      </c>
      <c r="DQ80" s="13" t="n">
        <f aca="false">DQ$79*p_Prest</f>
        <v>10800.6675198082</v>
      </c>
      <c r="DR80" s="13" t="n">
        <f aca="false">DR$79*p_Prest</f>
        <v>10800.6675198082</v>
      </c>
      <c r="DS80" s="13" t="n">
        <f aca="false">DS$79*p_Prest</f>
        <v>10800.6675198082</v>
      </c>
      <c r="DT80" s="13" t="n">
        <f aca="false">DT$79*p_Prest</f>
        <v>10800.6675198082</v>
      </c>
      <c r="DU80" s="13" t="n">
        <f aca="false">DU$79*p_Prest</f>
        <v>10800.6675198082</v>
      </c>
      <c r="DV80" s="13" t="n">
        <f aca="false">DV$79*p_Prest</f>
        <v>10800.6675198082</v>
      </c>
      <c r="DW80" s="13" t="n">
        <f aca="false">DW$79*p_Prest</f>
        <v>0</v>
      </c>
      <c r="DX80" s="13" t="n">
        <f aca="false">DX$79*p_Prest</f>
        <v>0</v>
      </c>
      <c r="DY80" s="13" t="n">
        <f aca="false">DY$79*p_Prest</f>
        <v>0</v>
      </c>
      <c r="DZ80" s="13" t="n">
        <f aca="false">DZ$79*p_Prest</f>
        <v>0</v>
      </c>
      <c r="EA80" s="13" t="n">
        <f aca="false">EA$79*p_Prest</f>
        <v>0</v>
      </c>
      <c r="EB80" s="13" t="n">
        <f aca="false">EB$79*p_Prest</f>
        <v>0</v>
      </c>
      <c r="EC80" s="13" t="n">
        <f aca="false">EC$79*p_Prest</f>
        <v>0</v>
      </c>
      <c r="ED80" s="13" t="n">
        <f aca="false">ED$79*p_Prest</f>
        <v>0</v>
      </c>
      <c r="EE80" s="13" t="n">
        <f aca="false">EE$79*p_Prest</f>
        <v>0</v>
      </c>
      <c r="EF80" s="13" t="n">
        <f aca="false">EF$79*p_Prest</f>
        <v>0</v>
      </c>
      <c r="EG80" s="13" t="n">
        <f aca="false">EG$79*p_Prest</f>
        <v>0</v>
      </c>
      <c r="EH80" s="13" t="n">
        <f aca="false">EH$79*p_Prest</f>
        <v>0</v>
      </c>
      <c r="EI80" s="13" t="n">
        <f aca="false">EI$79*p_Prest</f>
        <v>0</v>
      </c>
      <c r="EJ80" s="13" t="n">
        <f aca="false">EJ$79*p_Prest</f>
        <v>0</v>
      </c>
      <c r="EK80" s="13" t="n">
        <f aca="false">EK$79*p_Prest</f>
        <v>0</v>
      </c>
      <c r="EL80" s="13" t="n">
        <f aca="false">EL$79*p_Prest</f>
        <v>0</v>
      </c>
      <c r="EM80" s="13" t="n">
        <f aca="false">EM$79*p_Prest</f>
        <v>0</v>
      </c>
      <c r="EN80" s="13" t="n">
        <f aca="false">EN$79*p_Prest</f>
        <v>0</v>
      </c>
      <c r="EO80" s="13" t="n">
        <f aca="false">EO$79*p_Prest</f>
        <v>0</v>
      </c>
      <c r="EP80" s="13" t="n">
        <f aca="false">EP$79*p_Prest</f>
        <v>0</v>
      </c>
      <c r="EQ80" s="13" t="n">
        <f aca="false">EQ$79*p_Prest</f>
        <v>0</v>
      </c>
      <c r="ER80" s="13" t="n">
        <f aca="false">ER$79*p_Prest</f>
        <v>0</v>
      </c>
      <c r="ES80" s="13" t="n">
        <f aca="false">ES$79*p_Prest</f>
        <v>0</v>
      </c>
      <c r="ET80" s="13" t="n">
        <f aca="false">ET$79*p_Prest</f>
        <v>0</v>
      </c>
      <c r="EU80" s="13" t="n">
        <f aca="false">EU$79*p_Prest</f>
        <v>0</v>
      </c>
      <c r="EV80" s="13" t="n">
        <f aca="false">EV$79*p_Prest</f>
        <v>0</v>
      </c>
      <c r="EW80" s="13" t="n">
        <f aca="false">EW$79*p_Prest</f>
        <v>0</v>
      </c>
      <c r="EX80" s="13" t="n">
        <f aca="false">EX$79*p_Prest</f>
        <v>0</v>
      </c>
      <c r="EY80" s="13" t="n">
        <f aca="false">EY$79*p_Prest</f>
        <v>0</v>
      </c>
      <c r="EZ80" s="13" t="n">
        <f aca="false">EZ$79*p_Prest</f>
        <v>0</v>
      </c>
      <c r="FA80" s="13" t="n">
        <f aca="false">FA$79*p_Prest</f>
        <v>0</v>
      </c>
      <c r="FB80" s="13" t="n">
        <f aca="false">FB$79*p_Prest</f>
        <v>0</v>
      </c>
      <c r="FC80" s="13" t="n">
        <f aca="false">FC$79*p_Prest</f>
        <v>0</v>
      </c>
      <c r="FD80" s="13" t="n">
        <f aca="false">FD$79*p_Prest</f>
        <v>0</v>
      </c>
      <c r="FE80" s="13" t="n">
        <f aca="false">FE$79*p_Prest</f>
        <v>0</v>
      </c>
      <c r="FF80" s="13" t="n">
        <f aca="false">FF$79*p_Prest</f>
        <v>0</v>
      </c>
    </row>
    <row r="81" customFormat="false" ht="15" hidden="false" customHeight="false" outlineLevel="0" collapsed="false">
      <c r="A81" s="2" t="s">
        <v>1027</v>
      </c>
      <c r="B81" s="8" t="s">
        <v>1028</v>
      </c>
      <c r="C81" s="8" t="s">
        <v>255</v>
      </c>
      <c r="E81" s="65" t="n">
        <f aca="false">SUM($F81:$FF81)</f>
        <v>466796.712328767</v>
      </c>
      <c r="F81" s="13" t="n">
        <f aca="false">F$78*p_AlimGs/F$71</f>
        <v>0</v>
      </c>
      <c r="G81" s="13" t="n">
        <f aca="false">G$78*p_AlimGs/G$71</f>
        <v>3392.87671232877</v>
      </c>
      <c r="H81" s="13" t="n">
        <f aca="false">H$78*p_AlimGs/H$71</f>
        <v>3392.87671232877</v>
      </c>
      <c r="I81" s="13" t="n">
        <f aca="false">I$78*p_AlimGs/I$71</f>
        <v>3392.87671232877</v>
      </c>
      <c r="J81" s="13" t="n">
        <f aca="false">J$78*p_AlimGs/J$71</f>
        <v>3392.87671232877</v>
      </c>
      <c r="K81" s="13" t="n">
        <f aca="false">K$78*p_AlimGs/K$71</f>
        <v>3392.87671232877</v>
      </c>
      <c r="L81" s="13" t="n">
        <f aca="false">L$78*p_AlimGs/L$71</f>
        <v>3392.87671232877</v>
      </c>
      <c r="M81" s="13" t="n">
        <f aca="false">M$78*p_AlimGs/M$71</f>
        <v>3392.87671232877</v>
      </c>
      <c r="N81" s="13" t="n">
        <f aca="false">N$78*p_AlimGs/N$71</f>
        <v>3392.87671232877</v>
      </c>
      <c r="O81" s="13" t="n">
        <f aca="false">O$78*p_AlimGs/O$71</f>
        <v>3392.87671232877</v>
      </c>
      <c r="P81" s="13" t="n">
        <f aca="false">P$78*p_AlimGs/P$71</f>
        <v>3392.87671232877</v>
      </c>
      <c r="Q81" s="13" t="n">
        <f aca="false">Q$78*p_AlimGs/Q$71</f>
        <v>3392.87671232877</v>
      </c>
      <c r="R81" s="13" t="n">
        <f aca="false">R$78*p_AlimGs/R$71</f>
        <v>3392.87671232877</v>
      </c>
      <c r="S81" s="13" t="n">
        <f aca="false">S$78*p_AlimGs/S$71</f>
        <v>3392.87671232877</v>
      </c>
      <c r="T81" s="13" t="n">
        <f aca="false">T$78*p_AlimGs/T$71</f>
        <v>3392.87671232877</v>
      </c>
      <c r="U81" s="13" t="n">
        <f aca="false">U$78*p_AlimGs/U$71</f>
        <v>3392.87671232877</v>
      </c>
      <c r="V81" s="13" t="n">
        <f aca="false">V$78*p_AlimGs/V$71</f>
        <v>3392.87671232877</v>
      </c>
      <c r="W81" s="13" t="n">
        <f aca="false">W$78*p_AlimGs/W$71</f>
        <v>3392.87671232877</v>
      </c>
      <c r="X81" s="13" t="n">
        <f aca="false">X$78*p_AlimGs/X$71</f>
        <v>3392.87671232877</v>
      </c>
      <c r="Y81" s="13" t="n">
        <f aca="false">Y$78*p_AlimGs/Y$71</f>
        <v>3392.87671232877</v>
      </c>
      <c r="Z81" s="13" t="n">
        <f aca="false">Z$78*p_AlimGs/Z$71</f>
        <v>3392.87671232877</v>
      </c>
      <c r="AA81" s="13" t="n">
        <f aca="false">AA$78*p_AlimGs/AA$71</f>
        <v>3392.87671232877</v>
      </c>
      <c r="AB81" s="13" t="n">
        <f aca="false">AB$78*p_AlimGs/AB$71</f>
        <v>3392.87671232877</v>
      </c>
      <c r="AC81" s="13" t="n">
        <f aca="false">AC$78*p_AlimGs/AC$71</f>
        <v>3392.87671232877</v>
      </c>
      <c r="AD81" s="13" t="n">
        <f aca="false">AD$78*p_AlimGs/AD$71</f>
        <v>3392.87671232877</v>
      </c>
      <c r="AE81" s="13" t="n">
        <f aca="false">AE$78*p_AlimGs/AE$71</f>
        <v>3629.58904109589</v>
      </c>
      <c r="AF81" s="13" t="n">
        <f aca="false">AF$78*p_AlimGs/AF$71</f>
        <v>3629.58904109589</v>
      </c>
      <c r="AG81" s="13" t="n">
        <f aca="false">AG$78*p_AlimGs/AG$71</f>
        <v>3629.58904109589</v>
      </c>
      <c r="AH81" s="13" t="n">
        <f aca="false">AH$78*p_AlimGs/AH$71</f>
        <v>3629.58904109589</v>
      </c>
      <c r="AI81" s="13" t="n">
        <f aca="false">AI$78*p_AlimGs/AI$71</f>
        <v>3629.58904109589</v>
      </c>
      <c r="AJ81" s="13" t="n">
        <f aca="false">AJ$78*p_AlimGs/AJ$71</f>
        <v>3629.58904109589</v>
      </c>
      <c r="AK81" s="13" t="n">
        <f aca="false">AK$78*p_AlimGs/AK$71</f>
        <v>3629.58904109589</v>
      </c>
      <c r="AL81" s="13" t="n">
        <f aca="false">AL$78*p_AlimGs/AL$71</f>
        <v>3629.58904109589</v>
      </c>
      <c r="AM81" s="13" t="n">
        <f aca="false">AM$78*p_AlimGs/AM$71</f>
        <v>3629.58904109589</v>
      </c>
      <c r="AN81" s="13" t="n">
        <f aca="false">AN$78*p_AlimGs/AN$71</f>
        <v>3629.58904109589</v>
      </c>
      <c r="AO81" s="13" t="n">
        <f aca="false">AO$78*p_AlimGs/AO$71</f>
        <v>3629.58904109589</v>
      </c>
      <c r="AP81" s="13" t="n">
        <f aca="false">AP$78*p_AlimGs/AP$71</f>
        <v>3629.58904109589</v>
      </c>
      <c r="AQ81" s="13" t="n">
        <f aca="false">AQ$78*p_AlimGs/AQ$71</f>
        <v>3866.30136986301</v>
      </c>
      <c r="AR81" s="13" t="n">
        <f aca="false">AR$78*p_AlimGs/AR$71</f>
        <v>3866.30136986301</v>
      </c>
      <c r="AS81" s="13" t="n">
        <f aca="false">AS$78*p_AlimGs/AS$71</f>
        <v>3866.30136986301</v>
      </c>
      <c r="AT81" s="13" t="n">
        <f aca="false">AT$78*p_AlimGs/AT$71</f>
        <v>3866.30136986301</v>
      </c>
      <c r="AU81" s="13" t="n">
        <f aca="false">AU$78*p_AlimGs/AU$71</f>
        <v>3866.30136986301</v>
      </c>
      <c r="AV81" s="13" t="n">
        <f aca="false">AV$78*p_AlimGs/AV$71</f>
        <v>3866.30136986301</v>
      </c>
      <c r="AW81" s="13" t="n">
        <f aca="false">AW$78*p_AlimGs/AW$71</f>
        <v>3866.30136986301</v>
      </c>
      <c r="AX81" s="13" t="n">
        <f aca="false">AX$78*p_AlimGs/AX$71</f>
        <v>3866.30136986301</v>
      </c>
      <c r="AY81" s="13" t="n">
        <f aca="false">AY$78*p_AlimGs/AY$71</f>
        <v>3866.30136986301</v>
      </c>
      <c r="AZ81" s="13" t="n">
        <f aca="false">AZ$78*p_AlimGs/AZ$71</f>
        <v>3866.30136986301</v>
      </c>
      <c r="BA81" s="13" t="n">
        <f aca="false">BA$78*p_AlimGs/BA$71</f>
        <v>3866.30136986301</v>
      </c>
      <c r="BB81" s="13" t="n">
        <f aca="false">BB$78*p_AlimGs/BB$71</f>
        <v>3866.30136986301</v>
      </c>
      <c r="BC81" s="13" t="n">
        <f aca="false">BC$78*p_AlimGs/BC$71</f>
        <v>4103.01369863014</v>
      </c>
      <c r="BD81" s="13" t="n">
        <f aca="false">BD$78*p_AlimGs/BD$71</f>
        <v>4103.01369863014</v>
      </c>
      <c r="BE81" s="13" t="n">
        <f aca="false">BE$78*p_AlimGs/BE$71</f>
        <v>4103.01369863014</v>
      </c>
      <c r="BF81" s="13" t="n">
        <f aca="false">BF$78*p_AlimGs/BF$71</f>
        <v>4103.01369863014</v>
      </c>
      <c r="BG81" s="13" t="n">
        <f aca="false">BG$78*p_AlimGs/BG$71</f>
        <v>4103.01369863014</v>
      </c>
      <c r="BH81" s="13" t="n">
        <f aca="false">BH$78*p_AlimGs/BH$71</f>
        <v>4103.01369863014</v>
      </c>
      <c r="BI81" s="13" t="n">
        <f aca="false">BI$78*p_AlimGs/BI$71</f>
        <v>4103.01369863014</v>
      </c>
      <c r="BJ81" s="13" t="n">
        <f aca="false">BJ$78*p_AlimGs/BJ$71</f>
        <v>4103.01369863014</v>
      </c>
      <c r="BK81" s="13" t="n">
        <f aca="false">BK$78*p_AlimGs/BK$71</f>
        <v>4103.01369863014</v>
      </c>
      <c r="BL81" s="13" t="n">
        <f aca="false">BL$78*p_AlimGs/BL$71</f>
        <v>4103.01369863014</v>
      </c>
      <c r="BM81" s="13" t="n">
        <f aca="false">BM$78*p_AlimGs/BM$71</f>
        <v>4103.01369863014</v>
      </c>
      <c r="BN81" s="13" t="n">
        <f aca="false">BN$78*p_AlimGs/BN$71</f>
        <v>4103.01369863014</v>
      </c>
      <c r="BO81" s="13" t="n">
        <f aca="false">BO$78*p_AlimGs/BO$71</f>
        <v>4103.01369863014</v>
      </c>
      <c r="BP81" s="13" t="n">
        <f aca="false">BP$78*p_AlimGs/BP$71</f>
        <v>4103.01369863014</v>
      </c>
      <c r="BQ81" s="13" t="n">
        <f aca="false">BQ$78*p_AlimGs/BQ$71</f>
        <v>4103.01369863014</v>
      </c>
      <c r="BR81" s="13" t="n">
        <f aca="false">BR$78*p_AlimGs/BR$71</f>
        <v>4103.01369863014</v>
      </c>
      <c r="BS81" s="13" t="n">
        <f aca="false">BS$78*p_AlimGs/BS$71</f>
        <v>4103.01369863014</v>
      </c>
      <c r="BT81" s="13" t="n">
        <f aca="false">BT$78*p_AlimGs/BT$71</f>
        <v>4103.01369863014</v>
      </c>
      <c r="BU81" s="13" t="n">
        <f aca="false">BU$78*p_AlimGs/BU$71</f>
        <v>4103.01369863014</v>
      </c>
      <c r="BV81" s="13" t="n">
        <f aca="false">BV$78*p_AlimGs/BV$71</f>
        <v>4103.01369863014</v>
      </c>
      <c r="BW81" s="13" t="n">
        <f aca="false">BW$78*p_AlimGs/BW$71</f>
        <v>4103.01369863014</v>
      </c>
      <c r="BX81" s="13" t="n">
        <f aca="false">BX$78*p_AlimGs/BX$71</f>
        <v>4103.01369863014</v>
      </c>
      <c r="BY81" s="13" t="n">
        <f aca="false">BY$78*p_AlimGs/BY$71</f>
        <v>4103.01369863014</v>
      </c>
      <c r="BZ81" s="13" t="n">
        <f aca="false">BZ$78*p_AlimGs/BZ$71</f>
        <v>4103.01369863014</v>
      </c>
      <c r="CA81" s="13" t="n">
        <f aca="false">CA$78*p_AlimGs/CA$71</f>
        <v>4103.01369863014</v>
      </c>
      <c r="CB81" s="13" t="n">
        <f aca="false">CB$78*p_AlimGs/CB$71</f>
        <v>4103.01369863014</v>
      </c>
      <c r="CC81" s="13" t="n">
        <f aca="false">CC$78*p_AlimGs/CC$71</f>
        <v>4103.01369863014</v>
      </c>
      <c r="CD81" s="13" t="n">
        <f aca="false">CD$78*p_AlimGs/CD$71</f>
        <v>4103.01369863014</v>
      </c>
      <c r="CE81" s="13" t="n">
        <f aca="false">CE$78*p_AlimGs/CE$71</f>
        <v>4103.01369863014</v>
      </c>
      <c r="CF81" s="13" t="n">
        <f aca="false">CF$78*p_AlimGs/CF$71</f>
        <v>4103.01369863014</v>
      </c>
      <c r="CG81" s="13" t="n">
        <f aca="false">CG$78*p_AlimGs/CG$71</f>
        <v>4103.01369863014</v>
      </c>
      <c r="CH81" s="13" t="n">
        <f aca="false">CH$78*p_AlimGs/CH$71</f>
        <v>4103.01369863014</v>
      </c>
      <c r="CI81" s="13" t="n">
        <f aca="false">CI$78*p_AlimGs/CI$71</f>
        <v>4103.01369863014</v>
      </c>
      <c r="CJ81" s="13" t="n">
        <f aca="false">CJ$78*p_AlimGs/CJ$71</f>
        <v>4103.01369863014</v>
      </c>
      <c r="CK81" s="13" t="n">
        <f aca="false">CK$78*p_AlimGs/CK$71</f>
        <v>4103.01369863014</v>
      </c>
      <c r="CL81" s="13" t="n">
        <f aca="false">CL$78*p_AlimGs/CL$71</f>
        <v>4103.01369863014</v>
      </c>
      <c r="CM81" s="13" t="n">
        <f aca="false">CM$78*p_AlimGs/CM$71</f>
        <v>4103.01369863014</v>
      </c>
      <c r="CN81" s="13" t="n">
        <f aca="false">CN$78*p_AlimGs/CN$71</f>
        <v>4103.01369863014</v>
      </c>
      <c r="CO81" s="13" t="n">
        <f aca="false">CO$78*p_AlimGs/CO$71</f>
        <v>4103.01369863014</v>
      </c>
      <c r="CP81" s="13" t="n">
        <f aca="false">CP$78*p_AlimGs/CP$71</f>
        <v>4103.01369863014</v>
      </c>
      <c r="CQ81" s="13" t="n">
        <f aca="false">CQ$78*p_AlimGs/CQ$71</f>
        <v>4103.01369863014</v>
      </c>
      <c r="CR81" s="13" t="n">
        <f aca="false">CR$78*p_AlimGs/CR$71</f>
        <v>4103.01369863014</v>
      </c>
      <c r="CS81" s="13" t="n">
        <f aca="false">CS$78*p_AlimGs/CS$71</f>
        <v>4103.01369863014</v>
      </c>
      <c r="CT81" s="13" t="n">
        <f aca="false">CT$78*p_AlimGs/CT$71</f>
        <v>4103.01369863014</v>
      </c>
      <c r="CU81" s="13" t="n">
        <f aca="false">CU$78*p_AlimGs/CU$71</f>
        <v>4103.01369863014</v>
      </c>
      <c r="CV81" s="13" t="n">
        <f aca="false">CV$78*p_AlimGs/CV$71</f>
        <v>4103.01369863014</v>
      </c>
      <c r="CW81" s="13" t="n">
        <f aca="false">CW$78*p_AlimGs/CW$71</f>
        <v>4103.01369863014</v>
      </c>
      <c r="CX81" s="13" t="n">
        <f aca="false">CX$78*p_AlimGs/CX$71</f>
        <v>4103.01369863014</v>
      </c>
      <c r="CY81" s="13" t="n">
        <f aca="false">CY$78*p_AlimGs/CY$71</f>
        <v>4103.01369863014</v>
      </c>
      <c r="CZ81" s="13" t="n">
        <f aca="false">CZ$78*p_AlimGs/CZ$71</f>
        <v>4103.01369863014</v>
      </c>
      <c r="DA81" s="13" t="n">
        <f aca="false">DA$78*p_AlimGs/DA$71</f>
        <v>4103.01369863014</v>
      </c>
      <c r="DB81" s="13" t="n">
        <f aca="false">DB$78*p_AlimGs/DB$71</f>
        <v>4103.01369863014</v>
      </c>
      <c r="DC81" s="13" t="n">
        <f aca="false">DC$78*p_AlimGs/DC$71</f>
        <v>4103.01369863014</v>
      </c>
      <c r="DD81" s="13" t="n">
        <f aca="false">DD$78*p_AlimGs/DD$71</f>
        <v>4103.01369863014</v>
      </c>
      <c r="DE81" s="13" t="n">
        <f aca="false">DE$78*p_AlimGs/DE$71</f>
        <v>4103.01369863014</v>
      </c>
      <c r="DF81" s="13" t="n">
        <f aca="false">DF$78*p_AlimGs/DF$71</f>
        <v>4103.01369863014</v>
      </c>
      <c r="DG81" s="13" t="n">
        <f aca="false">DG$78*p_AlimGs/DG$71</f>
        <v>4103.01369863014</v>
      </c>
      <c r="DH81" s="13" t="n">
        <f aca="false">DH$78*p_AlimGs/DH$71</f>
        <v>4103.01369863014</v>
      </c>
      <c r="DI81" s="13" t="n">
        <f aca="false">DI$78*p_AlimGs/DI$71</f>
        <v>4103.01369863014</v>
      </c>
      <c r="DJ81" s="13" t="n">
        <f aca="false">DJ$78*p_AlimGs/DJ$71</f>
        <v>4103.01369863014</v>
      </c>
      <c r="DK81" s="13" t="n">
        <f aca="false">DK$78*p_AlimGs/DK$71</f>
        <v>4103.01369863014</v>
      </c>
      <c r="DL81" s="13" t="n">
        <f aca="false">DL$78*p_AlimGs/DL$71</f>
        <v>4103.01369863014</v>
      </c>
      <c r="DM81" s="13" t="n">
        <f aca="false">DM$78*p_AlimGs/DM$71</f>
        <v>4103.01369863014</v>
      </c>
      <c r="DN81" s="13" t="n">
        <f aca="false">DN$78*p_AlimGs/DN$71</f>
        <v>4103.01369863014</v>
      </c>
      <c r="DO81" s="13" t="n">
        <f aca="false">DO$78*p_AlimGs/DO$71</f>
        <v>4103.01369863014</v>
      </c>
      <c r="DP81" s="13" t="n">
        <f aca="false">DP$78*p_AlimGs/DP$71</f>
        <v>4103.01369863014</v>
      </c>
      <c r="DQ81" s="13" t="n">
        <f aca="false">DQ$78*p_AlimGs/DQ$71</f>
        <v>4103.01369863014</v>
      </c>
      <c r="DR81" s="13" t="n">
        <f aca="false">DR$78*p_AlimGs/DR$71</f>
        <v>4103.01369863014</v>
      </c>
      <c r="DS81" s="13" t="n">
        <f aca="false">DS$78*p_AlimGs/DS$71</f>
        <v>4103.01369863014</v>
      </c>
      <c r="DT81" s="13" t="n">
        <f aca="false">DT$78*p_AlimGs/DT$71</f>
        <v>4103.01369863014</v>
      </c>
      <c r="DU81" s="13" t="n">
        <f aca="false">DU$78*p_AlimGs/DU$71</f>
        <v>4103.01369863014</v>
      </c>
      <c r="DV81" s="13" t="n">
        <f aca="false">DV$78*p_AlimGs/DV$71</f>
        <v>4103.01369863014</v>
      </c>
      <c r="DW81" s="13" t="n">
        <f aca="false">DW$78*p_AlimGs/DW$71</f>
        <v>0</v>
      </c>
      <c r="DX81" s="13" t="n">
        <f aca="false">DX$78*p_AlimGs/DX$71</f>
        <v>0</v>
      </c>
      <c r="DY81" s="13" t="n">
        <f aca="false">DY$78*p_AlimGs/DY$71</f>
        <v>0</v>
      </c>
      <c r="DZ81" s="13" t="n">
        <f aca="false">DZ$78*p_AlimGs/DZ$71</f>
        <v>0</v>
      </c>
      <c r="EA81" s="13" t="n">
        <f aca="false">EA$78*p_AlimGs/EA$71</f>
        <v>0</v>
      </c>
      <c r="EB81" s="13" t="n">
        <f aca="false">EB$78*p_AlimGs/EB$71</f>
        <v>0</v>
      </c>
      <c r="EC81" s="13" t="n">
        <f aca="false">EC$78*p_AlimGs/EC$71</f>
        <v>0</v>
      </c>
      <c r="ED81" s="13" t="n">
        <f aca="false">ED$78*p_AlimGs/ED$71</f>
        <v>0</v>
      </c>
      <c r="EE81" s="13" t="n">
        <f aca="false">EE$78*p_AlimGs/EE$71</f>
        <v>0</v>
      </c>
      <c r="EF81" s="13" t="n">
        <f aca="false">EF$78*p_AlimGs/EF$71</f>
        <v>0</v>
      </c>
      <c r="EG81" s="13" t="n">
        <f aca="false">EG$78*p_AlimGs/EG$71</f>
        <v>0</v>
      </c>
      <c r="EH81" s="13" t="n">
        <f aca="false">EH$78*p_AlimGs/EH$71</f>
        <v>0</v>
      </c>
      <c r="EI81" s="13" t="n">
        <f aca="false">EI$78*p_AlimGs/EI$71</f>
        <v>0</v>
      </c>
      <c r="EJ81" s="13" t="n">
        <f aca="false">EJ$78*p_AlimGs/EJ$71</f>
        <v>0</v>
      </c>
      <c r="EK81" s="13" t="n">
        <f aca="false">EK$78*p_AlimGs/EK$71</f>
        <v>0</v>
      </c>
      <c r="EL81" s="13" t="n">
        <f aca="false">EL$78*p_AlimGs/EL$71</f>
        <v>0</v>
      </c>
      <c r="EM81" s="13" t="n">
        <f aca="false">EM$78*p_AlimGs/EM$71</f>
        <v>0</v>
      </c>
      <c r="EN81" s="13" t="n">
        <f aca="false">EN$78*p_AlimGs/EN$71</f>
        <v>0</v>
      </c>
      <c r="EO81" s="13" t="n">
        <f aca="false">EO$78*p_AlimGs/EO$71</f>
        <v>0</v>
      </c>
      <c r="EP81" s="13" t="n">
        <f aca="false">EP$78*p_AlimGs/EP$71</f>
        <v>0</v>
      </c>
      <c r="EQ81" s="13" t="n">
        <f aca="false">EQ$78*p_AlimGs/EQ$71</f>
        <v>0</v>
      </c>
      <c r="ER81" s="13" t="n">
        <f aca="false">ER$78*p_AlimGs/ER$71</f>
        <v>0</v>
      </c>
      <c r="ES81" s="13" t="n">
        <f aca="false">ES$78*p_AlimGs/ES$71</f>
        <v>0</v>
      </c>
      <c r="ET81" s="13" t="n">
        <f aca="false">ET$78*p_AlimGs/ET$71</f>
        <v>0</v>
      </c>
      <c r="EU81" s="13" t="n">
        <f aca="false">EU$78*p_AlimGs/EU$71</f>
        <v>0</v>
      </c>
      <c r="EV81" s="13" t="n">
        <f aca="false">EV$78*p_AlimGs/EV$71</f>
        <v>0</v>
      </c>
      <c r="EW81" s="13" t="n">
        <f aca="false">EW$78*p_AlimGs/EW$71</f>
        <v>0</v>
      </c>
      <c r="EX81" s="13" t="n">
        <f aca="false">EX$78*p_AlimGs/EX$71</f>
        <v>0</v>
      </c>
      <c r="EY81" s="13" t="n">
        <f aca="false">EY$78*p_AlimGs/EY$71</f>
        <v>0</v>
      </c>
      <c r="EZ81" s="13" t="n">
        <f aca="false">EZ$78*p_AlimGs/EZ$71</f>
        <v>0</v>
      </c>
      <c r="FA81" s="13" t="n">
        <f aca="false">FA$78*p_AlimGs/FA$71</f>
        <v>0</v>
      </c>
      <c r="FB81" s="13" t="n">
        <f aca="false">FB$78*p_AlimGs/FB$71</f>
        <v>0</v>
      </c>
      <c r="FC81" s="13" t="n">
        <f aca="false">FC$78*p_AlimGs/FC$71</f>
        <v>0</v>
      </c>
      <c r="FD81" s="13" t="n">
        <f aca="false">FD$78*p_AlimGs/FD$71</f>
        <v>0</v>
      </c>
      <c r="FE81" s="13" t="n">
        <f aca="false">FE$78*p_AlimGs/FE$71</f>
        <v>0</v>
      </c>
      <c r="FF81" s="13" t="n">
        <f aca="false">FF$78*p_AlimGs/FF$71</f>
        <v>0</v>
      </c>
    </row>
    <row r="82" customFormat="false" ht="15" hidden="false" customHeight="false" outlineLevel="0" collapsed="false">
      <c r="A82" s="2" t="s">
        <v>1029</v>
      </c>
      <c r="B82" s="66" t="s">
        <v>1030</v>
      </c>
      <c r="C82" s="8" t="s">
        <v>255</v>
      </c>
      <c r="E82" s="67" t="n">
        <f aca="false">SUM($F82:$FF82)</f>
        <v>4532548.91505156</v>
      </c>
      <c r="F82" s="12" t="n">
        <f aca="false">IF(F$69=1,SUMIFS(dr_USD,dr_Mes,0,dr_Cod,"NOM_D",dr_Est,"&lt;&gt;Excluido"),F$79+F$80+F$81)</f>
        <v>0</v>
      </c>
      <c r="G82" s="12" t="n">
        <f aca="false">IF(G$69=1,SUMIFS(dr_USD,dr_Mes,1,dr_Cod,"NOM_D",dr_Est,"&lt;&gt;Excluido"),G$79+G$80+G$81)</f>
        <v>32622.2257971233</v>
      </c>
      <c r="H82" s="12" t="n">
        <f aca="false">IF(H$69=1,SUMIFS(dr_USD,dr_Mes,2,dr_Cod,"NOM_D",dr_Est,"&lt;&gt;Excluido"),H$79+H$80+H$81)</f>
        <v>32622.2257971233</v>
      </c>
      <c r="I82" s="12" t="n">
        <f aca="false">IF(I$69=1,SUMIFS(dr_USD,dr_Mes,3,dr_Cod,"NOM_D",dr_Est,"&lt;&gt;Excluido"),I$79+I$80+I$81)</f>
        <v>32622.2257971233</v>
      </c>
      <c r="J82" s="12" t="n">
        <f aca="false">IF(J$69=1,SUMIFS(dr_USD,dr_Mes,4,dr_Cod,"NOM_D",dr_Est,"&lt;&gt;Excluido"),J$79+J$80+J$81)</f>
        <v>32622.2257971233</v>
      </c>
      <c r="K82" s="12" t="n">
        <f aca="false">IF(K$69=1,SUMIFS(dr_USD,dr_Mes,5,dr_Cod,"NOM_D",dr_Est,"&lt;&gt;Excluido"),K$79+K$80+K$81)</f>
        <v>32622.2257971233</v>
      </c>
      <c r="L82" s="12" t="n">
        <f aca="false">IF(L$69=1,SUMIFS(dr_USD,dr_Mes,6,dr_Cod,"NOM_D",dr_Est,"&lt;&gt;Excluido"),L$79+L$80+L$81)</f>
        <v>32622.2257971233</v>
      </c>
      <c r="M82" s="12" t="n">
        <f aca="false">IF(M$69=1,SUMIFS(dr_USD,dr_Mes,7,dr_Cod,"NOM_D",dr_Est,"&lt;&gt;Excluido"),M$79+M$80+M$81)</f>
        <v>32622.2257971233</v>
      </c>
      <c r="N82" s="12" t="n">
        <f aca="false">IF(N$69=1,SUMIFS(dr_USD,dr_Mes,8,dr_Cod,"NOM_D",dr_Est,"&lt;&gt;Excluido"),N$79+N$80+N$81)</f>
        <v>32622.2257971233</v>
      </c>
      <c r="O82" s="12" t="n">
        <f aca="false">IF(O$69=1,SUMIFS(dr_USD,dr_Mes,9,dr_Cod,"NOM_D",dr_Est,"&lt;&gt;Excluido"),O$79+O$80+O$81)</f>
        <v>32622.2257971233</v>
      </c>
      <c r="P82" s="12" t="n">
        <f aca="false">IF(P$69=1,SUMIFS(dr_USD,dr_Mes,10,dr_Cod,"NOM_D",dr_Est,"&lt;&gt;Excluido"),P$79+P$80+P$81)</f>
        <v>32622.2257971233</v>
      </c>
      <c r="Q82" s="12" t="n">
        <f aca="false">IF(Q$69=1,SUMIFS(dr_USD,dr_Mes,11,dr_Cod,"NOM_D",dr_Est,"&lt;&gt;Excluido"),Q$79+Q$80+Q$81)</f>
        <v>32622.2257971233</v>
      </c>
      <c r="R82" s="12" t="n">
        <f aca="false">IF(R$69=1,SUMIFS(dr_USD,dr_Mes,12,dr_Cod,"NOM_D",dr_Est,"&lt;&gt;Excluido"),R$79+R$80+R$81)</f>
        <v>32622.2257971233</v>
      </c>
      <c r="S82" s="12" t="n">
        <f aca="false">IF(S$69=1,SUMIFS(dr_USD,dr_Mes,13,dr_Cod,"NOM_D",dr_Est,"&lt;&gt;Excluido"),S$79+S$80+S$81)</f>
        <v>32622.2257971233</v>
      </c>
      <c r="T82" s="12" t="n">
        <f aca="false">IF(T$69=1,SUMIFS(dr_USD,dr_Mes,14,dr_Cod,"NOM_D",dr_Est,"&lt;&gt;Excluido"),T$79+T$80+T$81)</f>
        <v>32622.2257971233</v>
      </c>
      <c r="U82" s="12" t="n">
        <f aca="false">IF(U$69=1,SUMIFS(dr_USD,dr_Mes,15,dr_Cod,"NOM_D",dr_Est,"&lt;&gt;Excluido"),U$79+U$80+U$81)</f>
        <v>32622.2257971233</v>
      </c>
      <c r="V82" s="12" t="n">
        <f aca="false">IF(V$69=1,SUMIFS(dr_USD,dr_Mes,16,dr_Cod,"NOM_D",dr_Est,"&lt;&gt;Excluido"),V$79+V$80+V$81)</f>
        <v>32622.2257971233</v>
      </c>
      <c r="W82" s="12" t="n">
        <f aca="false">IF(W$69=1,SUMIFS(dr_USD,dr_Mes,17,dr_Cod,"NOM_D",dr_Est,"&lt;&gt;Excluido"),W$79+W$80+W$81)</f>
        <v>32622.2257971233</v>
      </c>
      <c r="X82" s="12" t="n">
        <f aca="false">IF(X$69=1,SUMIFS(dr_USD,dr_Mes,18,dr_Cod,"NOM_D",dr_Est,"&lt;&gt;Excluido"),X$79+X$80+X$81)</f>
        <v>32622.2257971233</v>
      </c>
      <c r="Y82" s="12" t="n">
        <f aca="false">IF(Y$69=1,SUMIFS(dr_USD,dr_Mes,19,dr_Cod,"NOM_D",dr_Est,"&lt;&gt;Excluido"),Y$79+Y$80+Y$81)</f>
        <v>32622.2257971233</v>
      </c>
      <c r="Z82" s="12" t="n">
        <f aca="false">IF(Z$69=1,SUMIFS(dr_USD,dr_Mes,20,dr_Cod,"NOM_D",dr_Est,"&lt;&gt;Excluido"),Z$79+Z$80+Z$81)</f>
        <v>32622.2257971233</v>
      </c>
      <c r="AA82" s="12" t="n">
        <f aca="false">IF(AA$69=1,SUMIFS(dr_USD,dr_Mes,21,dr_Cod,"NOM_D",dr_Est,"&lt;&gt;Excluido"),AA$79+AA$80+AA$81)</f>
        <v>32622.2257971233</v>
      </c>
      <c r="AB82" s="12" t="n">
        <f aca="false">IF(AB$69=1,SUMIFS(dr_USD,dr_Mes,22,dr_Cod,"NOM_D",dr_Est,"&lt;&gt;Excluido"),AB$79+AB$80+AB$81)</f>
        <v>32622.2257971233</v>
      </c>
      <c r="AC82" s="12" t="n">
        <f aca="false">IF(AC$69=1,SUMIFS(dr_USD,dr_Mes,23,dr_Cod,"NOM_D",dr_Est,"&lt;&gt;Excluido"),AC$79+AC$80+AC$81)</f>
        <v>32622.2257971233</v>
      </c>
      <c r="AD82" s="12" t="n">
        <f aca="false">IF(AD$69=1,SUMIFS(dr_USD,dr_Mes,24,dr_Cod,"NOM_D",dr_Est,"&lt;&gt;Excluido"),AD$79+AD$80+AD$81)</f>
        <v>32622.2257971233</v>
      </c>
      <c r="AE82" s="12" t="n">
        <f aca="false">IF(AE$69=1,SUMIFS(dr_USD,dr_Mes,25,dr_Cod,"NOM_D",dr_Est,"&lt;&gt;Excluido"),AE$79+AE$80+AE$81)</f>
        <v>35267.6436408904</v>
      </c>
      <c r="AF82" s="12" t="n">
        <f aca="false">IF(AF$69=1,SUMIFS(dr_USD,dr_Mes,26,dr_Cod,"NOM_D",dr_Est,"&lt;&gt;Excluido"),AF$79+AF$80+AF$81)</f>
        <v>35267.6436408904</v>
      </c>
      <c r="AG82" s="12" t="n">
        <f aca="false">IF(AG$69=1,SUMIFS(dr_USD,dr_Mes,27,dr_Cod,"NOM_D",dr_Est,"&lt;&gt;Excluido"),AG$79+AG$80+AG$81)</f>
        <v>35267.6436408904</v>
      </c>
      <c r="AH82" s="12" t="n">
        <f aca="false">IF(AH$69=1,SUMIFS(dr_USD,dr_Mes,28,dr_Cod,"NOM_D",dr_Est,"&lt;&gt;Excluido"),AH$79+AH$80+AH$81)</f>
        <v>35267.6436408904</v>
      </c>
      <c r="AI82" s="12" t="n">
        <f aca="false">IF(AI$69=1,SUMIFS(dr_USD,dr_Mes,29,dr_Cod,"NOM_D",dr_Est,"&lt;&gt;Excluido"),AI$79+AI$80+AI$81)</f>
        <v>35267.6436408904</v>
      </c>
      <c r="AJ82" s="12" t="n">
        <f aca="false">IF(AJ$69=1,SUMIFS(dr_USD,dr_Mes,30,dr_Cod,"NOM_D",dr_Est,"&lt;&gt;Excluido"),AJ$79+AJ$80+AJ$81)</f>
        <v>35267.6436408904</v>
      </c>
      <c r="AK82" s="12" t="n">
        <f aca="false">IF(AK$69=1,SUMIFS(dr_USD,dr_Mes,31,dr_Cod,"NOM_D",dr_Est,"&lt;&gt;Excluido"),AK$79+AK$80+AK$81)</f>
        <v>35267.6436408904</v>
      </c>
      <c r="AL82" s="12" t="n">
        <f aca="false">IF(AL$69=1,SUMIFS(dr_USD,dr_Mes,32,dr_Cod,"NOM_D",dr_Est,"&lt;&gt;Excluido"),AL$79+AL$80+AL$81)</f>
        <v>35267.6436408904</v>
      </c>
      <c r="AM82" s="12" t="n">
        <f aca="false">IF(AM$69=1,SUMIFS(dr_USD,dr_Mes,33,dr_Cod,"NOM_D",dr_Est,"&lt;&gt;Excluido"),AM$79+AM$80+AM$81)</f>
        <v>35267.6436408904</v>
      </c>
      <c r="AN82" s="12" t="n">
        <f aca="false">IF(AN$69=1,SUMIFS(dr_USD,dr_Mes,34,dr_Cod,"NOM_D",dr_Est,"&lt;&gt;Excluido"),AN$79+AN$80+AN$81)</f>
        <v>35267.6436408904</v>
      </c>
      <c r="AO82" s="12" t="n">
        <f aca="false">IF(AO$69=1,SUMIFS(dr_USD,dr_Mes,35,dr_Cod,"NOM_D",dr_Est,"&lt;&gt;Excluido"),AO$79+AO$80+AO$81)</f>
        <v>35267.6436408904</v>
      </c>
      <c r="AP82" s="12" t="n">
        <f aca="false">IF(AP$69=1,SUMIFS(dr_USD,dr_Mes,36,dr_Cod,"NOM_D",dr_Est,"&lt;&gt;Excluido"),AP$79+AP$80+AP$81)</f>
        <v>35267.6436408904</v>
      </c>
      <c r="AQ82" s="12" t="n">
        <f aca="false">IF(AQ$69=1,SUMIFS(dr_USD,dr_Mes,37,dr_Cod,"NOM_D",dr_Est,"&lt;&gt;Excluido"),AQ$79+AQ$80+AQ$81)</f>
        <v>37386.0127952877</v>
      </c>
      <c r="AR82" s="12" t="n">
        <f aca="false">IF(AR$69=1,SUMIFS(dr_USD,dr_Mes,38,dr_Cod,"NOM_D",dr_Est,"&lt;&gt;Excluido"),AR$79+AR$80+AR$81)</f>
        <v>37386.0127952877</v>
      </c>
      <c r="AS82" s="12" t="n">
        <f aca="false">IF(AS$69=1,SUMIFS(dr_USD,dr_Mes,39,dr_Cod,"NOM_D",dr_Est,"&lt;&gt;Excluido"),AS$79+AS$80+AS$81)</f>
        <v>37386.0127952877</v>
      </c>
      <c r="AT82" s="12" t="n">
        <f aca="false">IF(AT$69=1,SUMIFS(dr_USD,dr_Mes,40,dr_Cod,"NOM_D",dr_Est,"&lt;&gt;Excluido"),AT$79+AT$80+AT$81)</f>
        <v>37386.0127952877</v>
      </c>
      <c r="AU82" s="12" t="n">
        <f aca="false">IF(AU$69=1,SUMIFS(dr_USD,dr_Mes,41,dr_Cod,"NOM_D",dr_Est,"&lt;&gt;Excluido"),AU$79+AU$80+AU$81)</f>
        <v>37386.0127952877</v>
      </c>
      <c r="AV82" s="12" t="n">
        <f aca="false">IF(AV$69=1,SUMIFS(dr_USD,dr_Mes,42,dr_Cod,"NOM_D",dr_Est,"&lt;&gt;Excluido"),AV$79+AV$80+AV$81)</f>
        <v>37386.0127952877</v>
      </c>
      <c r="AW82" s="12" t="n">
        <f aca="false">IF(AW$69=1,SUMIFS(dr_USD,dr_Mes,43,dr_Cod,"NOM_D",dr_Est,"&lt;&gt;Excluido"),AW$79+AW$80+AW$81)</f>
        <v>37386.0127952877</v>
      </c>
      <c r="AX82" s="12" t="n">
        <f aca="false">IF(AX$69=1,SUMIFS(dr_USD,dr_Mes,44,dr_Cod,"NOM_D",dr_Est,"&lt;&gt;Excluido"),AX$79+AX$80+AX$81)</f>
        <v>37386.0127952877</v>
      </c>
      <c r="AY82" s="12" t="n">
        <f aca="false">IF(AY$69=1,SUMIFS(dr_USD,dr_Mes,45,dr_Cod,"NOM_D",dr_Est,"&lt;&gt;Excluido"),AY$79+AY$80+AY$81)</f>
        <v>37386.0127952877</v>
      </c>
      <c r="AZ82" s="12" t="n">
        <f aca="false">IF(AZ$69=1,SUMIFS(dr_USD,dr_Mes,46,dr_Cod,"NOM_D",dr_Est,"&lt;&gt;Excluido"),AZ$79+AZ$80+AZ$81)</f>
        <v>37386.0127952877</v>
      </c>
      <c r="BA82" s="12" t="n">
        <f aca="false">IF(BA$69=1,SUMIFS(dr_USD,dr_Mes,47,dr_Cod,"NOM_D",dr_Est,"&lt;&gt;Excluido"),BA$79+BA$80+BA$81)</f>
        <v>37386.0127952877</v>
      </c>
      <c r="BB82" s="12" t="n">
        <f aca="false">IF(BB$69=1,SUMIFS(dr_USD,dr_Mes,48,dr_Cod,"NOM_D",dr_Est,"&lt;&gt;Excluido"),BB$79+BB$80+BB$81)</f>
        <v>37386.0127952877</v>
      </c>
      <c r="BC82" s="12" t="n">
        <f aca="false">IF(BC$69=1,SUMIFS(dr_USD,dr_Mes,49,dr_Cod,"NOM_D",dr_Est,"&lt;&gt;Excluido"),BC$79+BC$80+BC$81)</f>
        <v>39969.0502595343</v>
      </c>
      <c r="BD82" s="12" t="n">
        <f aca="false">IF(BD$69=1,SUMIFS(dr_USD,dr_Mes,50,dr_Cod,"NOM_D",dr_Est,"&lt;&gt;Excluido"),BD$79+BD$80+BD$81)</f>
        <v>39969.0502595343</v>
      </c>
      <c r="BE82" s="12" t="n">
        <f aca="false">IF(BE$69=1,SUMIFS(dr_USD,dr_Mes,51,dr_Cod,"NOM_D",dr_Est,"&lt;&gt;Excluido"),BE$79+BE$80+BE$81)</f>
        <v>39969.0502595343</v>
      </c>
      <c r="BF82" s="12" t="n">
        <f aca="false">IF(BF$69=1,SUMIFS(dr_USD,dr_Mes,52,dr_Cod,"NOM_D",dr_Est,"&lt;&gt;Excluido"),BF$79+BF$80+BF$81)</f>
        <v>39969.0502595343</v>
      </c>
      <c r="BG82" s="12" t="n">
        <f aca="false">IF(BG$69=1,SUMIFS(dr_USD,dr_Mes,53,dr_Cod,"NOM_D",dr_Est,"&lt;&gt;Excluido"),BG$79+BG$80+BG$81)</f>
        <v>39969.0502595343</v>
      </c>
      <c r="BH82" s="12" t="n">
        <f aca="false">IF(BH$69=1,SUMIFS(dr_USD,dr_Mes,54,dr_Cod,"NOM_D",dr_Est,"&lt;&gt;Excluido"),BH$79+BH$80+BH$81)</f>
        <v>39969.0502595343</v>
      </c>
      <c r="BI82" s="12" t="n">
        <f aca="false">IF(BI$69=1,SUMIFS(dr_USD,dr_Mes,55,dr_Cod,"NOM_D",dr_Est,"&lt;&gt;Excluido"),BI$79+BI$80+BI$81)</f>
        <v>39969.0502595343</v>
      </c>
      <c r="BJ82" s="12" t="n">
        <f aca="false">IF(BJ$69=1,SUMIFS(dr_USD,dr_Mes,56,dr_Cod,"NOM_D",dr_Est,"&lt;&gt;Excluido"),BJ$79+BJ$80+BJ$81)</f>
        <v>39969.0502595343</v>
      </c>
      <c r="BK82" s="12" t="n">
        <f aca="false">IF(BK$69=1,SUMIFS(dr_USD,dr_Mes,57,dr_Cod,"NOM_D",dr_Est,"&lt;&gt;Excluido"),BK$79+BK$80+BK$81)</f>
        <v>39969.0502595343</v>
      </c>
      <c r="BL82" s="12" t="n">
        <f aca="false">IF(BL$69=1,SUMIFS(dr_USD,dr_Mes,58,dr_Cod,"NOM_D",dr_Est,"&lt;&gt;Excluido"),BL$79+BL$80+BL$81)</f>
        <v>39969.0502595343</v>
      </c>
      <c r="BM82" s="12" t="n">
        <f aca="false">IF(BM$69=1,SUMIFS(dr_USD,dr_Mes,59,dr_Cod,"NOM_D",dr_Est,"&lt;&gt;Excluido"),BM$79+BM$80+BM$81)</f>
        <v>39969.0502595343</v>
      </c>
      <c r="BN82" s="12" t="n">
        <f aca="false">IF(BN$69=1,SUMIFS(dr_USD,dr_Mes,60,dr_Cod,"NOM_D",dr_Est,"&lt;&gt;Excluido"),BN$79+BN$80+BN$81)</f>
        <v>39969.0502595343</v>
      </c>
      <c r="BO82" s="12" t="n">
        <f aca="false">IF(BO$69=1,SUMIFS(dr_USD,dr_Mes,61,dr_Cod,"NOM_D",dr_Est,"&lt;&gt;Excluido"),BO$79+BO$80+BO$81)</f>
        <v>39969.0502595343</v>
      </c>
      <c r="BP82" s="12" t="n">
        <f aca="false">IF(BP$69=1,SUMIFS(dr_USD,dr_Mes,62,dr_Cod,"NOM_D",dr_Est,"&lt;&gt;Excluido"),BP$79+BP$80+BP$81)</f>
        <v>39969.0502595343</v>
      </c>
      <c r="BQ82" s="12" t="n">
        <f aca="false">IF(BQ$69=1,SUMIFS(dr_USD,dr_Mes,63,dr_Cod,"NOM_D",dr_Est,"&lt;&gt;Excluido"),BQ$79+BQ$80+BQ$81)</f>
        <v>39969.0502595343</v>
      </c>
      <c r="BR82" s="12" t="n">
        <f aca="false">IF(BR$69=1,SUMIFS(dr_USD,dr_Mes,64,dr_Cod,"NOM_D",dr_Est,"&lt;&gt;Excluido"),BR$79+BR$80+BR$81)</f>
        <v>39969.0502595343</v>
      </c>
      <c r="BS82" s="12" t="n">
        <f aca="false">IF(BS$69=1,SUMIFS(dr_USD,dr_Mes,65,dr_Cod,"NOM_D",dr_Est,"&lt;&gt;Excluido"),BS$79+BS$80+BS$81)</f>
        <v>39969.0502595343</v>
      </c>
      <c r="BT82" s="12" t="n">
        <f aca="false">IF(BT$69=1,SUMIFS(dr_USD,dr_Mes,66,dr_Cod,"NOM_D",dr_Est,"&lt;&gt;Excluido"),BT$79+BT$80+BT$81)</f>
        <v>39969.0502595343</v>
      </c>
      <c r="BU82" s="12" t="n">
        <f aca="false">IF(BU$69=1,SUMIFS(dr_USD,dr_Mes,67,dr_Cod,"NOM_D",dr_Est,"&lt;&gt;Excluido"),BU$79+BU$80+BU$81)</f>
        <v>39969.0502595343</v>
      </c>
      <c r="BV82" s="12" t="n">
        <f aca="false">IF(BV$69=1,SUMIFS(dr_USD,dr_Mes,68,dr_Cod,"NOM_D",dr_Est,"&lt;&gt;Excluido"),BV$79+BV$80+BV$81)</f>
        <v>39969.0502595343</v>
      </c>
      <c r="BW82" s="12" t="n">
        <f aca="false">IF(BW$69=1,SUMIFS(dr_USD,dr_Mes,69,dr_Cod,"NOM_D",dr_Est,"&lt;&gt;Excluido"),BW$79+BW$80+BW$81)</f>
        <v>39969.0502595343</v>
      </c>
      <c r="BX82" s="12" t="n">
        <f aca="false">IF(BX$69=1,SUMIFS(dr_USD,dr_Mes,70,dr_Cod,"NOM_D",dr_Est,"&lt;&gt;Excluido"),BX$79+BX$80+BX$81)</f>
        <v>39969.0502595343</v>
      </c>
      <c r="BY82" s="12" t="n">
        <f aca="false">IF(BY$69=1,SUMIFS(dr_USD,dr_Mes,71,dr_Cod,"NOM_D",dr_Est,"&lt;&gt;Excluido"),BY$79+BY$80+BY$81)</f>
        <v>39969.0502595343</v>
      </c>
      <c r="BZ82" s="12" t="n">
        <f aca="false">IF(BZ$69=1,SUMIFS(dr_USD,dr_Mes,72,dr_Cod,"NOM_D",dr_Est,"&lt;&gt;Excluido"),BZ$79+BZ$80+BZ$81)</f>
        <v>39969.0502595343</v>
      </c>
      <c r="CA82" s="12" t="n">
        <f aca="false">IF(CA$69=1,SUMIFS(dr_USD,dr_Mes,73,dr_Cod,"NOM_D",dr_Est,"&lt;&gt;Excluido"),CA$79+CA$80+CA$81)</f>
        <v>39969.0502595343</v>
      </c>
      <c r="CB82" s="12" t="n">
        <f aca="false">IF(CB$69=1,SUMIFS(dr_USD,dr_Mes,74,dr_Cod,"NOM_D",dr_Est,"&lt;&gt;Excluido"),CB$79+CB$80+CB$81)</f>
        <v>39969.0502595343</v>
      </c>
      <c r="CC82" s="12" t="n">
        <f aca="false">IF(CC$69=1,SUMIFS(dr_USD,dr_Mes,75,dr_Cod,"NOM_D",dr_Est,"&lt;&gt;Excluido"),CC$79+CC$80+CC$81)</f>
        <v>39969.0502595343</v>
      </c>
      <c r="CD82" s="12" t="n">
        <f aca="false">IF(CD$69=1,SUMIFS(dr_USD,dr_Mes,76,dr_Cod,"NOM_D",dr_Est,"&lt;&gt;Excluido"),CD$79+CD$80+CD$81)</f>
        <v>39969.0502595343</v>
      </c>
      <c r="CE82" s="12" t="n">
        <f aca="false">IF(CE$69=1,SUMIFS(dr_USD,dr_Mes,77,dr_Cod,"NOM_D",dr_Est,"&lt;&gt;Excluido"),CE$79+CE$80+CE$81)</f>
        <v>39969.0502595343</v>
      </c>
      <c r="CF82" s="12" t="n">
        <f aca="false">IF(CF$69=1,SUMIFS(dr_USD,dr_Mes,78,dr_Cod,"NOM_D",dr_Est,"&lt;&gt;Excluido"),CF$79+CF$80+CF$81)</f>
        <v>39969.0502595343</v>
      </c>
      <c r="CG82" s="12" t="n">
        <f aca="false">IF(CG$69=1,SUMIFS(dr_USD,dr_Mes,79,dr_Cod,"NOM_D",dr_Est,"&lt;&gt;Excluido"),CG$79+CG$80+CG$81)</f>
        <v>39969.0502595343</v>
      </c>
      <c r="CH82" s="12" t="n">
        <f aca="false">IF(CH$69=1,SUMIFS(dr_USD,dr_Mes,80,dr_Cod,"NOM_D",dr_Est,"&lt;&gt;Excluido"),CH$79+CH$80+CH$81)</f>
        <v>39969.0502595343</v>
      </c>
      <c r="CI82" s="12" t="n">
        <f aca="false">IF(CI$69=1,SUMIFS(dr_USD,dr_Mes,81,dr_Cod,"NOM_D",dr_Est,"&lt;&gt;Excluido"),CI$79+CI$80+CI$81)</f>
        <v>39969.0502595343</v>
      </c>
      <c r="CJ82" s="12" t="n">
        <f aca="false">IF(CJ$69=1,SUMIFS(dr_USD,dr_Mes,82,dr_Cod,"NOM_D",dr_Est,"&lt;&gt;Excluido"),CJ$79+CJ$80+CJ$81)</f>
        <v>39969.0502595343</v>
      </c>
      <c r="CK82" s="12" t="n">
        <f aca="false">IF(CK$69=1,SUMIFS(dr_USD,dr_Mes,83,dr_Cod,"NOM_D",dr_Est,"&lt;&gt;Excluido"),CK$79+CK$80+CK$81)</f>
        <v>39969.0502595343</v>
      </c>
      <c r="CL82" s="12" t="n">
        <f aca="false">IF(CL$69=1,SUMIFS(dr_USD,dr_Mes,84,dr_Cod,"NOM_D",dr_Est,"&lt;&gt;Excluido"),CL$79+CL$80+CL$81)</f>
        <v>39969.0502595343</v>
      </c>
      <c r="CM82" s="12" t="n">
        <f aca="false">IF(CM$69=1,SUMIFS(dr_USD,dr_Mes,85,dr_Cod,"NOM_D",dr_Est,"&lt;&gt;Excluido"),CM$79+CM$80+CM$81)</f>
        <v>39969.0502595343</v>
      </c>
      <c r="CN82" s="12" t="n">
        <f aca="false">IF(CN$69=1,SUMIFS(dr_USD,dr_Mes,86,dr_Cod,"NOM_D",dr_Est,"&lt;&gt;Excluido"),CN$79+CN$80+CN$81)</f>
        <v>39969.0502595343</v>
      </c>
      <c r="CO82" s="12" t="n">
        <f aca="false">IF(CO$69=1,SUMIFS(dr_USD,dr_Mes,87,dr_Cod,"NOM_D",dr_Est,"&lt;&gt;Excluido"),CO$79+CO$80+CO$81)</f>
        <v>39969.0502595343</v>
      </c>
      <c r="CP82" s="12" t="n">
        <f aca="false">IF(CP$69=1,SUMIFS(dr_USD,dr_Mes,88,dr_Cod,"NOM_D",dr_Est,"&lt;&gt;Excluido"),CP$79+CP$80+CP$81)</f>
        <v>39969.0502595343</v>
      </c>
      <c r="CQ82" s="12" t="n">
        <f aca="false">IF(CQ$69=1,SUMIFS(dr_USD,dr_Mes,89,dr_Cod,"NOM_D",dr_Est,"&lt;&gt;Excluido"),CQ$79+CQ$80+CQ$81)</f>
        <v>39969.0502595343</v>
      </c>
      <c r="CR82" s="12" t="n">
        <f aca="false">IF(CR$69=1,SUMIFS(dr_USD,dr_Mes,90,dr_Cod,"NOM_D",dr_Est,"&lt;&gt;Excluido"),CR$79+CR$80+CR$81)</f>
        <v>39969.0502595343</v>
      </c>
      <c r="CS82" s="12" t="n">
        <f aca="false">IF(CS$69=1,SUMIFS(dr_USD,dr_Mes,91,dr_Cod,"NOM_D",dr_Est,"&lt;&gt;Excluido"),CS$79+CS$80+CS$81)</f>
        <v>39969.0502595343</v>
      </c>
      <c r="CT82" s="12" t="n">
        <f aca="false">IF(CT$69=1,SUMIFS(dr_USD,dr_Mes,92,dr_Cod,"NOM_D",dr_Est,"&lt;&gt;Excluido"),CT$79+CT$80+CT$81)</f>
        <v>39969.0502595343</v>
      </c>
      <c r="CU82" s="12" t="n">
        <f aca="false">IF(CU$69=1,SUMIFS(dr_USD,dr_Mes,93,dr_Cod,"NOM_D",dr_Est,"&lt;&gt;Excluido"),CU$79+CU$80+CU$81)</f>
        <v>39969.0502595343</v>
      </c>
      <c r="CV82" s="12" t="n">
        <f aca="false">IF(CV$69=1,SUMIFS(dr_USD,dr_Mes,94,dr_Cod,"NOM_D",dr_Est,"&lt;&gt;Excluido"),CV$79+CV$80+CV$81)</f>
        <v>39969.0502595343</v>
      </c>
      <c r="CW82" s="12" t="n">
        <f aca="false">IF(CW$69=1,SUMIFS(dr_USD,dr_Mes,95,dr_Cod,"NOM_D",dr_Est,"&lt;&gt;Excluido"),CW$79+CW$80+CW$81)</f>
        <v>39969.0502595343</v>
      </c>
      <c r="CX82" s="12" t="n">
        <f aca="false">IF(CX$69=1,SUMIFS(dr_USD,dr_Mes,96,dr_Cod,"NOM_D",dr_Est,"&lt;&gt;Excluido"),CX$79+CX$80+CX$81)</f>
        <v>39969.0502595343</v>
      </c>
      <c r="CY82" s="12" t="n">
        <f aca="false">IF(CY$69=1,SUMIFS(dr_USD,dr_Mes,97,dr_Cod,"NOM_D",dr_Est,"&lt;&gt;Excluido"),CY$79+CY$80+CY$81)</f>
        <v>39969.0502595343</v>
      </c>
      <c r="CZ82" s="12" t="n">
        <f aca="false">IF(CZ$69=1,SUMIFS(dr_USD,dr_Mes,98,dr_Cod,"NOM_D",dr_Est,"&lt;&gt;Excluido"),CZ$79+CZ$80+CZ$81)</f>
        <v>39969.0502595343</v>
      </c>
      <c r="DA82" s="12" t="n">
        <f aca="false">IF(DA$69=1,SUMIFS(dr_USD,dr_Mes,99,dr_Cod,"NOM_D",dr_Est,"&lt;&gt;Excluido"),DA$79+DA$80+DA$81)</f>
        <v>39969.0502595343</v>
      </c>
      <c r="DB82" s="12" t="n">
        <f aca="false">IF(DB$69=1,SUMIFS(dr_USD,dr_Mes,100,dr_Cod,"NOM_D",dr_Est,"&lt;&gt;Excluido"),DB$79+DB$80+DB$81)</f>
        <v>39969.0502595343</v>
      </c>
      <c r="DC82" s="12" t="n">
        <f aca="false">IF(DC$69=1,SUMIFS(dr_USD,dr_Mes,101,dr_Cod,"NOM_D",dr_Est,"&lt;&gt;Excluido"),DC$79+DC$80+DC$81)</f>
        <v>39969.0502595343</v>
      </c>
      <c r="DD82" s="12" t="n">
        <f aca="false">IF(DD$69=1,SUMIFS(dr_USD,dr_Mes,102,dr_Cod,"NOM_D",dr_Est,"&lt;&gt;Excluido"),DD$79+DD$80+DD$81)</f>
        <v>39969.0502595343</v>
      </c>
      <c r="DE82" s="12" t="n">
        <f aca="false">IF(DE$69=1,SUMIFS(dr_USD,dr_Mes,103,dr_Cod,"NOM_D",dr_Est,"&lt;&gt;Excluido"),DE$79+DE$80+DE$81)</f>
        <v>39969.0502595343</v>
      </c>
      <c r="DF82" s="12" t="n">
        <f aca="false">IF(DF$69=1,SUMIFS(dr_USD,dr_Mes,104,dr_Cod,"NOM_D",dr_Est,"&lt;&gt;Excluido"),DF$79+DF$80+DF$81)</f>
        <v>39969.0502595343</v>
      </c>
      <c r="DG82" s="12" t="n">
        <f aca="false">IF(DG$69=1,SUMIFS(dr_USD,dr_Mes,105,dr_Cod,"NOM_D",dr_Est,"&lt;&gt;Excluido"),DG$79+DG$80+DG$81)</f>
        <v>39969.0502595343</v>
      </c>
      <c r="DH82" s="12" t="n">
        <f aca="false">IF(DH$69=1,SUMIFS(dr_USD,dr_Mes,106,dr_Cod,"NOM_D",dr_Est,"&lt;&gt;Excluido"),DH$79+DH$80+DH$81)</f>
        <v>39969.0502595343</v>
      </c>
      <c r="DI82" s="12" t="n">
        <f aca="false">IF(DI$69=1,SUMIFS(dr_USD,dr_Mes,107,dr_Cod,"NOM_D",dr_Est,"&lt;&gt;Excluido"),DI$79+DI$80+DI$81)</f>
        <v>39969.0502595343</v>
      </c>
      <c r="DJ82" s="12" t="n">
        <f aca="false">IF(DJ$69=1,SUMIFS(dr_USD,dr_Mes,108,dr_Cod,"NOM_D",dr_Est,"&lt;&gt;Excluido"),DJ$79+DJ$80+DJ$81)</f>
        <v>39969.0502595343</v>
      </c>
      <c r="DK82" s="12" t="n">
        <f aca="false">IF(DK$69=1,SUMIFS(dr_USD,dr_Mes,109,dr_Cod,"NOM_D",dr_Est,"&lt;&gt;Excluido"),DK$79+DK$80+DK$81)</f>
        <v>39969.0502595343</v>
      </c>
      <c r="DL82" s="12" t="n">
        <f aca="false">IF(DL$69=1,SUMIFS(dr_USD,dr_Mes,110,dr_Cod,"NOM_D",dr_Est,"&lt;&gt;Excluido"),DL$79+DL$80+DL$81)</f>
        <v>39969.0502595343</v>
      </c>
      <c r="DM82" s="12" t="n">
        <f aca="false">IF(DM$69=1,SUMIFS(dr_USD,dr_Mes,111,dr_Cod,"NOM_D",dr_Est,"&lt;&gt;Excluido"),DM$79+DM$80+DM$81)</f>
        <v>39969.0502595343</v>
      </c>
      <c r="DN82" s="12" t="n">
        <f aca="false">IF(DN$69=1,SUMIFS(dr_USD,dr_Mes,112,dr_Cod,"NOM_D",dr_Est,"&lt;&gt;Excluido"),DN$79+DN$80+DN$81)</f>
        <v>39969.0502595343</v>
      </c>
      <c r="DO82" s="12" t="n">
        <f aca="false">IF(DO$69=1,SUMIFS(dr_USD,dr_Mes,113,dr_Cod,"NOM_D",dr_Est,"&lt;&gt;Excluido"),DO$79+DO$80+DO$81)</f>
        <v>39969.0502595343</v>
      </c>
      <c r="DP82" s="12" t="n">
        <f aca="false">IF(DP$69=1,SUMIFS(dr_USD,dr_Mes,114,dr_Cod,"NOM_D",dr_Est,"&lt;&gt;Excluido"),DP$79+DP$80+DP$81)</f>
        <v>39969.0502595343</v>
      </c>
      <c r="DQ82" s="12" t="n">
        <f aca="false">IF(DQ$69=1,SUMIFS(dr_USD,dr_Mes,115,dr_Cod,"NOM_D",dr_Est,"&lt;&gt;Excluido"),DQ$79+DQ$80+DQ$81)</f>
        <v>39969.0502595343</v>
      </c>
      <c r="DR82" s="12" t="n">
        <f aca="false">IF(DR$69=1,SUMIFS(dr_USD,dr_Mes,116,dr_Cod,"NOM_D",dr_Est,"&lt;&gt;Excluido"),DR$79+DR$80+DR$81)</f>
        <v>39969.0502595343</v>
      </c>
      <c r="DS82" s="12" t="n">
        <f aca="false">IF(DS$69=1,SUMIFS(dr_USD,dr_Mes,117,dr_Cod,"NOM_D",dr_Est,"&lt;&gt;Excluido"),DS$79+DS$80+DS$81)</f>
        <v>39969.0502595343</v>
      </c>
      <c r="DT82" s="12" t="n">
        <f aca="false">IF(DT$69=1,SUMIFS(dr_USD,dr_Mes,118,dr_Cod,"NOM_D",dr_Est,"&lt;&gt;Excluido"),DT$79+DT$80+DT$81)</f>
        <v>39969.0502595343</v>
      </c>
      <c r="DU82" s="12" t="n">
        <f aca="false">IF(DU$69=1,SUMIFS(dr_USD,dr_Mes,119,dr_Cod,"NOM_D",dr_Est,"&lt;&gt;Excluido"),DU$79+DU$80+DU$81)</f>
        <v>39969.0502595343</v>
      </c>
      <c r="DV82" s="12" t="n">
        <f aca="false">IF(DV$69=1,SUMIFS(dr_USD,dr_Mes,120,dr_Cod,"NOM_D",dr_Est,"&lt;&gt;Excluido"),DV$79+DV$80+DV$81)</f>
        <v>39969.0502595343</v>
      </c>
      <c r="DW82" s="12" t="n">
        <f aca="false">IF(DW$69=1,SUMIFS(dr_USD,dr_Mes,121,dr_Cod,"NOM_D",dr_Est,"&lt;&gt;Excluido"),DW$79+DW$80+DW$81)</f>
        <v>0</v>
      </c>
      <c r="DX82" s="12" t="n">
        <f aca="false">IF(DX$69=1,SUMIFS(dr_USD,dr_Mes,122,dr_Cod,"NOM_D",dr_Est,"&lt;&gt;Excluido"),DX$79+DX$80+DX$81)</f>
        <v>0</v>
      </c>
      <c r="DY82" s="12" t="n">
        <f aca="false">IF(DY$69=1,SUMIFS(dr_USD,dr_Mes,123,dr_Cod,"NOM_D",dr_Est,"&lt;&gt;Excluido"),DY$79+DY$80+DY$81)</f>
        <v>0</v>
      </c>
      <c r="DZ82" s="12" t="n">
        <f aca="false">IF(DZ$69=1,SUMIFS(dr_USD,dr_Mes,124,dr_Cod,"NOM_D",dr_Est,"&lt;&gt;Excluido"),DZ$79+DZ$80+DZ$81)</f>
        <v>0</v>
      </c>
      <c r="EA82" s="12" t="n">
        <f aca="false">IF(EA$69=1,SUMIFS(dr_USD,dr_Mes,125,dr_Cod,"NOM_D",dr_Est,"&lt;&gt;Excluido"),EA$79+EA$80+EA$81)</f>
        <v>0</v>
      </c>
      <c r="EB82" s="12" t="n">
        <f aca="false">IF(EB$69=1,SUMIFS(dr_USD,dr_Mes,126,dr_Cod,"NOM_D",dr_Est,"&lt;&gt;Excluido"),EB$79+EB$80+EB$81)</f>
        <v>0</v>
      </c>
      <c r="EC82" s="12" t="n">
        <f aca="false">IF(EC$69=1,SUMIFS(dr_USD,dr_Mes,127,dr_Cod,"NOM_D",dr_Est,"&lt;&gt;Excluido"),EC$79+EC$80+EC$81)</f>
        <v>0</v>
      </c>
      <c r="ED82" s="12" t="n">
        <f aca="false">IF(ED$69=1,SUMIFS(dr_USD,dr_Mes,128,dr_Cod,"NOM_D",dr_Est,"&lt;&gt;Excluido"),ED$79+ED$80+ED$81)</f>
        <v>0</v>
      </c>
      <c r="EE82" s="12" t="n">
        <f aca="false">IF(EE$69=1,SUMIFS(dr_USD,dr_Mes,129,dr_Cod,"NOM_D",dr_Est,"&lt;&gt;Excluido"),EE$79+EE$80+EE$81)</f>
        <v>0</v>
      </c>
      <c r="EF82" s="12" t="n">
        <f aca="false">IF(EF$69=1,SUMIFS(dr_USD,dr_Mes,130,dr_Cod,"NOM_D",dr_Est,"&lt;&gt;Excluido"),EF$79+EF$80+EF$81)</f>
        <v>0</v>
      </c>
      <c r="EG82" s="12" t="n">
        <f aca="false">IF(EG$69=1,SUMIFS(dr_USD,dr_Mes,131,dr_Cod,"NOM_D",dr_Est,"&lt;&gt;Excluido"),EG$79+EG$80+EG$81)</f>
        <v>0</v>
      </c>
      <c r="EH82" s="12" t="n">
        <f aca="false">IF(EH$69=1,SUMIFS(dr_USD,dr_Mes,132,dr_Cod,"NOM_D",dr_Est,"&lt;&gt;Excluido"),EH$79+EH$80+EH$81)</f>
        <v>0</v>
      </c>
      <c r="EI82" s="12" t="n">
        <f aca="false">IF(EI$69=1,SUMIFS(dr_USD,dr_Mes,133,dr_Cod,"NOM_D",dr_Est,"&lt;&gt;Excluido"),EI$79+EI$80+EI$81)</f>
        <v>0</v>
      </c>
      <c r="EJ82" s="12" t="n">
        <f aca="false">IF(EJ$69=1,SUMIFS(dr_USD,dr_Mes,134,dr_Cod,"NOM_D",dr_Est,"&lt;&gt;Excluido"),EJ$79+EJ$80+EJ$81)</f>
        <v>0</v>
      </c>
      <c r="EK82" s="12" t="n">
        <f aca="false">IF(EK$69=1,SUMIFS(dr_USD,dr_Mes,135,dr_Cod,"NOM_D",dr_Est,"&lt;&gt;Excluido"),EK$79+EK$80+EK$81)</f>
        <v>0</v>
      </c>
      <c r="EL82" s="12" t="n">
        <f aca="false">IF(EL$69=1,SUMIFS(dr_USD,dr_Mes,136,dr_Cod,"NOM_D",dr_Est,"&lt;&gt;Excluido"),EL$79+EL$80+EL$81)</f>
        <v>0</v>
      </c>
      <c r="EM82" s="12" t="n">
        <f aca="false">IF(EM$69=1,SUMIFS(dr_USD,dr_Mes,137,dr_Cod,"NOM_D",dr_Est,"&lt;&gt;Excluido"),EM$79+EM$80+EM$81)</f>
        <v>0</v>
      </c>
      <c r="EN82" s="12" t="n">
        <f aca="false">IF(EN$69=1,SUMIFS(dr_USD,dr_Mes,138,dr_Cod,"NOM_D",dr_Est,"&lt;&gt;Excluido"),EN$79+EN$80+EN$81)</f>
        <v>0</v>
      </c>
      <c r="EO82" s="12" t="n">
        <f aca="false">IF(EO$69=1,SUMIFS(dr_USD,dr_Mes,139,dr_Cod,"NOM_D",dr_Est,"&lt;&gt;Excluido"),EO$79+EO$80+EO$81)</f>
        <v>0</v>
      </c>
      <c r="EP82" s="12" t="n">
        <f aca="false">IF(EP$69=1,SUMIFS(dr_USD,dr_Mes,140,dr_Cod,"NOM_D",dr_Est,"&lt;&gt;Excluido"),EP$79+EP$80+EP$81)</f>
        <v>0</v>
      </c>
      <c r="EQ82" s="12" t="n">
        <f aca="false">IF(EQ$69=1,SUMIFS(dr_USD,dr_Mes,141,dr_Cod,"NOM_D",dr_Est,"&lt;&gt;Excluido"),EQ$79+EQ$80+EQ$81)</f>
        <v>0</v>
      </c>
      <c r="ER82" s="12" t="n">
        <f aca="false">IF(ER$69=1,SUMIFS(dr_USD,dr_Mes,142,dr_Cod,"NOM_D",dr_Est,"&lt;&gt;Excluido"),ER$79+ER$80+ER$81)</f>
        <v>0</v>
      </c>
      <c r="ES82" s="12" t="n">
        <f aca="false">IF(ES$69=1,SUMIFS(dr_USD,dr_Mes,143,dr_Cod,"NOM_D",dr_Est,"&lt;&gt;Excluido"),ES$79+ES$80+ES$81)</f>
        <v>0</v>
      </c>
      <c r="ET82" s="12" t="n">
        <f aca="false">IF(ET$69=1,SUMIFS(dr_USD,dr_Mes,144,dr_Cod,"NOM_D",dr_Est,"&lt;&gt;Excluido"),ET$79+ET$80+ET$81)</f>
        <v>0</v>
      </c>
      <c r="EU82" s="12" t="n">
        <f aca="false">IF(EU$69=1,SUMIFS(dr_USD,dr_Mes,145,dr_Cod,"NOM_D",dr_Est,"&lt;&gt;Excluido"),EU$79+EU$80+EU$81)</f>
        <v>0</v>
      </c>
      <c r="EV82" s="12" t="n">
        <f aca="false">IF(EV$69=1,SUMIFS(dr_USD,dr_Mes,146,dr_Cod,"NOM_D",dr_Est,"&lt;&gt;Excluido"),EV$79+EV$80+EV$81)</f>
        <v>0</v>
      </c>
      <c r="EW82" s="12" t="n">
        <f aca="false">IF(EW$69=1,SUMIFS(dr_USD,dr_Mes,147,dr_Cod,"NOM_D",dr_Est,"&lt;&gt;Excluido"),EW$79+EW$80+EW$81)</f>
        <v>0</v>
      </c>
      <c r="EX82" s="12" t="n">
        <f aca="false">IF(EX$69=1,SUMIFS(dr_USD,dr_Mes,148,dr_Cod,"NOM_D",dr_Est,"&lt;&gt;Excluido"),EX$79+EX$80+EX$81)</f>
        <v>0</v>
      </c>
      <c r="EY82" s="12" t="n">
        <f aca="false">IF(EY$69=1,SUMIFS(dr_USD,dr_Mes,149,dr_Cod,"NOM_D",dr_Est,"&lt;&gt;Excluido"),EY$79+EY$80+EY$81)</f>
        <v>0</v>
      </c>
      <c r="EZ82" s="12" t="n">
        <f aca="false">IF(EZ$69=1,SUMIFS(dr_USD,dr_Mes,150,dr_Cod,"NOM_D",dr_Est,"&lt;&gt;Excluido"),EZ$79+EZ$80+EZ$81)</f>
        <v>0</v>
      </c>
      <c r="FA82" s="12" t="n">
        <f aca="false">IF(FA$69=1,SUMIFS(dr_USD,dr_Mes,151,dr_Cod,"NOM_D",dr_Est,"&lt;&gt;Excluido"),FA$79+FA$80+FA$81)</f>
        <v>0</v>
      </c>
      <c r="FB82" s="12" t="n">
        <f aca="false">IF(FB$69=1,SUMIFS(dr_USD,dr_Mes,152,dr_Cod,"NOM_D",dr_Est,"&lt;&gt;Excluido"),FB$79+FB$80+FB$81)</f>
        <v>0</v>
      </c>
      <c r="FC82" s="12" t="n">
        <f aca="false">IF(FC$69=1,SUMIFS(dr_USD,dr_Mes,153,dr_Cod,"NOM_D",dr_Est,"&lt;&gt;Excluido"),FC$79+FC$80+FC$81)</f>
        <v>0</v>
      </c>
      <c r="FD82" s="12" t="n">
        <f aca="false">IF(FD$69=1,SUMIFS(dr_USD,dr_Mes,154,dr_Cod,"NOM_D",dr_Est,"&lt;&gt;Excluido"),FD$79+FD$80+FD$81)</f>
        <v>0</v>
      </c>
      <c r="FE82" s="12" t="n">
        <f aca="false">IF(FE$69=1,SUMIFS(dr_USD,dr_Mes,155,dr_Cod,"NOM_D",dr_Est,"&lt;&gt;Excluido"),FE$79+FE$80+FE$81)</f>
        <v>0</v>
      </c>
      <c r="FF82" s="12" t="n">
        <f aca="false">IF(FF$69=1,SUMIFS(dr_USD,dr_Mes,156,dr_Cod,"NOM_D",dr_Est,"&lt;&gt;Excluido"),FF$79+FF$80+FF$81)</f>
        <v>0</v>
      </c>
    </row>
    <row r="83" customFormat="false" ht="15" hidden="false" customHeight="false" outlineLevel="0" collapsed="false">
      <c r="A83" s="4"/>
      <c r="B83" s="3" t="s">
        <v>1031</v>
      </c>
      <c r="C83" s="4"/>
      <c r="D83" s="4"/>
      <c r="E83" s="4"/>
    </row>
    <row r="84" customFormat="false" ht="15" hidden="false" customHeight="false" outlineLevel="0" collapsed="false">
      <c r="A84" s="2" t="s">
        <v>1032</v>
      </c>
      <c r="B84" s="8" t="s">
        <v>1022</v>
      </c>
      <c r="C84" s="8" t="s">
        <v>1023</v>
      </c>
      <c r="F84" s="19" t="n">
        <f aca="false">IF(F$68=1,INDEX($G$36:$P$36,1,F$67),IF(Calendario!F$14=1,INDEX($G$36:$P$36,1,1)*p_EspInd,0))</f>
        <v>0</v>
      </c>
      <c r="G84" s="19" t="n">
        <f aca="false">IF(G$68=1,INDEX($G$36:$P$36,1,G$67),IF(Calendario!G$14=1,INDEX($G$36:$P$36,1,1)*p_EspInd,0))</f>
        <v>17</v>
      </c>
      <c r="H84" s="19" t="n">
        <f aca="false">IF(H$68=1,INDEX($G$36:$P$36,1,H$67),IF(Calendario!H$14=1,INDEX($G$36:$P$36,1,1)*p_EspInd,0))</f>
        <v>17</v>
      </c>
      <c r="I84" s="19" t="n">
        <f aca="false">IF(I$68=1,INDEX($G$36:$P$36,1,I$67),IF(Calendario!I$14=1,INDEX($G$36:$P$36,1,1)*p_EspInd,0))</f>
        <v>17</v>
      </c>
      <c r="J84" s="19" t="n">
        <f aca="false">IF(J$68=1,INDEX($G$36:$P$36,1,J$67),IF(Calendario!J$14=1,INDEX($G$36:$P$36,1,1)*p_EspInd,0))</f>
        <v>17</v>
      </c>
      <c r="K84" s="19" t="n">
        <f aca="false">IF(K$68=1,INDEX($G$36:$P$36,1,K$67),IF(Calendario!K$14=1,INDEX($G$36:$P$36,1,1)*p_EspInd,0))</f>
        <v>17</v>
      </c>
      <c r="L84" s="19" t="n">
        <f aca="false">IF(L$68=1,INDEX($G$36:$P$36,1,L$67),IF(Calendario!L$14=1,INDEX($G$36:$P$36,1,1)*p_EspInd,0))</f>
        <v>17</v>
      </c>
      <c r="M84" s="19" t="n">
        <f aca="false">IF(M$68=1,INDEX($G$36:$P$36,1,M$67),IF(Calendario!M$14=1,INDEX($G$36:$P$36,1,1)*p_EspInd,0))</f>
        <v>17</v>
      </c>
      <c r="N84" s="19" t="n">
        <f aca="false">IF(N$68=1,INDEX($G$36:$P$36,1,N$67),IF(Calendario!N$14=1,INDEX($G$36:$P$36,1,1)*p_EspInd,0))</f>
        <v>17</v>
      </c>
      <c r="O84" s="19" t="n">
        <f aca="false">IF(O$68=1,INDEX($G$36:$P$36,1,O$67),IF(Calendario!O$14=1,INDEX($G$36:$P$36,1,1)*p_EspInd,0))</f>
        <v>17</v>
      </c>
      <c r="P84" s="19" t="n">
        <f aca="false">IF(P$68=1,INDEX($G$36:$P$36,1,P$67),IF(Calendario!P$14=1,INDEX($G$36:$P$36,1,1)*p_EspInd,0))</f>
        <v>17</v>
      </c>
      <c r="Q84" s="19" t="n">
        <f aca="false">IF(Q$68=1,INDEX($G$36:$P$36,1,Q$67),IF(Calendario!Q$14=1,INDEX($G$36:$P$36,1,1)*p_EspInd,0))</f>
        <v>17</v>
      </c>
      <c r="R84" s="19" t="n">
        <f aca="false">IF(R$68=1,INDEX($G$36:$P$36,1,R$67),IF(Calendario!R$14=1,INDEX($G$36:$P$36,1,1)*p_EspInd,0))</f>
        <v>17</v>
      </c>
      <c r="S84" s="19" t="n">
        <f aca="false">IF(S$68=1,INDEX($G$36:$P$36,1,S$67),IF(Calendario!S$14=1,INDEX($G$36:$P$36,1,1)*p_EspInd,0))</f>
        <v>17</v>
      </c>
      <c r="T84" s="19" t="n">
        <f aca="false">IF(T$68=1,INDEX($G$36:$P$36,1,T$67),IF(Calendario!T$14=1,INDEX($G$36:$P$36,1,1)*p_EspInd,0))</f>
        <v>17</v>
      </c>
      <c r="U84" s="19" t="n">
        <f aca="false">IF(U$68=1,INDEX($G$36:$P$36,1,U$67),IF(Calendario!U$14=1,INDEX($G$36:$P$36,1,1)*p_EspInd,0))</f>
        <v>17</v>
      </c>
      <c r="V84" s="19" t="n">
        <f aca="false">IF(V$68=1,INDEX($G$36:$P$36,1,V$67),IF(Calendario!V$14=1,INDEX($G$36:$P$36,1,1)*p_EspInd,0))</f>
        <v>17</v>
      </c>
      <c r="W84" s="19" t="n">
        <f aca="false">IF(W$68=1,INDEX($G$36:$P$36,1,W$67),IF(Calendario!W$14=1,INDEX($G$36:$P$36,1,1)*p_EspInd,0))</f>
        <v>17</v>
      </c>
      <c r="X84" s="19" t="n">
        <f aca="false">IF(X$68=1,INDEX($G$36:$P$36,1,X$67),IF(Calendario!X$14=1,INDEX($G$36:$P$36,1,1)*p_EspInd,0))</f>
        <v>17</v>
      </c>
      <c r="Y84" s="19" t="n">
        <f aca="false">IF(Y$68=1,INDEX($G$36:$P$36,1,Y$67),IF(Calendario!Y$14=1,INDEX($G$36:$P$36,1,1)*p_EspInd,0))</f>
        <v>17</v>
      </c>
      <c r="Z84" s="19" t="n">
        <f aca="false">IF(Z$68=1,INDEX($G$36:$P$36,1,Z$67),IF(Calendario!Z$14=1,INDEX($G$36:$P$36,1,1)*p_EspInd,0))</f>
        <v>17</v>
      </c>
      <c r="AA84" s="19" t="n">
        <f aca="false">IF(AA$68=1,INDEX($G$36:$P$36,1,AA$67),IF(Calendario!AA$14=1,INDEX($G$36:$P$36,1,1)*p_EspInd,0))</f>
        <v>17</v>
      </c>
      <c r="AB84" s="19" t="n">
        <f aca="false">IF(AB$68=1,INDEX($G$36:$P$36,1,AB$67),IF(Calendario!AB$14=1,INDEX($G$36:$P$36,1,1)*p_EspInd,0))</f>
        <v>17</v>
      </c>
      <c r="AC84" s="19" t="n">
        <f aca="false">IF(AC$68=1,INDEX($G$36:$P$36,1,AC$67),IF(Calendario!AC$14=1,INDEX($G$36:$P$36,1,1)*p_EspInd,0))</f>
        <v>17</v>
      </c>
      <c r="AD84" s="19" t="n">
        <f aca="false">IF(AD$68=1,INDEX($G$36:$P$36,1,AD$67),IF(Calendario!AD$14=1,INDEX($G$36:$P$36,1,1)*p_EspInd,0))</f>
        <v>17</v>
      </c>
      <c r="AE84" s="19" t="n">
        <f aca="false">IF(AE$68=1,INDEX($G$36:$P$36,1,AE$67),IF(Calendario!AE$14=1,INDEX($G$36:$P$36,1,1)*p_EspInd,0))</f>
        <v>17</v>
      </c>
      <c r="AF84" s="19" t="n">
        <f aca="false">IF(AF$68=1,INDEX($G$36:$P$36,1,AF$67),IF(Calendario!AF$14=1,INDEX($G$36:$P$36,1,1)*p_EspInd,0))</f>
        <v>17</v>
      </c>
      <c r="AG84" s="19" t="n">
        <f aca="false">IF(AG$68=1,INDEX($G$36:$P$36,1,AG$67),IF(Calendario!AG$14=1,INDEX($G$36:$P$36,1,1)*p_EspInd,0))</f>
        <v>17</v>
      </c>
      <c r="AH84" s="19" t="n">
        <f aca="false">IF(AH$68=1,INDEX($G$36:$P$36,1,AH$67),IF(Calendario!AH$14=1,INDEX($G$36:$P$36,1,1)*p_EspInd,0))</f>
        <v>17</v>
      </c>
      <c r="AI84" s="19" t="n">
        <f aca="false">IF(AI$68=1,INDEX($G$36:$P$36,1,AI$67),IF(Calendario!AI$14=1,INDEX($G$36:$P$36,1,1)*p_EspInd,0))</f>
        <v>17</v>
      </c>
      <c r="AJ84" s="19" t="n">
        <f aca="false">IF(AJ$68=1,INDEX($G$36:$P$36,1,AJ$67),IF(Calendario!AJ$14=1,INDEX($G$36:$P$36,1,1)*p_EspInd,0))</f>
        <v>17</v>
      </c>
      <c r="AK84" s="19" t="n">
        <f aca="false">IF(AK$68=1,INDEX($G$36:$P$36,1,AK$67),IF(Calendario!AK$14=1,INDEX($G$36:$P$36,1,1)*p_EspInd,0))</f>
        <v>17</v>
      </c>
      <c r="AL84" s="19" t="n">
        <f aca="false">IF(AL$68=1,INDEX($G$36:$P$36,1,AL$67),IF(Calendario!AL$14=1,INDEX($G$36:$P$36,1,1)*p_EspInd,0))</f>
        <v>17</v>
      </c>
      <c r="AM84" s="19" t="n">
        <f aca="false">IF(AM$68=1,INDEX($G$36:$P$36,1,AM$67),IF(Calendario!AM$14=1,INDEX($G$36:$P$36,1,1)*p_EspInd,0))</f>
        <v>17</v>
      </c>
      <c r="AN84" s="19" t="n">
        <f aca="false">IF(AN$68=1,INDEX($G$36:$P$36,1,AN$67),IF(Calendario!AN$14=1,INDEX($G$36:$P$36,1,1)*p_EspInd,0))</f>
        <v>17</v>
      </c>
      <c r="AO84" s="19" t="n">
        <f aca="false">IF(AO$68=1,INDEX($G$36:$P$36,1,AO$67),IF(Calendario!AO$14=1,INDEX($G$36:$P$36,1,1)*p_EspInd,0))</f>
        <v>17</v>
      </c>
      <c r="AP84" s="19" t="n">
        <f aca="false">IF(AP$68=1,INDEX($G$36:$P$36,1,AP$67),IF(Calendario!AP$14=1,INDEX($G$36:$P$36,1,1)*p_EspInd,0))</f>
        <v>17</v>
      </c>
      <c r="AQ84" s="19" t="n">
        <f aca="false">IF(AQ$68=1,INDEX($G$36:$P$36,1,AQ$67),IF(Calendario!AQ$14=1,INDEX($G$36:$P$36,1,1)*p_EspInd,0))</f>
        <v>17</v>
      </c>
      <c r="AR84" s="19" t="n">
        <f aca="false">IF(AR$68=1,INDEX($G$36:$P$36,1,AR$67),IF(Calendario!AR$14=1,INDEX($G$36:$P$36,1,1)*p_EspInd,0))</f>
        <v>17</v>
      </c>
      <c r="AS84" s="19" t="n">
        <f aca="false">IF(AS$68=1,INDEX($G$36:$P$36,1,AS$67),IF(Calendario!AS$14=1,INDEX($G$36:$P$36,1,1)*p_EspInd,0))</f>
        <v>17</v>
      </c>
      <c r="AT84" s="19" t="n">
        <f aca="false">IF(AT$68=1,INDEX($G$36:$P$36,1,AT$67),IF(Calendario!AT$14=1,INDEX($G$36:$P$36,1,1)*p_EspInd,0))</f>
        <v>17</v>
      </c>
      <c r="AU84" s="19" t="n">
        <f aca="false">IF(AU$68=1,INDEX($G$36:$P$36,1,AU$67),IF(Calendario!AU$14=1,INDEX($G$36:$P$36,1,1)*p_EspInd,0))</f>
        <v>17</v>
      </c>
      <c r="AV84" s="19" t="n">
        <f aca="false">IF(AV$68=1,INDEX($G$36:$P$36,1,AV$67),IF(Calendario!AV$14=1,INDEX($G$36:$P$36,1,1)*p_EspInd,0))</f>
        <v>17</v>
      </c>
      <c r="AW84" s="19" t="n">
        <f aca="false">IF(AW$68=1,INDEX($G$36:$P$36,1,AW$67),IF(Calendario!AW$14=1,INDEX($G$36:$P$36,1,1)*p_EspInd,0))</f>
        <v>17</v>
      </c>
      <c r="AX84" s="19" t="n">
        <f aca="false">IF(AX$68=1,INDEX($G$36:$P$36,1,AX$67),IF(Calendario!AX$14=1,INDEX($G$36:$P$36,1,1)*p_EspInd,0))</f>
        <v>17</v>
      </c>
      <c r="AY84" s="19" t="n">
        <f aca="false">IF(AY$68=1,INDEX($G$36:$P$36,1,AY$67),IF(Calendario!AY$14=1,INDEX($G$36:$P$36,1,1)*p_EspInd,0))</f>
        <v>17</v>
      </c>
      <c r="AZ84" s="19" t="n">
        <f aca="false">IF(AZ$68=1,INDEX($G$36:$P$36,1,AZ$67),IF(Calendario!AZ$14=1,INDEX($G$36:$P$36,1,1)*p_EspInd,0))</f>
        <v>17</v>
      </c>
      <c r="BA84" s="19" t="n">
        <f aca="false">IF(BA$68=1,INDEX($G$36:$P$36,1,BA$67),IF(Calendario!BA$14=1,INDEX($G$36:$P$36,1,1)*p_EspInd,0))</f>
        <v>17</v>
      </c>
      <c r="BB84" s="19" t="n">
        <f aca="false">IF(BB$68=1,INDEX($G$36:$P$36,1,BB$67),IF(Calendario!BB$14=1,INDEX($G$36:$P$36,1,1)*p_EspInd,0))</f>
        <v>17</v>
      </c>
      <c r="BC84" s="19" t="n">
        <f aca="false">IF(BC$68=1,INDEX($G$36:$P$36,1,BC$67),IF(Calendario!BC$14=1,INDEX($G$36:$P$36,1,1)*p_EspInd,0))</f>
        <v>17</v>
      </c>
      <c r="BD84" s="19" t="n">
        <f aca="false">IF(BD$68=1,INDEX($G$36:$P$36,1,BD$67),IF(Calendario!BD$14=1,INDEX($G$36:$P$36,1,1)*p_EspInd,0))</f>
        <v>17</v>
      </c>
      <c r="BE84" s="19" t="n">
        <f aca="false">IF(BE$68=1,INDEX($G$36:$P$36,1,BE$67),IF(Calendario!BE$14=1,INDEX($G$36:$P$36,1,1)*p_EspInd,0))</f>
        <v>17</v>
      </c>
      <c r="BF84" s="19" t="n">
        <f aca="false">IF(BF$68=1,INDEX($G$36:$P$36,1,BF$67),IF(Calendario!BF$14=1,INDEX($G$36:$P$36,1,1)*p_EspInd,0))</f>
        <v>17</v>
      </c>
      <c r="BG84" s="19" t="n">
        <f aca="false">IF(BG$68=1,INDEX($G$36:$P$36,1,BG$67),IF(Calendario!BG$14=1,INDEX($G$36:$P$36,1,1)*p_EspInd,0))</f>
        <v>17</v>
      </c>
      <c r="BH84" s="19" t="n">
        <f aca="false">IF(BH$68=1,INDEX($G$36:$P$36,1,BH$67),IF(Calendario!BH$14=1,INDEX($G$36:$P$36,1,1)*p_EspInd,0))</f>
        <v>17</v>
      </c>
      <c r="BI84" s="19" t="n">
        <f aca="false">IF(BI$68=1,INDEX($G$36:$P$36,1,BI$67),IF(Calendario!BI$14=1,INDEX($G$36:$P$36,1,1)*p_EspInd,0))</f>
        <v>17</v>
      </c>
      <c r="BJ84" s="19" t="n">
        <f aca="false">IF(BJ$68=1,INDEX($G$36:$P$36,1,BJ$67),IF(Calendario!BJ$14=1,INDEX($G$36:$P$36,1,1)*p_EspInd,0))</f>
        <v>17</v>
      </c>
      <c r="BK84" s="19" t="n">
        <f aca="false">IF(BK$68=1,INDEX($G$36:$P$36,1,BK$67),IF(Calendario!BK$14=1,INDEX($G$36:$P$36,1,1)*p_EspInd,0))</f>
        <v>17</v>
      </c>
      <c r="BL84" s="19" t="n">
        <f aca="false">IF(BL$68=1,INDEX($G$36:$P$36,1,BL$67),IF(Calendario!BL$14=1,INDEX($G$36:$P$36,1,1)*p_EspInd,0))</f>
        <v>17</v>
      </c>
      <c r="BM84" s="19" t="n">
        <f aca="false">IF(BM$68=1,INDEX($G$36:$P$36,1,BM$67),IF(Calendario!BM$14=1,INDEX($G$36:$P$36,1,1)*p_EspInd,0))</f>
        <v>17</v>
      </c>
      <c r="BN84" s="19" t="n">
        <f aca="false">IF(BN$68=1,INDEX($G$36:$P$36,1,BN$67),IF(Calendario!BN$14=1,INDEX($G$36:$P$36,1,1)*p_EspInd,0))</f>
        <v>17</v>
      </c>
      <c r="BO84" s="19" t="n">
        <f aca="false">IF(BO$68=1,INDEX($G$36:$P$36,1,BO$67),IF(Calendario!BO$14=1,INDEX($G$36:$P$36,1,1)*p_EspInd,0))</f>
        <v>17</v>
      </c>
      <c r="BP84" s="19" t="n">
        <f aca="false">IF(BP$68=1,INDEX($G$36:$P$36,1,BP$67),IF(Calendario!BP$14=1,INDEX($G$36:$P$36,1,1)*p_EspInd,0))</f>
        <v>17</v>
      </c>
      <c r="BQ84" s="19" t="n">
        <f aca="false">IF(BQ$68=1,INDEX($G$36:$P$36,1,BQ$67),IF(Calendario!BQ$14=1,INDEX($G$36:$P$36,1,1)*p_EspInd,0))</f>
        <v>17</v>
      </c>
      <c r="BR84" s="19" t="n">
        <f aca="false">IF(BR$68=1,INDEX($G$36:$P$36,1,BR$67),IF(Calendario!BR$14=1,INDEX($G$36:$P$36,1,1)*p_EspInd,0))</f>
        <v>17</v>
      </c>
      <c r="BS84" s="19" t="n">
        <f aca="false">IF(BS$68=1,INDEX($G$36:$P$36,1,BS$67),IF(Calendario!BS$14=1,INDEX($G$36:$P$36,1,1)*p_EspInd,0))</f>
        <v>17</v>
      </c>
      <c r="BT84" s="19" t="n">
        <f aca="false">IF(BT$68=1,INDEX($G$36:$P$36,1,BT$67),IF(Calendario!BT$14=1,INDEX($G$36:$P$36,1,1)*p_EspInd,0))</f>
        <v>17</v>
      </c>
      <c r="BU84" s="19" t="n">
        <f aca="false">IF(BU$68=1,INDEX($G$36:$P$36,1,BU$67),IF(Calendario!BU$14=1,INDEX($G$36:$P$36,1,1)*p_EspInd,0))</f>
        <v>17</v>
      </c>
      <c r="BV84" s="19" t="n">
        <f aca="false">IF(BV$68=1,INDEX($G$36:$P$36,1,BV$67),IF(Calendario!BV$14=1,INDEX($G$36:$P$36,1,1)*p_EspInd,0))</f>
        <v>17</v>
      </c>
      <c r="BW84" s="19" t="n">
        <f aca="false">IF(BW$68=1,INDEX($G$36:$P$36,1,BW$67),IF(Calendario!BW$14=1,INDEX($G$36:$P$36,1,1)*p_EspInd,0))</f>
        <v>17</v>
      </c>
      <c r="BX84" s="19" t="n">
        <f aca="false">IF(BX$68=1,INDEX($G$36:$P$36,1,BX$67),IF(Calendario!BX$14=1,INDEX($G$36:$P$36,1,1)*p_EspInd,0))</f>
        <v>17</v>
      </c>
      <c r="BY84" s="19" t="n">
        <f aca="false">IF(BY$68=1,INDEX($G$36:$P$36,1,BY$67),IF(Calendario!BY$14=1,INDEX($G$36:$P$36,1,1)*p_EspInd,0))</f>
        <v>17</v>
      </c>
      <c r="BZ84" s="19" t="n">
        <f aca="false">IF(BZ$68=1,INDEX($G$36:$P$36,1,BZ$67),IF(Calendario!BZ$14=1,INDEX($G$36:$P$36,1,1)*p_EspInd,0))</f>
        <v>17</v>
      </c>
      <c r="CA84" s="19" t="n">
        <f aca="false">IF(CA$68=1,INDEX($G$36:$P$36,1,CA$67),IF(Calendario!CA$14=1,INDEX($G$36:$P$36,1,1)*p_EspInd,0))</f>
        <v>17</v>
      </c>
      <c r="CB84" s="19" t="n">
        <f aca="false">IF(CB$68=1,INDEX($G$36:$P$36,1,CB$67),IF(Calendario!CB$14=1,INDEX($G$36:$P$36,1,1)*p_EspInd,0))</f>
        <v>17</v>
      </c>
      <c r="CC84" s="19" t="n">
        <f aca="false">IF(CC$68=1,INDEX($G$36:$P$36,1,CC$67),IF(Calendario!CC$14=1,INDEX($G$36:$P$36,1,1)*p_EspInd,0))</f>
        <v>17</v>
      </c>
      <c r="CD84" s="19" t="n">
        <f aca="false">IF(CD$68=1,INDEX($G$36:$P$36,1,CD$67),IF(Calendario!CD$14=1,INDEX($G$36:$P$36,1,1)*p_EspInd,0))</f>
        <v>17</v>
      </c>
      <c r="CE84" s="19" t="n">
        <f aca="false">IF(CE$68=1,INDEX($G$36:$P$36,1,CE$67),IF(Calendario!CE$14=1,INDEX($G$36:$P$36,1,1)*p_EspInd,0))</f>
        <v>17</v>
      </c>
      <c r="CF84" s="19" t="n">
        <f aca="false">IF(CF$68=1,INDEX($G$36:$P$36,1,CF$67),IF(Calendario!CF$14=1,INDEX($G$36:$P$36,1,1)*p_EspInd,0))</f>
        <v>17</v>
      </c>
      <c r="CG84" s="19" t="n">
        <f aca="false">IF(CG$68=1,INDEX($G$36:$P$36,1,CG$67),IF(Calendario!CG$14=1,INDEX($G$36:$P$36,1,1)*p_EspInd,0))</f>
        <v>17</v>
      </c>
      <c r="CH84" s="19" t="n">
        <f aca="false">IF(CH$68=1,INDEX($G$36:$P$36,1,CH$67),IF(Calendario!CH$14=1,INDEX($G$36:$P$36,1,1)*p_EspInd,0))</f>
        <v>17</v>
      </c>
      <c r="CI84" s="19" t="n">
        <f aca="false">IF(CI$68=1,INDEX($G$36:$P$36,1,CI$67),IF(Calendario!CI$14=1,INDEX($G$36:$P$36,1,1)*p_EspInd,0))</f>
        <v>17</v>
      </c>
      <c r="CJ84" s="19" t="n">
        <f aca="false">IF(CJ$68=1,INDEX($G$36:$P$36,1,CJ$67),IF(Calendario!CJ$14=1,INDEX($G$36:$P$36,1,1)*p_EspInd,0))</f>
        <v>17</v>
      </c>
      <c r="CK84" s="19" t="n">
        <f aca="false">IF(CK$68=1,INDEX($G$36:$P$36,1,CK$67),IF(Calendario!CK$14=1,INDEX($G$36:$P$36,1,1)*p_EspInd,0))</f>
        <v>17</v>
      </c>
      <c r="CL84" s="19" t="n">
        <f aca="false">IF(CL$68=1,INDEX($G$36:$P$36,1,CL$67),IF(Calendario!CL$14=1,INDEX($G$36:$P$36,1,1)*p_EspInd,0))</f>
        <v>17</v>
      </c>
      <c r="CM84" s="19" t="n">
        <f aca="false">IF(CM$68=1,INDEX($G$36:$P$36,1,CM$67),IF(Calendario!CM$14=1,INDEX($G$36:$P$36,1,1)*p_EspInd,0))</f>
        <v>17</v>
      </c>
      <c r="CN84" s="19" t="n">
        <f aca="false">IF(CN$68=1,INDEX($G$36:$P$36,1,CN$67),IF(Calendario!CN$14=1,INDEX($G$36:$P$36,1,1)*p_EspInd,0))</f>
        <v>17</v>
      </c>
      <c r="CO84" s="19" t="n">
        <f aca="false">IF(CO$68=1,INDEX($G$36:$P$36,1,CO$67),IF(Calendario!CO$14=1,INDEX($G$36:$P$36,1,1)*p_EspInd,0))</f>
        <v>17</v>
      </c>
      <c r="CP84" s="19" t="n">
        <f aca="false">IF(CP$68=1,INDEX($G$36:$P$36,1,CP$67),IF(Calendario!CP$14=1,INDEX($G$36:$P$36,1,1)*p_EspInd,0))</f>
        <v>17</v>
      </c>
      <c r="CQ84" s="19" t="n">
        <f aca="false">IF(CQ$68=1,INDEX($G$36:$P$36,1,CQ$67),IF(Calendario!CQ$14=1,INDEX($G$36:$P$36,1,1)*p_EspInd,0))</f>
        <v>17</v>
      </c>
      <c r="CR84" s="19" t="n">
        <f aca="false">IF(CR$68=1,INDEX($G$36:$P$36,1,CR$67),IF(Calendario!CR$14=1,INDEX($G$36:$P$36,1,1)*p_EspInd,0))</f>
        <v>17</v>
      </c>
      <c r="CS84" s="19" t="n">
        <f aca="false">IF(CS$68=1,INDEX($G$36:$P$36,1,CS$67),IF(Calendario!CS$14=1,INDEX($G$36:$P$36,1,1)*p_EspInd,0))</f>
        <v>17</v>
      </c>
      <c r="CT84" s="19" t="n">
        <f aca="false">IF(CT$68=1,INDEX($G$36:$P$36,1,CT$67),IF(Calendario!CT$14=1,INDEX($G$36:$P$36,1,1)*p_EspInd,0))</f>
        <v>17</v>
      </c>
      <c r="CU84" s="19" t="n">
        <f aca="false">IF(CU$68=1,INDEX($G$36:$P$36,1,CU$67),IF(Calendario!CU$14=1,INDEX($G$36:$P$36,1,1)*p_EspInd,0))</f>
        <v>17</v>
      </c>
      <c r="CV84" s="19" t="n">
        <f aca="false">IF(CV$68=1,INDEX($G$36:$P$36,1,CV$67),IF(Calendario!CV$14=1,INDEX($G$36:$P$36,1,1)*p_EspInd,0))</f>
        <v>17</v>
      </c>
      <c r="CW84" s="19" t="n">
        <f aca="false">IF(CW$68=1,INDEX($G$36:$P$36,1,CW$67),IF(Calendario!CW$14=1,INDEX($G$36:$P$36,1,1)*p_EspInd,0))</f>
        <v>17</v>
      </c>
      <c r="CX84" s="19" t="n">
        <f aca="false">IF(CX$68=1,INDEX($G$36:$P$36,1,CX$67),IF(Calendario!CX$14=1,INDEX($G$36:$P$36,1,1)*p_EspInd,0))</f>
        <v>17</v>
      </c>
      <c r="CY84" s="19" t="n">
        <f aca="false">IF(CY$68=1,INDEX($G$36:$P$36,1,CY$67),IF(Calendario!CY$14=1,INDEX($G$36:$P$36,1,1)*p_EspInd,0))</f>
        <v>17</v>
      </c>
      <c r="CZ84" s="19" t="n">
        <f aca="false">IF(CZ$68=1,INDEX($G$36:$P$36,1,CZ$67),IF(Calendario!CZ$14=1,INDEX($G$36:$P$36,1,1)*p_EspInd,0))</f>
        <v>17</v>
      </c>
      <c r="DA84" s="19" t="n">
        <f aca="false">IF(DA$68=1,INDEX($G$36:$P$36,1,DA$67),IF(Calendario!DA$14=1,INDEX($G$36:$P$36,1,1)*p_EspInd,0))</f>
        <v>17</v>
      </c>
      <c r="DB84" s="19" t="n">
        <f aca="false">IF(DB$68=1,INDEX($G$36:$P$36,1,DB$67),IF(Calendario!DB$14=1,INDEX($G$36:$P$36,1,1)*p_EspInd,0))</f>
        <v>17</v>
      </c>
      <c r="DC84" s="19" t="n">
        <f aca="false">IF(DC$68=1,INDEX($G$36:$P$36,1,DC$67),IF(Calendario!DC$14=1,INDEX($G$36:$P$36,1,1)*p_EspInd,0))</f>
        <v>17</v>
      </c>
      <c r="DD84" s="19" t="n">
        <f aca="false">IF(DD$68=1,INDEX($G$36:$P$36,1,DD$67),IF(Calendario!DD$14=1,INDEX($G$36:$P$36,1,1)*p_EspInd,0))</f>
        <v>17</v>
      </c>
      <c r="DE84" s="19" t="n">
        <f aca="false">IF(DE$68=1,INDEX($G$36:$P$36,1,DE$67),IF(Calendario!DE$14=1,INDEX($G$36:$P$36,1,1)*p_EspInd,0))</f>
        <v>17</v>
      </c>
      <c r="DF84" s="19" t="n">
        <f aca="false">IF(DF$68=1,INDEX($G$36:$P$36,1,DF$67),IF(Calendario!DF$14=1,INDEX($G$36:$P$36,1,1)*p_EspInd,0))</f>
        <v>17</v>
      </c>
      <c r="DG84" s="19" t="n">
        <f aca="false">IF(DG$68=1,INDEX($G$36:$P$36,1,DG$67),IF(Calendario!DG$14=1,INDEX($G$36:$P$36,1,1)*p_EspInd,0))</f>
        <v>17</v>
      </c>
      <c r="DH84" s="19" t="n">
        <f aca="false">IF(DH$68=1,INDEX($G$36:$P$36,1,DH$67),IF(Calendario!DH$14=1,INDEX($G$36:$P$36,1,1)*p_EspInd,0))</f>
        <v>17</v>
      </c>
      <c r="DI84" s="19" t="n">
        <f aca="false">IF(DI$68=1,INDEX($G$36:$P$36,1,DI$67),IF(Calendario!DI$14=1,INDEX($G$36:$P$36,1,1)*p_EspInd,0))</f>
        <v>17</v>
      </c>
      <c r="DJ84" s="19" t="n">
        <f aca="false">IF(DJ$68=1,INDEX($G$36:$P$36,1,DJ$67),IF(Calendario!DJ$14=1,INDEX($G$36:$P$36,1,1)*p_EspInd,0))</f>
        <v>17</v>
      </c>
      <c r="DK84" s="19" t="n">
        <f aca="false">IF(DK$68=1,INDEX($G$36:$P$36,1,DK$67),IF(Calendario!DK$14=1,INDEX($G$36:$P$36,1,1)*p_EspInd,0))</f>
        <v>17</v>
      </c>
      <c r="DL84" s="19" t="n">
        <f aca="false">IF(DL$68=1,INDEX($G$36:$P$36,1,DL$67),IF(Calendario!DL$14=1,INDEX($G$36:$P$36,1,1)*p_EspInd,0))</f>
        <v>17</v>
      </c>
      <c r="DM84" s="19" t="n">
        <f aca="false">IF(DM$68=1,INDEX($G$36:$P$36,1,DM$67),IF(Calendario!DM$14=1,INDEX($G$36:$P$36,1,1)*p_EspInd,0))</f>
        <v>17</v>
      </c>
      <c r="DN84" s="19" t="n">
        <f aca="false">IF(DN$68=1,INDEX($G$36:$P$36,1,DN$67),IF(Calendario!DN$14=1,INDEX($G$36:$P$36,1,1)*p_EspInd,0))</f>
        <v>17</v>
      </c>
      <c r="DO84" s="19" t="n">
        <f aca="false">IF(DO$68=1,INDEX($G$36:$P$36,1,DO$67),IF(Calendario!DO$14=1,INDEX($G$36:$P$36,1,1)*p_EspInd,0))</f>
        <v>17</v>
      </c>
      <c r="DP84" s="19" t="n">
        <f aca="false">IF(DP$68=1,INDEX($G$36:$P$36,1,DP$67),IF(Calendario!DP$14=1,INDEX($G$36:$P$36,1,1)*p_EspInd,0))</f>
        <v>17</v>
      </c>
      <c r="DQ84" s="19" t="n">
        <f aca="false">IF(DQ$68=1,INDEX($G$36:$P$36,1,DQ$67),IF(Calendario!DQ$14=1,INDEX($G$36:$P$36,1,1)*p_EspInd,0))</f>
        <v>17</v>
      </c>
      <c r="DR84" s="19" t="n">
        <f aca="false">IF(DR$68=1,INDEX($G$36:$P$36,1,DR$67),IF(Calendario!DR$14=1,INDEX($G$36:$P$36,1,1)*p_EspInd,0))</f>
        <v>17</v>
      </c>
      <c r="DS84" s="19" t="n">
        <f aca="false">IF(DS$68=1,INDEX($G$36:$P$36,1,DS$67),IF(Calendario!DS$14=1,INDEX($G$36:$P$36,1,1)*p_EspInd,0))</f>
        <v>17</v>
      </c>
      <c r="DT84" s="19" t="n">
        <f aca="false">IF(DT$68=1,INDEX($G$36:$P$36,1,DT$67),IF(Calendario!DT$14=1,INDEX($G$36:$P$36,1,1)*p_EspInd,0))</f>
        <v>17</v>
      </c>
      <c r="DU84" s="19" t="n">
        <f aca="false">IF(DU$68=1,INDEX($G$36:$P$36,1,DU$67),IF(Calendario!DU$14=1,INDEX($G$36:$P$36,1,1)*p_EspInd,0))</f>
        <v>17</v>
      </c>
      <c r="DV84" s="19" t="n">
        <f aca="false">IF(DV$68=1,INDEX($G$36:$P$36,1,DV$67),IF(Calendario!DV$14=1,INDEX($G$36:$P$36,1,1)*p_EspInd,0))</f>
        <v>17</v>
      </c>
      <c r="DW84" s="19" t="n">
        <f aca="false">IF(DW$68=1,INDEX($G$36:$P$36,1,DW$67),IF(Calendario!DW$14=1,INDEX($G$36:$P$36,1,1)*p_EspInd,0))</f>
        <v>0</v>
      </c>
      <c r="DX84" s="19" t="n">
        <f aca="false">IF(DX$68=1,INDEX($G$36:$P$36,1,DX$67),IF(Calendario!DX$14=1,INDEX($G$36:$P$36,1,1)*p_EspInd,0))</f>
        <v>0</v>
      </c>
      <c r="DY84" s="19" t="n">
        <f aca="false">IF(DY$68=1,INDEX($G$36:$P$36,1,DY$67),IF(Calendario!DY$14=1,INDEX($G$36:$P$36,1,1)*p_EspInd,0))</f>
        <v>0</v>
      </c>
      <c r="DZ84" s="19" t="n">
        <f aca="false">IF(DZ$68=1,INDEX($G$36:$P$36,1,DZ$67),IF(Calendario!DZ$14=1,INDEX($G$36:$P$36,1,1)*p_EspInd,0))</f>
        <v>0</v>
      </c>
      <c r="EA84" s="19" t="n">
        <f aca="false">IF(EA$68=1,INDEX($G$36:$P$36,1,EA$67),IF(Calendario!EA$14=1,INDEX($G$36:$P$36,1,1)*p_EspInd,0))</f>
        <v>0</v>
      </c>
      <c r="EB84" s="19" t="n">
        <f aca="false">IF(EB$68=1,INDEX($G$36:$P$36,1,EB$67),IF(Calendario!EB$14=1,INDEX($G$36:$P$36,1,1)*p_EspInd,0))</f>
        <v>0</v>
      </c>
      <c r="EC84" s="19" t="n">
        <f aca="false">IF(EC$68=1,INDEX($G$36:$P$36,1,EC$67),IF(Calendario!EC$14=1,INDEX($G$36:$P$36,1,1)*p_EspInd,0))</f>
        <v>0</v>
      </c>
      <c r="ED84" s="19" t="n">
        <f aca="false">IF(ED$68=1,INDEX($G$36:$P$36,1,ED$67),IF(Calendario!ED$14=1,INDEX($G$36:$P$36,1,1)*p_EspInd,0))</f>
        <v>0</v>
      </c>
      <c r="EE84" s="19" t="n">
        <f aca="false">IF(EE$68=1,INDEX($G$36:$P$36,1,EE$67),IF(Calendario!EE$14=1,INDEX($G$36:$P$36,1,1)*p_EspInd,0))</f>
        <v>0</v>
      </c>
      <c r="EF84" s="19" t="n">
        <f aca="false">IF(EF$68=1,INDEX($G$36:$P$36,1,EF$67),IF(Calendario!EF$14=1,INDEX($G$36:$P$36,1,1)*p_EspInd,0))</f>
        <v>0</v>
      </c>
      <c r="EG84" s="19" t="n">
        <f aca="false">IF(EG$68=1,INDEX($G$36:$P$36,1,EG$67),IF(Calendario!EG$14=1,INDEX($G$36:$P$36,1,1)*p_EspInd,0))</f>
        <v>0</v>
      </c>
      <c r="EH84" s="19" t="n">
        <f aca="false">IF(EH$68=1,INDEX($G$36:$P$36,1,EH$67),IF(Calendario!EH$14=1,INDEX($G$36:$P$36,1,1)*p_EspInd,0))</f>
        <v>0</v>
      </c>
      <c r="EI84" s="19" t="n">
        <f aca="false">IF(EI$68=1,INDEX($G$36:$P$36,1,EI$67),IF(Calendario!EI$14=1,INDEX($G$36:$P$36,1,1)*p_EspInd,0))</f>
        <v>0</v>
      </c>
      <c r="EJ84" s="19" t="n">
        <f aca="false">IF(EJ$68=1,INDEX($G$36:$P$36,1,EJ$67),IF(Calendario!EJ$14=1,INDEX($G$36:$P$36,1,1)*p_EspInd,0))</f>
        <v>0</v>
      </c>
      <c r="EK84" s="19" t="n">
        <f aca="false">IF(EK$68=1,INDEX($G$36:$P$36,1,EK$67),IF(Calendario!EK$14=1,INDEX($G$36:$P$36,1,1)*p_EspInd,0))</f>
        <v>0</v>
      </c>
      <c r="EL84" s="19" t="n">
        <f aca="false">IF(EL$68=1,INDEX($G$36:$P$36,1,EL$67),IF(Calendario!EL$14=1,INDEX($G$36:$P$36,1,1)*p_EspInd,0))</f>
        <v>0</v>
      </c>
      <c r="EM84" s="19" t="n">
        <f aca="false">IF(EM$68=1,INDEX($G$36:$P$36,1,EM$67),IF(Calendario!EM$14=1,INDEX($G$36:$P$36,1,1)*p_EspInd,0))</f>
        <v>0</v>
      </c>
      <c r="EN84" s="19" t="n">
        <f aca="false">IF(EN$68=1,INDEX($G$36:$P$36,1,EN$67),IF(Calendario!EN$14=1,INDEX($G$36:$P$36,1,1)*p_EspInd,0))</f>
        <v>0</v>
      </c>
      <c r="EO84" s="19" t="n">
        <f aca="false">IF(EO$68=1,INDEX($G$36:$P$36,1,EO$67),IF(Calendario!EO$14=1,INDEX($G$36:$P$36,1,1)*p_EspInd,0))</f>
        <v>0</v>
      </c>
      <c r="EP84" s="19" t="n">
        <f aca="false">IF(EP$68=1,INDEX($G$36:$P$36,1,EP$67),IF(Calendario!EP$14=1,INDEX($G$36:$P$36,1,1)*p_EspInd,0))</f>
        <v>0</v>
      </c>
      <c r="EQ84" s="19" t="n">
        <f aca="false">IF(EQ$68=1,INDEX($G$36:$P$36,1,EQ$67),IF(Calendario!EQ$14=1,INDEX($G$36:$P$36,1,1)*p_EspInd,0))</f>
        <v>0</v>
      </c>
      <c r="ER84" s="19" t="n">
        <f aca="false">IF(ER$68=1,INDEX($G$36:$P$36,1,ER$67),IF(Calendario!ER$14=1,INDEX($G$36:$P$36,1,1)*p_EspInd,0))</f>
        <v>0</v>
      </c>
      <c r="ES84" s="19" t="n">
        <f aca="false">IF(ES$68=1,INDEX($G$36:$P$36,1,ES$67),IF(Calendario!ES$14=1,INDEX($G$36:$P$36,1,1)*p_EspInd,0))</f>
        <v>0</v>
      </c>
      <c r="ET84" s="19" t="n">
        <f aca="false">IF(ET$68=1,INDEX($G$36:$P$36,1,ET$67),IF(Calendario!ET$14=1,INDEX($G$36:$P$36,1,1)*p_EspInd,0))</f>
        <v>0</v>
      </c>
      <c r="EU84" s="19" t="n">
        <f aca="false">IF(EU$68=1,INDEX($G$36:$P$36,1,EU$67),IF(Calendario!EU$14=1,INDEX($G$36:$P$36,1,1)*p_EspInd,0))</f>
        <v>0</v>
      </c>
      <c r="EV84" s="19" t="n">
        <f aca="false">IF(EV$68=1,INDEX($G$36:$P$36,1,EV$67),IF(Calendario!EV$14=1,INDEX($G$36:$P$36,1,1)*p_EspInd,0))</f>
        <v>0</v>
      </c>
      <c r="EW84" s="19" t="n">
        <f aca="false">IF(EW$68=1,INDEX($G$36:$P$36,1,EW$67),IF(Calendario!EW$14=1,INDEX($G$36:$P$36,1,1)*p_EspInd,0))</f>
        <v>0</v>
      </c>
      <c r="EX84" s="19" t="n">
        <f aca="false">IF(EX$68=1,INDEX($G$36:$P$36,1,EX$67),IF(Calendario!EX$14=1,INDEX($G$36:$P$36,1,1)*p_EspInd,0))</f>
        <v>0</v>
      </c>
      <c r="EY84" s="19" t="n">
        <f aca="false">IF(EY$68=1,INDEX($G$36:$P$36,1,EY$67),IF(Calendario!EY$14=1,INDEX($G$36:$P$36,1,1)*p_EspInd,0))</f>
        <v>0</v>
      </c>
      <c r="EZ84" s="19" t="n">
        <f aca="false">IF(EZ$68=1,INDEX($G$36:$P$36,1,EZ$67),IF(Calendario!EZ$14=1,INDEX($G$36:$P$36,1,1)*p_EspInd,0))</f>
        <v>0</v>
      </c>
      <c r="FA84" s="19" t="n">
        <f aca="false">IF(FA$68=1,INDEX($G$36:$P$36,1,FA$67),IF(Calendario!FA$14=1,INDEX($G$36:$P$36,1,1)*p_EspInd,0))</f>
        <v>0</v>
      </c>
      <c r="FB84" s="19" t="n">
        <f aca="false">IF(FB$68=1,INDEX($G$36:$P$36,1,FB$67),IF(Calendario!FB$14=1,INDEX($G$36:$P$36,1,1)*p_EspInd,0))</f>
        <v>0</v>
      </c>
      <c r="FC84" s="19" t="n">
        <f aca="false">IF(FC$68=1,INDEX($G$36:$P$36,1,FC$67),IF(Calendario!FC$14=1,INDEX($G$36:$P$36,1,1)*p_EspInd,0))</f>
        <v>0</v>
      </c>
      <c r="FD84" s="19" t="n">
        <f aca="false">IF(FD$68=1,INDEX($G$36:$P$36,1,FD$67),IF(Calendario!FD$14=1,INDEX($G$36:$P$36,1,1)*p_EspInd,0))</f>
        <v>0</v>
      </c>
      <c r="FE84" s="19" t="n">
        <f aca="false">IF(FE$68=1,INDEX($G$36:$P$36,1,FE$67),IF(Calendario!FE$14=1,INDEX($G$36:$P$36,1,1)*p_EspInd,0))</f>
        <v>0</v>
      </c>
      <c r="FF84" s="19" t="n">
        <f aca="false">IF(FF$68=1,INDEX($G$36:$P$36,1,FF$67),IF(Calendario!FF$14=1,INDEX($G$36:$P$36,1,1)*p_EspInd,0))</f>
        <v>0</v>
      </c>
    </row>
    <row r="85" customFormat="false" ht="15" hidden="false" customHeight="false" outlineLevel="0" collapsed="false">
      <c r="A85" s="2" t="s">
        <v>1033</v>
      </c>
      <c r="B85" s="8" t="s">
        <v>1025</v>
      </c>
      <c r="C85" s="8" t="s">
        <v>255</v>
      </c>
      <c r="E85" s="65" t="n">
        <f aca="false">SUM($F85:$FF85)</f>
        <v>1601044.8</v>
      </c>
      <c r="F85" s="13" t="n">
        <f aca="false">IF(F$68=1,INDEX($G$39:$P$39,1,F$67),IF(Calendario!F$14=1,INDEX($G$39:$P$39,1,1)*p_EspInd,0))*F$73/F$72</f>
        <v>0</v>
      </c>
      <c r="G85" s="13" t="n">
        <f aca="false">IF(G$68=1,INDEX($G$39:$P$39,1,G$67),IF(Calendario!G$14=1,INDEX($G$39:$P$39,1,1)*p_EspInd,0))*G$73/G$72</f>
        <v>13342.04</v>
      </c>
      <c r="H85" s="13" t="n">
        <f aca="false">IF(H$68=1,INDEX($G$39:$P$39,1,H$67),IF(Calendario!H$14=1,INDEX($G$39:$P$39,1,1)*p_EspInd,0))*H$73/H$72</f>
        <v>13342.04</v>
      </c>
      <c r="I85" s="13" t="n">
        <f aca="false">IF(I$68=1,INDEX($G$39:$P$39,1,I$67),IF(Calendario!I$14=1,INDEX($G$39:$P$39,1,1)*p_EspInd,0))*I$73/I$72</f>
        <v>13342.04</v>
      </c>
      <c r="J85" s="13" t="n">
        <f aca="false">IF(J$68=1,INDEX($G$39:$P$39,1,J$67),IF(Calendario!J$14=1,INDEX($G$39:$P$39,1,1)*p_EspInd,0))*J$73/J$72</f>
        <v>13342.04</v>
      </c>
      <c r="K85" s="13" t="n">
        <f aca="false">IF(K$68=1,INDEX($G$39:$P$39,1,K$67),IF(Calendario!K$14=1,INDEX($G$39:$P$39,1,1)*p_EspInd,0))*K$73/K$72</f>
        <v>13342.04</v>
      </c>
      <c r="L85" s="13" t="n">
        <f aca="false">IF(L$68=1,INDEX($G$39:$P$39,1,L$67),IF(Calendario!L$14=1,INDEX($G$39:$P$39,1,1)*p_EspInd,0))*L$73/L$72</f>
        <v>13342.04</v>
      </c>
      <c r="M85" s="13" t="n">
        <f aca="false">IF(M$68=1,INDEX($G$39:$P$39,1,M$67),IF(Calendario!M$14=1,INDEX($G$39:$P$39,1,1)*p_EspInd,0))*M$73/M$72</f>
        <v>13342.04</v>
      </c>
      <c r="N85" s="13" t="n">
        <f aca="false">IF(N$68=1,INDEX($G$39:$P$39,1,N$67),IF(Calendario!N$14=1,INDEX($G$39:$P$39,1,1)*p_EspInd,0))*N$73/N$72</f>
        <v>13342.04</v>
      </c>
      <c r="O85" s="13" t="n">
        <f aca="false">IF(O$68=1,INDEX($G$39:$P$39,1,O$67),IF(Calendario!O$14=1,INDEX($G$39:$P$39,1,1)*p_EspInd,0))*O$73/O$72</f>
        <v>13342.04</v>
      </c>
      <c r="P85" s="13" t="n">
        <f aca="false">IF(P$68=1,INDEX($G$39:$P$39,1,P$67),IF(Calendario!P$14=1,INDEX($G$39:$P$39,1,1)*p_EspInd,0))*P$73/P$72</f>
        <v>13342.04</v>
      </c>
      <c r="Q85" s="13" t="n">
        <f aca="false">IF(Q$68=1,INDEX($G$39:$P$39,1,Q$67),IF(Calendario!Q$14=1,INDEX($G$39:$P$39,1,1)*p_EspInd,0))*Q$73/Q$72</f>
        <v>13342.04</v>
      </c>
      <c r="R85" s="13" t="n">
        <f aca="false">IF(R$68=1,INDEX($G$39:$P$39,1,R$67),IF(Calendario!R$14=1,INDEX($G$39:$P$39,1,1)*p_EspInd,0))*R$73/R$72</f>
        <v>13342.04</v>
      </c>
      <c r="S85" s="13" t="n">
        <f aca="false">IF(S$68=1,INDEX($G$39:$P$39,1,S$67),IF(Calendario!S$14=1,INDEX($G$39:$P$39,1,1)*p_EspInd,0))*S$73/S$72</f>
        <v>13342.04</v>
      </c>
      <c r="T85" s="13" t="n">
        <f aca="false">IF(T$68=1,INDEX($G$39:$P$39,1,T$67),IF(Calendario!T$14=1,INDEX($G$39:$P$39,1,1)*p_EspInd,0))*T$73/T$72</f>
        <v>13342.04</v>
      </c>
      <c r="U85" s="13" t="n">
        <f aca="false">IF(U$68=1,INDEX($G$39:$P$39,1,U$67),IF(Calendario!U$14=1,INDEX($G$39:$P$39,1,1)*p_EspInd,0))*U$73/U$72</f>
        <v>13342.04</v>
      </c>
      <c r="V85" s="13" t="n">
        <f aca="false">IF(V$68=1,INDEX($G$39:$P$39,1,V$67),IF(Calendario!V$14=1,INDEX($G$39:$P$39,1,1)*p_EspInd,0))*V$73/V$72</f>
        <v>13342.04</v>
      </c>
      <c r="W85" s="13" t="n">
        <f aca="false">IF(W$68=1,INDEX($G$39:$P$39,1,W$67),IF(Calendario!W$14=1,INDEX($G$39:$P$39,1,1)*p_EspInd,0))*W$73/W$72</f>
        <v>13342.04</v>
      </c>
      <c r="X85" s="13" t="n">
        <f aca="false">IF(X$68=1,INDEX($G$39:$P$39,1,X$67),IF(Calendario!X$14=1,INDEX($G$39:$P$39,1,1)*p_EspInd,0))*X$73/X$72</f>
        <v>13342.04</v>
      </c>
      <c r="Y85" s="13" t="n">
        <f aca="false">IF(Y$68=1,INDEX($G$39:$P$39,1,Y$67),IF(Calendario!Y$14=1,INDEX($G$39:$P$39,1,1)*p_EspInd,0))*Y$73/Y$72</f>
        <v>13342.04</v>
      </c>
      <c r="Z85" s="13" t="n">
        <f aca="false">IF(Z$68=1,INDEX($G$39:$P$39,1,Z$67),IF(Calendario!Z$14=1,INDEX($G$39:$P$39,1,1)*p_EspInd,0))*Z$73/Z$72</f>
        <v>13342.04</v>
      </c>
      <c r="AA85" s="13" t="n">
        <f aca="false">IF(AA$68=1,INDEX($G$39:$P$39,1,AA$67),IF(Calendario!AA$14=1,INDEX($G$39:$P$39,1,1)*p_EspInd,0))*AA$73/AA$72</f>
        <v>13342.04</v>
      </c>
      <c r="AB85" s="13" t="n">
        <f aca="false">IF(AB$68=1,INDEX($G$39:$P$39,1,AB$67),IF(Calendario!AB$14=1,INDEX($G$39:$P$39,1,1)*p_EspInd,0))*AB$73/AB$72</f>
        <v>13342.04</v>
      </c>
      <c r="AC85" s="13" t="n">
        <f aca="false">IF(AC$68=1,INDEX($G$39:$P$39,1,AC$67),IF(Calendario!AC$14=1,INDEX($G$39:$P$39,1,1)*p_EspInd,0))*AC$73/AC$72</f>
        <v>13342.04</v>
      </c>
      <c r="AD85" s="13" t="n">
        <f aca="false">IF(AD$68=1,INDEX($G$39:$P$39,1,AD$67),IF(Calendario!AD$14=1,INDEX($G$39:$P$39,1,1)*p_EspInd,0))*AD$73/AD$72</f>
        <v>13342.04</v>
      </c>
      <c r="AE85" s="13" t="n">
        <f aca="false">IF(AE$68=1,INDEX($G$39:$P$39,1,AE$67),IF(Calendario!AE$14=1,INDEX($G$39:$P$39,1,1)*p_EspInd,0))*AE$73/AE$72</f>
        <v>13342.04</v>
      </c>
      <c r="AF85" s="13" t="n">
        <f aca="false">IF(AF$68=1,INDEX($G$39:$P$39,1,AF$67),IF(Calendario!AF$14=1,INDEX($G$39:$P$39,1,1)*p_EspInd,0))*AF$73/AF$72</f>
        <v>13342.04</v>
      </c>
      <c r="AG85" s="13" t="n">
        <f aca="false">IF(AG$68=1,INDEX($G$39:$P$39,1,AG$67),IF(Calendario!AG$14=1,INDEX($G$39:$P$39,1,1)*p_EspInd,0))*AG$73/AG$72</f>
        <v>13342.04</v>
      </c>
      <c r="AH85" s="13" t="n">
        <f aca="false">IF(AH$68=1,INDEX($G$39:$P$39,1,AH$67),IF(Calendario!AH$14=1,INDEX($G$39:$P$39,1,1)*p_EspInd,0))*AH$73/AH$72</f>
        <v>13342.04</v>
      </c>
      <c r="AI85" s="13" t="n">
        <f aca="false">IF(AI$68=1,INDEX($G$39:$P$39,1,AI$67),IF(Calendario!AI$14=1,INDEX($G$39:$P$39,1,1)*p_EspInd,0))*AI$73/AI$72</f>
        <v>13342.04</v>
      </c>
      <c r="AJ85" s="13" t="n">
        <f aca="false">IF(AJ$68=1,INDEX($G$39:$P$39,1,AJ$67),IF(Calendario!AJ$14=1,INDEX($G$39:$P$39,1,1)*p_EspInd,0))*AJ$73/AJ$72</f>
        <v>13342.04</v>
      </c>
      <c r="AK85" s="13" t="n">
        <f aca="false">IF(AK$68=1,INDEX($G$39:$P$39,1,AK$67),IF(Calendario!AK$14=1,INDEX($G$39:$P$39,1,1)*p_EspInd,0))*AK$73/AK$72</f>
        <v>13342.04</v>
      </c>
      <c r="AL85" s="13" t="n">
        <f aca="false">IF(AL$68=1,INDEX($G$39:$P$39,1,AL$67),IF(Calendario!AL$14=1,INDEX($G$39:$P$39,1,1)*p_EspInd,0))*AL$73/AL$72</f>
        <v>13342.04</v>
      </c>
      <c r="AM85" s="13" t="n">
        <f aca="false">IF(AM$68=1,INDEX($G$39:$P$39,1,AM$67),IF(Calendario!AM$14=1,INDEX($G$39:$P$39,1,1)*p_EspInd,0))*AM$73/AM$72</f>
        <v>13342.04</v>
      </c>
      <c r="AN85" s="13" t="n">
        <f aca="false">IF(AN$68=1,INDEX($G$39:$P$39,1,AN$67),IF(Calendario!AN$14=1,INDEX($G$39:$P$39,1,1)*p_EspInd,0))*AN$73/AN$72</f>
        <v>13342.04</v>
      </c>
      <c r="AO85" s="13" t="n">
        <f aca="false">IF(AO$68=1,INDEX($G$39:$P$39,1,AO$67),IF(Calendario!AO$14=1,INDEX($G$39:$P$39,1,1)*p_EspInd,0))*AO$73/AO$72</f>
        <v>13342.04</v>
      </c>
      <c r="AP85" s="13" t="n">
        <f aca="false">IF(AP$68=1,INDEX($G$39:$P$39,1,AP$67),IF(Calendario!AP$14=1,INDEX($G$39:$P$39,1,1)*p_EspInd,0))*AP$73/AP$72</f>
        <v>13342.04</v>
      </c>
      <c r="AQ85" s="13" t="n">
        <f aca="false">IF(AQ$68=1,INDEX($G$39:$P$39,1,AQ$67),IF(Calendario!AQ$14=1,INDEX($G$39:$P$39,1,1)*p_EspInd,0))*AQ$73/AQ$72</f>
        <v>13342.04</v>
      </c>
      <c r="AR85" s="13" t="n">
        <f aca="false">IF(AR$68=1,INDEX($G$39:$P$39,1,AR$67),IF(Calendario!AR$14=1,INDEX($G$39:$P$39,1,1)*p_EspInd,0))*AR$73/AR$72</f>
        <v>13342.04</v>
      </c>
      <c r="AS85" s="13" t="n">
        <f aca="false">IF(AS$68=1,INDEX($G$39:$P$39,1,AS$67),IF(Calendario!AS$14=1,INDEX($G$39:$P$39,1,1)*p_EspInd,0))*AS$73/AS$72</f>
        <v>13342.04</v>
      </c>
      <c r="AT85" s="13" t="n">
        <f aca="false">IF(AT$68=1,INDEX($G$39:$P$39,1,AT$67),IF(Calendario!AT$14=1,INDEX($G$39:$P$39,1,1)*p_EspInd,0))*AT$73/AT$72</f>
        <v>13342.04</v>
      </c>
      <c r="AU85" s="13" t="n">
        <f aca="false">IF(AU$68=1,INDEX($G$39:$P$39,1,AU$67),IF(Calendario!AU$14=1,INDEX($G$39:$P$39,1,1)*p_EspInd,0))*AU$73/AU$72</f>
        <v>13342.04</v>
      </c>
      <c r="AV85" s="13" t="n">
        <f aca="false">IF(AV$68=1,INDEX($G$39:$P$39,1,AV$67),IF(Calendario!AV$14=1,INDEX($G$39:$P$39,1,1)*p_EspInd,0))*AV$73/AV$72</f>
        <v>13342.04</v>
      </c>
      <c r="AW85" s="13" t="n">
        <f aca="false">IF(AW$68=1,INDEX($G$39:$P$39,1,AW$67),IF(Calendario!AW$14=1,INDEX($G$39:$P$39,1,1)*p_EspInd,0))*AW$73/AW$72</f>
        <v>13342.04</v>
      </c>
      <c r="AX85" s="13" t="n">
        <f aca="false">IF(AX$68=1,INDEX($G$39:$P$39,1,AX$67),IF(Calendario!AX$14=1,INDEX($G$39:$P$39,1,1)*p_EspInd,0))*AX$73/AX$72</f>
        <v>13342.04</v>
      </c>
      <c r="AY85" s="13" t="n">
        <f aca="false">IF(AY$68=1,INDEX($G$39:$P$39,1,AY$67),IF(Calendario!AY$14=1,INDEX($G$39:$P$39,1,1)*p_EspInd,0))*AY$73/AY$72</f>
        <v>13342.04</v>
      </c>
      <c r="AZ85" s="13" t="n">
        <f aca="false">IF(AZ$68=1,INDEX($G$39:$P$39,1,AZ$67),IF(Calendario!AZ$14=1,INDEX($G$39:$P$39,1,1)*p_EspInd,0))*AZ$73/AZ$72</f>
        <v>13342.04</v>
      </c>
      <c r="BA85" s="13" t="n">
        <f aca="false">IF(BA$68=1,INDEX($G$39:$P$39,1,BA$67),IF(Calendario!BA$14=1,INDEX($G$39:$P$39,1,1)*p_EspInd,0))*BA$73/BA$72</f>
        <v>13342.04</v>
      </c>
      <c r="BB85" s="13" t="n">
        <f aca="false">IF(BB$68=1,INDEX($G$39:$P$39,1,BB$67),IF(Calendario!BB$14=1,INDEX($G$39:$P$39,1,1)*p_EspInd,0))*BB$73/BB$72</f>
        <v>13342.04</v>
      </c>
      <c r="BC85" s="13" t="n">
        <f aca="false">IF(BC$68=1,INDEX($G$39:$P$39,1,BC$67),IF(Calendario!BC$14=1,INDEX($G$39:$P$39,1,1)*p_EspInd,0))*BC$73/BC$72</f>
        <v>13342.04</v>
      </c>
      <c r="BD85" s="13" t="n">
        <f aca="false">IF(BD$68=1,INDEX($G$39:$P$39,1,BD$67),IF(Calendario!BD$14=1,INDEX($G$39:$P$39,1,1)*p_EspInd,0))*BD$73/BD$72</f>
        <v>13342.04</v>
      </c>
      <c r="BE85" s="13" t="n">
        <f aca="false">IF(BE$68=1,INDEX($G$39:$P$39,1,BE$67),IF(Calendario!BE$14=1,INDEX($G$39:$P$39,1,1)*p_EspInd,0))*BE$73/BE$72</f>
        <v>13342.04</v>
      </c>
      <c r="BF85" s="13" t="n">
        <f aca="false">IF(BF$68=1,INDEX($G$39:$P$39,1,BF$67),IF(Calendario!BF$14=1,INDEX($G$39:$P$39,1,1)*p_EspInd,0))*BF$73/BF$72</f>
        <v>13342.04</v>
      </c>
      <c r="BG85" s="13" t="n">
        <f aca="false">IF(BG$68=1,INDEX($G$39:$P$39,1,BG$67),IF(Calendario!BG$14=1,INDEX($G$39:$P$39,1,1)*p_EspInd,0))*BG$73/BG$72</f>
        <v>13342.04</v>
      </c>
      <c r="BH85" s="13" t="n">
        <f aca="false">IF(BH$68=1,INDEX($G$39:$P$39,1,BH$67),IF(Calendario!BH$14=1,INDEX($G$39:$P$39,1,1)*p_EspInd,0))*BH$73/BH$72</f>
        <v>13342.04</v>
      </c>
      <c r="BI85" s="13" t="n">
        <f aca="false">IF(BI$68=1,INDEX($G$39:$P$39,1,BI$67),IF(Calendario!BI$14=1,INDEX($G$39:$P$39,1,1)*p_EspInd,0))*BI$73/BI$72</f>
        <v>13342.04</v>
      </c>
      <c r="BJ85" s="13" t="n">
        <f aca="false">IF(BJ$68=1,INDEX($G$39:$P$39,1,BJ$67),IF(Calendario!BJ$14=1,INDEX($G$39:$P$39,1,1)*p_EspInd,0))*BJ$73/BJ$72</f>
        <v>13342.04</v>
      </c>
      <c r="BK85" s="13" t="n">
        <f aca="false">IF(BK$68=1,INDEX($G$39:$P$39,1,BK$67),IF(Calendario!BK$14=1,INDEX($G$39:$P$39,1,1)*p_EspInd,0))*BK$73/BK$72</f>
        <v>13342.04</v>
      </c>
      <c r="BL85" s="13" t="n">
        <f aca="false">IF(BL$68=1,INDEX($G$39:$P$39,1,BL$67),IF(Calendario!BL$14=1,INDEX($G$39:$P$39,1,1)*p_EspInd,0))*BL$73/BL$72</f>
        <v>13342.04</v>
      </c>
      <c r="BM85" s="13" t="n">
        <f aca="false">IF(BM$68=1,INDEX($G$39:$P$39,1,BM$67),IF(Calendario!BM$14=1,INDEX($G$39:$P$39,1,1)*p_EspInd,0))*BM$73/BM$72</f>
        <v>13342.04</v>
      </c>
      <c r="BN85" s="13" t="n">
        <f aca="false">IF(BN$68=1,INDEX($G$39:$P$39,1,BN$67),IF(Calendario!BN$14=1,INDEX($G$39:$P$39,1,1)*p_EspInd,0))*BN$73/BN$72</f>
        <v>13342.04</v>
      </c>
      <c r="BO85" s="13" t="n">
        <f aca="false">IF(BO$68=1,INDEX($G$39:$P$39,1,BO$67),IF(Calendario!BO$14=1,INDEX($G$39:$P$39,1,1)*p_EspInd,0))*BO$73/BO$72</f>
        <v>13342.04</v>
      </c>
      <c r="BP85" s="13" t="n">
        <f aca="false">IF(BP$68=1,INDEX($G$39:$P$39,1,BP$67),IF(Calendario!BP$14=1,INDEX($G$39:$P$39,1,1)*p_EspInd,0))*BP$73/BP$72</f>
        <v>13342.04</v>
      </c>
      <c r="BQ85" s="13" t="n">
        <f aca="false">IF(BQ$68=1,INDEX($G$39:$P$39,1,BQ$67),IF(Calendario!BQ$14=1,INDEX($G$39:$P$39,1,1)*p_EspInd,0))*BQ$73/BQ$72</f>
        <v>13342.04</v>
      </c>
      <c r="BR85" s="13" t="n">
        <f aca="false">IF(BR$68=1,INDEX($G$39:$P$39,1,BR$67),IF(Calendario!BR$14=1,INDEX($G$39:$P$39,1,1)*p_EspInd,0))*BR$73/BR$72</f>
        <v>13342.04</v>
      </c>
      <c r="BS85" s="13" t="n">
        <f aca="false">IF(BS$68=1,INDEX($G$39:$P$39,1,BS$67),IF(Calendario!BS$14=1,INDEX($G$39:$P$39,1,1)*p_EspInd,0))*BS$73/BS$72</f>
        <v>13342.04</v>
      </c>
      <c r="BT85" s="13" t="n">
        <f aca="false">IF(BT$68=1,INDEX($G$39:$P$39,1,BT$67),IF(Calendario!BT$14=1,INDEX($G$39:$P$39,1,1)*p_EspInd,0))*BT$73/BT$72</f>
        <v>13342.04</v>
      </c>
      <c r="BU85" s="13" t="n">
        <f aca="false">IF(BU$68=1,INDEX($G$39:$P$39,1,BU$67),IF(Calendario!BU$14=1,INDEX($G$39:$P$39,1,1)*p_EspInd,0))*BU$73/BU$72</f>
        <v>13342.04</v>
      </c>
      <c r="BV85" s="13" t="n">
        <f aca="false">IF(BV$68=1,INDEX($G$39:$P$39,1,BV$67),IF(Calendario!BV$14=1,INDEX($G$39:$P$39,1,1)*p_EspInd,0))*BV$73/BV$72</f>
        <v>13342.04</v>
      </c>
      <c r="BW85" s="13" t="n">
        <f aca="false">IF(BW$68=1,INDEX($G$39:$P$39,1,BW$67),IF(Calendario!BW$14=1,INDEX($G$39:$P$39,1,1)*p_EspInd,0))*BW$73/BW$72</f>
        <v>13342.04</v>
      </c>
      <c r="BX85" s="13" t="n">
        <f aca="false">IF(BX$68=1,INDEX($G$39:$P$39,1,BX$67),IF(Calendario!BX$14=1,INDEX($G$39:$P$39,1,1)*p_EspInd,0))*BX$73/BX$72</f>
        <v>13342.04</v>
      </c>
      <c r="BY85" s="13" t="n">
        <f aca="false">IF(BY$68=1,INDEX($G$39:$P$39,1,BY$67),IF(Calendario!BY$14=1,INDEX($G$39:$P$39,1,1)*p_EspInd,0))*BY$73/BY$72</f>
        <v>13342.04</v>
      </c>
      <c r="BZ85" s="13" t="n">
        <f aca="false">IF(BZ$68=1,INDEX($G$39:$P$39,1,BZ$67),IF(Calendario!BZ$14=1,INDEX($G$39:$P$39,1,1)*p_EspInd,0))*BZ$73/BZ$72</f>
        <v>13342.04</v>
      </c>
      <c r="CA85" s="13" t="n">
        <f aca="false">IF(CA$68=1,INDEX($G$39:$P$39,1,CA$67),IF(Calendario!CA$14=1,INDEX($G$39:$P$39,1,1)*p_EspInd,0))*CA$73/CA$72</f>
        <v>13342.04</v>
      </c>
      <c r="CB85" s="13" t="n">
        <f aca="false">IF(CB$68=1,INDEX($G$39:$P$39,1,CB$67),IF(Calendario!CB$14=1,INDEX($G$39:$P$39,1,1)*p_EspInd,0))*CB$73/CB$72</f>
        <v>13342.04</v>
      </c>
      <c r="CC85" s="13" t="n">
        <f aca="false">IF(CC$68=1,INDEX($G$39:$P$39,1,CC$67),IF(Calendario!CC$14=1,INDEX($G$39:$P$39,1,1)*p_EspInd,0))*CC$73/CC$72</f>
        <v>13342.04</v>
      </c>
      <c r="CD85" s="13" t="n">
        <f aca="false">IF(CD$68=1,INDEX($G$39:$P$39,1,CD$67),IF(Calendario!CD$14=1,INDEX($G$39:$P$39,1,1)*p_EspInd,0))*CD$73/CD$72</f>
        <v>13342.04</v>
      </c>
      <c r="CE85" s="13" t="n">
        <f aca="false">IF(CE$68=1,INDEX($G$39:$P$39,1,CE$67),IF(Calendario!CE$14=1,INDEX($G$39:$P$39,1,1)*p_EspInd,0))*CE$73/CE$72</f>
        <v>13342.04</v>
      </c>
      <c r="CF85" s="13" t="n">
        <f aca="false">IF(CF$68=1,INDEX($G$39:$P$39,1,CF$67),IF(Calendario!CF$14=1,INDEX($G$39:$P$39,1,1)*p_EspInd,0))*CF$73/CF$72</f>
        <v>13342.04</v>
      </c>
      <c r="CG85" s="13" t="n">
        <f aca="false">IF(CG$68=1,INDEX($G$39:$P$39,1,CG$67),IF(Calendario!CG$14=1,INDEX($G$39:$P$39,1,1)*p_EspInd,0))*CG$73/CG$72</f>
        <v>13342.04</v>
      </c>
      <c r="CH85" s="13" t="n">
        <f aca="false">IF(CH$68=1,INDEX($G$39:$P$39,1,CH$67),IF(Calendario!CH$14=1,INDEX($G$39:$P$39,1,1)*p_EspInd,0))*CH$73/CH$72</f>
        <v>13342.04</v>
      </c>
      <c r="CI85" s="13" t="n">
        <f aca="false">IF(CI$68=1,INDEX($G$39:$P$39,1,CI$67),IF(Calendario!CI$14=1,INDEX($G$39:$P$39,1,1)*p_EspInd,0))*CI$73/CI$72</f>
        <v>13342.04</v>
      </c>
      <c r="CJ85" s="13" t="n">
        <f aca="false">IF(CJ$68=1,INDEX($G$39:$P$39,1,CJ$67),IF(Calendario!CJ$14=1,INDEX($G$39:$P$39,1,1)*p_EspInd,0))*CJ$73/CJ$72</f>
        <v>13342.04</v>
      </c>
      <c r="CK85" s="13" t="n">
        <f aca="false">IF(CK$68=1,INDEX($G$39:$P$39,1,CK$67),IF(Calendario!CK$14=1,INDEX($G$39:$P$39,1,1)*p_EspInd,0))*CK$73/CK$72</f>
        <v>13342.04</v>
      </c>
      <c r="CL85" s="13" t="n">
        <f aca="false">IF(CL$68=1,INDEX($G$39:$P$39,1,CL$67),IF(Calendario!CL$14=1,INDEX($G$39:$P$39,1,1)*p_EspInd,0))*CL$73/CL$72</f>
        <v>13342.04</v>
      </c>
      <c r="CM85" s="13" t="n">
        <f aca="false">IF(CM$68=1,INDEX($G$39:$P$39,1,CM$67),IF(Calendario!CM$14=1,INDEX($G$39:$P$39,1,1)*p_EspInd,0))*CM$73/CM$72</f>
        <v>13342.04</v>
      </c>
      <c r="CN85" s="13" t="n">
        <f aca="false">IF(CN$68=1,INDEX($G$39:$P$39,1,CN$67),IF(Calendario!CN$14=1,INDEX($G$39:$P$39,1,1)*p_EspInd,0))*CN$73/CN$72</f>
        <v>13342.04</v>
      </c>
      <c r="CO85" s="13" t="n">
        <f aca="false">IF(CO$68=1,INDEX($G$39:$P$39,1,CO$67),IF(Calendario!CO$14=1,INDEX($G$39:$P$39,1,1)*p_EspInd,0))*CO$73/CO$72</f>
        <v>13342.04</v>
      </c>
      <c r="CP85" s="13" t="n">
        <f aca="false">IF(CP$68=1,INDEX($G$39:$P$39,1,CP$67),IF(Calendario!CP$14=1,INDEX($G$39:$P$39,1,1)*p_EspInd,0))*CP$73/CP$72</f>
        <v>13342.04</v>
      </c>
      <c r="CQ85" s="13" t="n">
        <f aca="false">IF(CQ$68=1,INDEX($G$39:$P$39,1,CQ$67),IF(Calendario!CQ$14=1,INDEX($G$39:$P$39,1,1)*p_EspInd,0))*CQ$73/CQ$72</f>
        <v>13342.04</v>
      </c>
      <c r="CR85" s="13" t="n">
        <f aca="false">IF(CR$68=1,INDEX($G$39:$P$39,1,CR$67),IF(Calendario!CR$14=1,INDEX($G$39:$P$39,1,1)*p_EspInd,0))*CR$73/CR$72</f>
        <v>13342.04</v>
      </c>
      <c r="CS85" s="13" t="n">
        <f aca="false">IF(CS$68=1,INDEX($G$39:$P$39,1,CS$67),IF(Calendario!CS$14=1,INDEX($G$39:$P$39,1,1)*p_EspInd,0))*CS$73/CS$72</f>
        <v>13342.04</v>
      </c>
      <c r="CT85" s="13" t="n">
        <f aca="false">IF(CT$68=1,INDEX($G$39:$P$39,1,CT$67),IF(Calendario!CT$14=1,INDEX($G$39:$P$39,1,1)*p_EspInd,0))*CT$73/CT$72</f>
        <v>13342.04</v>
      </c>
      <c r="CU85" s="13" t="n">
        <f aca="false">IF(CU$68=1,INDEX($G$39:$P$39,1,CU$67),IF(Calendario!CU$14=1,INDEX($G$39:$P$39,1,1)*p_EspInd,0))*CU$73/CU$72</f>
        <v>13342.04</v>
      </c>
      <c r="CV85" s="13" t="n">
        <f aca="false">IF(CV$68=1,INDEX($G$39:$P$39,1,CV$67),IF(Calendario!CV$14=1,INDEX($G$39:$P$39,1,1)*p_EspInd,0))*CV$73/CV$72</f>
        <v>13342.04</v>
      </c>
      <c r="CW85" s="13" t="n">
        <f aca="false">IF(CW$68=1,INDEX($G$39:$P$39,1,CW$67),IF(Calendario!CW$14=1,INDEX($G$39:$P$39,1,1)*p_EspInd,0))*CW$73/CW$72</f>
        <v>13342.04</v>
      </c>
      <c r="CX85" s="13" t="n">
        <f aca="false">IF(CX$68=1,INDEX($G$39:$P$39,1,CX$67),IF(Calendario!CX$14=1,INDEX($G$39:$P$39,1,1)*p_EspInd,0))*CX$73/CX$72</f>
        <v>13342.04</v>
      </c>
      <c r="CY85" s="13" t="n">
        <f aca="false">IF(CY$68=1,INDEX($G$39:$P$39,1,CY$67),IF(Calendario!CY$14=1,INDEX($G$39:$P$39,1,1)*p_EspInd,0))*CY$73/CY$72</f>
        <v>13342.04</v>
      </c>
      <c r="CZ85" s="13" t="n">
        <f aca="false">IF(CZ$68=1,INDEX($G$39:$P$39,1,CZ$67),IF(Calendario!CZ$14=1,INDEX($G$39:$P$39,1,1)*p_EspInd,0))*CZ$73/CZ$72</f>
        <v>13342.04</v>
      </c>
      <c r="DA85" s="13" t="n">
        <f aca="false">IF(DA$68=1,INDEX($G$39:$P$39,1,DA$67),IF(Calendario!DA$14=1,INDEX($G$39:$P$39,1,1)*p_EspInd,0))*DA$73/DA$72</f>
        <v>13342.04</v>
      </c>
      <c r="DB85" s="13" t="n">
        <f aca="false">IF(DB$68=1,INDEX($G$39:$P$39,1,DB$67),IF(Calendario!DB$14=1,INDEX($G$39:$P$39,1,1)*p_EspInd,0))*DB$73/DB$72</f>
        <v>13342.04</v>
      </c>
      <c r="DC85" s="13" t="n">
        <f aca="false">IF(DC$68=1,INDEX($G$39:$P$39,1,DC$67),IF(Calendario!DC$14=1,INDEX($G$39:$P$39,1,1)*p_EspInd,0))*DC$73/DC$72</f>
        <v>13342.04</v>
      </c>
      <c r="DD85" s="13" t="n">
        <f aca="false">IF(DD$68=1,INDEX($G$39:$P$39,1,DD$67),IF(Calendario!DD$14=1,INDEX($G$39:$P$39,1,1)*p_EspInd,0))*DD$73/DD$72</f>
        <v>13342.04</v>
      </c>
      <c r="DE85" s="13" t="n">
        <f aca="false">IF(DE$68=1,INDEX($G$39:$P$39,1,DE$67),IF(Calendario!DE$14=1,INDEX($G$39:$P$39,1,1)*p_EspInd,0))*DE$73/DE$72</f>
        <v>13342.04</v>
      </c>
      <c r="DF85" s="13" t="n">
        <f aca="false">IF(DF$68=1,INDEX($G$39:$P$39,1,DF$67),IF(Calendario!DF$14=1,INDEX($G$39:$P$39,1,1)*p_EspInd,0))*DF$73/DF$72</f>
        <v>13342.04</v>
      </c>
      <c r="DG85" s="13" t="n">
        <f aca="false">IF(DG$68=1,INDEX($G$39:$P$39,1,DG$67),IF(Calendario!DG$14=1,INDEX($G$39:$P$39,1,1)*p_EspInd,0))*DG$73/DG$72</f>
        <v>13342.04</v>
      </c>
      <c r="DH85" s="13" t="n">
        <f aca="false">IF(DH$68=1,INDEX($G$39:$P$39,1,DH$67),IF(Calendario!DH$14=1,INDEX($G$39:$P$39,1,1)*p_EspInd,0))*DH$73/DH$72</f>
        <v>13342.04</v>
      </c>
      <c r="DI85" s="13" t="n">
        <f aca="false">IF(DI$68=1,INDEX($G$39:$P$39,1,DI$67),IF(Calendario!DI$14=1,INDEX($G$39:$P$39,1,1)*p_EspInd,0))*DI$73/DI$72</f>
        <v>13342.04</v>
      </c>
      <c r="DJ85" s="13" t="n">
        <f aca="false">IF(DJ$68=1,INDEX($G$39:$P$39,1,DJ$67),IF(Calendario!DJ$14=1,INDEX($G$39:$P$39,1,1)*p_EspInd,0))*DJ$73/DJ$72</f>
        <v>13342.04</v>
      </c>
      <c r="DK85" s="13" t="n">
        <f aca="false">IF(DK$68=1,INDEX($G$39:$P$39,1,DK$67),IF(Calendario!DK$14=1,INDEX($G$39:$P$39,1,1)*p_EspInd,0))*DK$73/DK$72</f>
        <v>13342.04</v>
      </c>
      <c r="DL85" s="13" t="n">
        <f aca="false">IF(DL$68=1,INDEX($G$39:$P$39,1,DL$67),IF(Calendario!DL$14=1,INDEX($G$39:$P$39,1,1)*p_EspInd,0))*DL$73/DL$72</f>
        <v>13342.04</v>
      </c>
      <c r="DM85" s="13" t="n">
        <f aca="false">IF(DM$68=1,INDEX($G$39:$P$39,1,DM$67),IF(Calendario!DM$14=1,INDEX($G$39:$P$39,1,1)*p_EspInd,0))*DM$73/DM$72</f>
        <v>13342.04</v>
      </c>
      <c r="DN85" s="13" t="n">
        <f aca="false">IF(DN$68=1,INDEX($G$39:$P$39,1,DN$67),IF(Calendario!DN$14=1,INDEX($G$39:$P$39,1,1)*p_EspInd,0))*DN$73/DN$72</f>
        <v>13342.04</v>
      </c>
      <c r="DO85" s="13" t="n">
        <f aca="false">IF(DO$68=1,INDEX($G$39:$P$39,1,DO$67),IF(Calendario!DO$14=1,INDEX($G$39:$P$39,1,1)*p_EspInd,0))*DO$73/DO$72</f>
        <v>13342.04</v>
      </c>
      <c r="DP85" s="13" t="n">
        <f aca="false">IF(DP$68=1,INDEX($G$39:$P$39,1,DP$67),IF(Calendario!DP$14=1,INDEX($G$39:$P$39,1,1)*p_EspInd,0))*DP$73/DP$72</f>
        <v>13342.04</v>
      </c>
      <c r="DQ85" s="13" t="n">
        <f aca="false">IF(DQ$68=1,INDEX($G$39:$P$39,1,DQ$67),IF(Calendario!DQ$14=1,INDEX($G$39:$P$39,1,1)*p_EspInd,0))*DQ$73/DQ$72</f>
        <v>13342.04</v>
      </c>
      <c r="DR85" s="13" t="n">
        <f aca="false">IF(DR$68=1,INDEX($G$39:$P$39,1,DR$67),IF(Calendario!DR$14=1,INDEX($G$39:$P$39,1,1)*p_EspInd,0))*DR$73/DR$72</f>
        <v>13342.04</v>
      </c>
      <c r="DS85" s="13" t="n">
        <f aca="false">IF(DS$68=1,INDEX($G$39:$P$39,1,DS$67),IF(Calendario!DS$14=1,INDEX($G$39:$P$39,1,1)*p_EspInd,0))*DS$73/DS$72</f>
        <v>13342.04</v>
      </c>
      <c r="DT85" s="13" t="n">
        <f aca="false">IF(DT$68=1,INDEX($G$39:$P$39,1,DT$67),IF(Calendario!DT$14=1,INDEX($G$39:$P$39,1,1)*p_EspInd,0))*DT$73/DT$72</f>
        <v>13342.04</v>
      </c>
      <c r="DU85" s="13" t="n">
        <f aca="false">IF(DU$68=1,INDEX($G$39:$P$39,1,DU$67),IF(Calendario!DU$14=1,INDEX($G$39:$P$39,1,1)*p_EspInd,0))*DU$73/DU$72</f>
        <v>13342.04</v>
      </c>
      <c r="DV85" s="13" t="n">
        <f aca="false">IF(DV$68=1,INDEX($G$39:$P$39,1,DV$67),IF(Calendario!DV$14=1,INDEX($G$39:$P$39,1,1)*p_EspInd,0))*DV$73/DV$72</f>
        <v>13342.04</v>
      </c>
      <c r="DW85" s="13" t="n">
        <f aca="false">IF(DW$68=1,INDEX($G$39:$P$39,1,DW$67),IF(Calendario!DW$14=1,INDEX($G$39:$P$39,1,1)*p_EspInd,0))*DW$73/DW$72</f>
        <v>0</v>
      </c>
      <c r="DX85" s="13" t="n">
        <f aca="false">IF(DX$68=1,INDEX($G$39:$P$39,1,DX$67),IF(Calendario!DX$14=1,INDEX($G$39:$P$39,1,1)*p_EspInd,0))*DX$73/DX$72</f>
        <v>0</v>
      </c>
      <c r="DY85" s="13" t="n">
        <f aca="false">IF(DY$68=1,INDEX($G$39:$P$39,1,DY$67),IF(Calendario!DY$14=1,INDEX($G$39:$P$39,1,1)*p_EspInd,0))*DY$73/DY$72</f>
        <v>0</v>
      </c>
      <c r="DZ85" s="13" t="n">
        <f aca="false">IF(DZ$68=1,INDEX($G$39:$P$39,1,DZ$67),IF(Calendario!DZ$14=1,INDEX($G$39:$P$39,1,1)*p_EspInd,0))*DZ$73/DZ$72</f>
        <v>0</v>
      </c>
      <c r="EA85" s="13" t="n">
        <f aca="false">IF(EA$68=1,INDEX($G$39:$P$39,1,EA$67),IF(Calendario!EA$14=1,INDEX($G$39:$P$39,1,1)*p_EspInd,0))*EA$73/EA$72</f>
        <v>0</v>
      </c>
      <c r="EB85" s="13" t="n">
        <f aca="false">IF(EB$68=1,INDEX($G$39:$P$39,1,EB$67),IF(Calendario!EB$14=1,INDEX($G$39:$P$39,1,1)*p_EspInd,0))*EB$73/EB$72</f>
        <v>0</v>
      </c>
      <c r="EC85" s="13" t="n">
        <f aca="false">IF(EC$68=1,INDEX($G$39:$P$39,1,EC$67),IF(Calendario!EC$14=1,INDEX($G$39:$P$39,1,1)*p_EspInd,0))*EC$73/EC$72</f>
        <v>0</v>
      </c>
      <c r="ED85" s="13" t="n">
        <f aca="false">IF(ED$68=1,INDEX($G$39:$P$39,1,ED$67),IF(Calendario!ED$14=1,INDEX($G$39:$P$39,1,1)*p_EspInd,0))*ED$73/ED$72</f>
        <v>0</v>
      </c>
      <c r="EE85" s="13" t="n">
        <f aca="false">IF(EE$68=1,INDEX($G$39:$P$39,1,EE$67),IF(Calendario!EE$14=1,INDEX($G$39:$P$39,1,1)*p_EspInd,0))*EE$73/EE$72</f>
        <v>0</v>
      </c>
      <c r="EF85" s="13" t="n">
        <f aca="false">IF(EF$68=1,INDEX($G$39:$P$39,1,EF$67),IF(Calendario!EF$14=1,INDEX($G$39:$P$39,1,1)*p_EspInd,0))*EF$73/EF$72</f>
        <v>0</v>
      </c>
      <c r="EG85" s="13" t="n">
        <f aca="false">IF(EG$68=1,INDEX($G$39:$P$39,1,EG$67),IF(Calendario!EG$14=1,INDEX($G$39:$P$39,1,1)*p_EspInd,0))*EG$73/EG$72</f>
        <v>0</v>
      </c>
      <c r="EH85" s="13" t="n">
        <f aca="false">IF(EH$68=1,INDEX($G$39:$P$39,1,EH$67),IF(Calendario!EH$14=1,INDEX($G$39:$P$39,1,1)*p_EspInd,0))*EH$73/EH$72</f>
        <v>0</v>
      </c>
      <c r="EI85" s="13" t="n">
        <f aca="false">IF(EI$68=1,INDEX($G$39:$P$39,1,EI$67),IF(Calendario!EI$14=1,INDEX($G$39:$P$39,1,1)*p_EspInd,0))*EI$73/EI$72</f>
        <v>0</v>
      </c>
      <c r="EJ85" s="13" t="n">
        <f aca="false">IF(EJ$68=1,INDEX($G$39:$P$39,1,EJ$67),IF(Calendario!EJ$14=1,INDEX($G$39:$P$39,1,1)*p_EspInd,0))*EJ$73/EJ$72</f>
        <v>0</v>
      </c>
      <c r="EK85" s="13" t="n">
        <f aca="false">IF(EK$68=1,INDEX($G$39:$P$39,1,EK$67),IF(Calendario!EK$14=1,INDEX($G$39:$P$39,1,1)*p_EspInd,0))*EK$73/EK$72</f>
        <v>0</v>
      </c>
      <c r="EL85" s="13" t="n">
        <f aca="false">IF(EL$68=1,INDEX($G$39:$P$39,1,EL$67),IF(Calendario!EL$14=1,INDEX($G$39:$P$39,1,1)*p_EspInd,0))*EL$73/EL$72</f>
        <v>0</v>
      </c>
      <c r="EM85" s="13" t="n">
        <f aca="false">IF(EM$68=1,INDEX($G$39:$P$39,1,EM$67),IF(Calendario!EM$14=1,INDEX($G$39:$P$39,1,1)*p_EspInd,0))*EM$73/EM$72</f>
        <v>0</v>
      </c>
      <c r="EN85" s="13" t="n">
        <f aca="false">IF(EN$68=1,INDEX($G$39:$P$39,1,EN$67),IF(Calendario!EN$14=1,INDEX($G$39:$P$39,1,1)*p_EspInd,0))*EN$73/EN$72</f>
        <v>0</v>
      </c>
      <c r="EO85" s="13" t="n">
        <f aca="false">IF(EO$68=1,INDEX($G$39:$P$39,1,EO$67),IF(Calendario!EO$14=1,INDEX($G$39:$P$39,1,1)*p_EspInd,0))*EO$73/EO$72</f>
        <v>0</v>
      </c>
      <c r="EP85" s="13" t="n">
        <f aca="false">IF(EP$68=1,INDEX($G$39:$P$39,1,EP$67),IF(Calendario!EP$14=1,INDEX($G$39:$P$39,1,1)*p_EspInd,0))*EP$73/EP$72</f>
        <v>0</v>
      </c>
      <c r="EQ85" s="13" t="n">
        <f aca="false">IF(EQ$68=1,INDEX($G$39:$P$39,1,EQ$67),IF(Calendario!EQ$14=1,INDEX($G$39:$P$39,1,1)*p_EspInd,0))*EQ$73/EQ$72</f>
        <v>0</v>
      </c>
      <c r="ER85" s="13" t="n">
        <f aca="false">IF(ER$68=1,INDEX($G$39:$P$39,1,ER$67),IF(Calendario!ER$14=1,INDEX($G$39:$P$39,1,1)*p_EspInd,0))*ER$73/ER$72</f>
        <v>0</v>
      </c>
      <c r="ES85" s="13" t="n">
        <f aca="false">IF(ES$68=1,INDEX($G$39:$P$39,1,ES$67),IF(Calendario!ES$14=1,INDEX($G$39:$P$39,1,1)*p_EspInd,0))*ES$73/ES$72</f>
        <v>0</v>
      </c>
      <c r="ET85" s="13" t="n">
        <f aca="false">IF(ET$68=1,INDEX($G$39:$P$39,1,ET$67),IF(Calendario!ET$14=1,INDEX($G$39:$P$39,1,1)*p_EspInd,0))*ET$73/ET$72</f>
        <v>0</v>
      </c>
      <c r="EU85" s="13" t="n">
        <f aca="false">IF(EU$68=1,INDEX($G$39:$P$39,1,EU$67),IF(Calendario!EU$14=1,INDEX($G$39:$P$39,1,1)*p_EspInd,0))*EU$73/EU$72</f>
        <v>0</v>
      </c>
      <c r="EV85" s="13" t="n">
        <f aca="false">IF(EV$68=1,INDEX($G$39:$P$39,1,EV$67),IF(Calendario!EV$14=1,INDEX($G$39:$P$39,1,1)*p_EspInd,0))*EV$73/EV$72</f>
        <v>0</v>
      </c>
      <c r="EW85" s="13" t="n">
        <f aca="false">IF(EW$68=1,INDEX($G$39:$P$39,1,EW$67),IF(Calendario!EW$14=1,INDEX($G$39:$P$39,1,1)*p_EspInd,0))*EW$73/EW$72</f>
        <v>0</v>
      </c>
      <c r="EX85" s="13" t="n">
        <f aca="false">IF(EX$68=1,INDEX($G$39:$P$39,1,EX$67),IF(Calendario!EX$14=1,INDEX($G$39:$P$39,1,1)*p_EspInd,0))*EX$73/EX$72</f>
        <v>0</v>
      </c>
      <c r="EY85" s="13" t="n">
        <f aca="false">IF(EY$68=1,INDEX($G$39:$P$39,1,EY$67),IF(Calendario!EY$14=1,INDEX($G$39:$P$39,1,1)*p_EspInd,0))*EY$73/EY$72</f>
        <v>0</v>
      </c>
      <c r="EZ85" s="13" t="n">
        <f aca="false">IF(EZ$68=1,INDEX($G$39:$P$39,1,EZ$67),IF(Calendario!EZ$14=1,INDEX($G$39:$P$39,1,1)*p_EspInd,0))*EZ$73/EZ$72</f>
        <v>0</v>
      </c>
      <c r="FA85" s="13" t="n">
        <f aca="false">IF(FA$68=1,INDEX($G$39:$P$39,1,FA$67),IF(Calendario!FA$14=1,INDEX($G$39:$P$39,1,1)*p_EspInd,0))*FA$73/FA$72</f>
        <v>0</v>
      </c>
      <c r="FB85" s="13" t="n">
        <f aca="false">IF(FB$68=1,INDEX($G$39:$P$39,1,FB$67),IF(Calendario!FB$14=1,INDEX($G$39:$P$39,1,1)*p_EspInd,0))*FB$73/FB$72</f>
        <v>0</v>
      </c>
      <c r="FC85" s="13" t="n">
        <f aca="false">IF(FC$68=1,INDEX($G$39:$P$39,1,FC$67),IF(Calendario!FC$14=1,INDEX($G$39:$P$39,1,1)*p_EspInd,0))*FC$73/FC$72</f>
        <v>0</v>
      </c>
      <c r="FD85" s="13" t="n">
        <f aca="false">IF(FD$68=1,INDEX($G$39:$P$39,1,FD$67),IF(Calendario!FD$14=1,INDEX($G$39:$P$39,1,1)*p_EspInd,0))*FD$73/FD$72</f>
        <v>0</v>
      </c>
      <c r="FE85" s="13" t="n">
        <f aca="false">IF(FE$68=1,INDEX($G$39:$P$39,1,FE$67),IF(Calendario!FE$14=1,INDEX($G$39:$P$39,1,1)*p_EspInd,0))*FE$73/FE$72</f>
        <v>0</v>
      </c>
      <c r="FF85" s="13" t="n">
        <f aca="false">IF(FF$68=1,INDEX($G$39:$P$39,1,FF$67),IF(Calendario!FF$14=1,INDEX($G$39:$P$39,1,1)*p_EspInd,0))*FF$73/FF$72</f>
        <v>0</v>
      </c>
    </row>
    <row r="86" customFormat="false" ht="15" hidden="false" customHeight="false" outlineLevel="0" collapsed="false">
      <c r="A86" s="2" t="s">
        <v>1034</v>
      </c>
      <c r="B86" s="8" t="s">
        <v>337</v>
      </c>
      <c r="C86" s="8" t="s">
        <v>255</v>
      </c>
      <c r="E86" s="65" t="n">
        <f aca="false">SUM($F86:$FF86)</f>
        <v>689890.20432</v>
      </c>
      <c r="F86" s="13" t="n">
        <f aca="false">F$85*p_Prest</f>
        <v>0</v>
      </c>
      <c r="G86" s="13" t="n">
        <f aca="false">G$85*p_Prest</f>
        <v>5749.085036</v>
      </c>
      <c r="H86" s="13" t="n">
        <f aca="false">H$85*p_Prest</f>
        <v>5749.085036</v>
      </c>
      <c r="I86" s="13" t="n">
        <f aca="false">I$85*p_Prest</f>
        <v>5749.085036</v>
      </c>
      <c r="J86" s="13" t="n">
        <f aca="false">J$85*p_Prest</f>
        <v>5749.085036</v>
      </c>
      <c r="K86" s="13" t="n">
        <f aca="false">K$85*p_Prest</f>
        <v>5749.085036</v>
      </c>
      <c r="L86" s="13" t="n">
        <f aca="false">L$85*p_Prest</f>
        <v>5749.085036</v>
      </c>
      <c r="M86" s="13" t="n">
        <f aca="false">M$85*p_Prest</f>
        <v>5749.085036</v>
      </c>
      <c r="N86" s="13" t="n">
        <f aca="false">N$85*p_Prest</f>
        <v>5749.085036</v>
      </c>
      <c r="O86" s="13" t="n">
        <f aca="false">O$85*p_Prest</f>
        <v>5749.085036</v>
      </c>
      <c r="P86" s="13" t="n">
        <f aca="false">P$85*p_Prest</f>
        <v>5749.085036</v>
      </c>
      <c r="Q86" s="13" t="n">
        <f aca="false">Q$85*p_Prest</f>
        <v>5749.085036</v>
      </c>
      <c r="R86" s="13" t="n">
        <f aca="false">R$85*p_Prest</f>
        <v>5749.085036</v>
      </c>
      <c r="S86" s="13" t="n">
        <f aca="false">S$85*p_Prest</f>
        <v>5749.085036</v>
      </c>
      <c r="T86" s="13" t="n">
        <f aca="false">T$85*p_Prest</f>
        <v>5749.085036</v>
      </c>
      <c r="U86" s="13" t="n">
        <f aca="false">U$85*p_Prest</f>
        <v>5749.085036</v>
      </c>
      <c r="V86" s="13" t="n">
        <f aca="false">V$85*p_Prest</f>
        <v>5749.085036</v>
      </c>
      <c r="W86" s="13" t="n">
        <f aca="false">W$85*p_Prest</f>
        <v>5749.085036</v>
      </c>
      <c r="X86" s="13" t="n">
        <f aca="false">X$85*p_Prest</f>
        <v>5749.085036</v>
      </c>
      <c r="Y86" s="13" t="n">
        <f aca="false">Y$85*p_Prest</f>
        <v>5749.085036</v>
      </c>
      <c r="Z86" s="13" t="n">
        <f aca="false">Z$85*p_Prest</f>
        <v>5749.085036</v>
      </c>
      <c r="AA86" s="13" t="n">
        <f aca="false">AA$85*p_Prest</f>
        <v>5749.085036</v>
      </c>
      <c r="AB86" s="13" t="n">
        <f aca="false">AB$85*p_Prest</f>
        <v>5749.085036</v>
      </c>
      <c r="AC86" s="13" t="n">
        <f aca="false">AC$85*p_Prest</f>
        <v>5749.085036</v>
      </c>
      <c r="AD86" s="13" t="n">
        <f aca="false">AD$85*p_Prest</f>
        <v>5749.085036</v>
      </c>
      <c r="AE86" s="13" t="n">
        <f aca="false">AE$85*p_Prest</f>
        <v>5749.085036</v>
      </c>
      <c r="AF86" s="13" t="n">
        <f aca="false">AF$85*p_Prest</f>
        <v>5749.085036</v>
      </c>
      <c r="AG86" s="13" t="n">
        <f aca="false">AG$85*p_Prest</f>
        <v>5749.085036</v>
      </c>
      <c r="AH86" s="13" t="n">
        <f aca="false">AH$85*p_Prest</f>
        <v>5749.085036</v>
      </c>
      <c r="AI86" s="13" t="n">
        <f aca="false">AI$85*p_Prest</f>
        <v>5749.085036</v>
      </c>
      <c r="AJ86" s="13" t="n">
        <f aca="false">AJ$85*p_Prest</f>
        <v>5749.085036</v>
      </c>
      <c r="AK86" s="13" t="n">
        <f aca="false">AK$85*p_Prest</f>
        <v>5749.085036</v>
      </c>
      <c r="AL86" s="13" t="n">
        <f aca="false">AL$85*p_Prest</f>
        <v>5749.085036</v>
      </c>
      <c r="AM86" s="13" t="n">
        <f aca="false">AM$85*p_Prest</f>
        <v>5749.085036</v>
      </c>
      <c r="AN86" s="13" t="n">
        <f aca="false">AN$85*p_Prest</f>
        <v>5749.085036</v>
      </c>
      <c r="AO86" s="13" t="n">
        <f aca="false">AO$85*p_Prest</f>
        <v>5749.085036</v>
      </c>
      <c r="AP86" s="13" t="n">
        <f aca="false">AP$85*p_Prest</f>
        <v>5749.085036</v>
      </c>
      <c r="AQ86" s="13" t="n">
        <f aca="false">AQ$85*p_Prest</f>
        <v>5749.085036</v>
      </c>
      <c r="AR86" s="13" t="n">
        <f aca="false">AR$85*p_Prest</f>
        <v>5749.085036</v>
      </c>
      <c r="AS86" s="13" t="n">
        <f aca="false">AS$85*p_Prest</f>
        <v>5749.085036</v>
      </c>
      <c r="AT86" s="13" t="n">
        <f aca="false">AT$85*p_Prest</f>
        <v>5749.085036</v>
      </c>
      <c r="AU86" s="13" t="n">
        <f aca="false">AU$85*p_Prest</f>
        <v>5749.085036</v>
      </c>
      <c r="AV86" s="13" t="n">
        <f aca="false">AV$85*p_Prest</f>
        <v>5749.085036</v>
      </c>
      <c r="AW86" s="13" t="n">
        <f aca="false">AW$85*p_Prest</f>
        <v>5749.085036</v>
      </c>
      <c r="AX86" s="13" t="n">
        <f aca="false">AX$85*p_Prest</f>
        <v>5749.085036</v>
      </c>
      <c r="AY86" s="13" t="n">
        <f aca="false">AY$85*p_Prest</f>
        <v>5749.085036</v>
      </c>
      <c r="AZ86" s="13" t="n">
        <f aca="false">AZ$85*p_Prest</f>
        <v>5749.085036</v>
      </c>
      <c r="BA86" s="13" t="n">
        <f aca="false">BA$85*p_Prest</f>
        <v>5749.085036</v>
      </c>
      <c r="BB86" s="13" t="n">
        <f aca="false">BB$85*p_Prest</f>
        <v>5749.085036</v>
      </c>
      <c r="BC86" s="13" t="n">
        <f aca="false">BC$85*p_Prest</f>
        <v>5749.085036</v>
      </c>
      <c r="BD86" s="13" t="n">
        <f aca="false">BD$85*p_Prest</f>
        <v>5749.085036</v>
      </c>
      <c r="BE86" s="13" t="n">
        <f aca="false">BE$85*p_Prest</f>
        <v>5749.085036</v>
      </c>
      <c r="BF86" s="13" t="n">
        <f aca="false">BF$85*p_Prest</f>
        <v>5749.085036</v>
      </c>
      <c r="BG86" s="13" t="n">
        <f aca="false">BG$85*p_Prest</f>
        <v>5749.085036</v>
      </c>
      <c r="BH86" s="13" t="n">
        <f aca="false">BH$85*p_Prest</f>
        <v>5749.085036</v>
      </c>
      <c r="BI86" s="13" t="n">
        <f aca="false">BI$85*p_Prest</f>
        <v>5749.085036</v>
      </c>
      <c r="BJ86" s="13" t="n">
        <f aca="false">BJ$85*p_Prest</f>
        <v>5749.085036</v>
      </c>
      <c r="BK86" s="13" t="n">
        <f aca="false">BK$85*p_Prest</f>
        <v>5749.085036</v>
      </c>
      <c r="BL86" s="13" t="n">
        <f aca="false">BL$85*p_Prest</f>
        <v>5749.085036</v>
      </c>
      <c r="BM86" s="13" t="n">
        <f aca="false">BM$85*p_Prest</f>
        <v>5749.085036</v>
      </c>
      <c r="BN86" s="13" t="n">
        <f aca="false">BN$85*p_Prest</f>
        <v>5749.085036</v>
      </c>
      <c r="BO86" s="13" t="n">
        <f aca="false">BO$85*p_Prest</f>
        <v>5749.085036</v>
      </c>
      <c r="BP86" s="13" t="n">
        <f aca="false">BP$85*p_Prest</f>
        <v>5749.085036</v>
      </c>
      <c r="BQ86" s="13" t="n">
        <f aca="false">BQ$85*p_Prest</f>
        <v>5749.085036</v>
      </c>
      <c r="BR86" s="13" t="n">
        <f aca="false">BR$85*p_Prest</f>
        <v>5749.085036</v>
      </c>
      <c r="BS86" s="13" t="n">
        <f aca="false">BS$85*p_Prest</f>
        <v>5749.085036</v>
      </c>
      <c r="BT86" s="13" t="n">
        <f aca="false">BT$85*p_Prest</f>
        <v>5749.085036</v>
      </c>
      <c r="BU86" s="13" t="n">
        <f aca="false">BU$85*p_Prest</f>
        <v>5749.085036</v>
      </c>
      <c r="BV86" s="13" t="n">
        <f aca="false">BV$85*p_Prest</f>
        <v>5749.085036</v>
      </c>
      <c r="BW86" s="13" t="n">
        <f aca="false">BW$85*p_Prest</f>
        <v>5749.085036</v>
      </c>
      <c r="BX86" s="13" t="n">
        <f aca="false">BX$85*p_Prest</f>
        <v>5749.085036</v>
      </c>
      <c r="BY86" s="13" t="n">
        <f aca="false">BY$85*p_Prest</f>
        <v>5749.085036</v>
      </c>
      <c r="BZ86" s="13" t="n">
        <f aca="false">BZ$85*p_Prest</f>
        <v>5749.085036</v>
      </c>
      <c r="CA86" s="13" t="n">
        <f aca="false">CA$85*p_Prest</f>
        <v>5749.085036</v>
      </c>
      <c r="CB86" s="13" t="n">
        <f aca="false">CB$85*p_Prest</f>
        <v>5749.085036</v>
      </c>
      <c r="CC86" s="13" t="n">
        <f aca="false">CC$85*p_Prest</f>
        <v>5749.085036</v>
      </c>
      <c r="CD86" s="13" t="n">
        <f aca="false">CD$85*p_Prest</f>
        <v>5749.085036</v>
      </c>
      <c r="CE86" s="13" t="n">
        <f aca="false">CE$85*p_Prest</f>
        <v>5749.085036</v>
      </c>
      <c r="CF86" s="13" t="n">
        <f aca="false">CF$85*p_Prest</f>
        <v>5749.085036</v>
      </c>
      <c r="CG86" s="13" t="n">
        <f aca="false">CG$85*p_Prest</f>
        <v>5749.085036</v>
      </c>
      <c r="CH86" s="13" t="n">
        <f aca="false">CH$85*p_Prest</f>
        <v>5749.085036</v>
      </c>
      <c r="CI86" s="13" t="n">
        <f aca="false">CI$85*p_Prest</f>
        <v>5749.085036</v>
      </c>
      <c r="CJ86" s="13" t="n">
        <f aca="false">CJ$85*p_Prest</f>
        <v>5749.085036</v>
      </c>
      <c r="CK86" s="13" t="n">
        <f aca="false">CK$85*p_Prest</f>
        <v>5749.085036</v>
      </c>
      <c r="CL86" s="13" t="n">
        <f aca="false">CL$85*p_Prest</f>
        <v>5749.085036</v>
      </c>
      <c r="CM86" s="13" t="n">
        <f aca="false">CM$85*p_Prest</f>
        <v>5749.085036</v>
      </c>
      <c r="CN86" s="13" t="n">
        <f aca="false">CN$85*p_Prest</f>
        <v>5749.085036</v>
      </c>
      <c r="CO86" s="13" t="n">
        <f aca="false">CO$85*p_Prest</f>
        <v>5749.085036</v>
      </c>
      <c r="CP86" s="13" t="n">
        <f aca="false">CP$85*p_Prest</f>
        <v>5749.085036</v>
      </c>
      <c r="CQ86" s="13" t="n">
        <f aca="false">CQ$85*p_Prest</f>
        <v>5749.085036</v>
      </c>
      <c r="CR86" s="13" t="n">
        <f aca="false">CR$85*p_Prest</f>
        <v>5749.085036</v>
      </c>
      <c r="CS86" s="13" t="n">
        <f aca="false">CS$85*p_Prest</f>
        <v>5749.085036</v>
      </c>
      <c r="CT86" s="13" t="n">
        <f aca="false">CT$85*p_Prest</f>
        <v>5749.085036</v>
      </c>
      <c r="CU86" s="13" t="n">
        <f aca="false">CU$85*p_Prest</f>
        <v>5749.085036</v>
      </c>
      <c r="CV86" s="13" t="n">
        <f aca="false">CV$85*p_Prest</f>
        <v>5749.085036</v>
      </c>
      <c r="CW86" s="13" t="n">
        <f aca="false">CW$85*p_Prest</f>
        <v>5749.085036</v>
      </c>
      <c r="CX86" s="13" t="n">
        <f aca="false">CX$85*p_Prest</f>
        <v>5749.085036</v>
      </c>
      <c r="CY86" s="13" t="n">
        <f aca="false">CY$85*p_Prest</f>
        <v>5749.085036</v>
      </c>
      <c r="CZ86" s="13" t="n">
        <f aca="false">CZ$85*p_Prest</f>
        <v>5749.085036</v>
      </c>
      <c r="DA86" s="13" t="n">
        <f aca="false">DA$85*p_Prest</f>
        <v>5749.085036</v>
      </c>
      <c r="DB86" s="13" t="n">
        <f aca="false">DB$85*p_Prest</f>
        <v>5749.085036</v>
      </c>
      <c r="DC86" s="13" t="n">
        <f aca="false">DC$85*p_Prest</f>
        <v>5749.085036</v>
      </c>
      <c r="DD86" s="13" t="n">
        <f aca="false">DD$85*p_Prest</f>
        <v>5749.085036</v>
      </c>
      <c r="DE86" s="13" t="n">
        <f aca="false">DE$85*p_Prest</f>
        <v>5749.085036</v>
      </c>
      <c r="DF86" s="13" t="n">
        <f aca="false">DF$85*p_Prest</f>
        <v>5749.085036</v>
      </c>
      <c r="DG86" s="13" t="n">
        <f aca="false">DG$85*p_Prest</f>
        <v>5749.085036</v>
      </c>
      <c r="DH86" s="13" t="n">
        <f aca="false">DH$85*p_Prest</f>
        <v>5749.085036</v>
      </c>
      <c r="DI86" s="13" t="n">
        <f aca="false">DI$85*p_Prest</f>
        <v>5749.085036</v>
      </c>
      <c r="DJ86" s="13" t="n">
        <f aca="false">DJ$85*p_Prest</f>
        <v>5749.085036</v>
      </c>
      <c r="DK86" s="13" t="n">
        <f aca="false">DK$85*p_Prest</f>
        <v>5749.085036</v>
      </c>
      <c r="DL86" s="13" t="n">
        <f aca="false">DL$85*p_Prest</f>
        <v>5749.085036</v>
      </c>
      <c r="DM86" s="13" t="n">
        <f aca="false">DM$85*p_Prest</f>
        <v>5749.085036</v>
      </c>
      <c r="DN86" s="13" t="n">
        <f aca="false">DN$85*p_Prest</f>
        <v>5749.085036</v>
      </c>
      <c r="DO86" s="13" t="n">
        <f aca="false">DO$85*p_Prest</f>
        <v>5749.085036</v>
      </c>
      <c r="DP86" s="13" t="n">
        <f aca="false">DP$85*p_Prest</f>
        <v>5749.085036</v>
      </c>
      <c r="DQ86" s="13" t="n">
        <f aca="false">DQ$85*p_Prest</f>
        <v>5749.085036</v>
      </c>
      <c r="DR86" s="13" t="n">
        <f aca="false">DR$85*p_Prest</f>
        <v>5749.085036</v>
      </c>
      <c r="DS86" s="13" t="n">
        <f aca="false">DS$85*p_Prest</f>
        <v>5749.085036</v>
      </c>
      <c r="DT86" s="13" t="n">
        <f aca="false">DT$85*p_Prest</f>
        <v>5749.085036</v>
      </c>
      <c r="DU86" s="13" t="n">
        <f aca="false">DU$85*p_Prest</f>
        <v>5749.085036</v>
      </c>
      <c r="DV86" s="13" t="n">
        <f aca="false">DV$85*p_Prest</f>
        <v>5749.085036</v>
      </c>
      <c r="DW86" s="13" t="n">
        <f aca="false">DW$85*p_Prest</f>
        <v>0</v>
      </c>
      <c r="DX86" s="13" t="n">
        <f aca="false">DX$85*p_Prest</f>
        <v>0</v>
      </c>
      <c r="DY86" s="13" t="n">
        <f aca="false">DY$85*p_Prest</f>
        <v>0</v>
      </c>
      <c r="DZ86" s="13" t="n">
        <f aca="false">DZ$85*p_Prest</f>
        <v>0</v>
      </c>
      <c r="EA86" s="13" t="n">
        <f aca="false">EA$85*p_Prest</f>
        <v>0</v>
      </c>
      <c r="EB86" s="13" t="n">
        <f aca="false">EB$85*p_Prest</f>
        <v>0</v>
      </c>
      <c r="EC86" s="13" t="n">
        <f aca="false">EC$85*p_Prest</f>
        <v>0</v>
      </c>
      <c r="ED86" s="13" t="n">
        <f aca="false">ED$85*p_Prest</f>
        <v>0</v>
      </c>
      <c r="EE86" s="13" t="n">
        <f aca="false">EE$85*p_Prest</f>
        <v>0</v>
      </c>
      <c r="EF86" s="13" t="n">
        <f aca="false">EF$85*p_Prest</f>
        <v>0</v>
      </c>
      <c r="EG86" s="13" t="n">
        <f aca="false">EG$85*p_Prest</f>
        <v>0</v>
      </c>
      <c r="EH86" s="13" t="n">
        <f aca="false">EH$85*p_Prest</f>
        <v>0</v>
      </c>
      <c r="EI86" s="13" t="n">
        <f aca="false">EI$85*p_Prest</f>
        <v>0</v>
      </c>
      <c r="EJ86" s="13" t="n">
        <f aca="false">EJ$85*p_Prest</f>
        <v>0</v>
      </c>
      <c r="EK86" s="13" t="n">
        <f aca="false">EK$85*p_Prest</f>
        <v>0</v>
      </c>
      <c r="EL86" s="13" t="n">
        <f aca="false">EL$85*p_Prest</f>
        <v>0</v>
      </c>
      <c r="EM86" s="13" t="n">
        <f aca="false">EM$85*p_Prest</f>
        <v>0</v>
      </c>
      <c r="EN86" s="13" t="n">
        <f aca="false">EN$85*p_Prest</f>
        <v>0</v>
      </c>
      <c r="EO86" s="13" t="n">
        <f aca="false">EO$85*p_Prest</f>
        <v>0</v>
      </c>
      <c r="EP86" s="13" t="n">
        <f aca="false">EP$85*p_Prest</f>
        <v>0</v>
      </c>
      <c r="EQ86" s="13" t="n">
        <f aca="false">EQ$85*p_Prest</f>
        <v>0</v>
      </c>
      <c r="ER86" s="13" t="n">
        <f aca="false">ER$85*p_Prest</f>
        <v>0</v>
      </c>
      <c r="ES86" s="13" t="n">
        <f aca="false">ES$85*p_Prest</f>
        <v>0</v>
      </c>
      <c r="ET86" s="13" t="n">
        <f aca="false">ET$85*p_Prest</f>
        <v>0</v>
      </c>
      <c r="EU86" s="13" t="n">
        <f aca="false">EU$85*p_Prest</f>
        <v>0</v>
      </c>
      <c r="EV86" s="13" t="n">
        <f aca="false">EV$85*p_Prest</f>
        <v>0</v>
      </c>
      <c r="EW86" s="13" t="n">
        <f aca="false">EW$85*p_Prest</f>
        <v>0</v>
      </c>
      <c r="EX86" s="13" t="n">
        <f aca="false">EX$85*p_Prest</f>
        <v>0</v>
      </c>
      <c r="EY86" s="13" t="n">
        <f aca="false">EY$85*p_Prest</f>
        <v>0</v>
      </c>
      <c r="EZ86" s="13" t="n">
        <f aca="false">EZ$85*p_Prest</f>
        <v>0</v>
      </c>
      <c r="FA86" s="13" t="n">
        <f aca="false">FA$85*p_Prest</f>
        <v>0</v>
      </c>
      <c r="FB86" s="13" t="n">
        <f aca="false">FB$85*p_Prest</f>
        <v>0</v>
      </c>
      <c r="FC86" s="13" t="n">
        <f aca="false">FC$85*p_Prest</f>
        <v>0</v>
      </c>
      <c r="FD86" s="13" t="n">
        <f aca="false">FD$85*p_Prest</f>
        <v>0</v>
      </c>
      <c r="FE86" s="13" t="n">
        <f aca="false">FE$85*p_Prest</f>
        <v>0</v>
      </c>
      <c r="FF86" s="13" t="n">
        <f aca="false">FF$85*p_Prest</f>
        <v>0</v>
      </c>
    </row>
    <row r="87" customFormat="false" ht="15" hidden="false" customHeight="false" outlineLevel="0" collapsed="false">
      <c r="A87" s="2" t="s">
        <v>1035</v>
      </c>
      <c r="B87" s="8" t="s">
        <v>1028</v>
      </c>
      <c r="C87" s="8" t="s">
        <v>255</v>
      </c>
      <c r="E87" s="65" t="n">
        <f aca="false">SUM($F87:$FF87)</f>
        <v>160964.383561644</v>
      </c>
      <c r="F87" s="13" t="n">
        <f aca="false">F$84*p_AlimGs/F$71</f>
        <v>0</v>
      </c>
      <c r="G87" s="13" t="n">
        <f aca="false">G$84*p_AlimGs/G$71</f>
        <v>1341.3698630137</v>
      </c>
      <c r="H87" s="13" t="n">
        <f aca="false">H$84*p_AlimGs/H$71</f>
        <v>1341.3698630137</v>
      </c>
      <c r="I87" s="13" t="n">
        <f aca="false">I$84*p_AlimGs/I$71</f>
        <v>1341.3698630137</v>
      </c>
      <c r="J87" s="13" t="n">
        <f aca="false">J$84*p_AlimGs/J$71</f>
        <v>1341.3698630137</v>
      </c>
      <c r="K87" s="13" t="n">
        <f aca="false">K$84*p_AlimGs/K$71</f>
        <v>1341.3698630137</v>
      </c>
      <c r="L87" s="13" t="n">
        <f aca="false">L$84*p_AlimGs/L$71</f>
        <v>1341.3698630137</v>
      </c>
      <c r="M87" s="13" t="n">
        <f aca="false">M$84*p_AlimGs/M$71</f>
        <v>1341.3698630137</v>
      </c>
      <c r="N87" s="13" t="n">
        <f aca="false">N$84*p_AlimGs/N$71</f>
        <v>1341.3698630137</v>
      </c>
      <c r="O87" s="13" t="n">
        <f aca="false">O$84*p_AlimGs/O$71</f>
        <v>1341.3698630137</v>
      </c>
      <c r="P87" s="13" t="n">
        <f aca="false">P$84*p_AlimGs/P$71</f>
        <v>1341.3698630137</v>
      </c>
      <c r="Q87" s="13" t="n">
        <f aca="false">Q$84*p_AlimGs/Q$71</f>
        <v>1341.3698630137</v>
      </c>
      <c r="R87" s="13" t="n">
        <f aca="false">R$84*p_AlimGs/R$71</f>
        <v>1341.3698630137</v>
      </c>
      <c r="S87" s="13" t="n">
        <f aca="false">S$84*p_AlimGs/S$71</f>
        <v>1341.3698630137</v>
      </c>
      <c r="T87" s="13" t="n">
        <f aca="false">T$84*p_AlimGs/T$71</f>
        <v>1341.3698630137</v>
      </c>
      <c r="U87" s="13" t="n">
        <f aca="false">U$84*p_AlimGs/U$71</f>
        <v>1341.3698630137</v>
      </c>
      <c r="V87" s="13" t="n">
        <f aca="false">V$84*p_AlimGs/V$71</f>
        <v>1341.3698630137</v>
      </c>
      <c r="W87" s="13" t="n">
        <f aca="false">W$84*p_AlimGs/W$71</f>
        <v>1341.3698630137</v>
      </c>
      <c r="X87" s="13" t="n">
        <f aca="false">X$84*p_AlimGs/X$71</f>
        <v>1341.3698630137</v>
      </c>
      <c r="Y87" s="13" t="n">
        <f aca="false">Y$84*p_AlimGs/Y$71</f>
        <v>1341.3698630137</v>
      </c>
      <c r="Z87" s="13" t="n">
        <f aca="false">Z$84*p_AlimGs/Z$71</f>
        <v>1341.3698630137</v>
      </c>
      <c r="AA87" s="13" t="n">
        <f aca="false">AA$84*p_AlimGs/AA$71</f>
        <v>1341.3698630137</v>
      </c>
      <c r="AB87" s="13" t="n">
        <f aca="false">AB$84*p_AlimGs/AB$71</f>
        <v>1341.3698630137</v>
      </c>
      <c r="AC87" s="13" t="n">
        <f aca="false">AC$84*p_AlimGs/AC$71</f>
        <v>1341.3698630137</v>
      </c>
      <c r="AD87" s="13" t="n">
        <f aca="false">AD$84*p_AlimGs/AD$71</f>
        <v>1341.3698630137</v>
      </c>
      <c r="AE87" s="13" t="n">
        <f aca="false">AE$84*p_AlimGs/AE$71</f>
        <v>1341.3698630137</v>
      </c>
      <c r="AF87" s="13" t="n">
        <f aca="false">AF$84*p_AlimGs/AF$71</f>
        <v>1341.3698630137</v>
      </c>
      <c r="AG87" s="13" t="n">
        <f aca="false">AG$84*p_AlimGs/AG$71</f>
        <v>1341.3698630137</v>
      </c>
      <c r="AH87" s="13" t="n">
        <f aca="false">AH$84*p_AlimGs/AH$71</f>
        <v>1341.3698630137</v>
      </c>
      <c r="AI87" s="13" t="n">
        <f aca="false">AI$84*p_AlimGs/AI$71</f>
        <v>1341.3698630137</v>
      </c>
      <c r="AJ87" s="13" t="n">
        <f aca="false">AJ$84*p_AlimGs/AJ$71</f>
        <v>1341.3698630137</v>
      </c>
      <c r="AK87" s="13" t="n">
        <f aca="false">AK$84*p_AlimGs/AK$71</f>
        <v>1341.3698630137</v>
      </c>
      <c r="AL87" s="13" t="n">
        <f aca="false">AL$84*p_AlimGs/AL$71</f>
        <v>1341.3698630137</v>
      </c>
      <c r="AM87" s="13" t="n">
        <f aca="false">AM$84*p_AlimGs/AM$71</f>
        <v>1341.3698630137</v>
      </c>
      <c r="AN87" s="13" t="n">
        <f aca="false">AN$84*p_AlimGs/AN$71</f>
        <v>1341.3698630137</v>
      </c>
      <c r="AO87" s="13" t="n">
        <f aca="false">AO$84*p_AlimGs/AO$71</f>
        <v>1341.3698630137</v>
      </c>
      <c r="AP87" s="13" t="n">
        <f aca="false">AP$84*p_AlimGs/AP$71</f>
        <v>1341.3698630137</v>
      </c>
      <c r="AQ87" s="13" t="n">
        <f aca="false">AQ$84*p_AlimGs/AQ$71</f>
        <v>1341.3698630137</v>
      </c>
      <c r="AR87" s="13" t="n">
        <f aca="false">AR$84*p_AlimGs/AR$71</f>
        <v>1341.3698630137</v>
      </c>
      <c r="AS87" s="13" t="n">
        <f aca="false">AS$84*p_AlimGs/AS$71</f>
        <v>1341.3698630137</v>
      </c>
      <c r="AT87" s="13" t="n">
        <f aca="false">AT$84*p_AlimGs/AT$71</f>
        <v>1341.3698630137</v>
      </c>
      <c r="AU87" s="13" t="n">
        <f aca="false">AU$84*p_AlimGs/AU$71</f>
        <v>1341.3698630137</v>
      </c>
      <c r="AV87" s="13" t="n">
        <f aca="false">AV$84*p_AlimGs/AV$71</f>
        <v>1341.3698630137</v>
      </c>
      <c r="AW87" s="13" t="n">
        <f aca="false">AW$84*p_AlimGs/AW$71</f>
        <v>1341.3698630137</v>
      </c>
      <c r="AX87" s="13" t="n">
        <f aca="false">AX$84*p_AlimGs/AX$71</f>
        <v>1341.3698630137</v>
      </c>
      <c r="AY87" s="13" t="n">
        <f aca="false">AY$84*p_AlimGs/AY$71</f>
        <v>1341.3698630137</v>
      </c>
      <c r="AZ87" s="13" t="n">
        <f aca="false">AZ$84*p_AlimGs/AZ$71</f>
        <v>1341.3698630137</v>
      </c>
      <c r="BA87" s="13" t="n">
        <f aca="false">BA$84*p_AlimGs/BA$71</f>
        <v>1341.3698630137</v>
      </c>
      <c r="BB87" s="13" t="n">
        <f aca="false">BB$84*p_AlimGs/BB$71</f>
        <v>1341.3698630137</v>
      </c>
      <c r="BC87" s="13" t="n">
        <f aca="false">BC$84*p_AlimGs/BC$71</f>
        <v>1341.3698630137</v>
      </c>
      <c r="BD87" s="13" t="n">
        <f aca="false">BD$84*p_AlimGs/BD$71</f>
        <v>1341.3698630137</v>
      </c>
      <c r="BE87" s="13" t="n">
        <f aca="false">BE$84*p_AlimGs/BE$71</f>
        <v>1341.3698630137</v>
      </c>
      <c r="BF87" s="13" t="n">
        <f aca="false">BF$84*p_AlimGs/BF$71</f>
        <v>1341.3698630137</v>
      </c>
      <c r="BG87" s="13" t="n">
        <f aca="false">BG$84*p_AlimGs/BG$71</f>
        <v>1341.3698630137</v>
      </c>
      <c r="BH87" s="13" t="n">
        <f aca="false">BH$84*p_AlimGs/BH$71</f>
        <v>1341.3698630137</v>
      </c>
      <c r="BI87" s="13" t="n">
        <f aca="false">BI$84*p_AlimGs/BI$71</f>
        <v>1341.3698630137</v>
      </c>
      <c r="BJ87" s="13" t="n">
        <f aca="false">BJ$84*p_AlimGs/BJ$71</f>
        <v>1341.3698630137</v>
      </c>
      <c r="BK87" s="13" t="n">
        <f aca="false">BK$84*p_AlimGs/BK$71</f>
        <v>1341.3698630137</v>
      </c>
      <c r="BL87" s="13" t="n">
        <f aca="false">BL$84*p_AlimGs/BL$71</f>
        <v>1341.3698630137</v>
      </c>
      <c r="BM87" s="13" t="n">
        <f aca="false">BM$84*p_AlimGs/BM$71</f>
        <v>1341.3698630137</v>
      </c>
      <c r="BN87" s="13" t="n">
        <f aca="false">BN$84*p_AlimGs/BN$71</f>
        <v>1341.3698630137</v>
      </c>
      <c r="BO87" s="13" t="n">
        <f aca="false">BO$84*p_AlimGs/BO$71</f>
        <v>1341.3698630137</v>
      </c>
      <c r="BP87" s="13" t="n">
        <f aca="false">BP$84*p_AlimGs/BP$71</f>
        <v>1341.3698630137</v>
      </c>
      <c r="BQ87" s="13" t="n">
        <f aca="false">BQ$84*p_AlimGs/BQ$71</f>
        <v>1341.3698630137</v>
      </c>
      <c r="BR87" s="13" t="n">
        <f aca="false">BR$84*p_AlimGs/BR$71</f>
        <v>1341.3698630137</v>
      </c>
      <c r="BS87" s="13" t="n">
        <f aca="false">BS$84*p_AlimGs/BS$71</f>
        <v>1341.3698630137</v>
      </c>
      <c r="BT87" s="13" t="n">
        <f aca="false">BT$84*p_AlimGs/BT$71</f>
        <v>1341.3698630137</v>
      </c>
      <c r="BU87" s="13" t="n">
        <f aca="false">BU$84*p_AlimGs/BU$71</f>
        <v>1341.3698630137</v>
      </c>
      <c r="BV87" s="13" t="n">
        <f aca="false">BV$84*p_AlimGs/BV$71</f>
        <v>1341.3698630137</v>
      </c>
      <c r="BW87" s="13" t="n">
        <f aca="false">BW$84*p_AlimGs/BW$71</f>
        <v>1341.3698630137</v>
      </c>
      <c r="BX87" s="13" t="n">
        <f aca="false">BX$84*p_AlimGs/BX$71</f>
        <v>1341.3698630137</v>
      </c>
      <c r="BY87" s="13" t="n">
        <f aca="false">BY$84*p_AlimGs/BY$71</f>
        <v>1341.3698630137</v>
      </c>
      <c r="BZ87" s="13" t="n">
        <f aca="false">BZ$84*p_AlimGs/BZ$71</f>
        <v>1341.3698630137</v>
      </c>
      <c r="CA87" s="13" t="n">
        <f aca="false">CA$84*p_AlimGs/CA$71</f>
        <v>1341.3698630137</v>
      </c>
      <c r="CB87" s="13" t="n">
        <f aca="false">CB$84*p_AlimGs/CB$71</f>
        <v>1341.3698630137</v>
      </c>
      <c r="CC87" s="13" t="n">
        <f aca="false">CC$84*p_AlimGs/CC$71</f>
        <v>1341.3698630137</v>
      </c>
      <c r="CD87" s="13" t="n">
        <f aca="false">CD$84*p_AlimGs/CD$71</f>
        <v>1341.3698630137</v>
      </c>
      <c r="CE87" s="13" t="n">
        <f aca="false">CE$84*p_AlimGs/CE$71</f>
        <v>1341.3698630137</v>
      </c>
      <c r="CF87" s="13" t="n">
        <f aca="false">CF$84*p_AlimGs/CF$71</f>
        <v>1341.3698630137</v>
      </c>
      <c r="CG87" s="13" t="n">
        <f aca="false">CG$84*p_AlimGs/CG$71</f>
        <v>1341.3698630137</v>
      </c>
      <c r="CH87" s="13" t="n">
        <f aca="false">CH$84*p_AlimGs/CH$71</f>
        <v>1341.3698630137</v>
      </c>
      <c r="CI87" s="13" t="n">
        <f aca="false">CI$84*p_AlimGs/CI$71</f>
        <v>1341.3698630137</v>
      </c>
      <c r="CJ87" s="13" t="n">
        <f aca="false">CJ$84*p_AlimGs/CJ$71</f>
        <v>1341.3698630137</v>
      </c>
      <c r="CK87" s="13" t="n">
        <f aca="false">CK$84*p_AlimGs/CK$71</f>
        <v>1341.3698630137</v>
      </c>
      <c r="CL87" s="13" t="n">
        <f aca="false">CL$84*p_AlimGs/CL$71</f>
        <v>1341.3698630137</v>
      </c>
      <c r="CM87" s="13" t="n">
        <f aca="false">CM$84*p_AlimGs/CM$71</f>
        <v>1341.3698630137</v>
      </c>
      <c r="CN87" s="13" t="n">
        <f aca="false">CN$84*p_AlimGs/CN$71</f>
        <v>1341.3698630137</v>
      </c>
      <c r="CO87" s="13" t="n">
        <f aca="false">CO$84*p_AlimGs/CO$71</f>
        <v>1341.3698630137</v>
      </c>
      <c r="CP87" s="13" t="n">
        <f aca="false">CP$84*p_AlimGs/CP$71</f>
        <v>1341.3698630137</v>
      </c>
      <c r="CQ87" s="13" t="n">
        <f aca="false">CQ$84*p_AlimGs/CQ$71</f>
        <v>1341.3698630137</v>
      </c>
      <c r="CR87" s="13" t="n">
        <f aca="false">CR$84*p_AlimGs/CR$71</f>
        <v>1341.3698630137</v>
      </c>
      <c r="CS87" s="13" t="n">
        <f aca="false">CS$84*p_AlimGs/CS$71</f>
        <v>1341.3698630137</v>
      </c>
      <c r="CT87" s="13" t="n">
        <f aca="false">CT$84*p_AlimGs/CT$71</f>
        <v>1341.3698630137</v>
      </c>
      <c r="CU87" s="13" t="n">
        <f aca="false">CU$84*p_AlimGs/CU$71</f>
        <v>1341.3698630137</v>
      </c>
      <c r="CV87" s="13" t="n">
        <f aca="false">CV$84*p_AlimGs/CV$71</f>
        <v>1341.3698630137</v>
      </c>
      <c r="CW87" s="13" t="n">
        <f aca="false">CW$84*p_AlimGs/CW$71</f>
        <v>1341.3698630137</v>
      </c>
      <c r="CX87" s="13" t="n">
        <f aca="false">CX$84*p_AlimGs/CX$71</f>
        <v>1341.3698630137</v>
      </c>
      <c r="CY87" s="13" t="n">
        <f aca="false">CY$84*p_AlimGs/CY$71</f>
        <v>1341.3698630137</v>
      </c>
      <c r="CZ87" s="13" t="n">
        <f aca="false">CZ$84*p_AlimGs/CZ$71</f>
        <v>1341.3698630137</v>
      </c>
      <c r="DA87" s="13" t="n">
        <f aca="false">DA$84*p_AlimGs/DA$71</f>
        <v>1341.3698630137</v>
      </c>
      <c r="DB87" s="13" t="n">
        <f aca="false">DB$84*p_AlimGs/DB$71</f>
        <v>1341.3698630137</v>
      </c>
      <c r="DC87" s="13" t="n">
        <f aca="false">DC$84*p_AlimGs/DC$71</f>
        <v>1341.3698630137</v>
      </c>
      <c r="DD87" s="13" t="n">
        <f aca="false">DD$84*p_AlimGs/DD$71</f>
        <v>1341.3698630137</v>
      </c>
      <c r="DE87" s="13" t="n">
        <f aca="false">DE$84*p_AlimGs/DE$71</f>
        <v>1341.3698630137</v>
      </c>
      <c r="DF87" s="13" t="n">
        <f aca="false">DF$84*p_AlimGs/DF$71</f>
        <v>1341.3698630137</v>
      </c>
      <c r="DG87" s="13" t="n">
        <f aca="false">DG$84*p_AlimGs/DG$71</f>
        <v>1341.3698630137</v>
      </c>
      <c r="DH87" s="13" t="n">
        <f aca="false">DH$84*p_AlimGs/DH$71</f>
        <v>1341.3698630137</v>
      </c>
      <c r="DI87" s="13" t="n">
        <f aca="false">DI$84*p_AlimGs/DI$71</f>
        <v>1341.3698630137</v>
      </c>
      <c r="DJ87" s="13" t="n">
        <f aca="false">DJ$84*p_AlimGs/DJ$71</f>
        <v>1341.3698630137</v>
      </c>
      <c r="DK87" s="13" t="n">
        <f aca="false">DK$84*p_AlimGs/DK$71</f>
        <v>1341.3698630137</v>
      </c>
      <c r="DL87" s="13" t="n">
        <f aca="false">DL$84*p_AlimGs/DL$71</f>
        <v>1341.3698630137</v>
      </c>
      <c r="DM87" s="13" t="n">
        <f aca="false">DM$84*p_AlimGs/DM$71</f>
        <v>1341.3698630137</v>
      </c>
      <c r="DN87" s="13" t="n">
        <f aca="false">DN$84*p_AlimGs/DN$71</f>
        <v>1341.3698630137</v>
      </c>
      <c r="DO87" s="13" t="n">
        <f aca="false">DO$84*p_AlimGs/DO$71</f>
        <v>1341.3698630137</v>
      </c>
      <c r="DP87" s="13" t="n">
        <f aca="false">DP$84*p_AlimGs/DP$71</f>
        <v>1341.3698630137</v>
      </c>
      <c r="DQ87" s="13" t="n">
        <f aca="false">DQ$84*p_AlimGs/DQ$71</f>
        <v>1341.3698630137</v>
      </c>
      <c r="DR87" s="13" t="n">
        <f aca="false">DR$84*p_AlimGs/DR$71</f>
        <v>1341.3698630137</v>
      </c>
      <c r="DS87" s="13" t="n">
        <f aca="false">DS$84*p_AlimGs/DS$71</f>
        <v>1341.3698630137</v>
      </c>
      <c r="DT87" s="13" t="n">
        <f aca="false">DT$84*p_AlimGs/DT$71</f>
        <v>1341.3698630137</v>
      </c>
      <c r="DU87" s="13" t="n">
        <f aca="false">DU$84*p_AlimGs/DU$71</f>
        <v>1341.3698630137</v>
      </c>
      <c r="DV87" s="13" t="n">
        <f aca="false">DV$84*p_AlimGs/DV$71</f>
        <v>1341.3698630137</v>
      </c>
      <c r="DW87" s="13" t="n">
        <f aca="false">DW$84*p_AlimGs/DW$71</f>
        <v>0</v>
      </c>
      <c r="DX87" s="13" t="n">
        <f aca="false">DX$84*p_AlimGs/DX$71</f>
        <v>0</v>
      </c>
      <c r="DY87" s="13" t="n">
        <f aca="false">DY$84*p_AlimGs/DY$71</f>
        <v>0</v>
      </c>
      <c r="DZ87" s="13" t="n">
        <f aca="false">DZ$84*p_AlimGs/DZ$71</f>
        <v>0</v>
      </c>
      <c r="EA87" s="13" t="n">
        <f aca="false">EA$84*p_AlimGs/EA$71</f>
        <v>0</v>
      </c>
      <c r="EB87" s="13" t="n">
        <f aca="false">EB$84*p_AlimGs/EB$71</f>
        <v>0</v>
      </c>
      <c r="EC87" s="13" t="n">
        <f aca="false">EC$84*p_AlimGs/EC$71</f>
        <v>0</v>
      </c>
      <c r="ED87" s="13" t="n">
        <f aca="false">ED$84*p_AlimGs/ED$71</f>
        <v>0</v>
      </c>
      <c r="EE87" s="13" t="n">
        <f aca="false">EE$84*p_AlimGs/EE$71</f>
        <v>0</v>
      </c>
      <c r="EF87" s="13" t="n">
        <f aca="false">EF$84*p_AlimGs/EF$71</f>
        <v>0</v>
      </c>
      <c r="EG87" s="13" t="n">
        <f aca="false">EG$84*p_AlimGs/EG$71</f>
        <v>0</v>
      </c>
      <c r="EH87" s="13" t="n">
        <f aca="false">EH$84*p_AlimGs/EH$71</f>
        <v>0</v>
      </c>
      <c r="EI87" s="13" t="n">
        <f aca="false">EI$84*p_AlimGs/EI$71</f>
        <v>0</v>
      </c>
      <c r="EJ87" s="13" t="n">
        <f aca="false">EJ$84*p_AlimGs/EJ$71</f>
        <v>0</v>
      </c>
      <c r="EK87" s="13" t="n">
        <f aca="false">EK$84*p_AlimGs/EK$71</f>
        <v>0</v>
      </c>
      <c r="EL87" s="13" t="n">
        <f aca="false">EL$84*p_AlimGs/EL$71</f>
        <v>0</v>
      </c>
      <c r="EM87" s="13" t="n">
        <f aca="false">EM$84*p_AlimGs/EM$71</f>
        <v>0</v>
      </c>
      <c r="EN87" s="13" t="n">
        <f aca="false">EN$84*p_AlimGs/EN$71</f>
        <v>0</v>
      </c>
      <c r="EO87" s="13" t="n">
        <f aca="false">EO$84*p_AlimGs/EO$71</f>
        <v>0</v>
      </c>
      <c r="EP87" s="13" t="n">
        <f aca="false">EP$84*p_AlimGs/EP$71</f>
        <v>0</v>
      </c>
      <c r="EQ87" s="13" t="n">
        <f aca="false">EQ$84*p_AlimGs/EQ$71</f>
        <v>0</v>
      </c>
      <c r="ER87" s="13" t="n">
        <f aca="false">ER$84*p_AlimGs/ER$71</f>
        <v>0</v>
      </c>
      <c r="ES87" s="13" t="n">
        <f aca="false">ES$84*p_AlimGs/ES$71</f>
        <v>0</v>
      </c>
      <c r="ET87" s="13" t="n">
        <f aca="false">ET$84*p_AlimGs/ET$71</f>
        <v>0</v>
      </c>
      <c r="EU87" s="13" t="n">
        <f aca="false">EU$84*p_AlimGs/EU$71</f>
        <v>0</v>
      </c>
      <c r="EV87" s="13" t="n">
        <f aca="false">EV$84*p_AlimGs/EV$71</f>
        <v>0</v>
      </c>
      <c r="EW87" s="13" t="n">
        <f aca="false">EW$84*p_AlimGs/EW$71</f>
        <v>0</v>
      </c>
      <c r="EX87" s="13" t="n">
        <f aca="false">EX$84*p_AlimGs/EX$71</f>
        <v>0</v>
      </c>
      <c r="EY87" s="13" t="n">
        <f aca="false">EY$84*p_AlimGs/EY$71</f>
        <v>0</v>
      </c>
      <c r="EZ87" s="13" t="n">
        <f aca="false">EZ$84*p_AlimGs/EZ$71</f>
        <v>0</v>
      </c>
      <c r="FA87" s="13" t="n">
        <f aca="false">FA$84*p_AlimGs/FA$71</f>
        <v>0</v>
      </c>
      <c r="FB87" s="13" t="n">
        <f aca="false">FB$84*p_AlimGs/FB$71</f>
        <v>0</v>
      </c>
      <c r="FC87" s="13" t="n">
        <f aca="false">FC$84*p_AlimGs/FC$71</f>
        <v>0</v>
      </c>
      <c r="FD87" s="13" t="n">
        <f aca="false">FD$84*p_AlimGs/FD$71</f>
        <v>0</v>
      </c>
      <c r="FE87" s="13" t="n">
        <f aca="false">FE$84*p_AlimGs/FE$71</f>
        <v>0</v>
      </c>
      <c r="FF87" s="13" t="n">
        <f aca="false">FF$84*p_AlimGs/FF$71</f>
        <v>0</v>
      </c>
    </row>
    <row r="88" customFormat="false" ht="15" hidden="false" customHeight="false" outlineLevel="0" collapsed="false">
      <c r="A88" s="2" t="s">
        <v>1036</v>
      </c>
      <c r="B88" s="66" t="s">
        <v>1037</v>
      </c>
      <c r="C88" s="8" t="s">
        <v>255</v>
      </c>
      <c r="E88" s="67" t="n">
        <f aca="false">SUM($F88:$FF88)</f>
        <v>2451899.38788164</v>
      </c>
      <c r="F88" s="12" t="n">
        <f aca="false">IF(F$69=1,SUMIFS(dr_USD,dr_Mes,0,dr_Cod,"NOM_I",dr_Est,"&lt;&gt;Excluido"),F$85+F$86+F$87)</f>
        <v>0</v>
      </c>
      <c r="G88" s="12" t="n">
        <f aca="false">IF(G$69=1,SUMIFS(dr_USD,dr_Mes,1,dr_Cod,"NOM_I",dr_Est,"&lt;&gt;Excluido"),G$85+G$86+G$87)</f>
        <v>20432.4948990137</v>
      </c>
      <c r="H88" s="12" t="n">
        <f aca="false">IF(H$69=1,SUMIFS(dr_USD,dr_Mes,2,dr_Cod,"NOM_I",dr_Est,"&lt;&gt;Excluido"),H$85+H$86+H$87)</f>
        <v>20432.4948990137</v>
      </c>
      <c r="I88" s="12" t="n">
        <f aca="false">IF(I$69=1,SUMIFS(dr_USD,dr_Mes,3,dr_Cod,"NOM_I",dr_Est,"&lt;&gt;Excluido"),I$85+I$86+I$87)</f>
        <v>20432.4948990137</v>
      </c>
      <c r="J88" s="12" t="n">
        <f aca="false">IF(J$69=1,SUMIFS(dr_USD,dr_Mes,4,dr_Cod,"NOM_I",dr_Est,"&lt;&gt;Excluido"),J$85+J$86+J$87)</f>
        <v>20432.4948990137</v>
      </c>
      <c r="K88" s="12" t="n">
        <f aca="false">IF(K$69=1,SUMIFS(dr_USD,dr_Mes,5,dr_Cod,"NOM_I",dr_Est,"&lt;&gt;Excluido"),K$85+K$86+K$87)</f>
        <v>20432.4948990137</v>
      </c>
      <c r="L88" s="12" t="n">
        <f aca="false">IF(L$69=1,SUMIFS(dr_USD,dr_Mes,6,dr_Cod,"NOM_I",dr_Est,"&lt;&gt;Excluido"),L$85+L$86+L$87)</f>
        <v>20432.4948990137</v>
      </c>
      <c r="M88" s="12" t="n">
        <f aca="false">IF(M$69=1,SUMIFS(dr_USD,dr_Mes,7,dr_Cod,"NOM_I",dr_Est,"&lt;&gt;Excluido"),M$85+M$86+M$87)</f>
        <v>20432.4948990137</v>
      </c>
      <c r="N88" s="12" t="n">
        <f aca="false">IF(N$69=1,SUMIFS(dr_USD,dr_Mes,8,dr_Cod,"NOM_I",dr_Est,"&lt;&gt;Excluido"),N$85+N$86+N$87)</f>
        <v>20432.4948990137</v>
      </c>
      <c r="O88" s="12" t="n">
        <f aca="false">IF(O$69=1,SUMIFS(dr_USD,dr_Mes,9,dr_Cod,"NOM_I",dr_Est,"&lt;&gt;Excluido"),O$85+O$86+O$87)</f>
        <v>20432.4948990137</v>
      </c>
      <c r="P88" s="12" t="n">
        <f aca="false">IF(P$69=1,SUMIFS(dr_USD,dr_Mes,10,dr_Cod,"NOM_I",dr_Est,"&lt;&gt;Excluido"),P$85+P$86+P$87)</f>
        <v>20432.4948990137</v>
      </c>
      <c r="Q88" s="12" t="n">
        <f aca="false">IF(Q$69=1,SUMIFS(dr_USD,dr_Mes,11,dr_Cod,"NOM_I",dr_Est,"&lt;&gt;Excluido"),Q$85+Q$86+Q$87)</f>
        <v>20432.4948990137</v>
      </c>
      <c r="R88" s="12" t="n">
        <f aca="false">IF(R$69=1,SUMIFS(dr_USD,dr_Mes,12,dr_Cod,"NOM_I",dr_Est,"&lt;&gt;Excluido"),R$85+R$86+R$87)</f>
        <v>20432.4948990137</v>
      </c>
      <c r="S88" s="12" t="n">
        <f aca="false">IF(S$69=1,SUMIFS(dr_USD,dr_Mes,13,dr_Cod,"NOM_I",dr_Est,"&lt;&gt;Excluido"),S$85+S$86+S$87)</f>
        <v>20432.4948990137</v>
      </c>
      <c r="T88" s="12" t="n">
        <f aca="false">IF(T$69=1,SUMIFS(dr_USD,dr_Mes,14,dr_Cod,"NOM_I",dr_Est,"&lt;&gt;Excluido"),T$85+T$86+T$87)</f>
        <v>20432.4948990137</v>
      </c>
      <c r="U88" s="12" t="n">
        <f aca="false">IF(U$69=1,SUMIFS(dr_USD,dr_Mes,15,dr_Cod,"NOM_I",dr_Est,"&lt;&gt;Excluido"),U$85+U$86+U$87)</f>
        <v>20432.4948990137</v>
      </c>
      <c r="V88" s="12" t="n">
        <f aca="false">IF(V$69=1,SUMIFS(dr_USD,dr_Mes,16,dr_Cod,"NOM_I",dr_Est,"&lt;&gt;Excluido"),V$85+V$86+V$87)</f>
        <v>20432.4948990137</v>
      </c>
      <c r="W88" s="12" t="n">
        <f aca="false">IF(W$69=1,SUMIFS(dr_USD,dr_Mes,17,dr_Cod,"NOM_I",dr_Est,"&lt;&gt;Excluido"),W$85+W$86+W$87)</f>
        <v>20432.4948990137</v>
      </c>
      <c r="X88" s="12" t="n">
        <f aca="false">IF(X$69=1,SUMIFS(dr_USD,dr_Mes,18,dr_Cod,"NOM_I",dr_Est,"&lt;&gt;Excluido"),X$85+X$86+X$87)</f>
        <v>20432.4948990137</v>
      </c>
      <c r="Y88" s="12" t="n">
        <f aca="false">IF(Y$69=1,SUMIFS(dr_USD,dr_Mes,19,dr_Cod,"NOM_I",dr_Est,"&lt;&gt;Excluido"),Y$85+Y$86+Y$87)</f>
        <v>20432.4948990137</v>
      </c>
      <c r="Z88" s="12" t="n">
        <f aca="false">IF(Z$69=1,SUMIFS(dr_USD,dr_Mes,20,dr_Cod,"NOM_I",dr_Est,"&lt;&gt;Excluido"),Z$85+Z$86+Z$87)</f>
        <v>20432.4948990137</v>
      </c>
      <c r="AA88" s="12" t="n">
        <f aca="false">IF(AA$69=1,SUMIFS(dr_USD,dr_Mes,21,dr_Cod,"NOM_I",dr_Est,"&lt;&gt;Excluido"),AA$85+AA$86+AA$87)</f>
        <v>20432.4948990137</v>
      </c>
      <c r="AB88" s="12" t="n">
        <f aca="false">IF(AB$69=1,SUMIFS(dr_USD,dr_Mes,22,dr_Cod,"NOM_I",dr_Est,"&lt;&gt;Excluido"),AB$85+AB$86+AB$87)</f>
        <v>20432.4948990137</v>
      </c>
      <c r="AC88" s="12" t="n">
        <f aca="false">IF(AC$69=1,SUMIFS(dr_USD,dr_Mes,23,dr_Cod,"NOM_I",dr_Est,"&lt;&gt;Excluido"),AC$85+AC$86+AC$87)</f>
        <v>20432.4948990137</v>
      </c>
      <c r="AD88" s="12" t="n">
        <f aca="false">IF(AD$69=1,SUMIFS(dr_USD,dr_Mes,24,dr_Cod,"NOM_I",dr_Est,"&lt;&gt;Excluido"),AD$85+AD$86+AD$87)</f>
        <v>20432.4948990137</v>
      </c>
      <c r="AE88" s="12" t="n">
        <f aca="false">IF(AE$69=1,SUMIFS(dr_USD,dr_Mes,25,dr_Cod,"NOM_I",dr_Est,"&lt;&gt;Excluido"),AE$85+AE$86+AE$87)</f>
        <v>20432.4948990137</v>
      </c>
      <c r="AF88" s="12" t="n">
        <f aca="false">IF(AF$69=1,SUMIFS(dr_USD,dr_Mes,26,dr_Cod,"NOM_I",dr_Est,"&lt;&gt;Excluido"),AF$85+AF$86+AF$87)</f>
        <v>20432.4948990137</v>
      </c>
      <c r="AG88" s="12" t="n">
        <f aca="false">IF(AG$69=1,SUMIFS(dr_USD,dr_Mes,27,dr_Cod,"NOM_I",dr_Est,"&lt;&gt;Excluido"),AG$85+AG$86+AG$87)</f>
        <v>20432.4948990137</v>
      </c>
      <c r="AH88" s="12" t="n">
        <f aca="false">IF(AH$69=1,SUMIFS(dr_USD,dr_Mes,28,dr_Cod,"NOM_I",dr_Est,"&lt;&gt;Excluido"),AH$85+AH$86+AH$87)</f>
        <v>20432.4948990137</v>
      </c>
      <c r="AI88" s="12" t="n">
        <f aca="false">IF(AI$69=1,SUMIFS(dr_USD,dr_Mes,29,dr_Cod,"NOM_I",dr_Est,"&lt;&gt;Excluido"),AI$85+AI$86+AI$87)</f>
        <v>20432.4948990137</v>
      </c>
      <c r="AJ88" s="12" t="n">
        <f aca="false">IF(AJ$69=1,SUMIFS(dr_USD,dr_Mes,30,dr_Cod,"NOM_I",dr_Est,"&lt;&gt;Excluido"),AJ$85+AJ$86+AJ$87)</f>
        <v>20432.4948990137</v>
      </c>
      <c r="AK88" s="12" t="n">
        <f aca="false">IF(AK$69=1,SUMIFS(dr_USD,dr_Mes,31,dr_Cod,"NOM_I",dr_Est,"&lt;&gt;Excluido"),AK$85+AK$86+AK$87)</f>
        <v>20432.4948990137</v>
      </c>
      <c r="AL88" s="12" t="n">
        <f aca="false">IF(AL$69=1,SUMIFS(dr_USD,dr_Mes,32,dr_Cod,"NOM_I",dr_Est,"&lt;&gt;Excluido"),AL$85+AL$86+AL$87)</f>
        <v>20432.4948990137</v>
      </c>
      <c r="AM88" s="12" t="n">
        <f aca="false">IF(AM$69=1,SUMIFS(dr_USD,dr_Mes,33,dr_Cod,"NOM_I",dr_Est,"&lt;&gt;Excluido"),AM$85+AM$86+AM$87)</f>
        <v>20432.4948990137</v>
      </c>
      <c r="AN88" s="12" t="n">
        <f aca="false">IF(AN$69=1,SUMIFS(dr_USD,dr_Mes,34,dr_Cod,"NOM_I",dr_Est,"&lt;&gt;Excluido"),AN$85+AN$86+AN$87)</f>
        <v>20432.4948990137</v>
      </c>
      <c r="AO88" s="12" t="n">
        <f aca="false">IF(AO$69=1,SUMIFS(dr_USD,dr_Mes,35,dr_Cod,"NOM_I",dr_Est,"&lt;&gt;Excluido"),AO$85+AO$86+AO$87)</f>
        <v>20432.4948990137</v>
      </c>
      <c r="AP88" s="12" t="n">
        <f aca="false">IF(AP$69=1,SUMIFS(dr_USD,dr_Mes,36,dr_Cod,"NOM_I",dr_Est,"&lt;&gt;Excluido"),AP$85+AP$86+AP$87)</f>
        <v>20432.4948990137</v>
      </c>
      <c r="AQ88" s="12" t="n">
        <f aca="false">IF(AQ$69=1,SUMIFS(dr_USD,dr_Mes,37,dr_Cod,"NOM_I",dr_Est,"&lt;&gt;Excluido"),AQ$85+AQ$86+AQ$87)</f>
        <v>20432.4948990137</v>
      </c>
      <c r="AR88" s="12" t="n">
        <f aca="false">IF(AR$69=1,SUMIFS(dr_USD,dr_Mes,38,dr_Cod,"NOM_I",dr_Est,"&lt;&gt;Excluido"),AR$85+AR$86+AR$87)</f>
        <v>20432.4948990137</v>
      </c>
      <c r="AS88" s="12" t="n">
        <f aca="false">IF(AS$69=1,SUMIFS(dr_USD,dr_Mes,39,dr_Cod,"NOM_I",dr_Est,"&lt;&gt;Excluido"),AS$85+AS$86+AS$87)</f>
        <v>20432.4948990137</v>
      </c>
      <c r="AT88" s="12" t="n">
        <f aca="false">IF(AT$69=1,SUMIFS(dr_USD,dr_Mes,40,dr_Cod,"NOM_I",dr_Est,"&lt;&gt;Excluido"),AT$85+AT$86+AT$87)</f>
        <v>20432.4948990137</v>
      </c>
      <c r="AU88" s="12" t="n">
        <f aca="false">IF(AU$69=1,SUMIFS(dr_USD,dr_Mes,41,dr_Cod,"NOM_I",dr_Est,"&lt;&gt;Excluido"),AU$85+AU$86+AU$87)</f>
        <v>20432.4948990137</v>
      </c>
      <c r="AV88" s="12" t="n">
        <f aca="false">IF(AV$69=1,SUMIFS(dr_USD,dr_Mes,42,dr_Cod,"NOM_I",dr_Est,"&lt;&gt;Excluido"),AV$85+AV$86+AV$87)</f>
        <v>20432.4948990137</v>
      </c>
      <c r="AW88" s="12" t="n">
        <f aca="false">IF(AW$69=1,SUMIFS(dr_USD,dr_Mes,43,dr_Cod,"NOM_I",dr_Est,"&lt;&gt;Excluido"),AW$85+AW$86+AW$87)</f>
        <v>20432.4948990137</v>
      </c>
      <c r="AX88" s="12" t="n">
        <f aca="false">IF(AX$69=1,SUMIFS(dr_USD,dr_Mes,44,dr_Cod,"NOM_I",dr_Est,"&lt;&gt;Excluido"),AX$85+AX$86+AX$87)</f>
        <v>20432.4948990137</v>
      </c>
      <c r="AY88" s="12" t="n">
        <f aca="false">IF(AY$69=1,SUMIFS(dr_USD,dr_Mes,45,dr_Cod,"NOM_I",dr_Est,"&lt;&gt;Excluido"),AY$85+AY$86+AY$87)</f>
        <v>20432.4948990137</v>
      </c>
      <c r="AZ88" s="12" t="n">
        <f aca="false">IF(AZ$69=1,SUMIFS(dr_USD,dr_Mes,46,dr_Cod,"NOM_I",dr_Est,"&lt;&gt;Excluido"),AZ$85+AZ$86+AZ$87)</f>
        <v>20432.4948990137</v>
      </c>
      <c r="BA88" s="12" t="n">
        <f aca="false">IF(BA$69=1,SUMIFS(dr_USD,dr_Mes,47,dr_Cod,"NOM_I",dr_Est,"&lt;&gt;Excluido"),BA$85+BA$86+BA$87)</f>
        <v>20432.4948990137</v>
      </c>
      <c r="BB88" s="12" t="n">
        <f aca="false">IF(BB$69=1,SUMIFS(dr_USD,dr_Mes,48,dr_Cod,"NOM_I",dr_Est,"&lt;&gt;Excluido"),BB$85+BB$86+BB$87)</f>
        <v>20432.4948990137</v>
      </c>
      <c r="BC88" s="12" t="n">
        <f aca="false">IF(BC$69=1,SUMIFS(dr_USD,dr_Mes,49,dr_Cod,"NOM_I",dr_Est,"&lt;&gt;Excluido"),BC$85+BC$86+BC$87)</f>
        <v>20432.4948990137</v>
      </c>
      <c r="BD88" s="12" t="n">
        <f aca="false">IF(BD$69=1,SUMIFS(dr_USD,dr_Mes,50,dr_Cod,"NOM_I",dr_Est,"&lt;&gt;Excluido"),BD$85+BD$86+BD$87)</f>
        <v>20432.4948990137</v>
      </c>
      <c r="BE88" s="12" t="n">
        <f aca="false">IF(BE$69=1,SUMIFS(dr_USD,dr_Mes,51,dr_Cod,"NOM_I",dr_Est,"&lt;&gt;Excluido"),BE$85+BE$86+BE$87)</f>
        <v>20432.4948990137</v>
      </c>
      <c r="BF88" s="12" t="n">
        <f aca="false">IF(BF$69=1,SUMIFS(dr_USD,dr_Mes,52,dr_Cod,"NOM_I",dr_Est,"&lt;&gt;Excluido"),BF$85+BF$86+BF$87)</f>
        <v>20432.4948990137</v>
      </c>
      <c r="BG88" s="12" t="n">
        <f aca="false">IF(BG$69=1,SUMIFS(dr_USD,dr_Mes,53,dr_Cod,"NOM_I",dr_Est,"&lt;&gt;Excluido"),BG$85+BG$86+BG$87)</f>
        <v>20432.4948990137</v>
      </c>
      <c r="BH88" s="12" t="n">
        <f aca="false">IF(BH$69=1,SUMIFS(dr_USD,dr_Mes,54,dr_Cod,"NOM_I",dr_Est,"&lt;&gt;Excluido"),BH$85+BH$86+BH$87)</f>
        <v>20432.4948990137</v>
      </c>
      <c r="BI88" s="12" t="n">
        <f aca="false">IF(BI$69=1,SUMIFS(dr_USD,dr_Mes,55,dr_Cod,"NOM_I",dr_Est,"&lt;&gt;Excluido"),BI$85+BI$86+BI$87)</f>
        <v>20432.4948990137</v>
      </c>
      <c r="BJ88" s="12" t="n">
        <f aca="false">IF(BJ$69=1,SUMIFS(dr_USD,dr_Mes,56,dr_Cod,"NOM_I",dr_Est,"&lt;&gt;Excluido"),BJ$85+BJ$86+BJ$87)</f>
        <v>20432.4948990137</v>
      </c>
      <c r="BK88" s="12" t="n">
        <f aca="false">IF(BK$69=1,SUMIFS(dr_USD,dr_Mes,57,dr_Cod,"NOM_I",dr_Est,"&lt;&gt;Excluido"),BK$85+BK$86+BK$87)</f>
        <v>20432.4948990137</v>
      </c>
      <c r="BL88" s="12" t="n">
        <f aca="false">IF(BL$69=1,SUMIFS(dr_USD,dr_Mes,58,dr_Cod,"NOM_I",dr_Est,"&lt;&gt;Excluido"),BL$85+BL$86+BL$87)</f>
        <v>20432.4948990137</v>
      </c>
      <c r="BM88" s="12" t="n">
        <f aca="false">IF(BM$69=1,SUMIFS(dr_USD,dr_Mes,59,dr_Cod,"NOM_I",dr_Est,"&lt;&gt;Excluido"),BM$85+BM$86+BM$87)</f>
        <v>20432.4948990137</v>
      </c>
      <c r="BN88" s="12" t="n">
        <f aca="false">IF(BN$69=1,SUMIFS(dr_USD,dr_Mes,60,dr_Cod,"NOM_I",dr_Est,"&lt;&gt;Excluido"),BN$85+BN$86+BN$87)</f>
        <v>20432.4948990137</v>
      </c>
      <c r="BO88" s="12" t="n">
        <f aca="false">IF(BO$69=1,SUMIFS(dr_USD,dr_Mes,61,dr_Cod,"NOM_I",dr_Est,"&lt;&gt;Excluido"),BO$85+BO$86+BO$87)</f>
        <v>20432.4948990137</v>
      </c>
      <c r="BP88" s="12" t="n">
        <f aca="false">IF(BP$69=1,SUMIFS(dr_USD,dr_Mes,62,dr_Cod,"NOM_I",dr_Est,"&lt;&gt;Excluido"),BP$85+BP$86+BP$87)</f>
        <v>20432.4948990137</v>
      </c>
      <c r="BQ88" s="12" t="n">
        <f aca="false">IF(BQ$69=1,SUMIFS(dr_USD,dr_Mes,63,dr_Cod,"NOM_I",dr_Est,"&lt;&gt;Excluido"),BQ$85+BQ$86+BQ$87)</f>
        <v>20432.4948990137</v>
      </c>
      <c r="BR88" s="12" t="n">
        <f aca="false">IF(BR$69=1,SUMIFS(dr_USD,dr_Mes,64,dr_Cod,"NOM_I",dr_Est,"&lt;&gt;Excluido"),BR$85+BR$86+BR$87)</f>
        <v>20432.4948990137</v>
      </c>
      <c r="BS88" s="12" t="n">
        <f aca="false">IF(BS$69=1,SUMIFS(dr_USD,dr_Mes,65,dr_Cod,"NOM_I",dr_Est,"&lt;&gt;Excluido"),BS$85+BS$86+BS$87)</f>
        <v>20432.4948990137</v>
      </c>
      <c r="BT88" s="12" t="n">
        <f aca="false">IF(BT$69=1,SUMIFS(dr_USD,dr_Mes,66,dr_Cod,"NOM_I",dr_Est,"&lt;&gt;Excluido"),BT$85+BT$86+BT$87)</f>
        <v>20432.4948990137</v>
      </c>
      <c r="BU88" s="12" t="n">
        <f aca="false">IF(BU$69=1,SUMIFS(dr_USD,dr_Mes,67,dr_Cod,"NOM_I",dr_Est,"&lt;&gt;Excluido"),BU$85+BU$86+BU$87)</f>
        <v>20432.4948990137</v>
      </c>
      <c r="BV88" s="12" t="n">
        <f aca="false">IF(BV$69=1,SUMIFS(dr_USD,dr_Mes,68,dr_Cod,"NOM_I",dr_Est,"&lt;&gt;Excluido"),BV$85+BV$86+BV$87)</f>
        <v>20432.4948990137</v>
      </c>
      <c r="BW88" s="12" t="n">
        <f aca="false">IF(BW$69=1,SUMIFS(dr_USD,dr_Mes,69,dr_Cod,"NOM_I",dr_Est,"&lt;&gt;Excluido"),BW$85+BW$86+BW$87)</f>
        <v>20432.4948990137</v>
      </c>
      <c r="BX88" s="12" t="n">
        <f aca="false">IF(BX$69=1,SUMIFS(dr_USD,dr_Mes,70,dr_Cod,"NOM_I",dr_Est,"&lt;&gt;Excluido"),BX$85+BX$86+BX$87)</f>
        <v>20432.4948990137</v>
      </c>
      <c r="BY88" s="12" t="n">
        <f aca="false">IF(BY$69=1,SUMIFS(dr_USD,dr_Mes,71,dr_Cod,"NOM_I",dr_Est,"&lt;&gt;Excluido"),BY$85+BY$86+BY$87)</f>
        <v>20432.4948990137</v>
      </c>
      <c r="BZ88" s="12" t="n">
        <f aca="false">IF(BZ$69=1,SUMIFS(dr_USD,dr_Mes,72,dr_Cod,"NOM_I",dr_Est,"&lt;&gt;Excluido"),BZ$85+BZ$86+BZ$87)</f>
        <v>20432.4948990137</v>
      </c>
      <c r="CA88" s="12" t="n">
        <f aca="false">IF(CA$69=1,SUMIFS(dr_USD,dr_Mes,73,dr_Cod,"NOM_I",dr_Est,"&lt;&gt;Excluido"),CA$85+CA$86+CA$87)</f>
        <v>20432.4948990137</v>
      </c>
      <c r="CB88" s="12" t="n">
        <f aca="false">IF(CB$69=1,SUMIFS(dr_USD,dr_Mes,74,dr_Cod,"NOM_I",dr_Est,"&lt;&gt;Excluido"),CB$85+CB$86+CB$87)</f>
        <v>20432.4948990137</v>
      </c>
      <c r="CC88" s="12" t="n">
        <f aca="false">IF(CC$69=1,SUMIFS(dr_USD,dr_Mes,75,dr_Cod,"NOM_I",dr_Est,"&lt;&gt;Excluido"),CC$85+CC$86+CC$87)</f>
        <v>20432.4948990137</v>
      </c>
      <c r="CD88" s="12" t="n">
        <f aca="false">IF(CD$69=1,SUMIFS(dr_USD,dr_Mes,76,dr_Cod,"NOM_I",dr_Est,"&lt;&gt;Excluido"),CD$85+CD$86+CD$87)</f>
        <v>20432.4948990137</v>
      </c>
      <c r="CE88" s="12" t="n">
        <f aca="false">IF(CE$69=1,SUMIFS(dr_USD,dr_Mes,77,dr_Cod,"NOM_I",dr_Est,"&lt;&gt;Excluido"),CE$85+CE$86+CE$87)</f>
        <v>20432.4948990137</v>
      </c>
      <c r="CF88" s="12" t="n">
        <f aca="false">IF(CF$69=1,SUMIFS(dr_USD,dr_Mes,78,dr_Cod,"NOM_I",dr_Est,"&lt;&gt;Excluido"),CF$85+CF$86+CF$87)</f>
        <v>20432.4948990137</v>
      </c>
      <c r="CG88" s="12" t="n">
        <f aca="false">IF(CG$69=1,SUMIFS(dr_USD,dr_Mes,79,dr_Cod,"NOM_I",dr_Est,"&lt;&gt;Excluido"),CG$85+CG$86+CG$87)</f>
        <v>20432.4948990137</v>
      </c>
      <c r="CH88" s="12" t="n">
        <f aca="false">IF(CH$69=1,SUMIFS(dr_USD,dr_Mes,80,dr_Cod,"NOM_I",dr_Est,"&lt;&gt;Excluido"),CH$85+CH$86+CH$87)</f>
        <v>20432.4948990137</v>
      </c>
      <c r="CI88" s="12" t="n">
        <f aca="false">IF(CI$69=1,SUMIFS(dr_USD,dr_Mes,81,dr_Cod,"NOM_I",dr_Est,"&lt;&gt;Excluido"),CI$85+CI$86+CI$87)</f>
        <v>20432.4948990137</v>
      </c>
      <c r="CJ88" s="12" t="n">
        <f aca="false">IF(CJ$69=1,SUMIFS(dr_USD,dr_Mes,82,dr_Cod,"NOM_I",dr_Est,"&lt;&gt;Excluido"),CJ$85+CJ$86+CJ$87)</f>
        <v>20432.4948990137</v>
      </c>
      <c r="CK88" s="12" t="n">
        <f aca="false">IF(CK$69=1,SUMIFS(dr_USD,dr_Mes,83,dr_Cod,"NOM_I",dr_Est,"&lt;&gt;Excluido"),CK$85+CK$86+CK$87)</f>
        <v>20432.4948990137</v>
      </c>
      <c r="CL88" s="12" t="n">
        <f aca="false">IF(CL$69=1,SUMIFS(dr_USD,dr_Mes,84,dr_Cod,"NOM_I",dr_Est,"&lt;&gt;Excluido"),CL$85+CL$86+CL$87)</f>
        <v>20432.4948990137</v>
      </c>
      <c r="CM88" s="12" t="n">
        <f aca="false">IF(CM$69=1,SUMIFS(dr_USD,dr_Mes,85,dr_Cod,"NOM_I",dr_Est,"&lt;&gt;Excluido"),CM$85+CM$86+CM$87)</f>
        <v>20432.4948990137</v>
      </c>
      <c r="CN88" s="12" t="n">
        <f aca="false">IF(CN$69=1,SUMIFS(dr_USD,dr_Mes,86,dr_Cod,"NOM_I",dr_Est,"&lt;&gt;Excluido"),CN$85+CN$86+CN$87)</f>
        <v>20432.4948990137</v>
      </c>
      <c r="CO88" s="12" t="n">
        <f aca="false">IF(CO$69=1,SUMIFS(dr_USD,dr_Mes,87,dr_Cod,"NOM_I",dr_Est,"&lt;&gt;Excluido"),CO$85+CO$86+CO$87)</f>
        <v>20432.4948990137</v>
      </c>
      <c r="CP88" s="12" t="n">
        <f aca="false">IF(CP$69=1,SUMIFS(dr_USD,dr_Mes,88,dr_Cod,"NOM_I",dr_Est,"&lt;&gt;Excluido"),CP$85+CP$86+CP$87)</f>
        <v>20432.4948990137</v>
      </c>
      <c r="CQ88" s="12" t="n">
        <f aca="false">IF(CQ$69=1,SUMIFS(dr_USD,dr_Mes,89,dr_Cod,"NOM_I",dr_Est,"&lt;&gt;Excluido"),CQ$85+CQ$86+CQ$87)</f>
        <v>20432.4948990137</v>
      </c>
      <c r="CR88" s="12" t="n">
        <f aca="false">IF(CR$69=1,SUMIFS(dr_USD,dr_Mes,90,dr_Cod,"NOM_I",dr_Est,"&lt;&gt;Excluido"),CR$85+CR$86+CR$87)</f>
        <v>20432.4948990137</v>
      </c>
      <c r="CS88" s="12" t="n">
        <f aca="false">IF(CS$69=1,SUMIFS(dr_USD,dr_Mes,91,dr_Cod,"NOM_I",dr_Est,"&lt;&gt;Excluido"),CS$85+CS$86+CS$87)</f>
        <v>20432.4948990137</v>
      </c>
      <c r="CT88" s="12" t="n">
        <f aca="false">IF(CT$69=1,SUMIFS(dr_USD,dr_Mes,92,dr_Cod,"NOM_I",dr_Est,"&lt;&gt;Excluido"),CT$85+CT$86+CT$87)</f>
        <v>20432.4948990137</v>
      </c>
      <c r="CU88" s="12" t="n">
        <f aca="false">IF(CU$69=1,SUMIFS(dr_USD,dr_Mes,93,dr_Cod,"NOM_I",dr_Est,"&lt;&gt;Excluido"),CU$85+CU$86+CU$87)</f>
        <v>20432.4948990137</v>
      </c>
      <c r="CV88" s="12" t="n">
        <f aca="false">IF(CV$69=1,SUMIFS(dr_USD,dr_Mes,94,dr_Cod,"NOM_I",dr_Est,"&lt;&gt;Excluido"),CV$85+CV$86+CV$87)</f>
        <v>20432.4948990137</v>
      </c>
      <c r="CW88" s="12" t="n">
        <f aca="false">IF(CW$69=1,SUMIFS(dr_USD,dr_Mes,95,dr_Cod,"NOM_I",dr_Est,"&lt;&gt;Excluido"),CW$85+CW$86+CW$87)</f>
        <v>20432.4948990137</v>
      </c>
      <c r="CX88" s="12" t="n">
        <f aca="false">IF(CX$69=1,SUMIFS(dr_USD,dr_Mes,96,dr_Cod,"NOM_I",dr_Est,"&lt;&gt;Excluido"),CX$85+CX$86+CX$87)</f>
        <v>20432.4948990137</v>
      </c>
      <c r="CY88" s="12" t="n">
        <f aca="false">IF(CY$69=1,SUMIFS(dr_USD,dr_Mes,97,dr_Cod,"NOM_I",dr_Est,"&lt;&gt;Excluido"),CY$85+CY$86+CY$87)</f>
        <v>20432.4948990137</v>
      </c>
      <c r="CZ88" s="12" t="n">
        <f aca="false">IF(CZ$69=1,SUMIFS(dr_USD,dr_Mes,98,dr_Cod,"NOM_I",dr_Est,"&lt;&gt;Excluido"),CZ$85+CZ$86+CZ$87)</f>
        <v>20432.4948990137</v>
      </c>
      <c r="DA88" s="12" t="n">
        <f aca="false">IF(DA$69=1,SUMIFS(dr_USD,dr_Mes,99,dr_Cod,"NOM_I",dr_Est,"&lt;&gt;Excluido"),DA$85+DA$86+DA$87)</f>
        <v>20432.4948990137</v>
      </c>
      <c r="DB88" s="12" t="n">
        <f aca="false">IF(DB$69=1,SUMIFS(dr_USD,dr_Mes,100,dr_Cod,"NOM_I",dr_Est,"&lt;&gt;Excluido"),DB$85+DB$86+DB$87)</f>
        <v>20432.4948990137</v>
      </c>
      <c r="DC88" s="12" t="n">
        <f aca="false">IF(DC$69=1,SUMIFS(dr_USD,dr_Mes,101,dr_Cod,"NOM_I",dr_Est,"&lt;&gt;Excluido"),DC$85+DC$86+DC$87)</f>
        <v>20432.4948990137</v>
      </c>
      <c r="DD88" s="12" t="n">
        <f aca="false">IF(DD$69=1,SUMIFS(dr_USD,dr_Mes,102,dr_Cod,"NOM_I",dr_Est,"&lt;&gt;Excluido"),DD$85+DD$86+DD$87)</f>
        <v>20432.4948990137</v>
      </c>
      <c r="DE88" s="12" t="n">
        <f aca="false">IF(DE$69=1,SUMIFS(dr_USD,dr_Mes,103,dr_Cod,"NOM_I",dr_Est,"&lt;&gt;Excluido"),DE$85+DE$86+DE$87)</f>
        <v>20432.4948990137</v>
      </c>
      <c r="DF88" s="12" t="n">
        <f aca="false">IF(DF$69=1,SUMIFS(dr_USD,dr_Mes,104,dr_Cod,"NOM_I",dr_Est,"&lt;&gt;Excluido"),DF$85+DF$86+DF$87)</f>
        <v>20432.4948990137</v>
      </c>
      <c r="DG88" s="12" t="n">
        <f aca="false">IF(DG$69=1,SUMIFS(dr_USD,dr_Mes,105,dr_Cod,"NOM_I",dr_Est,"&lt;&gt;Excluido"),DG$85+DG$86+DG$87)</f>
        <v>20432.4948990137</v>
      </c>
      <c r="DH88" s="12" t="n">
        <f aca="false">IF(DH$69=1,SUMIFS(dr_USD,dr_Mes,106,dr_Cod,"NOM_I",dr_Est,"&lt;&gt;Excluido"),DH$85+DH$86+DH$87)</f>
        <v>20432.4948990137</v>
      </c>
      <c r="DI88" s="12" t="n">
        <f aca="false">IF(DI$69=1,SUMIFS(dr_USD,dr_Mes,107,dr_Cod,"NOM_I",dr_Est,"&lt;&gt;Excluido"),DI$85+DI$86+DI$87)</f>
        <v>20432.4948990137</v>
      </c>
      <c r="DJ88" s="12" t="n">
        <f aca="false">IF(DJ$69=1,SUMIFS(dr_USD,dr_Mes,108,dr_Cod,"NOM_I",dr_Est,"&lt;&gt;Excluido"),DJ$85+DJ$86+DJ$87)</f>
        <v>20432.4948990137</v>
      </c>
      <c r="DK88" s="12" t="n">
        <f aca="false">IF(DK$69=1,SUMIFS(dr_USD,dr_Mes,109,dr_Cod,"NOM_I",dr_Est,"&lt;&gt;Excluido"),DK$85+DK$86+DK$87)</f>
        <v>20432.4948990137</v>
      </c>
      <c r="DL88" s="12" t="n">
        <f aca="false">IF(DL$69=1,SUMIFS(dr_USD,dr_Mes,110,dr_Cod,"NOM_I",dr_Est,"&lt;&gt;Excluido"),DL$85+DL$86+DL$87)</f>
        <v>20432.4948990137</v>
      </c>
      <c r="DM88" s="12" t="n">
        <f aca="false">IF(DM$69=1,SUMIFS(dr_USD,dr_Mes,111,dr_Cod,"NOM_I",dr_Est,"&lt;&gt;Excluido"),DM$85+DM$86+DM$87)</f>
        <v>20432.4948990137</v>
      </c>
      <c r="DN88" s="12" t="n">
        <f aca="false">IF(DN$69=1,SUMIFS(dr_USD,dr_Mes,112,dr_Cod,"NOM_I",dr_Est,"&lt;&gt;Excluido"),DN$85+DN$86+DN$87)</f>
        <v>20432.4948990137</v>
      </c>
      <c r="DO88" s="12" t="n">
        <f aca="false">IF(DO$69=1,SUMIFS(dr_USD,dr_Mes,113,dr_Cod,"NOM_I",dr_Est,"&lt;&gt;Excluido"),DO$85+DO$86+DO$87)</f>
        <v>20432.4948990137</v>
      </c>
      <c r="DP88" s="12" t="n">
        <f aca="false">IF(DP$69=1,SUMIFS(dr_USD,dr_Mes,114,dr_Cod,"NOM_I",dr_Est,"&lt;&gt;Excluido"),DP$85+DP$86+DP$87)</f>
        <v>20432.4948990137</v>
      </c>
      <c r="DQ88" s="12" t="n">
        <f aca="false">IF(DQ$69=1,SUMIFS(dr_USD,dr_Mes,115,dr_Cod,"NOM_I",dr_Est,"&lt;&gt;Excluido"),DQ$85+DQ$86+DQ$87)</f>
        <v>20432.4948990137</v>
      </c>
      <c r="DR88" s="12" t="n">
        <f aca="false">IF(DR$69=1,SUMIFS(dr_USD,dr_Mes,116,dr_Cod,"NOM_I",dr_Est,"&lt;&gt;Excluido"),DR$85+DR$86+DR$87)</f>
        <v>20432.4948990137</v>
      </c>
      <c r="DS88" s="12" t="n">
        <f aca="false">IF(DS$69=1,SUMIFS(dr_USD,dr_Mes,117,dr_Cod,"NOM_I",dr_Est,"&lt;&gt;Excluido"),DS$85+DS$86+DS$87)</f>
        <v>20432.4948990137</v>
      </c>
      <c r="DT88" s="12" t="n">
        <f aca="false">IF(DT$69=1,SUMIFS(dr_USD,dr_Mes,118,dr_Cod,"NOM_I",dr_Est,"&lt;&gt;Excluido"),DT$85+DT$86+DT$87)</f>
        <v>20432.4948990137</v>
      </c>
      <c r="DU88" s="12" t="n">
        <f aca="false">IF(DU$69=1,SUMIFS(dr_USD,dr_Mes,119,dr_Cod,"NOM_I",dr_Est,"&lt;&gt;Excluido"),DU$85+DU$86+DU$87)</f>
        <v>20432.4948990137</v>
      </c>
      <c r="DV88" s="12" t="n">
        <f aca="false">IF(DV$69=1,SUMIFS(dr_USD,dr_Mes,120,dr_Cod,"NOM_I",dr_Est,"&lt;&gt;Excluido"),DV$85+DV$86+DV$87)</f>
        <v>20432.4948990137</v>
      </c>
      <c r="DW88" s="12" t="n">
        <f aca="false">IF(DW$69=1,SUMIFS(dr_USD,dr_Mes,121,dr_Cod,"NOM_I",dr_Est,"&lt;&gt;Excluido"),DW$85+DW$86+DW$87)</f>
        <v>0</v>
      </c>
      <c r="DX88" s="12" t="n">
        <f aca="false">IF(DX$69=1,SUMIFS(dr_USD,dr_Mes,122,dr_Cod,"NOM_I",dr_Est,"&lt;&gt;Excluido"),DX$85+DX$86+DX$87)</f>
        <v>0</v>
      </c>
      <c r="DY88" s="12" t="n">
        <f aca="false">IF(DY$69=1,SUMIFS(dr_USD,dr_Mes,123,dr_Cod,"NOM_I",dr_Est,"&lt;&gt;Excluido"),DY$85+DY$86+DY$87)</f>
        <v>0</v>
      </c>
      <c r="DZ88" s="12" t="n">
        <f aca="false">IF(DZ$69=1,SUMIFS(dr_USD,dr_Mes,124,dr_Cod,"NOM_I",dr_Est,"&lt;&gt;Excluido"),DZ$85+DZ$86+DZ$87)</f>
        <v>0</v>
      </c>
      <c r="EA88" s="12" t="n">
        <f aca="false">IF(EA$69=1,SUMIFS(dr_USD,dr_Mes,125,dr_Cod,"NOM_I",dr_Est,"&lt;&gt;Excluido"),EA$85+EA$86+EA$87)</f>
        <v>0</v>
      </c>
      <c r="EB88" s="12" t="n">
        <f aca="false">IF(EB$69=1,SUMIFS(dr_USD,dr_Mes,126,dr_Cod,"NOM_I",dr_Est,"&lt;&gt;Excluido"),EB$85+EB$86+EB$87)</f>
        <v>0</v>
      </c>
      <c r="EC88" s="12" t="n">
        <f aca="false">IF(EC$69=1,SUMIFS(dr_USD,dr_Mes,127,dr_Cod,"NOM_I",dr_Est,"&lt;&gt;Excluido"),EC$85+EC$86+EC$87)</f>
        <v>0</v>
      </c>
      <c r="ED88" s="12" t="n">
        <f aca="false">IF(ED$69=1,SUMIFS(dr_USD,dr_Mes,128,dr_Cod,"NOM_I",dr_Est,"&lt;&gt;Excluido"),ED$85+ED$86+ED$87)</f>
        <v>0</v>
      </c>
      <c r="EE88" s="12" t="n">
        <f aca="false">IF(EE$69=1,SUMIFS(dr_USD,dr_Mes,129,dr_Cod,"NOM_I",dr_Est,"&lt;&gt;Excluido"),EE$85+EE$86+EE$87)</f>
        <v>0</v>
      </c>
      <c r="EF88" s="12" t="n">
        <f aca="false">IF(EF$69=1,SUMIFS(dr_USD,dr_Mes,130,dr_Cod,"NOM_I",dr_Est,"&lt;&gt;Excluido"),EF$85+EF$86+EF$87)</f>
        <v>0</v>
      </c>
      <c r="EG88" s="12" t="n">
        <f aca="false">IF(EG$69=1,SUMIFS(dr_USD,dr_Mes,131,dr_Cod,"NOM_I",dr_Est,"&lt;&gt;Excluido"),EG$85+EG$86+EG$87)</f>
        <v>0</v>
      </c>
      <c r="EH88" s="12" t="n">
        <f aca="false">IF(EH$69=1,SUMIFS(dr_USD,dr_Mes,132,dr_Cod,"NOM_I",dr_Est,"&lt;&gt;Excluido"),EH$85+EH$86+EH$87)</f>
        <v>0</v>
      </c>
      <c r="EI88" s="12" t="n">
        <f aca="false">IF(EI$69=1,SUMIFS(dr_USD,dr_Mes,133,dr_Cod,"NOM_I",dr_Est,"&lt;&gt;Excluido"),EI$85+EI$86+EI$87)</f>
        <v>0</v>
      </c>
      <c r="EJ88" s="12" t="n">
        <f aca="false">IF(EJ$69=1,SUMIFS(dr_USD,dr_Mes,134,dr_Cod,"NOM_I",dr_Est,"&lt;&gt;Excluido"),EJ$85+EJ$86+EJ$87)</f>
        <v>0</v>
      </c>
      <c r="EK88" s="12" t="n">
        <f aca="false">IF(EK$69=1,SUMIFS(dr_USD,dr_Mes,135,dr_Cod,"NOM_I",dr_Est,"&lt;&gt;Excluido"),EK$85+EK$86+EK$87)</f>
        <v>0</v>
      </c>
      <c r="EL88" s="12" t="n">
        <f aca="false">IF(EL$69=1,SUMIFS(dr_USD,dr_Mes,136,dr_Cod,"NOM_I",dr_Est,"&lt;&gt;Excluido"),EL$85+EL$86+EL$87)</f>
        <v>0</v>
      </c>
      <c r="EM88" s="12" t="n">
        <f aca="false">IF(EM$69=1,SUMIFS(dr_USD,dr_Mes,137,dr_Cod,"NOM_I",dr_Est,"&lt;&gt;Excluido"),EM$85+EM$86+EM$87)</f>
        <v>0</v>
      </c>
      <c r="EN88" s="12" t="n">
        <f aca="false">IF(EN$69=1,SUMIFS(dr_USD,dr_Mes,138,dr_Cod,"NOM_I",dr_Est,"&lt;&gt;Excluido"),EN$85+EN$86+EN$87)</f>
        <v>0</v>
      </c>
      <c r="EO88" s="12" t="n">
        <f aca="false">IF(EO$69=1,SUMIFS(dr_USD,dr_Mes,139,dr_Cod,"NOM_I",dr_Est,"&lt;&gt;Excluido"),EO$85+EO$86+EO$87)</f>
        <v>0</v>
      </c>
      <c r="EP88" s="12" t="n">
        <f aca="false">IF(EP$69=1,SUMIFS(dr_USD,dr_Mes,140,dr_Cod,"NOM_I",dr_Est,"&lt;&gt;Excluido"),EP$85+EP$86+EP$87)</f>
        <v>0</v>
      </c>
      <c r="EQ88" s="12" t="n">
        <f aca="false">IF(EQ$69=1,SUMIFS(dr_USD,dr_Mes,141,dr_Cod,"NOM_I",dr_Est,"&lt;&gt;Excluido"),EQ$85+EQ$86+EQ$87)</f>
        <v>0</v>
      </c>
      <c r="ER88" s="12" t="n">
        <f aca="false">IF(ER$69=1,SUMIFS(dr_USD,dr_Mes,142,dr_Cod,"NOM_I",dr_Est,"&lt;&gt;Excluido"),ER$85+ER$86+ER$87)</f>
        <v>0</v>
      </c>
      <c r="ES88" s="12" t="n">
        <f aca="false">IF(ES$69=1,SUMIFS(dr_USD,dr_Mes,143,dr_Cod,"NOM_I",dr_Est,"&lt;&gt;Excluido"),ES$85+ES$86+ES$87)</f>
        <v>0</v>
      </c>
      <c r="ET88" s="12" t="n">
        <f aca="false">IF(ET$69=1,SUMIFS(dr_USD,dr_Mes,144,dr_Cod,"NOM_I",dr_Est,"&lt;&gt;Excluido"),ET$85+ET$86+ET$87)</f>
        <v>0</v>
      </c>
      <c r="EU88" s="12" t="n">
        <f aca="false">IF(EU$69=1,SUMIFS(dr_USD,dr_Mes,145,dr_Cod,"NOM_I",dr_Est,"&lt;&gt;Excluido"),EU$85+EU$86+EU$87)</f>
        <v>0</v>
      </c>
      <c r="EV88" s="12" t="n">
        <f aca="false">IF(EV$69=1,SUMIFS(dr_USD,dr_Mes,146,dr_Cod,"NOM_I",dr_Est,"&lt;&gt;Excluido"),EV$85+EV$86+EV$87)</f>
        <v>0</v>
      </c>
      <c r="EW88" s="12" t="n">
        <f aca="false">IF(EW$69=1,SUMIFS(dr_USD,dr_Mes,147,dr_Cod,"NOM_I",dr_Est,"&lt;&gt;Excluido"),EW$85+EW$86+EW$87)</f>
        <v>0</v>
      </c>
      <c r="EX88" s="12" t="n">
        <f aca="false">IF(EX$69=1,SUMIFS(dr_USD,dr_Mes,148,dr_Cod,"NOM_I",dr_Est,"&lt;&gt;Excluido"),EX$85+EX$86+EX$87)</f>
        <v>0</v>
      </c>
      <c r="EY88" s="12" t="n">
        <f aca="false">IF(EY$69=1,SUMIFS(dr_USD,dr_Mes,149,dr_Cod,"NOM_I",dr_Est,"&lt;&gt;Excluido"),EY$85+EY$86+EY$87)</f>
        <v>0</v>
      </c>
      <c r="EZ88" s="12" t="n">
        <f aca="false">IF(EZ$69=1,SUMIFS(dr_USD,dr_Mes,150,dr_Cod,"NOM_I",dr_Est,"&lt;&gt;Excluido"),EZ$85+EZ$86+EZ$87)</f>
        <v>0</v>
      </c>
      <c r="FA88" s="12" t="n">
        <f aca="false">IF(FA$69=1,SUMIFS(dr_USD,dr_Mes,151,dr_Cod,"NOM_I",dr_Est,"&lt;&gt;Excluido"),FA$85+FA$86+FA$87)</f>
        <v>0</v>
      </c>
      <c r="FB88" s="12" t="n">
        <f aca="false">IF(FB$69=1,SUMIFS(dr_USD,dr_Mes,152,dr_Cod,"NOM_I",dr_Est,"&lt;&gt;Excluido"),FB$85+FB$86+FB$87)</f>
        <v>0</v>
      </c>
      <c r="FC88" s="12" t="n">
        <f aca="false">IF(FC$69=1,SUMIFS(dr_USD,dr_Mes,153,dr_Cod,"NOM_I",dr_Est,"&lt;&gt;Excluido"),FC$85+FC$86+FC$87)</f>
        <v>0</v>
      </c>
      <c r="FD88" s="12" t="n">
        <f aca="false">IF(FD$69=1,SUMIFS(dr_USD,dr_Mes,154,dr_Cod,"NOM_I",dr_Est,"&lt;&gt;Excluido"),FD$85+FD$86+FD$87)</f>
        <v>0</v>
      </c>
      <c r="FE88" s="12" t="n">
        <f aca="false">IF(FE$69=1,SUMIFS(dr_USD,dr_Mes,155,dr_Cod,"NOM_I",dr_Est,"&lt;&gt;Excluido"),FE$85+FE$86+FE$87)</f>
        <v>0</v>
      </c>
      <c r="FF88" s="12" t="n">
        <f aca="false">IF(FF$69=1,SUMIFS(dr_USD,dr_Mes,156,dr_Cod,"NOM_I",dr_Est,"&lt;&gt;Excluido"),FF$85+FF$86+FF$87)</f>
        <v>0</v>
      </c>
    </row>
    <row r="89" customFormat="false" ht="15" hidden="false" customHeight="false" outlineLevel="0" collapsed="false">
      <c r="A89" s="4"/>
      <c r="B89" s="3" t="s">
        <v>1038</v>
      </c>
      <c r="C89" s="4"/>
      <c r="D89" s="4"/>
      <c r="E89" s="4"/>
    </row>
    <row r="90" customFormat="false" ht="15" hidden="false" customHeight="false" outlineLevel="0" collapsed="false">
      <c r="A90" s="2" t="s">
        <v>1039</v>
      </c>
      <c r="B90" s="8" t="s">
        <v>1022</v>
      </c>
      <c r="C90" s="8" t="s">
        <v>1023</v>
      </c>
      <c r="F90" s="19" t="n">
        <f aca="false">IF(F$68=1,INDEX($G$37:$P$37,1,F$67),IF(Calendario!F$14=1,INDEX($G$37:$P$37,1,1)*p_EspInd,0))</f>
        <v>0</v>
      </c>
      <c r="G90" s="19" t="n">
        <f aca="false">IF(G$68=1,INDEX($G$37:$P$37,1,G$67),IF(Calendario!G$14=1,INDEX($G$37:$P$37,1,1)*p_EspInd,0))</f>
        <v>5</v>
      </c>
      <c r="H90" s="19" t="n">
        <f aca="false">IF(H$68=1,INDEX($G$37:$P$37,1,H$67),IF(Calendario!H$14=1,INDEX($G$37:$P$37,1,1)*p_EspInd,0))</f>
        <v>5</v>
      </c>
      <c r="I90" s="19" t="n">
        <f aca="false">IF(I$68=1,INDEX($G$37:$P$37,1,I$67),IF(Calendario!I$14=1,INDEX($G$37:$P$37,1,1)*p_EspInd,0))</f>
        <v>5</v>
      </c>
      <c r="J90" s="19" t="n">
        <f aca="false">IF(J$68=1,INDEX($G$37:$P$37,1,J$67),IF(Calendario!J$14=1,INDEX($G$37:$P$37,1,1)*p_EspInd,0))</f>
        <v>5</v>
      </c>
      <c r="K90" s="19" t="n">
        <f aca="false">IF(K$68=1,INDEX($G$37:$P$37,1,K$67),IF(Calendario!K$14=1,INDEX($G$37:$P$37,1,1)*p_EspInd,0))</f>
        <v>5</v>
      </c>
      <c r="L90" s="19" t="n">
        <f aca="false">IF(L$68=1,INDEX($G$37:$P$37,1,L$67),IF(Calendario!L$14=1,INDEX($G$37:$P$37,1,1)*p_EspInd,0))</f>
        <v>5</v>
      </c>
      <c r="M90" s="19" t="n">
        <f aca="false">IF(M$68=1,INDEX($G$37:$P$37,1,M$67),IF(Calendario!M$14=1,INDEX($G$37:$P$37,1,1)*p_EspInd,0))</f>
        <v>5</v>
      </c>
      <c r="N90" s="19" t="n">
        <f aca="false">IF(N$68=1,INDEX($G$37:$P$37,1,N$67),IF(Calendario!N$14=1,INDEX($G$37:$P$37,1,1)*p_EspInd,0))</f>
        <v>5</v>
      </c>
      <c r="O90" s="19" t="n">
        <f aca="false">IF(O$68=1,INDEX($G$37:$P$37,1,O$67),IF(Calendario!O$14=1,INDEX($G$37:$P$37,1,1)*p_EspInd,0))</f>
        <v>5</v>
      </c>
      <c r="P90" s="19" t="n">
        <f aca="false">IF(P$68=1,INDEX($G$37:$P$37,1,P$67),IF(Calendario!P$14=1,INDEX($G$37:$P$37,1,1)*p_EspInd,0))</f>
        <v>5</v>
      </c>
      <c r="Q90" s="19" t="n">
        <f aca="false">IF(Q$68=1,INDEX($G$37:$P$37,1,Q$67),IF(Calendario!Q$14=1,INDEX($G$37:$P$37,1,1)*p_EspInd,0))</f>
        <v>5</v>
      </c>
      <c r="R90" s="19" t="n">
        <f aca="false">IF(R$68=1,INDEX($G$37:$P$37,1,R$67),IF(Calendario!R$14=1,INDEX($G$37:$P$37,1,1)*p_EspInd,0))</f>
        <v>5</v>
      </c>
      <c r="S90" s="19" t="n">
        <f aca="false">IF(S$68=1,INDEX($G$37:$P$37,1,S$67),IF(Calendario!S$14=1,INDEX($G$37:$P$37,1,1)*p_EspInd,0))</f>
        <v>5</v>
      </c>
      <c r="T90" s="19" t="n">
        <f aca="false">IF(T$68=1,INDEX($G$37:$P$37,1,T$67),IF(Calendario!T$14=1,INDEX($G$37:$P$37,1,1)*p_EspInd,0))</f>
        <v>5</v>
      </c>
      <c r="U90" s="19" t="n">
        <f aca="false">IF(U$68=1,INDEX($G$37:$P$37,1,U$67),IF(Calendario!U$14=1,INDEX($G$37:$P$37,1,1)*p_EspInd,0))</f>
        <v>5</v>
      </c>
      <c r="V90" s="19" t="n">
        <f aca="false">IF(V$68=1,INDEX($G$37:$P$37,1,V$67),IF(Calendario!V$14=1,INDEX($G$37:$P$37,1,1)*p_EspInd,0))</f>
        <v>5</v>
      </c>
      <c r="W90" s="19" t="n">
        <f aca="false">IF(W$68=1,INDEX($G$37:$P$37,1,W$67),IF(Calendario!W$14=1,INDEX($G$37:$P$37,1,1)*p_EspInd,0))</f>
        <v>5</v>
      </c>
      <c r="X90" s="19" t="n">
        <f aca="false">IF(X$68=1,INDEX($G$37:$P$37,1,X$67),IF(Calendario!X$14=1,INDEX($G$37:$P$37,1,1)*p_EspInd,0))</f>
        <v>5</v>
      </c>
      <c r="Y90" s="19" t="n">
        <f aca="false">IF(Y$68=1,INDEX($G$37:$P$37,1,Y$67),IF(Calendario!Y$14=1,INDEX($G$37:$P$37,1,1)*p_EspInd,0))</f>
        <v>5</v>
      </c>
      <c r="Z90" s="19" t="n">
        <f aca="false">IF(Z$68=1,INDEX($G$37:$P$37,1,Z$67),IF(Calendario!Z$14=1,INDEX($G$37:$P$37,1,1)*p_EspInd,0))</f>
        <v>5</v>
      </c>
      <c r="AA90" s="19" t="n">
        <f aca="false">IF(AA$68=1,INDEX($G$37:$P$37,1,AA$67),IF(Calendario!AA$14=1,INDEX($G$37:$P$37,1,1)*p_EspInd,0))</f>
        <v>5</v>
      </c>
      <c r="AB90" s="19" t="n">
        <f aca="false">IF(AB$68=1,INDEX($G$37:$P$37,1,AB$67),IF(Calendario!AB$14=1,INDEX($G$37:$P$37,1,1)*p_EspInd,0))</f>
        <v>5</v>
      </c>
      <c r="AC90" s="19" t="n">
        <f aca="false">IF(AC$68=1,INDEX($G$37:$P$37,1,AC$67),IF(Calendario!AC$14=1,INDEX($G$37:$P$37,1,1)*p_EspInd,0))</f>
        <v>5</v>
      </c>
      <c r="AD90" s="19" t="n">
        <f aca="false">IF(AD$68=1,INDEX($G$37:$P$37,1,AD$67),IF(Calendario!AD$14=1,INDEX($G$37:$P$37,1,1)*p_EspInd,0))</f>
        <v>5</v>
      </c>
      <c r="AE90" s="19" t="n">
        <f aca="false">IF(AE$68=1,INDEX($G$37:$P$37,1,AE$67),IF(Calendario!AE$14=1,INDEX($G$37:$P$37,1,1)*p_EspInd,0))</f>
        <v>5</v>
      </c>
      <c r="AF90" s="19" t="n">
        <f aca="false">IF(AF$68=1,INDEX($G$37:$P$37,1,AF$67),IF(Calendario!AF$14=1,INDEX($G$37:$P$37,1,1)*p_EspInd,0))</f>
        <v>5</v>
      </c>
      <c r="AG90" s="19" t="n">
        <f aca="false">IF(AG$68=1,INDEX($G$37:$P$37,1,AG$67),IF(Calendario!AG$14=1,INDEX($G$37:$P$37,1,1)*p_EspInd,0))</f>
        <v>5</v>
      </c>
      <c r="AH90" s="19" t="n">
        <f aca="false">IF(AH$68=1,INDEX($G$37:$P$37,1,AH$67),IF(Calendario!AH$14=1,INDEX($G$37:$P$37,1,1)*p_EspInd,0))</f>
        <v>5</v>
      </c>
      <c r="AI90" s="19" t="n">
        <f aca="false">IF(AI$68=1,INDEX($G$37:$P$37,1,AI$67),IF(Calendario!AI$14=1,INDEX($G$37:$P$37,1,1)*p_EspInd,0))</f>
        <v>5</v>
      </c>
      <c r="AJ90" s="19" t="n">
        <f aca="false">IF(AJ$68=1,INDEX($G$37:$P$37,1,AJ$67),IF(Calendario!AJ$14=1,INDEX($G$37:$P$37,1,1)*p_EspInd,0))</f>
        <v>5</v>
      </c>
      <c r="AK90" s="19" t="n">
        <f aca="false">IF(AK$68=1,INDEX($G$37:$P$37,1,AK$67),IF(Calendario!AK$14=1,INDEX($G$37:$P$37,1,1)*p_EspInd,0))</f>
        <v>5</v>
      </c>
      <c r="AL90" s="19" t="n">
        <f aca="false">IF(AL$68=1,INDEX($G$37:$P$37,1,AL$67),IF(Calendario!AL$14=1,INDEX($G$37:$P$37,1,1)*p_EspInd,0))</f>
        <v>5</v>
      </c>
      <c r="AM90" s="19" t="n">
        <f aca="false">IF(AM$68=1,INDEX($G$37:$P$37,1,AM$67),IF(Calendario!AM$14=1,INDEX($G$37:$P$37,1,1)*p_EspInd,0))</f>
        <v>5</v>
      </c>
      <c r="AN90" s="19" t="n">
        <f aca="false">IF(AN$68=1,INDEX($G$37:$P$37,1,AN$67),IF(Calendario!AN$14=1,INDEX($G$37:$P$37,1,1)*p_EspInd,0))</f>
        <v>5</v>
      </c>
      <c r="AO90" s="19" t="n">
        <f aca="false">IF(AO$68=1,INDEX($G$37:$P$37,1,AO$67),IF(Calendario!AO$14=1,INDEX($G$37:$P$37,1,1)*p_EspInd,0))</f>
        <v>5</v>
      </c>
      <c r="AP90" s="19" t="n">
        <f aca="false">IF(AP$68=1,INDEX($G$37:$P$37,1,AP$67),IF(Calendario!AP$14=1,INDEX($G$37:$P$37,1,1)*p_EspInd,0))</f>
        <v>5</v>
      </c>
      <c r="AQ90" s="19" t="n">
        <f aca="false">IF(AQ$68=1,INDEX($G$37:$P$37,1,AQ$67),IF(Calendario!AQ$14=1,INDEX($G$37:$P$37,1,1)*p_EspInd,0))</f>
        <v>5</v>
      </c>
      <c r="AR90" s="19" t="n">
        <f aca="false">IF(AR$68=1,INDEX($G$37:$P$37,1,AR$67),IF(Calendario!AR$14=1,INDEX($G$37:$P$37,1,1)*p_EspInd,0))</f>
        <v>5</v>
      </c>
      <c r="AS90" s="19" t="n">
        <f aca="false">IF(AS$68=1,INDEX($G$37:$P$37,1,AS$67),IF(Calendario!AS$14=1,INDEX($G$37:$P$37,1,1)*p_EspInd,0))</f>
        <v>5</v>
      </c>
      <c r="AT90" s="19" t="n">
        <f aca="false">IF(AT$68=1,INDEX($G$37:$P$37,1,AT$67),IF(Calendario!AT$14=1,INDEX($G$37:$P$37,1,1)*p_EspInd,0))</f>
        <v>5</v>
      </c>
      <c r="AU90" s="19" t="n">
        <f aca="false">IF(AU$68=1,INDEX($G$37:$P$37,1,AU$67),IF(Calendario!AU$14=1,INDEX($G$37:$P$37,1,1)*p_EspInd,0))</f>
        <v>5</v>
      </c>
      <c r="AV90" s="19" t="n">
        <f aca="false">IF(AV$68=1,INDEX($G$37:$P$37,1,AV$67),IF(Calendario!AV$14=1,INDEX($G$37:$P$37,1,1)*p_EspInd,0))</f>
        <v>5</v>
      </c>
      <c r="AW90" s="19" t="n">
        <f aca="false">IF(AW$68=1,INDEX($G$37:$P$37,1,AW$67),IF(Calendario!AW$14=1,INDEX($G$37:$P$37,1,1)*p_EspInd,0))</f>
        <v>5</v>
      </c>
      <c r="AX90" s="19" t="n">
        <f aca="false">IF(AX$68=1,INDEX($G$37:$P$37,1,AX$67),IF(Calendario!AX$14=1,INDEX($G$37:$P$37,1,1)*p_EspInd,0))</f>
        <v>5</v>
      </c>
      <c r="AY90" s="19" t="n">
        <f aca="false">IF(AY$68=1,INDEX($G$37:$P$37,1,AY$67),IF(Calendario!AY$14=1,INDEX($G$37:$P$37,1,1)*p_EspInd,0))</f>
        <v>5</v>
      </c>
      <c r="AZ90" s="19" t="n">
        <f aca="false">IF(AZ$68=1,INDEX($G$37:$P$37,1,AZ$67),IF(Calendario!AZ$14=1,INDEX($G$37:$P$37,1,1)*p_EspInd,0))</f>
        <v>5</v>
      </c>
      <c r="BA90" s="19" t="n">
        <f aca="false">IF(BA$68=1,INDEX($G$37:$P$37,1,BA$67),IF(Calendario!BA$14=1,INDEX($G$37:$P$37,1,1)*p_EspInd,0))</f>
        <v>5</v>
      </c>
      <c r="BB90" s="19" t="n">
        <f aca="false">IF(BB$68=1,INDEX($G$37:$P$37,1,BB$67),IF(Calendario!BB$14=1,INDEX($G$37:$P$37,1,1)*p_EspInd,0))</f>
        <v>5</v>
      </c>
      <c r="BC90" s="19" t="n">
        <f aca="false">IF(BC$68=1,INDEX($G$37:$P$37,1,BC$67),IF(Calendario!BC$14=1,INDEX($G$37:$P$37,1,1)*p_EspInd,0))</f>
        <v>5</v>
      </c>
      <c r="BD90" s="19" t="n">
        <f aca="false">IF(BD$68=1,INDEX($G$37:$P$37,1,BD$67),IF(Calendario!BD$14=1,INDEX($G$37:$P$37,1,1)*p_EspInd,0))</f>
        <v>5</v>
      </c>
      <c r="BE90" s="19" t="n">
        <f aca="false">IF(BE$68=1,INDEX($G$37:$P$37,1,BE$67),IF(Calendario!BE$14=1,INDEX($G$37:$P$37,1,1)*p_EspInd,0))</f>
        <v>5</v>
      </c>
      <c r="BF90" s="19" t="n">
        <f aca="false">IF(BF$68=1,INDEX($G$37:$P$37,1,BF$67),IF(Calendario!BF$14=1,INDEX($G$37:$P$37,1,1)*p_EspInd,0))</f>
        <v>5</v>
      </c>
      <c r="BG90" s="19" t="n">
        <f aca="false">IF(BG$68=1,INDEX($G$37:$P$37,1,BG$67),IF(Calendario!BG$14=1,INDEX($G$37:$P$37,1,1)*p_EspInd,0))</f>
        <v>5</v>
      </c>
      <c r="BH90" s="19" t="n">
        <f aca="false">IF(BH$68=1,INDEX($G$37:$P$37,1,BH$67),IF(Calendario!BH$14=1,INDEX($G$37:$P$37,1,1)*p_EspInd,0))</f>
        <v>5</v>
      </c>
      <c r="BI90" s="19" t="n">
        <f aca="false">IF(BI$68=1,INDEX($G$37:$P$37,1,BI$67),IF(Calendario!BI$14=1,INDEX($G$37:$P$37,1,1)*p_EspInd,0))</f>
        <v>5</v>
      </c>
      <c r="BJ90" s="19" t="n">
        <f aca="false">IF(BJ$68=1,INDEX($G$37:$P$37,1,BJ$67),IF(Calendario!BJ$14=1,INDEX($G$37:$P$37,1,1)*p_EspInd,0))</f>
        <v>5</v>
      </c>
      <c r="BK90" s="19" t="n">
        <f aca="false">IF(BK$68=1,INDEX($G$37:$P$37,1,BK$67),IF(Calendario!BK$14=1,INDEX($G$37:$P$37,1,1)*p_EspInd,0))</f>
        <v>5</v>
      </c>
      <c r="BL90" s="19" t="n">
        <f aca="false">IF(BL$68=1,INDEX($G$37:$P$37,1,BL$67),IF(Calendario!BL$14=1,INDEX($G$37:$P$37,1,1)*p_EspInd,0))</f>
        <v>5</v>
      </c>
      <c r="BM90" s="19" t="n">
        <f aca="false">IF(BM$68=1,INDEX($G$37:$P$37,1,BM$67),IF(Calendario!BM$14=1,INDEX($G$37:$P$37,1,1)*p_EspInd,0))</f>
        <v>5</v>
      </c>
      <c r="BN90" s="19" t="n">
        <f aca="false">IF(BN$68=1,INDEX($G$37:$P$37,1,BN$67),IF(Calendario!BN$14=1,INDEX($G$37:$P$37,1,1)*p_EspInd,0))</f>
        <v>5</v>
      </c>
      <c r="BO90" s="19" t="n">
        <f aca="false">IF(BO$68=1,INDEX($G$37:$P$37,1,BO$67),IF(Calendario!BO$14=1,INDEX($G$37:$P$37,1,1)*p_EspInd,0))</f>
        <v>5</v>
      </c>
      <c r="BP90" s="19" t="n">
        <f aca="false">IF(BP$68=1,INDEX($G$37:$P$37,1,BP$67),IF(Calendario!BP$14=1,INDEX($G$37:$P$37,1,1)*p_EspInd,0))</f>
        <v>5</v>
      </c>
      <c r="BQ90" s="19" t="n">
        <f aca="false">IF(BQ$68=1,INDEX($G$37:$P$37,1,BQ$67),IF(Calendario!BQ$14=1,INDEX($G$37:$P$37,1,1)*p_EspInd,0))</f>
        <v>5</v>
      </c>
      <c r="BR90" s="19" t="n">
        <f aca="false">IF(BR$68=1,INDEX($G$37:$P$37,1,BR$67),IF(Calendario!BR$14=1,INDEX($G$37:$P$37,1,1)*p_EspInd,0))</f>
        <v>5</v>
      </c>
      <c r="BS90" s="19" t="n">
        <f aca="false">IF(BS$68=1,INDEX($G$37:$P$37,1,BS$67),IF(Calendario!BS$14=1,INDEX($G$37:$P$37,1,1)*p_EspInd,0))</f>
        <v>5</v>
      </c>
      <c r="BT90" s="19" t="n">
        <f aca="false">IF(BT$68=1,INDEX($G$37:$P$37,1,BT$67),IF(Calendario!BT$14=1,INDEX($G$37:$P$37,1,1)*p_EspInd,0))</f>
        <v>5</v>
      </c>
      <c r="BU90" s="19" t="n">
        <f aca="false">IF(BU$68=1,INDEX($G$37:$P$37,1,BU$67),IF(Calendario!BU$14=1,INDEX($G$37:$P$37,1,1)*p_EspInd,0))</f>
        <v>5</v>
      </c>
      <c r="BV90" s="19" t="n">
        <f aca="false">IF(BV$68=1,INDEX($G$37:$P$37,1,BV$67),IF(Calendario!BV$14=1,INDEX($G$37:$P$37,1,1)*p_EspInd,0))</f>
        <v>5</v>
      </c>
      <c r="BW90" s="19" t="n">
        <f aca="false">IF(BW$68=1,INDEX($G$37:$P$37,1,BW$67),IF(Calendario!BW$14=1,INDEX($G$37:$P$37,1,1)*p_EspInd,0))</f>
        <v>5</v>
      </c>
      <c r="BX90" s="19" t="n">
        <f aca="false">IF(BX$68=1,INDEX($G$37:$P$37,1,BX$67),IF(Calendario!BX$14=1,INDEX($G$37:$P$37,1,1)*p_EspInd,0))</f>
        <v>5</v>
      </c>
      <c r="BY90" s="19" t="n">
        <f aca="false">IF(BY$68=1,INDEX($G$37:$P$37,1,BY$67),IF(Calendario!BY$14=1,INDEX($G$37:$P$37,1,1)*p_EspInd,0))</f>
        <v>5</v>
      </c>
      <c r="BZ90" s="19" t="n">
        <f aca="false">IF(BZ$68=1,INDEX($G$37:$P$37,1,BZ$67),IF(Calendario!BZ$14=1,INDEX($G$37:$P$37,1,1)*p_EspInd,0))</f>
        <v>5</v>
      </c>
      <c r="CA90" s="19" t="n">
        <f aca="false">IF(CA$68=1,INDEX($G$37:$P$37,1,CA$67),IF(Calendario!CA$14=1,INDEX($G$37:$P$37,1,1)*p_EspInd,0))</f>
        <v>5</v>
      </c>
      <c r="CB90" s="19" t="n">
        <f aca="false">IF(CB$68=1,INDEX($G$37:$P$37,1,CB$67),IF(Calendario!CB$14=1,INDEX($G$37:$P$37,1,1)*p_EspInd,0))</f>
        <v>5</v>
      </c>
      <c r="CC90" s="19" t="n">
        <f aca="false">IF(CC$68=1,INDEX($G$37:$P$37,1,CC$67),IF(Calendario!CC$14=1,INDEX($G$37:$P$37,1,1)*p_EspInd,0))</f>
        <v>5</v>
      </c>
      <c r="CD90" s="19" t="n">
        <f aca="false">IF(CD$68=1,INDEX($G$37:$P$37,1,CD$67),IF(Calendario!CD$14=1,INDEX($G$37:$P$37,1,1)*p_EspInd,0))</f>
        <v>5</v>
      </c>
      <c r="CE90" s="19" t="n">
        <f aca="false">IF(CE$68=1,INDEX($G$37:$P$37,1,CE$67),IF(Calendario!CE$14=1,INDEX($G$37:$P$37,1,1)*p_EspInd,0))</f>
        <v>5</v>
      </c>
      <c r="CF90" s="19" t="n">
        <f aca="false">IF(CF$68=1,INDEX($G$37:$P$37,1,CF$67),IF(Calendario!CF$14=1,INDEX($G$37:$P$37,1,1)*p_EspInd,0))</f>
        <v>5</v>
      </c>
      <c r="CG90" s="19" t="n">
        <f aca="false">IF(CG$68=1,INDEX($G$37:$P$37,1,CG$67),IF(Calendario!CG$14=1,INDEX($G$37:$P$37,1,1)*p_EspInd,0))</f>
        <v>5</v>
      </c>
      <c r="CH90" s="19" t="n">
        <f aca="false">IF(CH$68=1,INDEX($G$37:$P$37,1,CH$67),IF(Calendario!CH$14=1,INDEX($G$37:$P$37,1,1)*p_EspInd,0))</f>
        <v>5</v>
      </c>
      <c r="CI90" s="19" t="n">
        <f aca="false">IF(CI$68=1,INDEX($G$37:$P$37,1,CI$67),IF(Calendario!CI$14=1,INDEX($G$37:$P$37,1,1)*p_EspInd,0))</f>
        <v>5</v>
      </c>
      <c r="CJ90" s="19" t="n">
        <f aca="false">IF(CJ$68=1,INDEX($G$37:$P$37,1,CJ$67),IF(Calendario!CJ$14=1,INDEX($G$37:$P$37,1,1)*p_EspInd,0))</f>
        <v>5</v>
      </c>
      <c r="CK90" s="19" t="n">
        <f aca="false">IF(CK$68=1,INDEX($G$37:$P$37,1,CK$67),IF(Calendario!CK$14=1,INDEX($G$37:$P$37,1,1)*p_EspInd,0))</f>
        <v>5</v>
      </c>
      <c r="CL90" s="19" t="n">
        <f aca="false">IF(CL$68=1,INDEX($G$37:$P$37,1,CL$67),IF(Calendario!CL$14=1,INDEX($G$37:$P$37,1,1)*p_EspInd,0))</f>
        <v>5</v>
      </c>
      <c r="CM90" s="19" t="n">
        <f aca="false">IF(CM$68=1,INDEX($G$37:$P$37,1,CM$67),IF(Calendario!CM$14=1,INDEX($G$37:$P$37,1,1)*p_EspInd,0))</f>
        <v>5</v>
      </c>
      <c r="CN90" s="19" t="n">
        <f aca="false">IF(CN$68=1,INDEX($G$37:$P$37,1,CN$67),IF(Calendario!CN$14=1,INDEX($G$37:$P$37,1,1)*p_EspInd,0))</f>
        <v>5</v>
      </c>
      <c r="CO90" s="19" t="n">
        <f aca="false">IF(CO$68=1,INDEX($G$37:$P$37,1,CO$67),IF(Calendario!CO$14=1,INDEX($G$37:$P$37,1,1)*p_EspInd,0))</f>
        <v>5</v>
      </c>
      <c r="CP90" s="19" t="n">
        <f aca="false">IF(CP$68=1,INDEX($G$37:$P$37,1,CP$67),IF(Calendario!CP$14=1,INDEX($G$37:$P$37,1,1)*p_EspInd,0))</f>
        <v>5</v>
      </c>
      <c r="CQ90" s="19" t="n">
        <f aca="false">IF(CQ$68=1,INDEX($G$37:$P$37,1,CQ$67),IF(Calendario!CQ$14=1,INDEX($G$37:$P$37,1,1)*p_EspInd,0))</f>
        <v>5</v>
      </c>
      <c r="CR90" s="19" t="n">
        <f aca="false">IF(CR$68=1,INDEX($G$37:$P$37,1,CR$67),IF(Calendario!CR$14=1,INDEX($G$37:$P$37,1,1)*p_EspInd,0))</f>
        <v>5</v>
      </c>
      <c r="CS90" s="19" t="n">
        <f aca="false">IF(CS$68=1,INDEX($G$37:$P$37,1,CS$67),IF(Calendario!CS$14=1,INDEX($G$37:$P$37,1,1)*p_EspInd,0))</f>
        <v>5</v>
      </c>
      <c r="CT90" s="19" t="n">
        <f aca="false">IF(CT$68=1,INDEX($G$37:$P$37,1,CT$67),IF(Calendario!CT$14=1,INDEX($G$37:$P$37,1,1)*p_EspInd,0))</f>
        <v>5</v>
      </c>
      <c r="CU90" s="19" t="n">
        <f aca="false">IF(CU$68=1,INDEX($G$37:$P$37,1,CU$67),IF(Calendario!CU$14=1,INDEX($G$37:$P$37,1,1)*p_EspInd,0))</f>
        <v>5</v>
      </c>
      <c r="CV90" s="19" t="n">
        <f aca="false">IF(CV$68=1,INDEX($G$37:$P$37,1,CV$67),IF(Calendario!CV$14=1,INDEX($G$37:$P$37,1,1)*p_EspInd,0))</f>
        <v>5</v>
      </c>
      <c r="CW90" s="19" t="n">
        <f aca="false">IF(CW$68=1,INDEX($G$37:$P$37,1,CW$67),IF(Calendario!CW$14=1,INDEX($G$37:$P$37,1,1)*p_EspInd,0))</f>
        <v>5</v>
      </c>
      <c r="CX90" s="19" t="n">
        <f aca="false">IF(CX$68=1,INDEX($G$37:$P$37,1,CX$67),IF(Calendario!CX$14=1,INDEX($G$37:$P$37,1,1)*p_EspInd,0))</f>
        <v>5</v>
      </c>
      <c r="CY90" s="19" t="n">
        <f aca="false">IF(CY$68=1,INDEX($G$37:$P$37,1,CY$67),IF(Calendario!CY$14=1,INDEX($G$37:$P$37,1,1)*p_EspInd,0))</f>
        <v>5</v>
      </c>
      <c r="CZ90" s="19" t="n">
        <f aca="false">IF(CZ$68=1,INDEX($G$37:$P$37,1,CZ$67),IF(Calendario!CZ$14=1,INDEX($G$37:$P$37,1,1)*p_EspInd,0))</f>
        <v>5</v>
      </c>
      <c r="DA90" s="19" t="n">
        <f aca="false">IF(DA$68=1,INDEX($G$37:$P$37,1,DA$67),IF(Calendario!DA$14=1,INDEX($G$37:$P$37,1,1)*p_EspInd,0))</f>
        <v>5</v>
      </c>
      <c r="DB90" s="19" t="n">
        <f aca="false">IF(DB$68=1,INDEX($G$37:$P$37,1,DB$67),IF(Calendario!DB$14=1,INDEX($G$37:$P$37,1,1)*p_EspInd,0))</f>
        <v>5</v>
      </c>
      <c r="DC90" s="19" t="n">
        <f aca="false">IF(DC$68=1,INDEX($G$37:$P$37,1,DC$67),IF(Calendario!DC$14=1,INDEX($G$37:$P$37,1,1)*p_EspInd,0))</f>
        <v>5</v>
      </c>
      <c r="DD90" s="19" t="n">
        <f aca="false">IF(DD$68=1,INDEX($G$37:$P$37,1,DD$67),IF(Calendario!DD$14=1,INDEX($G$37:$P$37,1,1)*p_EspInd,0))</f>
        <v>5</v>
      </c>
      <c r="DE90" s="19" t="n">
        <f aca="false">IF(DE$68=1,INDEX($G$37:$P$37,1,DE$67),IF(Calendario!DE$14=1,INDEX($G$37:$P$37,1,1)*p_EspInd,0))</f>
        <v>5</v>
      </c>
      <c r="DF90" s="19" t="n">
        <f aca="false">IF(DF$68=1,INDEX($G$37:$P$37,1,DF$67),IF(Calendario!DF$14=1,INDEX($G$37:$P$37,1,1)*p_EspInd,0))</f>
        <v>5</v>
      </c>
      <c r="DG90" s="19" t="n">
        <f aca="false">IF(DG$68=1,INDEX($G$37:$P$37,1,DG$67),IF(Calendario!DG$14=1,INDEX($G$37:$P$37,1,1)*p_EspInd,0))</f>
        <v>5</v>
      </c>
      <c r="DH90" s="19" t="n">
        <f aca="false">IF(DH$68=1,INDEX($G$37:$P$37,1,DH$67),IF(Calendario!DH$14=1,INDEX($G$37:$P$37,1,1)*p_EspInd,0))</f>
        <v>5</v>
      </c>
      <c r="DI90" s="19" t="n">
        <f aca="false">IF(DI$68=1,INDEX($G$37:$P$37,1,DI$67),IF(Calendario!DI$14=1,INDEX($G$37:$P$37,1,1)*p_EspInd,0))</f>
        <v>5</v>
      </c>
      <c r="DJ90" s="19" t="n">
        <f aca="false">IF(DJ$68=1,INDEX($G$37:$P$37,1,DJ$67),IF(Calendario!DJ$14=1,INDEX($G$37:$P$37,1,1)*p_EspInd,0))</f>
        <v>5</v>
      </c>
      <c r="DK90" s="19" t="n">
        <f aca="false">IF(DK$68=1,INDEX($G$37:$P$37,1,DK$67),IF(Calendario!DK$14=1,INDEX($G$37:$P$37,1,1)*p_EspInd,0))</f>
        <v>5</v>
      </c>
      <c r="DL90" s="19" t="n">
        <f aca="false">IF(DL$68=1,INDEX($G$37:$P$37,1,DL$67),IF(Calendario!DL$14=1,INDEX($G$37:$P$37,1,1)*p_EspInd,0))</f>
        <v>5</v>
      </c>
      <c r="DM90" s="19" t="n">
        <f aca="false">IF(DM$68=1,INDEX($G$37:$P$37,1,DM$67),IF(Calendario!DM$14=1,INDEX($G$37:$P$37,1,1)*p_EspInd,0))</f>
        <v>5</v>
      </c>
      <c r="DN90" s="19" t="n">
        <f aca="false">IF(DN$68=1,INDEX($G$37:$P$37,1,DN$67),IF(Calendario!DN$14=1,INDEX($G$37:$P$37,1,1)*p_EspInd,0))</f>
        <v>5</v>
      </c>
      <c r="DO90" s="19" t="n">
        <f aca="false">IF(DO$68=1,INDEX($G$37:$P$37,1,DO$67),IF(Calendario!DO$14=1,INDEX($G$37:$P$37,1,1)*p_EspInd,0))</f>
        <v>5</v>
      </c>
      <c r="DP90" s="19" t="n">
        <f aca="false">IF(DP$68=1,INDEX($G$37:$P$37,1,DP$67),IF(Calendario!DP$14=1,INDEX($G$37:$P$37,1,1)*p_EspInd,0))</f>
        <v>5</v>
      </c>
      <c r="DQ90" s="19" t="n">
        <f aca="false">IF(DQ$68=1,INDEX($G$37:$P$37,1,DQ$67),IF(Calendario!DQ$14=1,INDEX($G$37:$P$37,1,1)*p_EspInd,0))</f>
        <v>5</v>
      </c>
      <c r="DR90" s="19" t="n">
        <f aca="false">IF(DR$68=1,INDEX($G$37:$P$37,1,DR$67),IF(Calendario!DR$14=1,INDEX($G$37:$P$37,1,1)*p_EspInd,0))</f>
        <v>5</v>
      </c>
      <c r="DS90" s="19" t="n">
        <f aca="false">IF(DS$68=1,INDEX($G$37:$P$37,1,DS$67),IF(Calendario!DS$14=1,INDEX($G$37:$P$37,1,1)*p_EspInd,0))</f>
        <v>5</v>
      </c>
      <c r="DT90" s="19" t="n">
        <f aca="false">IF(DT$68=1,INDEX($G$37:$P$37,1,DT$67),IF(Calendario!DT$14=1,INDEX($G$37:$P$37,1,1)*p_EspInd,0))</f>
        <v>5</v>
      </c>
      <c r="DU90" s="19" t="n">
        <f aca="false">IF(DU$68=1,INDEX($G$37:$P$37,1,DU$67),IF(Calendario!DU$14=1,INDEX($G$37:$P$37,1,1)*p_EspInd,0))</f>
        <v>5</v>
      </c>
      <c r="DV90" s="19" t="n">
        <f aca="false">IF(DV$68=1,INDEX($G$37:$P$37,1,DV$67),IF(Calendario!DV$14=1,INDEX($G$37:$P$37,1,1)*p_EspInd,0))</f>
        <v>5</v>
      </c>
      <c r="DW90" s="19" t="n">
        <f aca="false">IF(DW$68=1,INDEX($G$37:$P$37,1,DW$67),IF(Calendario!DW$14=1,INDEX($G$37:$P$37,1,1)*p_EspInd,0))</f>
        <v>0</v>
      </c>
      <c r="DX90" s="19" t="n">
        <f aca="false">IF(DX$68=1,INDEX($G$37:$P$37,1,DX$67),IF(Calendario!DX$14=1,INDEX($G$37:$P$37,1,1)*p_EspInd,0))</f>
        <v>0</v>
      </c>
      <c r="DY90" s="19" t="n">
        <f aca="false">IF(DY$68=1,INDEX($G$37:$P$37,1,DY$67),IF(Calendario!DY$14=1,INDEX($G$37:$P$37,1,1)*p_EspInd,0))</f>
        <v>0</v>
      </c>
      <c r="DZ90" s="19" t="n">
        <f aca="false">IF(DZ$68=1,INDEX($G$37:$P$37,1,DZ$67),IF(Calendario!DZ$14=1,INDEX($G$37:$P$37,1,1)*p_EspInd,0))</f>
        <v>0</v>
      </c>
      <c r="EA90" s="19" t="n">
        <f aca="false">IF(EA$68=1,INDEX($G$37:$P$37,1,EA$67),IF(Calendario!EA$14=1,INDEX($G$37:$P$37,1,1)*p_EspInd,0))</f>
        <v>0</v>
      </c>
      <c r="EB90" s="19" t="n">
        <f aca="false">IF(EB$68=1,INDEX($G$37:$P$37,1,EB$67),IF(Calendario!EB$14=1,INDEX($G$37:$P$37,1,1)*p_EspInd,0))</f>
        <v>0</v>
      </c>
      <c r="EC90" s="19" t="n">
        <f aca="false">IF(EC$68=1,INDEX($G$37:$P$37,1,EC$67),IF(Calendario!EC$14=1,INDEX($G$37:$P$37,1,1)*p_EspInd,0))</f>
        <v>0</v>
      </c>
      <c r="ED90" s="19" t="n">
        <f aca="false">IF(ED$68=1,INDEX($G$37:$P$37,1,ED$67),IF(Calendario!ED$14=1,INDEX($G$37:$P$37,1,1)*p_EspInd,0))</f>
        <v>0</v>
      </c>
      <c r="EE90" s="19" t="n">
        <f aca="false">IF(EE$68=1,INDEX($G$37:$P$37,1,EE$67),IF(Calendario!EE$14=1,INDEX($G$37:$P$37,1,1)*p_EspInd,0))</f>
        <v>0</v>
      </c>
      <c r="EF90" s="19" t="n">
        <f aca="false">IF(EF$68=1,INDEX($G$37:$P$37,1,EF$67),IF(Calendario!EF$14=1,INDEX($G$37:$P$37,1,1)*p_EspInd,0))</f>
        <v>0</v>
      </c>
      <c r="EG90" s="19" t="n">
        <f aca="false">IF(EG$68=1,INDEX($G$37:$P$37,1,EG$67),IF(Calendario!EG$14=1,INDEX($G$37:$P$37,1,1)*p_EspInd,0))</f>
        <v>0</v>
      </c>
      <c r="EH90" s="19" t="n">
        <f aca="false">IF(EH$68=1,INDEX($G$37:$P$37,1,EH$67),IF(Calendario!EH$14=1,INDEX($G$37:$P$37,1,1)*p_EspInd,0))</f>
        <v>0</v>
      </c>
      <c r="EI90" s="19" t="n">
        <f aca="false">IF(EI$68=1,INDEX($G$37:$P$37,1,EI$67),IF(Calendario!EI$14=1,INDEX($G$37:$P$37,1,1)*p_EspInd,0))</f>
        <v>0</v>
      </c>
      <c r="EJ90" s="19" t="n">
        <f aca="false">IF(EJ$68=1,INDEX($G$37:$P$37,1,EJ$67),IF(Calendario!EJ$14=1,INDEX($G$37:$P$37,1,1)*p_EspInd,0))</f>
        <v>0</v>
      </c>
      <c r="EK90" s="19" t="n">
        <f aca="false">IF(EK$68=1,INDEX($G$37:$P$37,1,EK$67),IF(Calendario!EK$14=1,INDEX($G$37:$P$37,1,1)*p_EspInd,0))</f>
        <v>0</v>
      </c>
      <c r="EL90" s="19" t="n">
        <f aca="false">IF(EL$68=1,INDEX($G$37:$P$37,1,EL$67),IF(Calendario!EL$14=1,INDEX($G$37:$P$37,1,1)*p_EspInd,0))</f>
        <v>0</v>
      </c>
      <c r="EM90" s="19" t="n">
        <f aca="false">IF(EM$68=1,INDEX($G$37:$P$37,1,EM$67),IF(Calendario!EM$14=1,INDEX($G$37:$P$37,1,1)*p_EspInd,0))</f>
        <v>0</v>
      </c>
      <c r="EN90" s="19" t="n">
        <f aca="false">IF(EN$68=1,INDEX($G$37:$P$37,1,EN$67),IF(Calendario!EN$14=1,INDEX($G$37:$P$37,1,1)*p_EspInd,0))</f>
        <v>0</v>
      </c>
      <c r="EO90" s="19" t="n">
        <f aca="false">IF(EO$68=1,INDEX($G$37:$P$37,1,EO$67),IF(Calendario!EO$14=1,INDEX($G$37:$P$37,1,1)*p_EspInd,0))</f>
        <v>0</v>
      </c>
      <c r="EP90" s="19" t="n">
        <f aca="false">IF(EP$68=1,INDEX($G$37:$P$37,1,EP$67),IF(Calendario!EP$14=1,INDEX($G$37:$P$37,1,1)*p_EspInd,0))</f>
        <v>0</v>
      </c>
      <c r="EQ90" s="19" t="n">
        <f aca="false">IF(EQ$68=1,INDEX($G$37:$P$37,1,EQ$67),IF(Calendario!EQ$14=1,INDEX($G$37:$P$37,1,1)*p_EspInd,0))</f>
        <v>0</v>
      </c>
      <c r="ER90" s="19" t="n">
        <f aca="false">IF(ER$68=1,INDEX($G$37:$P$37,1,ER$67),IF(Calendario!ER$14=1,INDEX($G$37:$P$37,1,1)*p_EspInd,0))</f>
        <v>0</v>
      </c>
      <c r="ES90" s="19" t="n">
        <f aca="false">IF(ES$68=1,INDEX($G$37:$P$37,1,ES$67),IF(Calendario!ES$14=1,INDEX($G$37:$P$37,1,1)*p_EspInd,0))</f>
        <v>0</v>
      </c>
      <c r="ET90" s="19" t="n">
        <f aca="false">IF(ET$68=1,INDEX($G$37:$P$37,1,ET$67),IF(Calendario!ET$14=1,INDEX($G$37:$P$37,1,1)*p_EspInd,0))</f>
        <v>0</v>
      </c>
      <c r="EU90" s="19" t="n">
        <f aca="false">IF(EU$68=1,INDEX($G$37:$P$37,1,EU$67),IF(Calendario!EU$14=1,INDEX($G$37:$P$37,1,1)*p_EspInd,0))</f>
        <v>0</v>
      </c>
      <c r="EV90" s="19" t="n">
        <f aca="false">IF(EV$68=1,INDEX($G$37:$P$37,1,EV$67),IF(Calendario!EV$14=1,INDEX($G$37:$P$37,1,1)*p_EspInd,0))</f>
        <v>0</v>
      </c>
      <c r="EW90" s="19" t="n">
        <f aca="false">IF(EW$68=1,INDEX($G$37:$P$37,1,EW$67),IF(Calendario!EW$14=1,INDEX($G$37:$P$37,1,1)*p_EspInd,0))</f>
        <v>0</v>
      </c>
      <c r="EX90" s="19" t="n">
        <f aca="false">IF(EX$68=1,INDEX($G$37:$P$37,1,EX$67),IF(Calendario!EX$14=1,INDEX($G$37:$P$37,1,1)*p_EspInd,0))</f>
        <v>0</v>
      </c>
      <c r="EY90" s="19" t="n">
        <f aca="false">IF(EY$68=1,INDEX($G$37:$P$37,1,EY$67),IF(Calendario!EY$14=1,INDEX($G$37:$P$37,1,1)*p_EspInd,0))</f>
        <v>0</v>
      </c>
      <c r="EZ90" s="19" t="n">
        <f aca="false">IF(EZ$68=1,INDEX($G$37:$P$37,1,EZ$67),IF(Calendario!EZ$14=1,INDEX($G$37:$P$37,1,1)*p_EspInd,0))</f>
        <v>0</v>
      </c>
      <c r="FA90" s="19" t="n">
        <f aca="false">IF(FA$68=1,INDEX($G$37:$P$37,1,FA$67),IF(Calendario!FA$14=1,INDEX($G$37:$P$37,1,1)*p_EspInd,0))</f>
        <v>0</v>
      </c>
      <c r="FB90" s="19" t="n">
        <f aca="false">IF(FB$68=1,INDEX($G$37:$P$37,1,FB$67),IF(Calendario!FB$14=1,INDEX($G$37:$P$37,1,1)*p_EspInd,0))</f>
        <v>0</v>
      </c>
      <c r="FC90" s="19" t="n">
        <f aca="false">IF(FC$68=1,INDEX($G$37:$P$37,1,FC$67),IF(Calendario!FC$14=1,INDEX($G$37:$P$37,1,1)*p_EspInd,0))</f>
        <v>0</v>
      </c>
      <c r="FD90" s="19" t="n">
        <f aca="false">IF(FD$68=1,INDEX($G$37:$P$37,1,FD$67),IF(Calendario!FD$14=1,INDEX($G$37:$P$37,1,1)*p_EspInd,0))</f>
        <v>0</v>
      </c>
      <c r="FE90" s="19" t="n">
        <f aca="false">IF(FE$68=1,INDEX($G$37:$P$37,1,FE$67),IF(Calendario!FE$14=1,INDEX($G$37:$P$37,1,1)*p_EspInd,0))</f>
        <v>0</v>
      </c>
      <c r="FF90" s="19" t="n">
        <f aca="false">IF(FF$68=1,INDEX($G$37:$P$37,1,FF$67),IF(Calendario!FF$14=1,INDEX($G$37:$P$37,1,1)*p_EspInd,0))</f>
        <v>0</v>
      </c>
    </row>
    <row r="91" customFormat="false" ht="15" hidden="false" customHeight="false" outlineLevel="0" collapsed="false">
      <c r="A91" s="2" t="s">
        <v>1040</v>
      </c>
      <c r="B91" s="8" t="s">
        <v>1025</v>
      </c>
      <c r="C91" s="8" t="s">
        <v>255</v>
      </c>
      <c r="E91" s="65" t="n">
        <f aca="false">SUM($F91:$FF91)</f>
        <v>718328.367123288</v>
      </c>
      <c r="F91" s="13" t="n">
        <f aca="false">IF(F$68=1,INDEX($G$40:$P$40,1,F$67),IF(Calendario!F$14=1,INDEX($G$40:$P$40,1,1)*p_EspInd,0))*F$73/F$72</f>
        <v>0</v>
      </c>
      <c r="G91" s="13" t="n">
        <f aca="false">IF(G$68=1,INDEX($G$40:$P$40,1,G$67),IF(Calendario!G$14=1,INDEX($G$40:$P$40,1,1)*p_EspInd,0))*G$73/G$72</f>
        <v>5986.0697260274</v>
      </c>
      <c r="H91" s="13" t="n">
        <f aca="false">IF(H$68=1,INDEX($G$40:$P$40,1,H$67),IF(Calendario!H$14=1,INDEX($G$40:$P$40,1,1)*p_EspInd,0))*H$73/H$72</f>
        <v>5986.0697260274</v>
      </c>
      <c r="I91" s="13" t="n">
        <f aca="false">IF(I$68=1,INDEX($G$40:$P$40,1,I$67),IF(Calendario!I$14=1,INDEX($G$40:$P$40,1,1)*p_EspInd,0))*I$73/I$72</f>
        <v>5986.0697260274</v>
      </c>
      <c r="J91" s="13" t="n">
        <f aca="false">IF(J$68=1,INDEX($G$40:$P$40,1,J$67),IF(Calendario!J$14=1,INDEX($G$40:$P$40,1,1)*p_EspInd,0))*J$73/J$72</f>
        <v>5986.0697260274</v>
      </c>
      <c r="K91" s="13" t="n">
        <f aca="false">IF(K$68=1,INDEX($G$40:$P$40,1,K$67),IF(Calendario!K$14=1,INDEX($G$40:$P$40,1,1)*p_EspInd,0))*K$73/K$72</f>
        <v>5986.0697260274</v>
      </c>
      <c r="L91" s="13" t="n">
        <f aca="false">IF(L$68=1,INDEX($G$40:$P$40,1,L$67),IF(Calendario!L$14=1,INDEX($G$40:$P$40,1,1)*p_EspInd,0))*L$73/L$72</f>
        <v>5986.0697260274</v>
      </c>
      <c r="M91" s="13" t="n">
        <f aca="false">IF(M$68=1,INDEX($G$40:$P$40,1,M$67),IF(Calendario!M$14=1,INDEX($G$40:$P$40,1,1)*p_EspInd,0))*M$73/M$72</f>
        <v>5986.0697260274</v>
      </c>
      <c r="N91" s="13" t="n">
        <f aca="false">IF(N$68=1,INDEX($G$40:$P$40,1,N$67),IF(Calendario!N$14=1,INDEX($G$40:$P$40,1,1)*p_EspInd,0))*N$73/N$72</f>
        <v>5986.0697260274</v>
      </c>
      <c r="O91" s="13" t="n">
        <f aca="false">IF(O$68=1,INDEX($G$40:$P$40,1,O$67),IF(Calendario!O$14=1,INDEX($G$40:$P$40,1,1)*p_EspInd,0))*O$73/O$72</f>
        <v>5986.0697260274</v>
      </c>
      <c r="P91" s="13" t="n">
        <f aca="false">IF(P$68=1,INDEX($G$40:$P$40,1,P$67),IF(Calendario!P$14=1,INDEX($G$40:$P$40,1,1)*p_EspInd,0))*P$73/P$72</f>
        <v>5986.0697260274</v>
      </c>
      <c r="Q91" s="13" t="n">
        <f aca="false">IF(Q$68=1,INDEX($G$40:$P$40,1,Q$67),IF(Calendario!Q$14=1,INDEX($G$40:$P$40,1,1)*p_EspInd,0))*Q$73/Q$72</f>
        <v>5986.0697260274</v>
      </c>
      <c r="R91" s="13" t="n">
        <f aca="false">IF(R$68=1,INDEX($G$40:$P$40,1,R$67),IF(Calendario!R$14=1,INDEX($G$40:$P$40,1,1)*p_EspInd,0))*R$73/R$72</f>
        <v>5986.0697260274</v>
      </c>
      <c r="S91" s="13" t="n">
        <f aca="false">IF(S$68=1,INDEX($G$40:$P$40,1,S$67),IF(Calendario!S$14=1,INDEX($G$40:$P$40,1,1)*p_EspInd,0))*S$73/S$72</f>
        <v>5986.0697260274</v>
      </c>
      <c r="T91" s="13" t="n">
        <f aca="false">IF(T$68=1,INDEX($G$40:$P$40,1,T$67),IF(Calendario!T$14=1,INDEX($G$40:$P$40,1,1)*p_EspInd,0))*T$73/T$72</f>
        <v>5986.0697260274</v>
      </c>
      <c r="U91" s="13" t="n">
        <f aca="false">IF(U$68=1,INDEX($G$40:$P$40,1,U$67),IF(Calendario!U$14=1,INDEX($G$40:$P$40,1,1)*p_EspInd,0))*U$73/U$72</f>
        <v>5986.0697260274</v>
      </c>
      <c r="V91" s="13" t="n">
        <f aca="false">IF(V$68=1,INDEX($G$40:$P$40,1,V$67),IF(Calendario!V$14=1,INDEX($G$40:$P$40,1,1)*p_EspInd,0))*V$73/V$72</f>
        <v>5986.0697260274</v>
      </c>
      <c r="W91" s="13" t="n">
        <f aca="false">IF(W$68=1,INDEX($G$40:$P$40,1,W$67),IF(Calendario!W$14=1,INDEX($G$40:$P$40,1,1)*p_EspInd,0))*W$73/W$72</f>
        <v>5986.0697260274</v>
      </c>
      <c r="X91" s="13" t="n">
        <f aca="false">IF(X$68=1,INDEX($G$40:$P$40,1,X$67),IF(Calendario!X$14=1,INDEX($G$40:$P$40,1,1)*p_EspInd,0))*X$73/X$72</f>
        <v>5986.0697260274</v>
      </c>
      <c r="Y91" s="13" t="n">
        <f aca="false">IF(Y$68=1,INDEX($G$40:$P$40,1,Y$67),IF(Calendario!Y$14=1,INDEX($G$40:$P$40,1,1)*p_EspInd,0))*Y$73/Y$72</f>
        <v>5986.0697260274</v>
      </c>
      <c r="Z91" s="13" t="n">
        <f aca="false">IF(Z$68=1,INDEX($G$40:$P$40,1,Z$67),IF(Calendario!Z$14=1,INDEX($G$40:$P$40,1,1)*p_EspInd,0))*Z$73/Z$72</f>
        <v>5986.0697260274</v>
      </c>
      <c r="AA91" s="13" t="n">
        <f aca="false">IF(AA$68=1,INDEX($G$40:$P$40,1,AA$67),IF(Calendario!AA$14=1,INDEX($G$40:$P$40,1,1)*p_EspInd,0))*AA$73/AA$72</f>
        <v>5986.0697260274</v>
      </c>
      <c r="AB91" s="13" t="n">
        <f aca="false">IF(AB$68=1,INDEX($G$40:$P$40,1,AB$67),IF(Calendario!AB$14=1,INDEX($G$40:$P$40,1,1)*p_EspInd,0))*AB$73/AB$72</f>
        <v>5986.0697260274</v>
      </c>
      <c r="AC91" s="13" t="n">
        <f aca="false">IF(AC$68=1,INDEX($G$40:$P$40,1,AC$67),IF(Calendario!AC$14=1,INDEX($G$40:$P$40,1,1)*p_EspInd,0))*AC$73/AC$72</f>
        <v>5986.0697260274</v>
      </c>
      <c r="AD91" s="13" t="n">
        <f aca="false">IF(AD$68=1,INDEX($G$40:$P$40,1,AD$67),IF(Calendario!AD$14=1,INDEX($G$40:$P$40,1,1)*p_EspInd,0))*AD$73/AD$72</f>
        <v>5986.0697260274</v>
      </c>
      <c r="AE91" s="13" t="n">
        <f aca="false">IF(AE$68=1,INDEX($G$40:$P$40,1,AE$67),IF(Calendario!AE$14=1,INDEX($G$40:$P$40,1,1)*p_EspInd,0))*AE$73/AE$72</f>
        <v>5986.0697260274</v>
      </c>
      <c r="AF91" s="13" t="n">
        <f aca="false">IF(AF$68=1,INDEX($G$40:$P$40,1,AF$67),IF(Calendario!AF$14=1,INDEX($G$40:$P$40,1,1)*p_EspInd,0))*AF$73/AF$72</f>
        <v>5986.0697260274</v>
      </c>
      <c r="AG91" s="13" t="n">
        <f aca="false">IF(AG$68=1,INDEX($G$40:$P$40,1,AG$67),IF(Calendario!AG$14=1,INDEX($G$40:$P$40,1,1)*p_EspInd,0))*AG$73/AG$72</f>
        <v>5986.0697260274</v>
      </c>
      <c r="AH91" s="13" t="n">
        <f aca="false">IF(AH$68=1,INDEX($G$40:$P$40,1,AH$67),IF(Calendario!AH$14=1,INDEX($G$40:$P$40,1,1)*p_EspInd,0))*AH$73/AH$72</f>
        <v>5986.0697260274</v>
      </c>
      <c r="AI91" s="13" t="n">
        <f aca="false">IF(AI$68=1,INDEX($G$40:$P$40,1,AI$67),IF(Calendario!AI$14=1,INDEX($G$40:$P$40,1,1)*p_EspInd,0))*AI$73/AI$72</f>
        <v>5986.0697260274</v>
      </c>
      <c r="AJ91" s="13" t="n">
        <f aca="false">IF(AJ$68=1,INDEX($G$40:$P$40,1,AJ$67),IF(Calendario!AJ$14=1,INDEX($G$40:$P$40,1,1)*p_EspInd,0))*AJ$73/AJ$72</f>
        <v>5986.0697260274</v>
      </c>
      <c r="AK91" s="13" t="n">
        <f aca="false">IF(AK$68=1,INDEX($G$40:$P$40,1,AK$67),IF(Calendario!AK$14=1,INDEX($G$40:$P$40,1,1)*p_EspInd,0))*AK$73/AK$72</f>
        <v>5986.0697260274</v>
      </c>
      <c r="AL91" s="13" t="n">
        <f aca="false">IF(AL$68=1,INDEX($G$40:$P$40,1,AL$67),IF(Calendario!AL$14=1,INDEX($G$40:$P$40,1,1)*p_EspInd,0))*AL$73/AL$72</f>
        <v>5986.0697260274</v>
      </c>
      <c r="AM91" s="13" t="n">
        <f aca="false">IF(AM$68=1,INDEX($G$40:$P$40,1,AM$67),IF(Calendario!AM$14=1,INDEX($G$40:$P$40,1,1)*p_EspInd,0))*AM$73/AM$72</f>
        <v>5986.0697260274</v>
      </c>
      <c r="AN91" s="13" t="n">
        <f aca="false">IF(AN$68=1,INDEX($G$40:$P$40,1,AN$67),IF(Calendario!AN$14=1,INDEX($G$40:$P$40,1,1)*p_EspInd,0))*AN$73/AN$72</f>
        <v>5986.0697260274</v>
      </c>
      <c r="AO91" s="13" t="n">
        <f aca="false">IF(AO$68=1,INDEX($G$40:$P$40,1,AO$67),IF(Calendario!AO$14=1,INDEX($G$40:$P$40,1,1)*p_EspInd,0))*AO$73/AO$72</f>
        <v>5986.0697260274</v>
      </c>
      <c r="AP91" s="13" t="n">
        <f aca="false">IF(AP$68=1,INDEX($G$40:$P$40,1,AP$67),IF(Calendario!AP$14=1,INDEX($G$40:$P$40,1,1)*p_EspInd,0))*AP$73/AP$72</f>
        <v>5986.0697260274</v>
      </c>
      <c r="AQ91" s="13" t="n">
        <f aca="false">IF(AQ$68=1,INDEX($G$40:$P$40,1,AQ$67),IF(Calendario!AQ$14=1,INDEX($G$40:$P$40,1,1)*p_EspInd,0))*AQ$73/AQ$72</f>
        <v>5986.0697260274</v>
      </c>
      <c r="AR91" s="13" t="n">
        <f aca="false">IF(AR$68=1,INDEX($G$40:$P$40,1,AR$67),IF(Calendario!AR$14=1,INDEX($G$40:$P$40,1,1)*p_EspInd,0))*AR$73/AR$72</f>
        <v>5986.0697260274</v>
      </c>
      <c r="AS91" s="13" t="n">
        <f aca="false">IF(AS$68=1,INDEX($G$40:$P$40,1,AS$67),IF(Calendario!AS$14=1,INDEX($G$40:$P$40,1,1)*p_EspInd,0))*AS$73/AS$72</f>
        <v>5986.0697260274</v>
      </c>
      <c r="AT91" s="13" t="n">
        <f aca="false">IF(AT$68=1,INDEX($G$40:$P$40,1,AT$67),IF(Calendario!AT$14=1,INDEX($G$40:$P$40,1,1)*p_EspInd,0))*AT$73/AT$72</f>
        <v>5986.0697260274</v>
      </c>
      <c r="AU91" s="13" t="n">
        <f aca="false">IF(AU$68=1,INDEX($G$40:$P$40,1,AU$67),IF(Calendario!AU$14=1,INDEX($G$40:$P$40,1,1)*p_EspInd,0))*AU$73/AU$72</f>
        <v>5986.0697260274</v>
      </c>
      <c r="AV91" s="13" t="n">
        <f aca="false">IF(AV$68=1,INDEX($G$40:$P$40,1,AV$67),IF(Calendario!AV$14=1,INDEX($G$40:$P$40,1,1)*p_EspInd,0))*AV$73/AV$72</f>
        <v>5986.0697260274</v>
      </c>
      <c r="AW91" s="13" t="n">
        <f aca="false">IF(AW$68=1,INDEX($G$40:$P$40,1,AW$67),IF(Calendario!AW$14=1,INDEX($G$40:$P$40,1,1)*p_EspInd,0))*AW$73/AW$72</f>
        <v>5986.0697260274</v>
      </c>
      <c r="AX91" s="13" t="n">
        <f aca="false">IF(AX$68=1,INDEX($G$40:$P$40,1,AX$67),IF(Calendario!AX$14=1,INDEX($G$40:$P$40,1,1)*p_EspInd,0))*AX$73/AX$72</f>
        <v>5986.0697260274</v>
      </c>
      <c r="AY91" s="13" t="n">
        <f aca="false">IF(AY$68=1,INDEX($G$40:$P$40,1,AY$67),IF(Calendario!AY$14=1,INDEX($G$40:$P$40,1,1)*p_EspInd,0))*AY$73/AY$72</f>
        <v>5986.0697260274</v>
      </c>
      <c r="AZ91" s="13" t="n">
        <f aca="false">IF(AZ$68=1,INDEX($G$40:$P$40,1,AZ$67),IF(Calendario!AZ$14=1,INDEX($G$40:$P$40,1,1)*p_EspInd,0))*AZ$73/AZ$72</f>
        <v>5986.0697260274</v>
      </c>
      <c r="BA91" s="13" t="n">
        <f aca="false">IF(BA$68=1,INDEX($G$40:$P$40,1,BA$67),IF(Calendario!BA$14=1,INDEX($G$40:$P$40,1,1)*p_EspInd,0))*BA$73/BA$72</f>
        <v>5986.0697260274</v>
      </c>
      <c r="BB91" s="13" t="n">
        <f aca="false">IF(BB$68=1,INDEX($G$40:$P$40,1,BB$67),IF(Calendario!BB$14=1,INDEX($G$40:$P$40,1,1)*p_EspInd,0))*BB$73/BB$72</f>
        <v>5986.0697260274</v>
      </c>
      <c r="BC91" s="13" t="n">
        <f aca="false">IF(BC$68=1,INDEX($G$40:$P$40,1,BC$67),IF(Calendario!BC$14=1,INDEX($G$40:$P$40,1,1)*p_EspInd,0))*BC$73/BC$72</f>
        <v>5986.0697260274</v>
      </c>
      <c r="BD91" s="13" t="n">
        <f aca="false">IF(BD$68=1,INDEX($G$40:$P$40,1,BD$67),IF(Calendario!BD$14=1,INDEX($G$40:$P$40,1,1)*p_EspInd,0))*BD$73/BD$72</f>
        <v>5986.0697260274</v>
      </c>
      <c r="BE91" s="13" t="n">
        <f aca="false">IF(BE$68=1,INDEX($G$40:$P$40,1,BE$67),IF(Calendario!BE$14=1,INDEX($G$40:$P$40,1,1)*p_EspInd,0))*BE$73/BE$72</f>
        <v>5986.0697260274</v>
      </c>
      <c r="BF91" s="13" t="n">
        <f aca="false">IF(BF$68=1,INDEX($G$40:$P$40,1,BF$67),IF(Calendario!BF$14=1,INDEX($G$40:$P$40,1,1)*p_EspInd,0))*BF$73/BF$72</f>
        <v>5986.0697260274</v>
      </c>
      <c r="BG91" s="13" t="n">
        <f aca="false">IF(BG$68=1,INDEX($G$40:$P$40,1,BG$67),IF(Calendario!BG$14=1,INDEX($G$40:$P$40,1,1)*p_EspInd,0))*BG$73/BG$72</f>
        <v>5986.0697260274</v>
      </c>
      <c r="BH91" s="13" t="n">
        <f aca="false">IF(BH$68=1,INDEX($G$40:$P$40,1,BH$67),IF(Calendario!BH$14=1,INDEX($G$40:$P$40,1,1)*p_EspInd,0))*BH$73/BH$72</f>
        <v>5986.0697260274</v>
      </c>
      <c r="BI91" s="13" t="n">
        <f aca="false">IF(BI$68=1,INDEX($G$40:$P$40,1,BI$67),IF(Calendario!BI$14=1,INDEX($G$40:$P$40,1,1)*p_EspInd,0))*BI$73/BI$72</f>
        <v>5986.0697260274</v>
      </c>
      <c r="BJ91" s="13" t="n">
        <f aca="false">IF(BJ$68=1,INDEX($G$40:$P$40,1,BJ$67),IF(Calendario!BJ$14=1,INDEX($G$40:$P$40,1,1)*p_EspInd,0))*BJ$73/BJ$72</f>
        <v>5986.0697260274</v>
      </c>
      <c r="BK91" s="13" t="n">
        <f aca="false">IF(BK$68=1,INDEX($G$40:$P$40,1,BK$67),IF(Calendario!BK$14=1,INDEX($G$40:$P$40,1,1)*p_EspInd,0))*BK$73/BK$72</f>
        <v>5986.0697260274</v>
      </c>
      <c r="BL91" s="13" t="n">
        <f aca="false">IF(BL$68=1,INDEX($G$40:$P$40,1,BL$67),IF(Calendario!BL$14=1,INDEX($G$40:$P$40,1,1)*p_EspInd,0))*BL$73/BL$72</f>
        <v>5986.0697260274</v>
      </c>
      <c r="BM91" s="13" t="n">
        <f aca="false">IF(BM$68=1,INDEX($G$40:$P$40,1,BM$67),IF(Calendario!BM$14=1,INDEX($G$40:$P$40,1,1)*p_EspInd,0))*BM$73/BM$72</f>
        <v>5986.0697260274</v>
      </c>
      <c r="BN91" s="13" t="n">
        <f aca="false">IF(BN$68=1,INDEX($G$40:$P$40,1,BN$67),IF(Calendario!BN$14=1,INDEX($G$40:$P$40,1,1)*p_EspInd,0))*BN$73/BN$72</f>
        <v>5986.0697260274</v>
      </c>
      <c r="BO91" s="13" t="n">
        <f aca="false">IF(BO$68=1,INDEX($G$40:$P$40,1,BO$67),IF(Calendario!BO$14=1,INDEX($G$40:$P$40,1,1)*p_EspInd,0))*BO$73/BO$72</f>
        <v>5986.0697260274</v>
      </c>
      <c r="BP91" s="13" t="n">
        <f aca="false">IF(BP$68=1,INDEX($G$40:$P$40,1,BP$67),IF(Calendario!BP$14=1,INDEX($G$40:$P$40,1,1)*p_EspInd,0))*BP$73/BP$72</f>
        <v>5986.0697260274</v>
      </c>
      <c r="BQ91" s="13" t="n">
        <f aca="false">IF(BQ$68=1,INDEX($G$40:$P$40,1,BQ$67),IF(Calendario!BQ$14=1,INDEX($G$40:$P$40,1,1)*p_EspInd,0))*BQ$73/BQ$72</f>
        <v>5986.0697260274</v>
      </c>
      <c r="BR91" s="13" t="n">
        <f aca="false">IF(BR$68=1,INDEX($G$40:$P$40,1,BR$67),IF(Calendario!BR$14=1,INDEX($G$40:$P$40,1,1)*p_EspInd,0))*BR$73/BR$72</f>
        <v>5986.0697260274</v>
      </c>
      <c r="BS91" s="13" t="n">
        <f aca="false">IF(BS$68=1,INDEX($G$40:$P$40,1,BS$67),IF(Calendario!BS$14=1,INDEX($G$40:$P$40,1,1)*p_EspInd,0))*BS$73/BS$72</f>
        <v>5986.0697260274</v>
      </c>
      <c r="BT91" s="13" t="n">
        <f aca="false">IF(BT$68=1,INDEX($G$40:$P$40,1,BT$67),IF(Calendario!BT$14=1,INDEX($G$40:$P$40,1,1)*p_EspInd,0))*BT$73/BT$72</f>
        <v>5986.0697260274</v>
      </c>
      <c r="BU91" s="13" t="n">
        <f aca="false">IF(BU$68=1,INDEX($G$40:$P$40,1,BU$67),IF(Calendario!BU$14=1,INDEX($G$40:$P$40,1,1)*p_EspInd,0))*BU$73/BU$72</f>
        <v>5986.0697260274</v>
      </c>
      <c r="BV91" s="13" t="n">
        <f aca="false">IF(BV$68=1,INDEX($G$40:$P$40,1,BV$67),IF(Calendario!BV$14=1,INDEX($G$40:$P$40,1,1)*p_EspInd,0))*BV$73/BV$72</f>
        <v>5986.0697260274</v>
      </c>
      <c r="BW91" s="13" t="n">
        <f aca="false">IF(BW$68=1,INDEX($G$40:$P$40,1,BW$67),IF(Calendario!BW$14=1,INDEX($G$40:$P$40,1,1)*p_EspInd,0))*BW$73/BW$72</f>
        <v>5986.0697260274</v>
      </c>
      <c r="BX91" s="13" t="n">
        <f aca="false">IF(BX$68=1,INDEX($G$40:$P$40,1,BX$67),IF(Calendario!BX$14=1,INDEX($G$40:$P$40,1,1)*p_EspInd,0))*BX$73/BX$72</f>
        <v>5986.0697260274</v>
      </c>
      <c r="BY91" s="13" t="n">
        <f aca="false">IF(BY$68=1,INDEX($G$40:$P$40,1,BY$67),IF(Calendario!BY$14=1,INDEX($G$40:$P$40,1,1)*p_EspInd,0))*BY$73/BY$72</f>
        <v>5986.0697260274</v>
      </c>
      <c r="BZ91" s="13" t="n">
        <f aca="false">IF(BZ$68=1,INDEX($G$40:$P$40,1,BZ$67),IF(Calendario!BZ$14=1,INDEX($G$40:$P$40,1,1)*p_EspInd,0))*BZ$73/BZ$72</f>
        <v>5986.0697260274</v>
      </c>
      <c r="CA91" s="13" t="n">
        <f aca="false">IF(CA$68=1,INDEX($G$40:$P$40,1,CA$67),IF(Calendario!CA$14=1,INDEX($G$40:$P$40,1,1)*p_EspInd,0))*CA$73/CA$72</f>
        <v>5986.0697260274</v>
      </c>
      <c r="CB91" s="13" t="n">
        <f aca="false">IF(CB$68=1,INDEX($G$40:$P$40,1,CB$67),IF(Calendario!CB$14=1,INDEX($G$40:$P$40,1,1)*p_EspInd,0))*CB$73/CB$72</f>
        <v>5986.0697260274</v>
      </c>
      <c r="CC91" s="13" t="n">
        <f aca="false">IF(CC$68=1,INDEX($G$40:$P$40,1,CC$67),IF(Calendario!CC$14=1,INDEX($G$40:$P$40,1,1)*p_EspInd,0))*CC$73/CC$72</f>
        <v>5986.0697260274</v>
      </c>
      <c r="CD91" s="13" t="n">
        <f aca="false">IF(CD$68=1,INDEX($G$40:$P$40,1,CD$67),IF(Calendario!CD$14=1,INDEX($G$40:$P$40,1,1)*p_EspInd,0))*CD$73/CD$72</f>
        <v>5986.0697260274</v>
      </c>
      <c r="CE91" s="13" t="n">
        <f aca="false">IF(CE$68=1,INDEX($G$40:$P$40,1,CE$67),IF(Calendario!CE$14=1,INDEX($G$40:$P$40,1,1)*p_EspInd,0))*CE$73/CE$72</f>
        <v>5986.0697260274</v>
      </c>
      <c r="CF91" s="13" t="n">
        <f aca="false">IF(CF$68=1,INDEX($G$40:$P$40,1,CF$67),IF(Calendario!CF$14=1,INDEX($G$40:$P$40,1,1)*p_EspInd,0))*CF$73/CF$72</f>
        <v>5986.0697260274</v>
      </c>
      <c r="CG91" s="13" t="n">
        <f aca="false">IF(CG$68=1,INDEX($G$40:$P$40,1,CG$67),IF(Calendario!CG$14=1,INDEX($G$40:$P$40,1,1)*p_EspInd,0))*CG$73/CG$72</f>
        <v>5986.0697260274</v>
      </c>
      <c r="CH91" s="13" t="n">
        <f aca="false">IF(CH$68=1,INDEX($G$40:$P$40,1,CH$67),IF(Calendario!CH$14=1,INDEX($G$40:$P$40,1,1)*p_EspInd,0))*CH$73/CH$72</f>
        <v>5986.0697260274</v>
      </c>
      <c r="CI91" s="13" t="n">
        <f aca="false">IF(CI$68=1,INDEX($G$40:$P$40,1,CI$67),IF(Calendario!CI$14=1,INDEX($G$40:$P$40,1,1)*p_EspInd,0))*CI$73/CI$72</f>
        <v>5986.0697260274</v>
      </c>
      <c r="CJ91" s="13" t="n">
        <f aca="false">IF(CJ$68=1,INDEX($G$40:$P$40,1,CJ$67),IF(Calendario!CJ$14=1,INDEX($G$40:$P$40,1,1)*p_EspInd,0))*CJ$73/CJ$72</f>
        <v>5986.0697260274</v>
      </c>
      <c r="CK91" s="13" t="n">
        <f aca="false">IF(CK$68=1,INDEX($G$40:$P$40,1,CK$67),IF(Calendario!CK$14=1,INDEX($G$40:$P$40,1,1)*p_EspInd,0))*CK$73/CK$72</f>
        <v>5986.0697260274</v>
      </c>
      <c r="CL91" s="13" t="n">
        <f aca="false">IF(CL$68=1,INDEX($G$40:$P$40,1,CL$67),IF(Calendario!CL$14=1,INDEX($G$40:$P$40,1,1)*p_EspInd,0))*CL$73/CL$72</f>
        <v>5986.0697260274</v>
      </c>
      <c r="CM91" s="13" t="n">
        <f aca="false">IF(CM$68=1,INDEX($G$40:$P$40,1,CM$67),IF(Calendario!CM$14=1,INDEX($G$40:$P$40,1,1)*p_EspInd,0))*CM$73/CM$72</f>
        <v>5986.0697260274</v>
      </c>
      <c r="CN91" s="13" t="n">
        <f aca="false">IF(CN$68=1,INDEX($G$40:$P$40,1,CN$67),IF(Calendario!CN$14=1,INDEX($G$40:$P$40,1,1)*p_EspInd,0))*CN$73/CN$72</f>
        <v>5986.0697260274</v>
      </c>
      <c r="CO91" s="13" t="n">
        <f aca="false">IF(CO$68=1,INDEX($G$40:$P$40,1,CO$67),IF(Calendario!CO$14=1,INDEX($G$40:$P$40,1,1)*p_EspInd,0))*CO$73/CO$72</f>
        <v>5986.0697260274</v>
      </c>
      <c r="CP91" s="13" t="n">
        <f aca="false">IF(CP$68=1,INDEX($G$40:$P$40,1,CP$67),IF(Calendario!CP$14=1,INDEX($G$40:$P$40,1,1)*p_EspInd,0))*CP$73/CP$72</f>
        <v>5986.0697260274</v>
      </c>
      <c r="CQ91" s="13" t="n">
        <f aca="false">IF(CQ$68=1,INDEX($G$40:$P$40,1,CQ$67),IF(Calendario!CQ$14=1,INDEX($G$40:$P$40,1,1)*p_EspInd,0))*CQ$73/CQ$72</f>
        <v>5986.0697260274</v>
      </c>
      <c r="CR91" s="13" t="n">
        <f aca="false">IF(CR$68=1,INDEX($G$40:$P$40,1,CR$67),IF(Calendario!CR$14=1,INDEX($G$40:$P$40,1,1)*p_EspInd,0))*CR$73/CR$72</f>
        <v>5986.0697260274</v>
      </c>
      <c r="CS91" s="13" t="n">
        <f aca="false">IF(CS$68=1,INDEX($G$40:$P$40,1,CS$67),IF(Calendario!CS$14=1,INDEX($G$40:$P$40,1,1)*p_EspInd,0))*CS$73/CS$72</f>
        <v>5986.0697260274</v>
      </c>
      <c r="CT91" s="13" t="n">
        <f aca="false">IF(CT$68=1,INDEX($G$40:$P$40,1,CT$67),IF(Calendario!CT$14=1,INDEX($G$40:$P$40,1,1)*p_EspInd,0))*CT$73/CT$72</f>
        <v>5986.0697260274</v>
      </c>
      <c r="CU91" s="13" t="n">
        <f aca="false">IF(CU$68=1,INDEX($G$40:$P$40,1,CU$67),IF(Calendario!CU$14=1,INDEX($G$40:$P$40,1,1)*p_EspInd,0))*CU$73/CU$72</f>
        <v>5986.0697260274</v>
      </c>
      <c r="CV91" s="13" t="n">
        <f aca="false">IF(CV$68=1,INDEX($G$40:$P$40,1,CV$67),IF(Calendario!CV$14=1,INDEX($G$40:$P$40,1,1)*p_EspInd,0))*CV$73/CV$72</f>
        <v>5986.0697260274</v>
      </c>
      <c r="CW91" s="13" t="n">
        <f aca="false">IF(CW$68=1,INDEX($G$40:$P$40,1,CW$67),IF(Calendario!CW$14=1,INDEX($G$40:$P$40,1,1)*p_EspInd,0))*CW$73/CW$72</f>
        <v>5986.0697260274</v>
      </c>
      <c r="CX91" s="13" t="n">
        <f aca="false">IF(CX$68=1,INDEX($G$40:$P$40,1,CX$67),IF(Calendario!CX$14=1,INDEX($G$40:$P$40,1,1)*p_EspInd,0))*CX$73/CX$72</f>
        <v>5986.0697260274</v>
      </c>
      <c r="CY91" s="13" t="n">
        <f aca="false">IF(CY$68=1,INDEX($G$40:$P$40,1,CY$67),IF(Calendario!CY$14=1,INDEX($G$40:$P$40,1,1)*p_EspInd,0))*CY$73/CY$72</f>
        <v>5986.0697260274</v>
      </c>
      <c r="CZ91" s="13" t="n">
        <f aca="false">IF(CZ$68=1,INDEX($G$40:$P$40,1,CZ$67),IF(Calendario!CZ$14=1,INDEX($G$40:$P$40,1,1)*p_EspInd,0))*CZ$73/CZ$72</f>
        <v>5986.0697260274</v>
      </c>
      <c r="DA91" s="13" t="n">
        <f aca="false">IF(DA$68=1,INDEX($G$40:$P$40,1,DA$67),IF(Calendario!DA$14=1,INDEX($G$40:$P$40,1,1)*p_EspInd,0))*DA$73/DA$72</f>
        <v>5986.0697260274</v>
      </c>
      <c r="DB91" s="13" t="n">
        <f aca="false">IF(DB$68=1,INDEX($G$40:$P$40,1,DB$67),IF(Calendario!DB$14=1,INDEX($G$40:$P$40,1,1)*p_EspInd,0))*DB$73/DB$72</f>
        <v>5986.0697260274</v>
      </c>
      <c r="DC91" s="13" t="n">
        <f aca="false">IF(DC$68=1,INDEX($G$40:$P$40,1,DC$67),IF(Calendario!DC$14=1,INDEX($G$40:$P$40,1,1)*p_EspInd,0))*DC$73/DC$72</f>
        <v>5986.0697260274</v>
      </c>
      <c r="DD91" s="13" t="n">
        <f aca="false">IF(DD$68=1,INDEX($G$40:$P$40,1,DD$67),IF(Calendario!DD$14=1,INDEX($G$40:$P$40,1,1)*p_EspInd,0))*DD$73/DD$72</f>
        <v>5986.0697260274</v>
      </c>
      <c r="DE91" s="13" t="n">
        <f aca="false">IF(DE$68=1,INDEX($G$40:$P$40,1,DE$67),IF(Calendario!DE$14=1,INDEX($G$40:$P$40,1,1)*p_EspInd,0))*DE$73/DE$72</f>
        <v>5986.0697260274</v>
      </c>
      <c r="DF91" s="13" t="n">
        <f aca="false">IF(DF$68=1,INDEX($G$40:$P$40,1,DF$67),IF(Calendario!DF$14=1,INDEX($G$40:$P$40,1,1)*p_EspInd,0))*DF$73/DF$72</f>
        <v>5986.0697260274</v>
      </c>
      <c r="DG91" s="13" t="n">
        <f aca="false">IF(DG$68=1,INDEX($G$40:$P$40,1,DG$67),IF(Calendario!DG$14=1,INDEX($G$40:$P$40,1,1)*p_EspInd,0))*DG$73/DG$72</f>
        <v>5986.0697260274</v>
      </c>
      <c r="DH91" s="13" t="n">
        <f aca="false">IF(DH$68=1,INDEX($G$40:$P$40,1,DH$67),IF(Calendario!DH$14=1,INDEX($G$40:$P$40,1,1)*p_EspInd,0))*DH$73/DH$72</f>
        <v>5986.0697260274</v>
      </c>
      <c r="DI91" s="13" t="n">
        <f aca="false">IF(DI$68=1,INDEX($G$40:$P$40,1,DI$67),IF(Calendario!DI$14=1,INDEX($G$40:$P$40,1,1)*p_EspInd,0))*DI$73/DI$72</f>
        <v>5986.0697260274</v>
      </c>
      <c r="DJ91" s="13" t="n">
        <f aca="false">IF(DJ$68=1,INDEX($G$40:$P$40,1,DJ$67),IF(Calendario!DJ$14=1,INDEX($G$40:$P$40,1,1)*p_EspInd,0))*DJ$73/DJ$72</f>
        <v>5986.0697260274</v>
      </c>
      <c r="DK91" s="13" t="n">
        <f aca="false">IF(DK$68=1,INDEX($G$40:$P$40,1,DK$67),IF(Calendario!DK$14=1,INDEX($G$40:$P$40,1,1)*p_EspInd,0))*DK$73/DK$72</f>
        <v>5986.0697260274</v>
      </c>
      <c r="DL91" s="13" t="n">
        <f aca="false">IF(DL$68=1,INDEX($G$40:$P$40,1,DL$67),IF(Calendario!DL$14=1,INDEX($G$40:$P$40,1,1)*p_EspInd,0))*DL$73/DL$72</f>
        <v>5986.0697260274</v>
      </c>
      <c r="DM91" s="13" t="n">
        <f aca="false">IF(DM$68=1,INDEX($G$40:$P$40,1,DM$67),IF(Calendario!DM$14=1,INDEX($G$40:$P$40,1,1)*p_EspInd,0))*DM$73/DM$72</f>
        <v>5986.0697260274</v>
      </c>
      <c r="DN91" s="13" t="n">
        <f aca="false">IF(DN$68=1,INDEX($G$40:$P$40,1,DN$67),IF(Calendario!DN$14=1,INDEX($G$40:$P$40,1,1)*p_EspInd,0))*DN$73/DN$72</f>
        <v>5986.0697260274</v>
      </c>
      <c r="DO91" s="13" t="n">
        <f aca="false">IF(DO$68=1,INDEX($G$40:$P$40,1,DO$67),IF(Calendario!DO$14=1,INDEX($G$40:$P$40,1,1)*p_EspInd,0))*DO$73/DO$72</f>
        <v>5986.0697260274</v>
      </c>
      <c r="DP91" s="13" t="n">
        <f aca="false">IF(DP$68=1,INDEX($G$40:$P$40,1,DP$67),IF(Calendario!DP$14=1,INDEX($G$40:$P$40,1,1)*p_EspInd,0))*DP$73/DP$72</f>
        <v>5986.0697260274</v>
      </c>
      <c r="DQ91" s="13" t="n">
        <f aca="false">IF(DQ$68=1,INDEX($G$40:$P$40,1,DQ$67),IF(Calendario!DQ$14=1,INDEX($G$40:$P$40,1,1)*p_EspInd,0))*DQ$73/DQ$72</f>
        <v>5986.0697260274</v>
      </c>
      <c r="DR91" s="13" t="n">
        <f aca="false">IF(DR$68=1,INDEX($G$40:$P$40,1,DR$67),IF(Calendario!DR$14=1,INDEX($G$40:$P$40,1,1)*p_EspInd,0))*DR$73/DR$72</f>
        <v>5986.0697260274</v>
      </c>
      <c r="DS91" s="13" t="n">
        <f aca="false">IF(DS$68=1,INDEX($G$40:$P$40,1,DS$67),IF(Calendario!DS$14=1,INDEX($G$40:$P$40,1,1)*p_EspInd,0))*DS$73/DS$72</f>
        <v>5986.0697260274</v>
      </c>
      <c r="DT91" s="13" t="n">
        <f aca="false">IF(DT$68=1,INDEX($G$40:$P$40,1,DT$67),IF(Calendario!DT$14=1,INDEX($G$40:$P$40,1,1)*p_EspInd,0))*DT$73/DT$72</f>
        <v>5986.0697260274</v>
      </c>
      <c r="DU91" s="13" t="n">
        <f aca="false">IF(DU$68=1,INDEX($G$40:$P$40,1,DU$67),IF(Calendario!DU$14=1,INDEX($G$40:$P$40,1,1)*p_EspInd,0))*DU$73/DU$72</f>
        <v>5986.0697260274</v>
      </c>
      <c r="DV91" s="13" t="n">
        <f aca="false">IF(DV$68=1,INDEX($G$40:$P$40,1,DV$67),IF(Calendario!DV$14=1,INDEX($G$40:$P$40,1,1)*p_EspInd,0))*DV$73/DV$72</f>
        <v>5986.0697260274</v>
      </c>
      <c r="DW91" s="13" t="n">
        <f aca="false">IF(DW$68=1,INDEX($G$40:$P$40,1,DW$67),IF(Calendario!DW$14=1,INDEX($G$40:$P$40,1,1)*p_EspInd,0))*DW$73/DW$72</f>
        <v>0</v>
      </c>
      <c r="DX91" s="13" t="n">
        <f aca="false">IF(DX$68=1,INDEX($G$40:$P$40,1,DX$67),IF(Calendario!DX$14=1,INDEX($G$40:$P$40,1,1)*p_EspInd,0))*DX$73/DX$72</f>
        <v>0</v>
      </c>
      <c r="DY91" s="13" t="n">
        <f aca="false">IF(DY$68=1,INDEX($G$40:$P$40,1,DY$67),IF(Calendario!DY$14=1,INDEX($G$40:$P$40,1,1)*p_EspInd,0))*DY$73/DY$72</f>
        <v>0</v>
      </c>
      <c r="DZ91" s="13" t="n">
        <f aca="false">IF(DZ$68=1,INDEX($G$40:$P$40,1,DZ$67),IF(Calendario!DZ$14=1,INDEX($G$40:$P$40,1,1)*p_EspInd,0))*DZ$73/DZ$72</f>
        <v>0</v>
      </c>
      <c r="EA91" s="13" t="n">
        <f aca="false">IF(EA$68=1,INDEX($G$40:$P$40,1,EA$67),IF(Calendario!EA$14=1,INDEX($G$40:$P$40,1,1)*p_EspInd,0))*EA$73/EA$72</f>
        <v>0</v>
      </c>
      <c r="EB91" s="13" t="n">
        <f aca="false">IF(EB$68=1,INDEX($G$40:$P$40,1,EB$67),IF(Calendario!EB$14=1,INDEX($G$40:$P$40,1,1)*p_EspInd,0))*EB$73/EB$72</f>
        <v>0</v>
      </c>
      <c r="EC91" s="13" t="n">
        <f aca="false">IF(EC$68=1,INDEX($G$40:$P$40,1,EC$67),IF(Calendario!EC$14=1,INDEX($G$40:$P$40,1,1)*p_EspInd,0))*EC$73/EC$72</f>
        <v>0</v>
      </c>
      <c r="ED91" s="13" t="n">
        <f aca="false">IF(ED$68=1,INDEX($G$40:$P$40,1,ED$67),IF(Calendario!ED$14=1,INDEX($G$40:$P$40,1,1)*p_EspInd,0))*ED$73/ED$72</f>
        <v>0</v>
      </c>
      <c r="EE91" s="13" t="n">
        <f aca="false">IF(EE$68=1,INDEX($G$40:$P$40,1,EE$67),IF(Calendario!EE$14=1,INDEX($G$40:$P$40,1,1)*p_EspInd,0))*EE$73/EE$72</f>
        <v>0</v>
      </c>
      <c r="EF91" s="13" t="n">
        <f aca="false">IF(EF$68=1,INDEX($G$40:$P$40,1,EF$67),IF(Calendario!EF$14=1,INDEX($G$40:$P$40,1,1)*p_EspInd,0))*EF$73/EF$72</f>
        <v>0</v>
      </c>
      <c r="EG91" s="13" t="n">
        <f aca="false">IF(EG$68=1,INDEX($G$40:$P$40,1,EG$67),IF(Calendario!EG$14=1,INDEX($G$40:$P$40,1,1)*p_EspInd,0))*EG$73/EG$72</f>
        <v>0</v>
      </c>
      <c r="EH91" s="13" t="n">
        <f aca="false">IF(EH$68=1,INDEX($G$40:$P$40,1,EH$67),IF(Calendario!EH$14=1,INDEX($G$40:$P$40,1,1)*p_EspInd,0))*EH$73/EH$72</f>
        <v>0</v>
      </c>
      <c r="EI91" s="13" t="n">
        <f aca="false">IF(EI$68=1,INDEX($G$40:$P$40,1,EI$67),IF(Calendario!EI$14=1,INDEX($G$40:$P$40,1,1)*p_EspInd,0))*EI$73/EI$72</f>
        <v>0</v>
      </c>
      <c r="EJ91" s="13" t="n">
        <f aca="false">IF(EJ$68=1,INDEX($G$40:$P$40,1,EJ$67),IF(Calendario!EJ$14=1,INDEX($G$40:$P$40,1,1)*p_EspInd,0))*EJ$73/EJ$72</f>
        <v>0</v>
      </c>
      <c r="EK91" s="13" t="n">
        <f aca="false">IF(EK$68=1,INDEX($G$40:$P$40,1,EK$67),IF(Calendario!EK$14=1,INDEX($G$40:$P$40,1,1)*p_EspInd,0))*EK$73/EK$72</f>
        <v>0</v>
      </c>
      <c r="EL91" s="13" t="n">
        <f aca="false">IF(EL$68=1,INDEX($G$40:$P$40,1,EL$67),IF(Calendario!EL$14=1,INDEX($G$40:$P$40,1,1)*p_EspInd,0))*EL$73/EL$72</f>
        <v>0</v>
      </c>
      <c r="EM91" s="13" t="n">
        <f aca="false">IF(EM$68=1,INDEX($G$40:$P$40,1,EM$67),IF(Calendario!EM$14=1,INDEX($G$40:$P$40,1,1)*p_EspInd,0))*EM$73/EM$72</f>
        <v>0</v>
      </c>
      <c r="EN91" s="13" t="n">
        <f aca="false">IF(EN$68=1,INDEX($G$40:$P$40,1,EN$67),IF(Calendario!EN$14=1,INDEX($G$40:$P$40,1,1)*p_EspInd,0))*EN$73/EN$72</f>
        <v>0</v>
      </c>
      <c r="EO91" s="13" t="n">
        <f aca="false">IF(EO$68=1,INDEX($G$40:$P$40,1,EO$67),IF(Calendario!EO$14=1,INDEX($G$40:$P$40,1,1)*p_EspInd,0))*EO$73/EO$72</f>
        <v>0</v>
      </c>
      <c r="EP91" s="13" t="n">
        <f aca="false">IF(EP$68=1,INDEX($G$40:$P$40,1,EP$67),IF(Calendario!EP$14=1,INDEX($G$40:$P$40,1,1)*p_EspInd,0))*EP$73/EP$72</f>
        <v>0</v>
      </c>
      <c r="EQ91" s="13" t="n">
        <f aca="false">IF(EQ$68=1,INDEX($G$40:$P$40,1,EQ$67),IF(Calendario!EQ$14=1,INDEX($G$40:$P$40,1,1)*p_EspInd,0))*EQ$73/EQ$72</f>
        <v>0</v>
      </c>
      <c r="ER91" s="13" t="n">
        <f aca="false">IF(ER$68=1,INDEX($G$40:$P$40,1,ER$67),IF(Calendario!ER$14=1,INDEX($G$40:$P$40,1,1)*p_EspInd,0))*ER$73/ER$72</f>
        <v>0</v>
      </c>
      <c r="ES91" s="13" t="n">
        <f aca="false">IF(ES$68=1,INDEX($G$40:$P$40,1,ES$67),IF(Calendario!ES$14=1,INDEX($G$40:$P$40,1,1)*p_EspInd,0))*ES$73/ES$72</f>
        <v>0</v>
      </c>
      <c r="ET91" s="13" t="n">
        <f aca="false">IF(ET$68=1,INDEX($G$40:$P$40,1,ET$67),IF(Calendario!ET$14=1,INDEX($G$40:$P$40,1,1)*p_EspInd,0))*ET$73/ET$72</f>
        <v>0</v>
      </c>
      <c r="EU91" s="13" t="n">
        <f aca="false">IF(EU$68=1,INDEX($G$40:$P$40,1,EU$67),IF(Calendario!EU$14=1,INDEX($G$40:$P$40,1,1)*p_EspInd,0))*EU$73/EU$72</f>
        <v>0</v>
      </c>
      <c r="EV91" s="13" t="n">
        <f aca="false">IF(EV$68=1,INDEX($G$40:$P$40,1,EV$67),IF(Calendario!EV$14=1,INDEX($G$40:$P$40,1,1)*p_EspInd,0))*EV$73/EV$72</f>
        <v>0</v>
      </c>
      <c r="EW91" s="13" t="n">
        <f aca="false">IF(EW$68=1,INDEX($G$40:$P$40,1,EW$67),IF(Calendario!EW$14=1,INDEX($G$40:$P$40,1,1)*p_EspInd,0))*EW$73/EW$72</f>
        <v>0</v>
      </c>
      <c r="EX91" s="13" t="n">
        <f aca="false">IF(EX$68=1,INDEX($G$40:$P$40,1,EX$67),IF(Calendario!EX$14=1,INDEX($G$40:$P$40,1,1)*p_EspInd,0))*EX$73/EX$72</f>
        <v>0</v>
      </c>
      <c r="EY91" s="13" t="n">
        <f aca="false">IF(EY$68=1,INDEX($G$40:$P$40,1,EY$67),IF(Calendario!EY$14=1,INDEX($G$40:$P$40,1,1)*p_EspInd,0))*EY$73/EY$72</f>
        <v>0</v>
      </c>
      <c r="EZ91" s="13" t="n">
        <f aca="false">IF(EZ$68=1,INDEX($G$40:$P$40,1,EZ$67),IF(Calendario!EZ$14=1,INDEX($G$40:$P$40,1,1)*p_EspInd,0))*EZ$73/EZ$72</f>
        <v>0</v>
      </c>
      <c r="FA91" s="13" t="n">
        <f aca="false">IF(FA$68=1,INDEX($G$40:$P$40,1,FA$67),IF(Calendario!FA$14=1,INDEX($G$40:$P$40,1,1)*p_EspInd,0))*FA$73/FA$72</f>
        <v>0</v>
      </c>
      <c r="FB91" s="13" t="n">
        <f aca="false">IF(FB$68=1,INDEX($G$40:$P$40,1,FB$67),IF(Calendario!FB$14=1,INDEX($G$40:$P$40,1,1)*p_EspInd,0))*FB$73/FB$72</f>
        <v>0</v>
      </c>
      <c r="FC91" s="13" t="n">
        <f aca="false">IF(FC$68=1,INDEX($G$40:$P$40,1,FC$67),IF(Calendario!FC$14=1,INDEX($G$40:$P$40,1,1)*p_EspInd,0))*FC$73/FC$72</f>
        <v>0</v>
      </c>
      <c r="FD91" s="13" t="n">
        <f aca="false">IF(FD$68=1,INDEX($G$40:$P$40,1,FD$67),IF(Calendario!FD$14=1,INDEX($G$40:$P$40,1,1)*p_EspInd,0))*FD$73/FD$72</f>
        <v>0</v>
      </c>
      <c r="FE91" s="13" t="n">
        <f aca="false">IF(FE$68=1,INDEX($G$40:$P$40,1,FE$67),IF(Calendario!FE$14=1,INDEX($G$40:$P$40,1,1)*p_EspInd,0))*FE$73/FE$72</f>
        <v>0</v>
      </c>
      <c r="FF91" s="13" t="n">
        <f aca="false">IF(FF$68=1,INDEX($G$40:$P$40,1,FF$67),IF(Calendario!FF$14=1,INDEX($G$40:$P$40,1,1)*p_EspInd,0))*FF$73/FF$72</f>
        <v>0</v>
      </c>
    </row>
    <row r="92" customFormat="false" ht="15" hidden="false" customHeight="false" outlineLevel="0" collapsed="false">
      <c r="A92" s="2" t="s">
        <v>1041</v>
      </c>
      <c r="B92" s="8" t="s">
        <v>337</v>
      </c>
      <c r="C92" s="8" t="s">
        <v>255</v>
      </c>
      <c r="E92" s="65" t="n">
        <f aca="false">SUM($F92:$FF92)</f>
        <v>309527.693393425</v>
      </c>
      <c r="F92" s="13" t="n">
        <f aca="false">F$91*p_Prest</f>
        <v>0</v>
      </c>
      <c r="G92" s="13" t="n">
        <f aca="false">G$91*p_Prest</f>
        <v>2579.39744494521</v>
      </c>
      <c r="H92" s="13" t="n">
        <f aca="false">H$91*p_Prest</f>
        <v>2579.39744494521</v>
      </c>
      <c r="I92" s="13" t="n">
        <f aca="false">I$91*p_Prest</f>
        <v>2579.39744494521</v>
      </c>
      <c r="J92" s="13" t="n">
        <f aca="false">J$91*p_Prest</f>
        <v>2579.39744494521</v>
      </c>
      <c r="K92" s="13" t="n">
        <f aca="false">K$91*p_Prest</f>
        <v>2579.39744494521</v>
      </c>
      <c r="L92" s="13" t="n">
        <f aca="false">L$91*p_Prest</f>
        <v>2579.39744494521</v>
      </c>
      <c r="M92" s="13" t="n">
        <f aca="false">M$91*p_Prest</f>
        <v>2579.39744494521</v>
      </c>
      <c r="N92" s="13" t="n">
        <f aca="false">N$91*p_Prest</f>
        <v>2579.39744494521</v>
      </c>
      <c r="O92" s="13" t="n">
        <f aca="false">O$91*p_Prest</f>
        <v>2579.39744494521</v>
      </c>
      <c r="P92" s="13" t="n">
        <f aca="false">P$91*p_Prest</f>
        <v>2579.39744494521</v>
      </c>
      <c r="Q92" s="13" t="n">
        <f aca="false">Q$91*p_Prest</f>
        <v>2579.39744494521</v>
      </c>
      <c r="R92" s="13" t="n">
        <f aca="false">R$91*p_Prest</f>
        <v>2579.39744494521</v>
      </c>
      <c r="S92" s="13" t="n">
        <f aca="false">S$91*p_Prest</f>
        <v>2579.39744494521</v>
      </c>
      <c r="T92" s="13" t="n">
        <f aca="false">T$91*p_Prest</f>
        <v>2579.39744494521</v>
      </c>
      <c r="U92" s="13" t="n">
        <f aca="false">U$91*p_Prest</f>
        <v>2579.39744494521</v>
      </c>
      <c r="V92" s="13" t="n">
        <f aca="false">V$91*p_Prest</f>
        <v>2579.39744494521</v>
      </c>
      <c r="W92" s="13" t="n">
        <f aca="false">W$91*p_Prest</f>
        <v>2579.39744494521</v>
      </c>
      <c r="X92" s="13" t="n">
        <f aca="false">X$91*p_Prest</f>
        <v>2579.39744494521</v>
      </c>
      <c r="Y92" s="13" t="n">
        <f aca="false">Y$91*p_Prest</f>
        <v>2579.39744494521</v>
      </c>
      <c r="Z92" s="13" t="n">
        <f aca="false">Z$91*p_Prest</f>
        <v>2579.39744494521</v>
      </c>
      <c r="AA92" s="13" t="n">
        <f aca="false">AA$91*p_Prest</f>
        <v>2579.39744494521</v>
      </c>
      <c r="AB92" s="13" t="n">
        <f aca="false">AB$91*p_Prest</f>
        <v>2579.39744494521</v>
      </c>
      <c r="AC92" s="13" t="n">
        <f aca="false">AC$91*p_Prest</f>
        <v>2579.39744494521</v>
      </c>
      <c r="AD92" s="13" t="n">
        <f aca="false">AD$91*p_Prest</f>
        <v>2579.39744494521</v>
      </c>
      <c r="AE92" s="13" t="n">
        <f aca="false">AE$91*p_Prest</f>
        <v>2579.39744494521</v>
      </c>
      <c r="AF92" s="13" t="n">
        <f aca="false">AF$91*p_Prest</f>
        <v>2579.39744494521</v>
      </c>
      <c r="AG92" s="13" t="n">
        <f aca="false">AG$91*p_Prest</f>
        <v>2579.39744494521</v>
      </c>
      <c r="AH92" s="13" t="n">
        <f aca="false">AH$91*p_Prest</f>
        <v>2579.39744494521</v>
      </c>
      <c r="AI92" s="13" t="n">
        <f aca="false">AI$91*p_Prest</f>
        <v>2579.39744494521</v>
      </c>
      <c r="AJ92" s="13" t="n">
        <f aca="false">AJ$91*p_Prest</f>
        <v>2579.39744494521</v>
      </c>
      <c r="AK92" s="13" t="n">
        <f aca="false">AK$91*p_Prest</f>
        <v>2579.39744494521</v>
      </c>
      <c r="AL92" s="13" t="n">
        <f aca="false">AL$91*p_Prest</f>
        <v>2579.39744494521</v>
      </c>
      <c r="AM92" s="13" t="n">
        <f aca="false">AM$91*p_Prest</f>
        <v>2579.39744494521</v>
      </c>
      <c r="AN92" s="13" t="n">
        <f aca="false">AN$91*p_Prest</f>
        <v>2579.39744494521</v>
      </c>
      <c r="AO92" s="13" t="n">
        <f aca="false">AO$91*p_Prest</f>
        <v>2579.39744494521</v>
      </c>
      <c r="AP92" s="13" t="n">
        <f aca="false">AP$91*p_Prest</f>
        <v>2579.39744494521</v>
      </c>
      <c r="AQ92" s="13" t="n">
        <f aca="false">AQ$91*p_Prest</f>
        <v>2579.39744494521</v>
      </c>
      <c r="AR92" s="13" t="n">
        <f aca="false">AR$91*p_Prest</f>
        <v>2579.39744494521</v>
      </c>
      <c r="AS92" s="13" t="n">
        <f aca="false">AS$91*p_Prest</f>
        <v>2579.39744494521</v>
      </c>
      <c r="AT92" s="13" t="n">
        <f aca="false">AT$91*p_Prest</f>
        <v>2579.39744494521</v>
      </c>
      <c r="AU92" s="13" t="n">
        <f aca="false">AU$91*p_Prest</f>
        <v>2579.39744494521</v>
      </c>
      <c r="AV92" s="13" t="n">
        <f aca="false">AV$91*p_Prest</f>
        <v>2579.39744494521</v>
      </c>
      <c r="AW92" s="13" t="n">
        <f aca="false">AW$91*p_Prest</f>
        <v>2579.39744494521</v>
      </c>
      <c r="AX92" s="13" t="n">
        <f aca="false">AX$91*p_Prest</f>
        <v>2579.39744494521</v>
      </c>
      <c r="AY92" s="13" t="n">
        <f aca="false">AY$91*p_Prest</f>
        <v>2579.39744494521</v>
      </c>
      <c r="AZ92" s="13" t="n">
        <f aca="false">AZ$91*p_Prest</f>
        <v>2579.39744494521</v>
      </c>
      <c r="BA92" s="13" t="n">
        <f aca="false">BA$91*p_Prest</f>
        <v>2579.39744494521</v>
      </c>
      <c r="BB92" s="13" t="n">
        <f aca="false">BB$91*p_Prest</f>
        <v>2579.39744494521</v>
      </c>
      <c r="BC92" s="13" t="n">
        <f aca="false">BC$91*p_Prest</f>
        <v>2579.39744494521</v>
      </c>
      <c r="BD92" s="13" t="n">
        <f aca="false">BD$91*p_Prest</f>
        <v>2579.39744494521</v>
      </c>
      <c r="BE92" s="13" t="n">
        <f aca="false">BE$91*p_Prest</f>
        <v>2579.39744494521</v>
      </c>
      <c r="BF92" s="13" t="n">
        <f aca="false">BF$91*p_Prest</f>
        <v>2579.39744494521</v>
      </c>
      <c r="BG92" s="13" t="n">
        <f aca="false">BG$91*p_Prest</f>
        <v>2579.39744494521</v>
      </c>
      <c r="BH92" s="13" t="n">
        <f aca="false">BH$91*p_Prest</f>
        <v>2579.39744494521</v>
      </c>
      <c r="BI92" s="13" t="n">
        <f aca="false">BI$91*p_Prest</f>
        <v>2579.39744494521</v>
      </c>
      <c r="BJ92" s="13" t="n">
        <f aca="false">BJ$91*p_Prest</f>
        <v>2579.39744494521</v>
      </c>
      <c r="BK92" s="13" t="n">
        <f aca="false">BK$91*p_Prest</f>
        <v>2579.39744494521</v>
      </c>
      <c r="BL92" s="13" t="n">
        <f aca="false">BL$91*p_Prest</f>
        <v>2579.39744494521</v>
      </c>
      <c r="BM92" s="13" t="n">
        <f aca="false">BM$91*p_Prest</f>
        <v>2579.39744494521</v>
      </c>
      <c r="BN92" s="13" t="n">
        <f aca="false">BN$91*p_Prest</f>
        <v>2579.39744494521</v>
      </c>
      <c r="BO92" s="13" t="n">
        <f aca="false">BO$91*p_Prest</f>
        <v>2579.39744494521</v>
      </c>
      <c r="BP92" s="13" t="n">
        <f aca="false">BP$91*p_Prest</f>
        <v>2579.39744494521</v>
      </c>
      <c r="BQ92" s="13" t="n">
        <f aca="false">BQ$91*p_Prest</f>
        <v>2579.39744494521</v>
      </c>
      <c r="BR92" s="13" t="n">
        <f aca="false">BR$91*p_Prest</f>
        <v>2579.39744494521</v>
      </c>
      <c r="BS92" s="13" t="n">
        <f aca="false">BS$91*p_Prest</f>
        <v>2579.39744494521</v>
      </c>
      <c r="BT92" s="13" t="n">
        <f aca="false">BT$91*p_Prest</f>
        <v>2579.39744494521</v>
      </c>
      <c r="BU92" s="13" t="n">
        <f aca="false">BU$91*p_Prest</f>
        <v>2579.39744494521</v>
      </c>
      <c r="BV92" s="13" t="n">
        <f aca="false">BV$91*p_Prest</f>
        <v>2579.39744494521</v>
      </c>
      <c r="BW92" s="13" t="n">
        <f aca="false">BW$91*p_Prest</f>
        <v>2579.39744494521</v>
      </c>
      <c r="BX92" s="13" t="n">
        <f aca="false">BX$91*p_Prest</f>
        <v>2579.39744494521</v>
      </c>
      <c r="BY92" s="13" t="n">
        <f aca="false">BY$91*p_Prest</f>
        <v>2579.39744494521</v>
      </c>
      <c r="BZ92" s="13" t="n">
        <f aca="false">BZ$91*p_Prest</f>
        <v>2579.39744494521</v>
      </c>
      <c r="CA92" s="13" t="n">
        <f aca="false">CA$91*p_Prest</f>
        <v>2579.39744494521</v>
      </c>
      <c r="CB92" s="13" t="n">
        <f aca="false">CB$91*p_Prest</f>
        <v>2579.39744494521</v>
      </c>
      <c r="CC92" s="13" t="n">
        <f aca="false">CC$91*p_Prest</f>
        <v>2579.39744494521</v>
      </c>
      <c r="CD92" s="13" t="n">
        <f aca="false">CD$91*p_Prest</f>
        <v>2579.39744494521</v>
      </c>
      <c r="CE92" s="13" t="n">
        <f aca="false">CE$91*p_Prest</f>
        <v>2579.39744494521</v>
      </c>
      <c r="CF92" s="13" t="n">
        <f aca="false">CF$91*p_Prest</f>
        <v>2579.39744494521</v>
      </c>
      <c r="CG92" s="13" t="n">
        <f aca="false">CG$91*p_Prest</f>
        <v>2579.39744494521</v>
      </c>
      <c r="CH92" s="13" t="n">
        <f aca="false">CH$91*p_Prest</f>
        <v>2579.39744494521</v>
      </c>
      <c r="CI92" s="13" t="n">
        <f aca="false">CI$91*p_Prest</f>
        <v>2579.39744494521</v>
      </c>
      <c r="CJ92" s="13" t="n">
        <f aca="false">CJ$91*p_Prest</f>
        <v>2579.39744494521</v>
      </c>
      <c r="CK92" s="13" t="n">
        <f aca="false">CK$91*p_Prest</f>
        <v>2579.39744494521</v>
      </c>
      <c r="CL92" s="13" t="n">
        <f aca="false">CL$91*p_Prest</f>
        <v>2579.39744494521</v>
      </c>
      <c r="CM92" s="13" t="n">
        <f aca="false">CM$91*p_Prest</f>
        <v>2579.39744494521</v>
      </c>
      <c r="CN92" s="13" t="n">
        <f aca="false">CN$91*p_Prest</f>
        <v>2579.39744494521</v>
      </c>
      <c r="CO92" s="13" t="n">
        <f aca="false">CO$91*p_Prest</f>
        <v>2579.39744494521</v>
      </c>
      <c r="CP92" s="13" t="n">
        <f aca="false">CP$91*p_Prest</f>
        <v>2579.39744494521</v>
      </c>
      <c r="CQ92" s="13" t="n">
        <f aca="false">CQ$91*p_Prest</f>
        <v>2579.39744494521</v>
      </c>
      <c r="CR92" s="13" t="n">
        <f aca="false">CR$91*p_Prest</f>
        <v>2579.39744494521</v>
      </c>
      <c r="CS92" s="13" t="n">
        <f aca="false">CS$91*p_Prest</f>
        <v>2579.39744494521</v>
      </c>
      <c r="CT92" s="13" t="n">
        <f aca="false">CT$91*p_Prest</f>
        <v>2579.39744494521</v>
      </c>
      <c r="CU92" s="13" t="n">
        <f aca="false">CU$91*p_Prest</f>
        <v>2579.39744494521</v>
      </c>
      <c r="CV92" s="13" t="n">
        <f aca="false">CV$91*p_Prest</f>
        <v>2579.39744494521</v>
      </c>
      <c r="CW92" s="13" t="n">
        <f aca="false">CW$91*p_Prest</f>
        <v>2579.39744494521</v>
      </c>
      <c r="CX92" s="13" t="n">
        <f aca="false">CX$91*p_Prest</f>
        <v>2579.39744494521</v>
      </c>
      <c r="CY92" s="13" t="n">
        <f aca="false">CY$91*p_Prest</f>
        <v>2579.39744494521</v>
      </c>
      <c r="CZ92" s="13" t="n">
        <f aca="false">CZ$91*p_Prest</f>
        <v>2579.39744494521</v>
      </c>
      <c r="DA92" s="13" t="n">
        <f aca="false">DA$91*p_Prest</f>
        <v>2579.39744494521</v>
      </c>
      <c r="DB92" s="13" t="n">
        <f aca="false">DB$91*p_Prest</f>
        <v>2579.39744494521</v>
      </c>
      <c r="DC92" s="13" t="n">
        <f aca="false">DC$91*p_Prest</f>
        <v>2579.39744494521</v>
      </c>
      <c r="DD92" s="13" t="n">
        <f aca="false">DD$91*p_Prest</f>
        <v>2579.39744494521</v>
      </c>
      <c r="DE92" s="13" t="n">
        <f aca="false">DE$91*p_Prest</f>
        <v>2579.39744494521</v>
      </c>
      <c r="DF92" s="13" t="n">
        <f aca="false">DF$91*p_Prest</f>
        <v>2579.39744494521</v>
      </c>
      <c r="DG92" s="13" t="n">
        <f aca="false">DG$91*p_Prest</f>
        <v>2579.39744494521</v>
      </c>
      <c r="DH92" s="13" t="n">
        <f aca="false">DH$91*p_Prest</f>
        <v>2579.39744494521</v>
      </c>
      <c r="DI92" s="13" t="n">
        <f aca="false">DI$91*p_Prest</f>
        <v>2579.39744494521</v>
      </c>
      <c r="DJ92" s="13" t="n">
        <f aca="false">DJ$91*p_Prest</f>
        <v>2579.39744494521</v>
      </c>
      <c r="DK92" s="13" t="n">
        <f aca="false">DK$91*p_Prest</f>
        <v>2579.39744494521</v>
      </c>
      <c r="DL92" s="13" t="n">
        <f aca="false">DL$91*p_Prest</f>
        <v>2579.39744494521</v>
      </c>
      <c r="DM92" s="13" t="n">
        <f aca="false">DM$91*p_Prest</f>
        <v>2579.39744494521</v>
      </c>
      <c r="DN92" s="13" t="n">
        <f aca="false">DN$91*p_Prest</f>
        <v>2579.39744494521</v>
      </c>
      <c r="DO92" s="13" t="n">
        <f aca="false">DO$91*p_Prest</f>
        <v>2579.39744494521</v>
      </c>
      <c r="DP92" s="13" t="n">
        <f aca="false">DP$91*p_Prest</f>
        <v>2579.39744494521</v>
      </c>
      <c r="DQ92" s="13" t="n">
        <f aca="false">DQ$91*p_Prest</f>
        <v>2579.39744494521</v>
      </c>
      <c r="DR92" s="13" t="n">
        <f aca="false">DR$91*p_Prest</f>
        <v>2579.39744494521</v>
      </c>
      <c r="DS92" s="13" t="n">
        <f aca="false">DS$91*p_Prest</f>
        <v>2579.39744494521</v>
      </c>
      <c r="DT92" s="13" t="n">
        <f aca="false">DT$91*p_Prest</f>
        <v>2579.39744494521</v>
      </c>
      <c r="DU92" s="13" t="n">
        <f aca="false">DU$91*p_Prest</f>
        <v>2579.39744494521</v>
      </c>
      <c r="DV92" s="13" t="n">
        <f aca="false">DV$91*p_Prest</f>
        <v>2579.39744494521</v>
      </c>
      <c r="DW92" s="13" t="n">
        <f aca="false">DW$91*p_Prest</f>
        <v>0</v>
      </c>
      <c r="DX92" s="13" t="n">
        <f aca="false">DX$91*p_Prest</f>
        <v>0</v>
      </c>
      <c r="DY92" s="13" t="n">
        <f aca="false">DY$91*p_Prest</f>
        <v>0</v>
      </c>
      <c r="DZ92" s="13" t="n">
        <f aca="false">DZ$91*p_Prest</f>
        <v>0</v>
      </c>
      <c r="EA92" s="13" t="n">
        <f aca="false">EA$91*p_Prest</f>
        <v>0</v>
      </c>
      <c r="EB92" s="13" t="n">
        <f aca="false">EB$91*p_Prest</f>
        <v>0</v>
      </c>
      <c r="EC92" s="13" t="n">
        <f aca="false">EC$91*p_Prest</f>
        <v>0</v>
      </c>
      <c r="ED92" s="13" t="n">
        <f aca="false">ED$91*p_Prest</f>
        <v>0</v>
      </c>
      <c r="EE92" s="13" t="n">
        <f aca="false">EE$91*p_Prest</f>
        <v>0</v>
      </c>
      <c r="EF92" s="13" t="n">
        <f aca="false">EF$91*p_Prest</f>
        <v>0</v>
      </c>
      <c r="EG92" s="13" t="n">
        <f aca="false">EG$91*p_Prest</f>
        <v>0</v>
      </c>
      <c r="EH92" s="13" t="n">
        <f aca="false">EH$91*p_Prest</f>
        <v>0</v>
      </c>
      <c r="EI92" s="13" t="n">
        <f aca="false">EI$91*p_Prest</f>
        <v>0</v>
      </c>
      <c r="EJ92" s="13" t="n">
        <f aca="false">EJ$91*p_Prest</f>
        <v>0</v>
      </c>
      <c r="EK92" s="13" t="n">
        <f aca="false">EK$91*p_Prest</f>
        <v>0</v>
      </c>
      <c r="EL92" s="13" t="n">
        <f aca="false">EL$91*p_Prest</f>
        <v>0</v>
      </c>
      <c r="EM92" s="13" t="n">
        <f aca="false">EM$91*p_Prest</f>
        <v>0</v>
      </c>
      <c r="EN92" s="13" t="n">
        <f aca="false">EN$91*p_Prest</f>
        <v>0</v>
      </c>
      <c r="EO92" s="13" t="n">
        <f aca="false">EO$91*p_Prest</f>
        <v>0</v>
      </c>
      <c r="EP92" s="13" t="n">
        <f aca="false">EP$91*p_Prest</f>
        <v>0</v>
      </c>
      <c r="EQ92" s="13" t="n">
        <f aca="false">EQ$91*p_Prest</f>
        <v>0</v>
      </c>
      <c r="ER92" s="13" t="n">
        <f aca="false">ER$91*p_Prest</f>
        <v>0</v>
      </c>
      <c r="ES92" s="13" t="n">
        <f aca="false">ES$91*p_Prest</f>
        <v>0</v>
      </c>
      <c r="ET92" s="13" t="n">
        <f aca="false">ET$91*p_Prest</f>
        <v>0</v>
      </c>
      <c r="EU92" s="13" t="n">
        <f aca="false">EU$91*p_Prest</f>
        <v>0</v>
      </c>
      <c r="EV92" s="13" t="n">
        <f aca="false">EV$91*p_Prest</f>
        <v>0</v>
      </c>
      <c r="EW92" s="13" t="n">
        <f aca="false">EW$91*p_Prest</f>
        <v>0</v>
      </c>
      <c r="EX92" s="13" t="n">
        <f aca="false">EX$91*p_Prest</f>
        <v>0</v>
      </c>
      <c r="EY92" s="13" t="n">
        <f aca="false">EY$91*p_Prest</f>
        <v>0</v>
      </c>
      <c r="EZ92" s="13" t="n">
        <f aca="false">EZ$91*p_Prest</f>
        <v>0</v>
      </c>
      <c r="FA92" s="13" t="n">
        <f aca="false">FA$91*p_Prest</f>
        <v>0</v>
      </c>
      <c r="FB92" s="13" t="n">
        <f aca="false">FB$91*p_Prest</f>
        <v>0</v>
      </c>
      <c r="FC92" s="13" t="n">
        <f aca="false">FC$91*p_Prest</f>
        <v>0</v>
      </c>
      <c r="FD92" s="13" t="n">
        <f aca="false">FD$91*p_Prest</f>
        <v>0</v>
      </c>
      <c r="FE92" s="13" t="n">
        <f aca="false">FE$91*p_Prest</f>
        <v>0</v>
      </c>
      <c r="FF92" s="13" t="n">
        <f aca="false">FF$91*p_Prest</f>
        <v>0</v>
      </c>
    </row>
    <row r="93" customFormat="false" ht="15" hidden="false" customHeight="false" outlineLevel="0" collapsed="false">
      <c r="A93" s="2" t="s">
        <v>1042</v>
      </c>
      <c r="B93" s="8" t="s">
        <v>1028</v>
      </c>
      <c r="C93" s="8" t="s">
        <v>255</v>
      </c>
      <c r="E93" s="65" t="n">
        <f aca="false">SUM($F93:$FF93)</f>
        <v>47342.4657534247</v>
      </c>
      <c r="F93" s="13" t="n">
        <f aca="false">F$90*p_AlimGs/F$71</f>
        <v>0</v>
      </c>
      <c r="G93" s="13" t="n">
        <f aca="false">G$90*p_AlimGs/G$71</f>
        <v>394.520547945205</v>
      </c>
      <c r="H93" s="13" t="n">
        <f aca="false">H$90*p_AlimGs/H$71</f>
        <v>394.520547945205</v>
      </c>
      <c r="I93" s="13" t="n">
        <f aca="false">I$90*p_AlimGs/I$71</f>
        <v>394.520547945205</v>
      </c>
      <c r="J93" s="13" t="n">
        <f aca="false">J$90*p_AlimGs/J$71</f>
        <v>394.520547945205</v>
      </c>
      <c r="K93" s="13" t="n">
        <f aca="false">K$90*p_AlimGs/K$71</f>
        <v>394.520547945205</v>
      </c>
      <c r="L93" s="13" t="n">
        <f aca="false">L$90*p_AlimGs/L$71</f>
        <v>394.520547945205</v>
      </c>
      <c r="M93" s="13" t="n">
        <f aca="false">M$90*p_AlimGs/M$71</f>
        <v>394.520547945205</v>
      </c>
      <c r="N93" s="13" t="n">
        <f aca="false">N$90*p_AlimGs/N$71</f>
        <v>394.520547945205</v>
      </c>
      <c r="O93" s="13" t="n">
        <f aca="false">O$90*p_AlimGs/O$71</f>
        <v>394.520547945205</v>
      </c>
      <c r="P93" s="13" t="n">
        <f aca="false">P$90*p_AlimGs/P$71</f>
        <v>394.520547945205</v>
      </c>
      <c r="Q93" s="13" t="n">
        <f aca="false">Q$90*p_AlimGs/Q$71</f>
        <v>394.520547945205</v>
      </c>
      <c r="R93" s="13" t="n">
        <f aca="false">R$90*p_AlimGs/R$71</f>
        <v>394.520547945205</v>
      </c>
      <c r="S93" s="13" t="n">
        <f aca="false">S$90*p_AlimGs/S$71</f>
        <v>394.520547945205</v>
      </c>
      <c r="T93" s="13" t="n">
        <f aca="false">T$90*p_AlimGs/T$71</f>
        <v>394.520547945205</v>
      </c>
      <c r="U93" s="13" t="n">
        <f aca="false">U$90*p_AlimGs/U$71</f>
        <v>394.520547945205</v>
      </c>
      <c r="V93" s="13" t="n">
        <f aca="false">V$90*p_AlimGs/V$71</f>
        <v>394.520547945205</v>
      </c>
      <c r="W93" s="13" t="n">
        <f aca="false">W$90*p_AlimGs/W$71</f>
        <v>394.520547945205</v>
      </c>
      <c r="X93" s="13" t="n">
        <f aca="false">X$90*p_AlimGs/X$71</f>
        <v>394.520547945205</v>
      </c>
      <c r="Y93" s="13" t="n">
        <f aca="false">Y$90*p_AlimGs/Y$71</f>
        <v>394.520547945205</v>
      </c>
      <c r="Z93" s="13" t="n">
        <f aca="false">Z$90*p_AlimGs/Z$71</f>
        <v>394.520547945205</v>
      </c>
      <c r="AA93" s="13" t="n">
        <f aca="false">AA$90*p_AlimGs/AA$71</f>
        <v>394.520547945205</v>
      </c>
      <c r="AB93" s="13" t="n">
        <f aca="false">AB$90*p_AlimGs/AB$71</f>
        <v>394.520547945205</v>
      </c>
      <c r="AC93" s="13" t="n">
        <f aca="false">AC$90*p_AlimGs/AC$71</f>
        <v>394.520547945205</v>
      </c>
      <c r="AD93" s="13" t="n">
        <f aca="false">AD$90*p_AlimGs/AD$71</f>
        <v>394.520547945205</v>
      </c>
      <c r="AE93" s="13" t="n">
        <f aca="false">AE$90*p_AlimGs/AE$71</f>
        <v>394.520547945205</v>
      </c>
      <c r="AF93" s="13" t="n">
        <f aca="false">AF$90*p_AlimGs/AF$71</f>
        <v>394.520547945205</v>
      </c>
      <c r="AG93" s="13" t="n">
        <f aca="false">AG$90*p_AlimGs/AG$71</f>
        <v>394.520547945205</v>
      </c>
      <c r="AH93" s="13" t="n">
        <f aca="false">AH$90*p_AlimGs/AH$71</f>
        <v>394.520547945205</v>
      </c>
      <c r="AI93" s="13" t="n">
        <f aca="false">AI$90*p_AlimGs/AI$71</f>
        <v>394.520547945205</v>
      </c>
      <c r="AJ93" s="13" t="n">
        <f aca="false">AJ$90*p_AlimGs/AJ$71</f>
        <v>394.520547945205</v>
      </c>
      <c r="AK93" s="13" t="n">
        <f aca="false">AK$90*p_AlimGs/AK$71</f>
        <v>394.520547945205</v>
      </c>
      <c r="AL93" s="13" t="n">
        <f aca="false">AL$90*p_AlimGs/AL$71</f>
        <v>394.520547945205</v>
      </c>
      <c r="AM93" s="13" t="n">
        <f aca="false">AM$90*p_AlimGs/AM$71</f>
        <v>394.520547945205</v>
      </c>
      <c r="AN93" s="13" t="n">
        <f aca="false">AN$90*p_AlimGs/AN$71</f>
        <v>394.520547945205</v>
      </c>
      <c r="AO93" s="13" t="n">
        <f aca="false">AO$90*p_AlimGs/AO$71</f>
        <v>394.520547945205</v>
      </c>
      <c r="AP93" s="13" t="n">
        <f aca="false">AP$90*p_AlimGs/AP$71</f>
        <v>394.520547945205</v>
      </c>
      <c r="AQ93" s="13" t="n">
        <f aca="false">AQ$90*p_AlimGs/AQ$71</f>
        <v>394.520547945205</v>
      </c>
      <c r="AR93" s="13" t="n">
        <f aca="false">AR$90*p_AlimGs/AR$71</f>
        <v>394.520547945205</v>
      </c>
      <c r="AS93" s="13" t="n">
        <f aca="false">AS$90*p_AlimGs/AS$71</f>
        <v>394.520547945205</v>
      </c>
      <c r="AT93" s="13" t="n">
        <f aca="false">AT$90*p_AlimGs/AT$71</f>
        <v>394.520547945205</v>
      </c>
      <c r="AU93" s="13" t="n">
        <f aca="false">AU$90*p_AlimGs/AU$71</f>
        <v>394.520547945205</v>
      </c>
      <c r="AV93" s="13" t="n">
        <f aca="false">AV$90*p_AlimGs/AV$71</f>
        <v>394.520547945205</v>
      </c>
      <c r="AW93" s="13" t="n">
        <f aca="false">AW$90*p_AlimGs/AW$71</f>
        <v>394.520547945205</v>
      </c>
      <c r="AX93" s="13" t="n">
        <f aca="false">AX$90*p_AlimGs/AX$71</f>
        <v>394.520547945205</v>
      </c>
      <c r="AY93" s="13" t="n">
        <f aca="false">AY$90*p_AlimGs/AY$71</f>
        <v>394.520547945205</v>
      </c>
      <c r="AZ93" s="13" t="n">
        <f aca="false">AZ$90*p_AlimGs/AZ$71</f>
        <v>394.520547945205</v>
      </c>
      <c r="BA93" s="13" t="n">
        <f aca="false">BA$90*p_AlimGs/BA$71</f>
        <v>394.520547945205</v>
      </c>
      <c r="BB93" s="13" t="n">
        <f aca="false">BB$90*p_AlimGs/BB$71</f>
        <v>394.520547945205</v>
      </c>
      <c r="BC93" s="13" t="n">
        <f aca="false">BC$90*p_AlimGs/BC$71</f>
        <v>394.520547945205</v>
      </c>
      <c r="BD93" s="13" t="n">
        <f aca="false">BD$90*p_AlimGs/BD$71</f>
        <v>394.520547945205</v>
      </c>
      <c r="BE93" s="13" t="n">
        <f aca="false">BE$90*p_AlimGs/BE$71</f>
        <v>394.520547945205</v>
      </c>
      <c r="BF93" s="13" t="n">
        <f aca="false">BF$90*p_AlimGs/BF$71</f>
        <v>394.520547945205</v>
      </c>
      <c r="BG93" s="13" t="n">
        <f aca="false">BG$90*p_AlimGs/BG$71</f>
        <v>394.520547945205</v>
      </c>
      <c r="BH93" s="13" t="n">
        <f aca="false">BH$90*p_AlimGs/BH$71</f>
        <v>394.520547945205</v>
      </c>
      <c r="BI93" s="13" t="n">
        <f aca="false">BI$90*p_AlimGs/BI$71</f>
        <v>394.520547945205</v>
      </c>
      <c r="BJ93" s="13" t="n">
        <f aca="false">BJ$90*p_AlimGs/BJ$71</f>
        <v>394.520547945205</v>
      </c>
      <c r="BK93" s="13" t="n">
        <f aca="false">BK$90*p_AlimGs/BK$71</f>
        <v>394.520547945205</v>
      </c>
      <c r="BL93" s="13" t="n">
        <f aca="false">BL$90*p_AlimGs/BL$71</f>
        <v>394.520547945205</v>
      </c>
      <c r="BM93" s="13" t="n">
        <f aca="false">BM$90*p_AlimGs/BM$71</f>
        <v>394.520547945205</v>
      </c>
      <c r="BN93" s="13" t="n">
        <f aca="false">BN$90*p_AlimGs/BN$71</f>
        <v>394.520547945205</v>
      </c>
      <c r="BO93" s="13" t="n">
        <f aca="false">BO$90*p_AlimGs/BO$71</f>
        <v>394.520547945205</v>
      </c>
      <c r="BP93" s="13" t="n">
        <f aca="false">BP$90*p_AlimGs/BP$71</f>
        <v>394.520547945205</v>
      </c>
      <c r="BQ93" s="13" t="n">
        <f aca="false">BQ$90*p_AlimGs/BQ$71</f>
        <v>394.520547945205</v>
      </c>
      <c r="BR93" s="13" t="n">
        <f aca="false">BR$90*p_AlimGs/BR$71</f>
        <v>394.520547945205</v>
      </c>
      <c r="BS93" s="13" t="n">
        <f aca="false">BS$90*p_AlimGs/BS$71</f>
        <v>394.520547945205</v>
      </c>
      <c r="BT93" s="13" t="n">
        <f aca="false">BT$90*p_AlimGs/BT$71</f>
        <v>394.520547945205</v>
      </c>
      <c r="BU93" s="13" t="n">
        <f aca="false">BU$90*p_AlimGs/BU$71</f>
        <v>394.520547945205</v>
      </c>
      <c r="BV93" s="13" t="n">
        <f aca="false">BV$90*p_AlimGs/BV$71</f>
        <v>394.520547945205</v>
      </c>
      <c r="BW93" s="13" t="n">
        <f aca="false">BW$90*p_AlimGs/BW$71</f>
        <v>394.520547945205</v>
      </c>
      <c r="BX93" s="13" t="n">
        <f aca="false">BX$90*p_AlimGs/BX$71</f>
        <v>394.520547945205</v>
      </c>
      <c r="BY93" s="13" t="n">
        <f aca="false">BY$90*p_AlimGs/BY$71</f>
        <v>394.520547945205</v>
      </c>
      <c r="BZ93" s="13" t="n">
        <f aca="false">BZ$90*p_AlimGs/BZ$71</f>
        <v>394.520547945205</v>
      </c>
      <c r="CA93" s="13" t="n">
        <f aca="false">CA$90*p_AlimGs/CA$71</f>
        <v>394.520547945205</v>
      </c>
      <c r="CB93" s="13" t="n">
        <f aca="false">CB$90*p_AlimGs/CB$71</f>
        <v>394.520547945205</v>
      </c>
      <c r="CC93" s="13" t="n">
        <f aca="false">CC$90*p_AlimGs/CC$71</f>
        <v>394.520547945205</v>
      </c>
      <c r="CD93" s="13" t="n">
        <f aca="false">CD$90*p_AlimGs/CD$71</f>
        <v>394.520547945205</v>
      </c>
      <c r="CE93" s="13" t="n">
        <f aca="false">CE$90*p_AlimGs/CE$71</f>
        <v>394.520547945205</v>
      </c>
      <c r="CF93" s="13" t="n">
        <f aca="false">CF$90*p_AlimGs/CF$71</f>
        <v>394.520547945205</v>
      </c>
      <c r="CG93" s="13" t="n">
        <f aca="false">CG$90*p_AlimGs/CG$71</f>
        <v>394.520547945205</v>
      </c>
      <c r="CH93" s="13" t="n">
        <f aca="false">CH$90*p_AlimGs/CH$71</f>
        <v>394.520547945205</v>
      </c>
      <c r="CI93" s="13" t="n">
        <f aca="false">CI$90*p_AlimGs/CI$71</f>
        <v>394.520547945205</v>
      </c>
      <c r="CJ93" s="13" t="n">
        <f aca="false">CJ$90*p_AlimGs/CJ$71</f>
        <v>394.520547945205</v>
      </c>
      <c r="CK93" s="13" t="n">
        <f aca="false">CK$90*p_AlimGs/CK$71</f>
        <v>394.520547945205</v>
      </c>
      <c r="CL93" s="13" t="n">
        <f aca="false">CL$90*p_AlimGs/CL$71</f>
        <v>394.520547945205</v>
      </c>
      <c r="CM93" s="13" t="n">
        <f aca="false">CM$90*p_AlimGs/CM$71</f>
        <v>394.520547945205</v>
      </c>
      <c r="CN93" s="13" t="n">
        <f aca="false">CN$90*p_AlimGs/CN$71</f>
        <v>394.520547945205</v>
      </c>
      <c r="CO93" s="13" t="n">
        <f aca="false">CO$90*p_AlimGs/CO$71</f>
        <v>394.520547945205</v>
      </c>
      <c r="CP93" s="13" t="n">
        <f aca="false">CP$90*p_AlimGs/CP$71</f>
        <v>394.520547945205</v>
      </c>
      <c r="CQ93" s="13" t="n">
        <f aca="false">CQ$90*p_AlimGs/CQ$71</f>
        <v>394.520547945205</v>
      </c>
      <c r="CR93" s="13" t="n">
        <f aca="false">CR$90*p_AlimGs/CR$71</f>
        <v>394.520547945205</v>
      </c>
      <c r="CS93" s="13" t="n">
        <f aca="false">CS$90*p_AlimGs/CS$71</f>
        <v>394.520547945205</v>
      </c>
      <c r="CT93" s="13" t="n">
        <f aca="false">CT$90*p_AlimGs/CT$71</f>
        <v>394.520547945205</v>
      </c>
      <c r="CU93" s="13" t="n">
        <f aca="false">CU$90*p_AlimGs/CU$71</f>
        <v>394.520547945205</v>
      </c>
      <c r="CV93" s="13" t="n">
        <f aca="false">CV$90*p_AlimGs/CV$71</f>
        <v>394.520547945205</v>
      </c>
      <c r="CW93" s="13" t="n">
        <f aca="false">CW$90*p_AlimGs/CW$71</f>
        <v>394.520547945205</v>
      </c>
      <c r="CX93" s="13" t="n">
        <f aca="false">CX$90*p_AlimGs/CX$71</f>
        <v>394.520547945205</v>
      </c>
      <c r="CY93" s="13" t="n">
        <f aca="false">CY$90*p_AlimGs/CY$71</f>
        <v>394.520547945205</v>
      </c>
      <c r="CZ93" s="13" t="n">
        <f aca="false">CZ$90*p_AlimGs/CZ$71</f>
        <v>394.520547945205</v>
      </c>
      <c r="DA93" s="13" t="n">
        <f aca="false">DA$90*p_AlimGs/DA$71</f>
        <v>394.520547945205</v>
      </c>
      <c r="DB93" s="13" t="n">
        <f aca="false">DB$90*p_AlimGs/DB$71</f>
        <v>394.520547945205</v>
      </c>
      <c r="DC93" s="13" t="n">
        <f aca="false">DC$90*p_AlimGs/DC$71</f>
        <v>394.520547945205</v>
      </c>
      <c r="DD93" s="13" t="n">
        <f aca="false">DD$90*p_AlimGs/DD$71</f>
        <v>394.520547945205</v>
      </c>
      <c r="DE93" s="13" t="n">
        <f aca="false">DE$90*p_AlimGs/DE$71</f>
        <v>394.520547945205</v>
      </c>
      <c r="DF93" s="13" t="n">
        <f aca="false">DF$90*p_AlimGs/DF$71</f>
        <v>394.520547945205</v>
      </c>
      <c r="DG93" s="13" t="n">
        <f aca="false">DG$90*p_AlimGs/DG$71</f>
        <v>394.520547945205</v>
      </c>
      <c r="DH93" s="13" t="n">
        <f aca="false">DH$90*p_AlimGs/DH$71</f>
        <v>394.520547945205</v>
      </c>
      <c r="DI93" s="13" t="n">
        <f aca="false">DI$90*p_AlimGs/DI$71</f>
        <v>394.520547945205</v>
      </c>
      <c r="DJ93" s="13" t="n">
        <f aca="false">DJ$90*p_AlimGs/DJ$71</f>
        <v>394.520547945205</v>
      </c>
      <c r="DK93" s="13" t="n">
        <f aca="false">DK$90*p_AlimGs/DK$71</f>
        <v>394.520547945205</v>
      </c>
      <c r="DL93" s="13" t="n">
        <f aca="false">DL$90*p_AlimGs/DL$71</f>
        <v>394.520547945205</v>
      </c>
      <c r="DM93" s="13" t="n">
        <f aca="false">DM$90*p_AlimGs/DM$71</f>
        <v>394.520547945205</v>
      </c>
      <c r="DN93" s="13" t="n">
        <f aca="false">DN$90*p_AlimGs/DN$71</f>
        <v>394.520547945205</v>
      </c>
      <c r="DO93" s="13" t="n">
        <f aca="false">DO$90*p_AlimGs/DO$71</f>
        <v>394.520547945205</v>
      </c>
      <c r="DP93" s="13" t="n">
        <f aca="false">DP$90*p_AlimGs/DP$71</f>
        <v>394.520547945205</v>
      </c>
      <c r="DQ93" s="13" t="n">
        <f aca="false">DQ$90*p_AlimGs/DQ$71</f>
        <v>394.520547945205</v>
      </c>
      <c r="DR93" s="13" t="n">
        <f aca="false">DR$90*p_AlimGs/DR$71</f>
        <v>394.520547945205</v>
      </c>
      <c r="DS93" s="13" t="n">
        <f aca="false">DS$90*p_AlimGs/DS$71</f>
        <v>394.520547945205</v>
      </c>
      <c r="DT93" s="13" t="n">
        <f aca="false">DT$90*p_AlimGs/DT$71</f>
        <v>394.520547945205</v>
      </c>
      <c r="DU93" s="13" t="n">
        <f aca="false">DU$90*p_AlimGs/DU$71</f>
        <v>394.520547945205</v>
      </c>
      <c r="DV93" s="13" t="n">
        <f aca="false">DV$90*p_AlimGs/DV$71</f>
        <v>394.520547945205</v>
      </c>
      <c r="DW93" s="13" t="n">
        <f aca="false">DW$90*p_AlimGs/DW$71</f>
        <v>0</v>
      </c>
      <c r="DX93" s="13" t="n">
        <f aca="false">DX$90*p_AlimGs/DX$71</f>
        <v>0</v>
      </c>
      <c r="DY93" s="13" t="n">
        <f aca="false">DY$90*p_AlimGs/DY$71</f>
        <v>0</v>
      </c>
      <c r="DZ93" s="13" t="n">
        <f aca="false">DZ$90*p_AlimGs/DZ$71</f>
        <v>0</v>
      </c>
      <c r="EA93" s="13" t="n">
        <f aca="false">EA$90*p_AlimGs/EA$71</f>
        <v>0</v>
      </c>
      <c r="EB93" s="13" t="n">
        <f aca="false">EB$90*p_AlimGs/EB$71</f>
        <v>0</v>
      </c>
      <c r="EC93" s="13" t="n">
        <f aca="false">EC$90*p_AlimGs/EC$71</f>
        <v>0</v>
      </c>
      <c r="ED93" s="13" t="n">
        <f aca="false">ED$90*p_AlimGs/ED$71</f>
        <v>0</v>
      </c>
      <c r="EE93" s="13" t="n">
        <f aca="false">EE$90*p_AlimGs/EE$71</f>
        <v>0</v>
      </c>
      <c r="EF93" s="13" t="n">
        <f aca="false">EF$90*p_AlimGs/EF$71</f>
        <v>0</v>
      </c>
      <c r="EG93" s="13" t="n">
        <f aca="false">EG$90*p_AlimGs/EG$71</f>
        <v>0</v>
      </c>
      <c r="EH93" s="13" t="n">
        <f aca="false">EH$90*p_AlimGs/EH$71</f>
        <v>0</v>
      </c>
      <c r="EI93" s="13" t="n">
        <f aca="false">EI$90*p_AlimGs/EI$71</f>
        <v>0</v>
      </c>
      <c r="EJ93" s="13" t="n">
        <f aca="false">EJ$90*p_AlimGs/EJ$71</f>
        <v>0</v>
      </c>
      <c r="EK93" s="13" t="n">
        <f aca="false">EK$90*p_AlimGs/EK$71</f>
        <v>0</v>
      </c>
      <c r="EL93" s="13" t="n">
        <f aca="false">EL$90*p_AlimGs/EL$71</f>
        <v>0</v>
      </c>
      <c r="EM93" s="13" t="n">
        <f aca="false">EM$90*p_AlimGs/EM$71</f>
        <v>0</v>
      </c>
      <c r="EN93" s="13" t="n">
        <f aca="false">EN$90*p_AlimGs/EN$71</f>
        <v>0</v>
      </c>
      <c r="EO93" s="13" t="n">
        <f aca="false">EO$90*p_AlimGs/EO$71</f>
        <v>0</v>
      </c>
      <c r="EP93" s="13" t="n">
        <f aca="false">EP$90*p_AlimGs/EP$71</f>
        <v>0</v>
      </c>
      <c r="EQ93" s="13" t="n">
        <f aca="false">EQ$90*p_AlimGs/EQ$71</f>
        <v>0</v>
      </c>
      <c r="ER93" s="13" t="n">
        <f aca="false">ER$90*p_AlimGs/ER$71</f>
        <v>0</v>
      </c>
      <c r="ES93" s="13" t="n">
        <f aca="false">ES$90*p_AlimGs/ES$71</f>
        <v>0</v>
      </c>
      <c r="ET93" s="13" t="n">
        <f aca="false">ET$90*p_AlimGs/ET$71</f>
        <v>0</v>
      </c>
      <c r="EU93" s="13" t="n">
        <f aca="false">EU$90*p_AlimGs/EU$71</f>
        <v>0</v>
      </c>
      <c r="EV93" s="13" t="n">
        <f aca="false">EV$90*p_AlimGs/EV$71</f>
        <v>0</v>
      </c>
      <c r="EW93" s="13" t="n">
        <f aca="false">EW$90*p_AlimGs/EW$71</f>
        <v>0</v>
      </c>
      <c r="EX93" s="13" t="n">
        <f aca="false">EX$90*p_AlimGs/EX$71</f>
        <v>0</v>
      </c>
      <c r="EY93" s="13" t="n">
        <f aca="false">EY$90*p_AlimGs/EY$71</f>
        <v>0</v>
      </c>
      <c r="EZ93" s="13" t="n">
        <f aca="false">EZ$90*p_AlimGs/EZ$71</f>
        <v>0</v>
      </c>
      <c r="FA93" s="13" t="n">
        <f aca="false">FA$90*p_AlimGs/FA$71</f>
        <v>0</v>
      </c>
      <c r="FB93" s="13" t="n">
        <f aca="false">FB$90*p_AlimGs/FB$71</f>
        <v>0</v>
      </c>
      <c r="FC93" s="13" t="n">
        <f aca="false">FC$90*p_AlimGs/FC$71</f>
        <v>0</v>
      </c>
      <c r="FD93" s="13" t="n">
        <f aca="false">FD$90*p_AlimGs/FD$71</f>
        <v>0</v>
      </c>
      <c r="FE93" s="13" t="n">
        <f aca="false">FE$90*p_AlimGs/FE$71</f>
        <v>0</v>
      </c>
      <c r="FF93" s="13" t="n">
        <f aca="false">FF$90*p_AlimGs/FF$71</f>
        <v>0</v>
      </c>
    </row>
    <row r="94" customFormat="false" ht="15" hidden="false" customHeight="false" outlineLevel="0" collapsed="false">
      <c r="A94" s="2" t="s">
        <v>1043</v>
      </c>
      <c r="B94" s="66" t="s">
        <v>1044</v>
      </c>
      <c r="C94" s="8" t="s">
        <v>255</v>
      </c>
      <c r="E94" s="67" t="n">
        <f aca="false">SUM($F94:$FF94)</f>
        <v>1075198.52627014</v>
      </c>
      <c r="F94" s="12" t="n">
        <f aca="false">IF(F$69=1,SUMIFS(dr_USD,dr_Mes,0,dr_Cod,"NOM_A",dr_Est,"&lt;&gt;Excluido"),F$91+F$92+F$93)</f>
        <v>0</v>
      </c>
      <c r="G94" s="12" t="n">
        <f aca="false">IF(G$69=1,SUMIFS(dr_USD,dr_Mes,1,dr_Cod,"NOM_A",dr_Est,"&lt;&gt;Excluido"),G$91+G$92+G$93)</f>
        <v>8959.98771891781</v>
      </c>
      <c r="H94" s="12" t="n">
        <f aca="false">IF(H$69=1,SUMIFS(dr_USD,dr_Mes,2,dr_Cod,"NOM_A",dr_Est,"&lt;&gt;Excluido"),H$91+H$92+H$93)</f>
        <v>8959.98771891781</v>
      </c>
      <c r="I94" s="12" t="n">
        <f aca="false">IF(I$69=1,SUMIFS(dr_USD,dr_Mes,3,dr_Cod,"NOM_A",dr_Est,"&lt;&gt;Excluido"),I$91+I$92+I$93)</f>
        <v>8959.98771891781</v>
      </c>
      <c r="J94" s="12" t="n">
        <f aca="false">IF(J$69=1,SUMIFS(dr_USD,dr_Mes,4,dr_Cod,"NOM_A",dr_Est,"&lt;&gt;Excluido"),J$91+J$92+J$93)</f>
        <v>8959.98771891781</v>
      </c>
      <c r="K94" s="12" t="n">
        <f aca="false">IF(K$69=1,SUMIFS(dr_USD,dr_Mes,5,dr_Cod,"NOM_A",dr_Est,"&lt;&gt;Excluido"),K$91+K$92+K$93)</f>
        <v>8959.98771891781</v>
      </c>
      <c r="L94" s="12" t="n">
        <f aca="false">IF(L$69=1,SUMIFS(dr_USD,dr_Mes,6,dr_Cod,"NOM_A",dr_Est,"&lt;&gt;Excluido"),L$91+L$92+L$93)</f>
        <v>8959.98771891781</v>
      </c>
      <c r="M94" s="12" t="n">
        <f aca="false">IF(M$69=1,SUMIFS(dr_USD,dr_Mes,7,dr_Cod,"NOM_A",dr_Est,"&lt;&gt;Excluido"),M$91+M$92+M$93)</f>
        <v>8959.98771891781</v>
      </c>
      <c r="N94" s="12" t="n">
        <f aca="false">IF(N$69=1,SUMIFS(dr_USD,dr_Mes,8,dr_Cod,"NOM_A",dr_Est,"&lt;&gt;Excluido"),N$91+N$92+N$93)</f>
        <v>8959.98771891781</v>
      </c>
      <c r="O94" s="12" t="n">
        <f aca="false">IF(O$69=1,SUMIFS(dr_USD,dr_Mes,9,dr_Cod,"NOM_A",dr_Est,"&lt;&gt;Excluido"),O$91+O$92+O$93)</f>
        <v>8959.98771891781</v>
      </c>
      <c r="P94" s="12" t="n">
        <f aca="false">IF(P$69=1,SUMIFS(dr_USD,dr_Mes,10,dr_Cod,"NOM_A",dr_Est,"&lt;&gt;Excluido"),P$91+P$92+P$93)</f>
        <v>8959.98771891781</v>
      </c>
      <c r="Q94" s="12" t="n">
        <f aca="false">IF(Q$69=1,SUMIFS(dr_USD,dr_Mes,11,dr_Cod,"NOM_A",dr_Est,"&lt;&gt;Excluido"),Q$91+Q$92+Q$93)</f>
        <v>8959.98771891781</v>
      </c>
      <c r="R94" s="12" t="n">
        <f aca="false">IF(R$69=1,SUMIFS(dr_USD,dr_Mes,12,dr_Cod,"NOM_A",dr_Est,"&lt;&gt;Excluido"),R$91+R$92+R$93)</f>
        <v>8959.98771891781</v>
      </c>
      <c r="S94" s="12" t="n">
        <f aca="false">IF(S$69=1,SUMIFS(dr_USD,dr_Mes,13,dr_Cod,"NOM_A",dr_Est,"&lt;&gt;Excluido"),S$91+S$92+S$93)</f>
        <v>8959.98771891781</v>
      </c>
      <c r="T94" s="12" t="n">
        <f aca="false">IF(T$69=1,SUMIFS(dr_USD,dr_Mes,14,dr_Cod,"NOM_A",dr_Est,"&lt;&gt;Excluido"),T$91+T$92+T$93)</f>
        <v>8959.98771891781</v>
      </c>
      <c r="U94" s="12" t="n">
        <f aca="false">IF(U$69=1,SUMIFS(dr_USD,dr_Mes,15,dr_Cod,"NOM_A",dr_Est,"&lt;&gt;Excluido"),U$91+U$92+U$93)</f>
        <v>8959.98771891781</v>
      </c>
      <c r="V94" s="12" t="n">
        <f aca="false">IF(V$69=1,SUMIFS(dr_USD,dr_Mes,16,dr_Cod,"NOM_A",dr_Est,"&lt;&gt;Excluido"),V$91+V$92+V$93)</f>
        <v>8959.98771891781</v>
      </c>
      <c r="W94" s="12" t="n">
        <f aca="false">IF(W$69=1,SUMIFS(dr_USD,dr_Mes,17,dr_Cod,"NOM_A",dr_Est,"&lt;&gt;Excluido"),W$91+W$92+W$93)</f>
        <v>8959.98771891781</v>
      </c>
      <c r="X94" s="12" t="n">
        <f aca="false">IF(X$69=1,SUMIFS(dr_USD,dr_Mes,18,dr_Cod,"NOM_A",dr_Est,"&lt;&gt;Excluido"),X$91+X$92+X$93)</f>
        <v>8959.98771891781</v>
      </c>
      <c r="Y94" s="12" t="n">
        <f aca="false">IF(Y$69=1,SUMIFS(dr_USD,dr_Mes,19,dr_Cod,"NOM_A",dr_Est,"&lt;&gt;Excluido"),Y$91+Y$92+Y$93)</f>
        <v>8959.98771891781</v>
      </c>
      <c r="Z94" s="12" t="n">
        <f aca="false">IF(Z$69=1,SUMIFS(dr_USD,dr_Mes,20,dr_Cod,"NOM_A",dr_Est,"&lt;&gt;Excluido"),Z$91+Z$92+Z$93)</f>
        <v>8959.98771891781</v>
      </c>
      <c r="AA94" s="12" t="n">
        <f aca="false">IF(AA$69=1,SUMIFS(dr_USD,dr_Mes,21,dr_Cod,"NOM_A",dr_Est,"&lt;&gt;Excluido"),AA$91+AA$92+AA$93)</f>
        <v>8959.98771891781</v>
      </c>
      <c r="AB94" s="12" t="n">
        <f aca="false">IF(AB$69=1,SUMIFS(dr_USD,dr_Mes,22,dr_Cod,"NOM_A",dr_Est,"&lt;&gt;Excluido"),AB$91+AB$92+AB$93)</f>
        <v>8959.98771891781</v>
      </c>
      <c r="AC94" s="12" t="n">
        <f aca="false">IF(AC$69=1,SUMIFS(dr_USD,dr_Mes,23,dr_Cod,"NOM_A",dr_Est,"&lt;&gt;Excluido"),AC$91+AC$92+AC$93)</f>
        <v>8959.98771891781</v>
      </c>
      <c r="AD94" s="12" t="n">
        <f aca="false">IF(AD$69=1,SUMIFS(dr_USD,dr_Mes,24,dr_Cod,"NOM_A",dr_Est,"&lt;&gt;Excluido"),AD$91+AD$92+AD$93)</f>
        <v>8959.98771891781</v>
      </c>
      <c r="AE94" s="12" t="n">
        <f aca="false">IF(AE$69=1,SUMIFS(dr_USD,dr_Mes,25,dr_Cod,"NOM_A",dr_Est,"&lt;&gt;Excluido"),AE$91+AE$92+AE$93)</f>
        <v>8959.98771891781</v>
      </c>
      <c r="AF94" s="12" t="n">
        <f aca="false">IF(AF$69=1,SUMIFS(dr_USD,dr_Mes,26,dr_Cod,"NOM_A",dr_Est,"&lt;&gt;Excluido"),AF$91+AF$92+AF$93)</f>
        <v>8959.98771891781</v>
      </c>
      <c r="AG94" s="12" t="n">
        <f aca="false">IF(AG$69=1,SUMIFS(dr_USD,dr_Mes,27,dr_Cod,"NOM_A",dr_Est,"&lt;&gt;Excluido"),AG$91+AG$92+AG$93)</f>
        <v>8959.98771891781</v>
      </c>
      <c r="AH94" s="12" t="n">
        <f aca="false">IF(AH$69=1,SUMIFS(dr_USD,dr_Mes,28,dr_Cod,"NOM_A",dr_Est,"&lt;&gt;Excluido"),AH$91+AH$92+AH$93)</f>
        <v>8959.98771891781</v>
      </c>
      <c r="AI94" s="12" t="n">
        <f aca="false">IF(AI$69=1,SUMIFS(dr_USD,dr_Mes,29,dr_Cod,"NOM_A",dr_Est,"&lt;&gt;Excluido"),AI$91+AI$92+AI$93)</f>
        <v>8959.98771891781</v>
      </c>
      <c r="AJ94" s="12" t="n">
        <f aca="false">IF(AJ$69=1,SUMIFS(dr_USD,dr_Mes,30,dr_Cod,"NOM_A",dr_Est,"&lt;&gt;Excluido"),AJ$91+AJ$92+AJ$93)</f>
        <v>8959.98771891781</v>
      </c>
      <c r="AK94" s="12" t="n">
        <f aca="false">IF(AK$69=1,SUMIFS(dr_USD,dr_Mes,31,dr_Cod,"NOM_A",dr_Est,"&lt;&gt;Excluido"),AK$91+AK$92+AK$93)</f>
        <v>8959.98771891781</v>
      </c>
      <c r="AL94" s="12" t="n">
        <f aca="false">IF(AL$69=1,SUMIFS(dr_USD,dr_Mes,32,dr_Cod,"NOM_A",dr_Est,"&lt;&gt;Excluido"),AL$91+AL$92+AL$93)</f>
        <v>8959.98771891781</v>
      </c>
      <c r="AM94" s="12" t="n">
        <f aca="false">IF(AM$69=1,SUMIFS(dr_USD,dr_Mes,33,dr_Cod,"NOM_A",dr_Est,"&lt;&gt;Excluido"),AM$91+AM$92+AM$93)</f>
        <v>8959.98771891781</v>
      </c>
      <c r="AN94" s="12" t="n">
        <f aca="false">IF(AN$69=1,SUMIFS(dr_USD,dr_Mes,34,dr_Cod,"NOM_A",dr_Est,"&lt;&gt;Excluido"),AN$91+AN$92+AN$93)</f>
        <v>8959.98771891781</v>
      </c>
      <c r="AO94" s="12" t="n">
        <f aca="false">IF(AO$69=1,SUMIFS(dr_USD,dr_Mes,35,dr_Cod,"NOM_A",dr_Est,"&lt;&gt;Excluido"),AO$91+AO$92+AO$93)</f>
        <v>8959.98771891781</v>
      </c>
      <c r="AP94" s="12" t="n">
        <f aca="false">IF(AP$69=1,SUMIFS(dr_USD,dr_Mes,36,dr_Cod,"NOM_A",dr_Est,"&lt;&gt;Excluido"),AP$91+AP$92+AP$93)</f>
        <v>8959.98771891781</v>
      </c>
      <c r="AQ94" s="12" t="n">
        <f aca="false">IF(AQ$69=1,SUMIFS(dr_USD,dr_Mes,37,dr_Cod,"NOM_A",dr_Est,"&lt;&gt;Excluido"),AQ$91+AQ$92+AQ$93)</f>
        <v>8959.98771891781</v>
      </c>
      <c r="AR94" s="12" t="n">
        <f aca="false">IF(AR$69=1,SUMIFS(dr_USD,dr_Mes,38,dr_Cod,"NOM_A",dr_Est,"&lt;&gt;Excluido"),AR$91+AR$92+AR$93)</f>
        <v>8959.98771891781</v>
      </c>
      <c r="AS94" s="12" t="n">
        <f aca="false">IF(AS$69=1,SUMIFS(dr_USD,dr_Mes,39,dr_Cod,"NOM_A",dr_Est,"&lt;&gt;Excluido"),AS$91+AS$92+AS$93)</f>
        <v>8959.98771891781</v>
      </c>
      <c r="AT94" s="12" t="n">
        <f aca="false">IF(AT$69=1,SUMIFS(dr_USD,dr_Mes,40,dr_Cod,"NOM_A",dr_Est,"&lt;&gt;Excluido"),AT$91+AT$92+AT$93)</f>
        <v>8959.98771891781</v>
      </c>
      <c r="AU94" s="12" t="n">
        <f aca="false">IF(AU$69=1,SUMIFS(dr_USD,dr_Mes,41,dr_Cod,"NOM_A",dr_Est,"&lt;&gt;Excluido"),AU$91+AU$92+AU$93)</f>
        <v>8959.98771891781</v>
      </c>
      <c r="AV94" s="12" t="n">
        <f aca="false">IF(AV$69=1,SUMIFS(dr_USD,dr_Mes,42,dr_Cod,"NOM_A",dr_Est,"&lt;&gt;Excluido"),AV$91+AV$92+AV$93)</f>
        <v>8959.98771891781</v>
      </c>
      <c r="AW94" s="12" t="n">
        <f aca="false">IF(AW$69=1,SUMIFS(dr_USD,dr_Mes,43,dr_Cod,"NOM_A",dr_Est,"&lt;&gt;Excluido"),AW$91+AW$92+AW$93)</f>
        <v>8959.98771891781</v>
      </c>
      <c r="AX94" s="12" t="n">
        <f aca="false">IF(AX$69=1,SUMIFS(dr_USD,dr_Mes,44,dr_Cod,"NOM_A",dr_Est,"&lt;&gt;Excluido"),AX$91+AX$92+AX$93)</f>
        <v>8959.98771891781</v>
      </c>
      <c r="AY94" s="12" t="n">
        <f aca="false">IF(AY$69=1,SUMIFS(dr_USD,dr_Mes,45,dr_Cod,"NOM_A",dr_Est,"&lt;&gt;Excluido"),AY$91+AY$92+AY$93)</f>
        <v>8959.98771891781</v>
      </c>
      <c r="AZ94" s="12" t="n">
        <f aca="false">IF(AZ$69=1,SUMIFS(dr_USD,dr_Mes,46,dr_Cod,"NOM_A",dr_Est,"&lt;&gt;Excluido"),AZ$91+AZ$92+AZ$93)</f>
        <v>8959.98771891781</v>
      </c>
      <c r="BA94" s="12" t="n">
        <f aca="false">IF(BA$69=1,SUMIFS(dr_USD,dr_Mes,47,dr_Cod,"NOM_A",dr_Est,"&lt;&gt;Excluido"),BA$91+BA$92+BA$93)</f>
        <v>8959.98771891781</v>
      </c>
      <c r="BB94" s="12" t="n">
        <f aca="false">IF(BB$69=1,SUMIFS(dr_USD,dr_Mes,48,dr_Cod,"NOM_A",dr_Est,"&lt;&gt;Excluido"),BB$91+BB$92+BB$93)</f>
        <v>8959.98771891781</v>
      </c>
      <c r="BC94" s="12" t="n">
        <f aca="false">IF(BC$69=1,SUMIFS(dr_USD,dr_Mes,49,dr_Cod,"NOM_A",dr_Est,"&lt;&gt;Excluido"),BC$91+BC$92+BC$93)</f>
        <v>8959.98771891781</v>
      </c>
      <c r="BD94" s="12" t="n">
        <f aca="false">IF(BD$69=1,SUMIFS(dr_USD,dr_Mes,50,dr_Cod,"NOM_A",dr_Est,"&lt;&gt;Excluido"),BD$91+BD$92+BD$93)</f>
        <v>8959.98771891781</v>
      </c>
      <c r="BE94" s="12" t="n">
        <f aca="false">IF(BE$69=1,SUMIFS(dr_USD,dr_Mes,51,dr_Cod,"NOM_A",dr_Est,"&lt;&gt;Excluido"),BE$91+BE$92+BE$93)</f>
        <v>8959.98771891781</v>
      </c>
      <c r="BF94" s="12" t="n">
        <f aca="false">IF(BF$69=1,SUMIFS(dr_USD,dr_Mes,52,dr_Cod,"NOM_A",dr_Est,"&lt;&gt;Excluido"),BF$91+BF$92+BF$93)</f>
        <v>8959.98771891781</v>
      </c>
      <c r="BG94" s="12" t="n">
        <f aca="false">IF(BG$69=1,SUMIFS(dr_USD,dr_Mes,53,dr_Cod,"NOM_A",dr_Est,"&lt;&gt;Excluido"),BG$91+BG$92+BG$93)</f>
        <v>8959.98771891781</v>
      </c>
      <c r="BH94" s="12" t="n">
        <f aca="false">IF(BH$69=1,SUMIFS(dr_USD,dr_Mes,54,dr_Cod,"NOM_A",dr_Est,"&lt;&gt;Excluido"),BH$91+BH$92+BH$93)</f>
        <v>8959.98771891781</v>
      </c>
      <c r="BI94" s="12" t="n">
        <f aca="false">IF(BI$69=1,SUMIFS(dr_USD,dr_Mes,55,dr_Cod,"NOM_A",dr_Est,"&lt;&gt;Excluido"),BI$91+BI$92+BI$93)</f>
        <v>8959.98771891781</v>
      </c>
      <c r="BJ94" s="12" t="n">
        <f aca="false">IF(BJ$69=1,SUMIFS(dr_USD,dr_Mes,56,dr_Cod,"NOM_A",dr_Est,"&lt;&gt;Excluido"),BJ$91+BJ$92+BJ$93)</f>
        <v>8959.98771891781</v>
      </c>
      <c r="BK94" s="12" t="n">
        <f aca="false">IF(BK$69=1,SUMIFS(dr_USD,dr_Mes,57,dr_Cod,"NOM_A",dr_Est,"&lt;&gt;Excluido"),BK$91+BK$92+BK$93)</f>
        <v>8959.98771891781</v>
      </c>
      <c r="BL94" s="12" t="n">
        <f aca="false">IF(BL$69=1,SUMIFS(dr_USD,dr_Mes,58,dr_Cod,"NOM_A",dr_Est,"&lt;&gt;Excluido"),BL$91+BL$92+BL$93)</f>
        <v>8959.98771891781</v>
      </c>
      <c r="BM94" s="12" t="n">
        <f aca="false">IF(BM$69=1,SUMIFS(dr_USD,dr_Mes,59,dr_Cod,"NOM_A",dr_Est,"&lt;&gt;Excluido"),BM$91+BM$92+BM$93)</f>
        <v>8959.98771891781</v>
      </c>
      <c r="BN94" s="12" t="n">
        <f aca="false">IF(BN$69=1,SUMIFS(dr_USD,dr_Mes,60,dr_Cod,"NOM_A",dr_Est,"&lt;&gt;Excluido"),BN$91+BN$92+BN$93)</f>
        <v>8959.98771891781</v>
      </c>
      <c r="BO94" s="12" t="n">
        <f aca="false">IF(BO$69=1,SUMIFS(dr_USD,dr_Mes,61,dr_Cod,"NOM_A",dr_Est,"&lt;&gt;Excluido"),BO$91+BO$92+BO$93)</f>
        <v>8959.98771891781</v>
      </c>
      <c r="BP94" s="12" t="n">
        <f aca="false">IF(BP$69=1,SUMIFS(dr_USD,dr_Mes,62,dr_Cod,"NOM_A",dr_Est,"&lt;&gt;Excluido"),BP$91+BP$92+BP$93)</f>
        <v>8959.98771891781</v>
      </c>
      <c r="BQ94" s="12" t="n">
        <f aca="false">IF(BQ$69=1,SUMIFS(dr_USD,dr_Mes,63,dr_Cod,"NOM_A",dr_Est,"&lt;&gt;Excluido"),BQ$91+BQ$92+BQ$93)</f>
        <v>8959.98771891781</v>
      </c>
      <c r="BR94" s="12" t="n">
        <f aca="false">IF(BR$69=1,SUMIFS(dr_USD,dr_Mes,64,dr_Cod,"NOM_A",dr_Est,"&lt;&gt;Excluido"),BR$91+BR$92+BR$93)</f>
        <v>8959.98771891781</v>
      </c>
      <c r="BS94" s="12" t="n">
        <f aca="false">IF(BS$69=1,SUMIFS(dr_USD,dr_Mes,65,dr_Cod,"NOM_A",dr_Est,"&lt;&gt;Excluido"),BS$91+BS$92+BS$93)</f>
        <v>8959.98771891781</v>
      </c>
      <c r="BT94" s="12" t="n">
        <f aca="false">IF(BT$69=1,SUMIFS(dr_USD,dr_Mes,66,dr_Cod,"NOM_A",dr_Est,"&lt;&gt;Excluido"),BT$91+BT$92+BT$93)</f>
        <v>8959.98771891781</v>
      </c>
      <c r="BU94" s="12" t="n">
        <f aca="false">IF(BU$69=1,SUMIFS(dr_USD,dr_Mes,67,dr_Cod,"NOM_A",dr_Est,"&lt;&gt;Excluido"),BU$91+BU$92+BU$93)</f>
        <v>8959.98771891781</v>
      </c>
      <c r="BV94" s="12" t="n">
        <f aca="false">IF(BV$69=1,SUMIFS(dr_USD,dr_Mes,68,dr_Cod,"NOM_A",dr_Est,"&lt;&gt;Excluido"),BV$91+BV$92+BV$93)</f>
        <v>8959.98771891781</v>
      </c>
      <c r="BW94" s="12" t="n">
        <f aca="false">IF(BW$69=1,SUMIFS(dr_USD,dr_Mes,69,dr_Cod,"NOM_A",dr_Est,"&lt;&gt;Excluido"),BW$91+BW$92+BW$93)</f>
        <v>8959.98771891781</v>
      </c>
      <c r="BX94" s="12" t="n">
        <f aca="false">IF(BX$69=1,SUMIFS(dr_USD,dr_Mes,70,dr_Cod,"NOM_A",dr_Est,"&lt;&gt;Excluido"),BX$91+BX$92+BX$93)</f>
        <v>8959.98771891781</v>
      </c>
      <c r="BY94" s="12" t="n">
        <f aca="false">IF(BY$69=1,SUMIFS(dr_USD,dr_Mes,71,dr_Cod,"NOM_A",dr_Est,"&lt;&gt;Excluido"),BY$91+BY$92+BY$93)</f>
        <v>8959.98771891781</v>
      </c>
      <c r="BZ94" s="12" t="n">
        <f aca="false">IF(BZ$69=1,SUMIFS(dr_USD,dr_Mes,72,dr_Cod,"NOM_A",dr_Est,"&lt;&gt;Excluido"),BZ$91+BZ$92+BZ$93)</f>
        <v>8959.98771891781</v>
      </c>
      <c r="CA94" s="12" t="n">
        <f aca="false">IF(CA$69=1,SUMIFS(dr_USD,dr_Mes,73,dr_Cod,"NOM_A",dr_Est,"&lt;&gt;Excluido"),CA$91+CA$92+CA$93)</f>
        <v>8959.98771891781</v>
      </c>
      <c r="CB94" s="12" t="n">
        <f aca="false">IF(CB$69=1,SUMIFS(dr_USD,dr_Mes,74,dr_Cod,"NOM_A",dr_Est,"&lt;&gt;Excluido"),CB$91+CB$92+CB$93)</f>
        <v>8959.98771891781</v>
      </c>
      <c r="CC94" s="12" t="n">
        <f aca="false">IF(CC$69=1,SUMIFS(dr_USD,dr_Mes,75,dr_Cod,"NOM_A",dr_Est,"&lt;&gt;Excluido"),CC$91+CC$92+CC$93)</f>
        <v>8959.98771891781</v>
      </c>
      <c r="CD94" s="12" t="n">
        <f aca="false">IF(CD$69=1,SUMIFS(dr_USD,dr_Mes,76,dr_Cod,"NOM_A",dr_Est,"&lt;&gt;Excluido"),CD$91+CD$92+CD$93)</f>
        <v>8959.98771891781</v>
      </c>
      <c r="CE94" s="12" t="n">
        <f aca="false">IF(CE$69=1,SUMIFS(dr_USD,dr_Mes,77,dr_Cod,"NOM_A",dr_Est,"&lt;&gt;Excluido"),CE$91+CE$92+CE$93)</f>
        <v>8959.98771891781</v>
      </c>
      <c r="CF94" s="12" t="n">
        <f aca="false">IF(CF$69=1,SUMIFS(dr_USD,dr_Mes,78,dr_Cod,"NOM_A",dr_Est,"&lt;&gt;Excluido"),CF$91+CF$92+CF$93)</f>
        <v>8959.98771891781</v>
      </c>
      <c r="CG94" s="12" t="n">
        <f aca="false">IF(CG$69=1,SUMIFS(dr_USD,dr_Mes,79,dr_Cod,"NOM_A",dr_Est,"&lt;&gt;Excluido"),CG$91+CG$92+CG$93)</f>
        <v>8959.98771891781</v>
      </c>
      <c r="CH94" s="12" t="n">
        <f aca="false">IF(CH$69=1,SUMIFS(dr_USD,dr_Mes,80,dr_Cod,"NOM_A",dr_Est,"&lt;&gt;Excluido"),CH$91+CH$92+CH$93)</f>
        <v>8959.98771891781</v>
      </c>
      <c r="CI94" s="12" t="n">
        <f aca="false">IF(CI$69=1,SUMIFS(dr_USD,dr_Mes,81,dr_Cod,"NOM_A",dr_Est,"&lt;&gt;Excluido"),CI$91+CI$92+CI$93)</f>
        <v>8959.98771891781</v>
      </c>
      <c r="CJ94" s="12" t="n">
        <f aca="false">IF(CJ$69=1,SUMIFS(dr_USD,dr_Mes,82,dr_Cod,"NOM_A",dr_Est,"&lt;&gt;Excluido"),CJ$91+CJ$92+CJ$93)</f>
        <v>8959.98771891781</v>
      </c>
      <c r="CK94" s="12" t="n">
        <f aca="false">IF(CK$69=1,SUMIFS(dr_USD,dr_Mes,83,dr_Cod,"NOM_A",dr_Est,"&lt;&gt;Excluido"),CK$91+CK$92+CK$93)</f>
        <v>8959.98771891781</v>
      </c>
      <c r="CL94" s="12" t="n">
        <f aca="false">IF(CL$69=1,SUMIFS(dr_USD,dr_Mes,84,dr_Cod,"NOM_A",dr_Est,"&lt;&gt;Excluido"),CL$91+CL$92+CL$93)</f>
        <v>8959.98771891781</v>
      </c>
      <c r="CM94" s="12" t="n">
        <f aca="false">IF(CM$69=1,SUMIFS(dr_USD,dr_Mes,85,dr_Cod,"NOM_A",dr_Est,"&lt;&gt;Excluido"),CM$91+CM$92+CM$93)</f>
        <v>8959.98771891781</v>
      </c>
      <c r="CN94" s="12" t="n">
        <f aca="false">IF(CN$69=1,SUMIFS(dr_USD,dr_Mes,86,dr_Cod,"NOM_A",dr_Est,"&lt;&gt;Excluido"),CN$91+CN$92+CN$93)</f>
        <v>8959.98771891781</v>
      </c>
      <c r="CO94" s="12" t="n">
        <f aca="false">IF(CO$69=1,SUMIFS(dr_USD,dr_Mes,87,dr_Cod,"NOM_A",dr_Est,"&lt;&gt;Excluido"),CO$91+CO$92+CO$93)</f>
        <v>8959.98771891781</v>
      </c>
      <c r="CP94" s="12" t="n">
        <f aca="false">IF(CP$69=1,SUMIFS(dr_USD,dr_Mes,88,dr_Cod,"NOM_A",dr_Est,"&lt;&gt;Excluido"),CP$91+CP$92+CP$93)</f>
        <v>8959.98771891781</v>
      </c>
      <c r="CQ94" s="12" t="n">
        <f aca="false">IF(CQ$69=1,SUMIFS(dr_USD,dr_Mes,89,dr_Cod,"NOM_A",dr_Est,"&lt;&gt;Excluido"),CQ$91+CQ$92+CQ$93)</f>
        <v>8959.98771891781</v>
      </c>
      <c r="CR94" s="12" t="n">
        <f aca="false">IF(CR$69=1,SUMIFS(dr_USD,dr_Mes,90,dr_Cod,"NOM_A",dr_Est,"&lt;&gt;Excluido"),CR$91+CR$92+CR$93)</f>
        <v>8959.98771891781</v>
      </c>
      <c r="CS94" s="12" t="n">
        <f aca="false">IF(CS$69=1,SUMIFS(dr_USD,dr_Mes,91,dr_Cod,"NOM_A",dr_Est,"&lt;&gt;Excluido"),CS$91+CS$92+CS$93)</f>
        <v>8959.98771891781</v>
      </c>
      <c r="CT94" s="12" t="n">
        <f aca="false">IF(CT$69=1,SUMIFS(dr_USD,dr_Mes,92,dr_Cod,"NOM_A",dr_Est,"&lt;&gt;Excluido"),CT$91+CT$92+CT$93)</f>
        <v>8959.98771891781</v>
      </c>
      <c r="CU94" s="12" t="n">
        <f aca="false">IF(CU$69=1,SUMIFS(dr_USD,dr_Mes,93,dr_Cod,"NOM_A",dr_Est,"&lt;&gt;Excluido"),CU$91+CU$92+CU$93)</f>
        <v>8959.98771891781</v>
      </c>
      <c r="CV94" s="12" t="n">
        <f aca="false">IF(CV$69=1,SUMIFS(dr_USD,dr_Mes,94,dr_Cod,"NOM_A",dr_Est,"&lt;&gt;Excluido"),CV$91+CV$92+CV$93)</f>
        <v>8959.98771891781</v>
      </c>
      <c r="CW94" s="12" t="n">
        <f aca="false">IF(CW$69=1,SUMIFS(dr_USD,dr_Mes,95,dr_Cod,"NOM_A",dr_Est,"&lt;&gt;Excluido"),CW$91+CW$92+CW$93)</f>
        <v>8959.98771891781</v>
      </c>
      <c r="CX94" s="12" t="n">
        <f aca="false">IF(CX$69=1,SUMIFS(dr_USD,dr_Mes,96,dr_Cod,"NOM_A",dr_Est,"&lt;&gt;Excluido"),CX$91+CX$92+CX$93)</f>
        <v>8959.98771891781</v>
      </c>
      <c r="CY94" s="12" t="n">
        <f aca="false">IF(CY$69=1,SUMIFS(dr_USD,dr_Mes,97,dr_Cod,"NOM_A",dr_Est,"&lt;&gt;Excluido"),CY$91+CY$92+CY$93)</f>
        <v>8959.98771891781</v>
      </c>
      <c r="CZ94" s="12" t="n">
        <f aca="false">IF(CZ$69=1,SUMIFS(dr_USD,dr_Mes,98,dr_Cod,"NOM_A",dr_Est,"&lt;&gt;Excluido"),CZ$91+CZ$92+CZ$93)</f>
        <v>8959.98771891781</v>
      </c>
      <c r="DA94" s="12" t="n">
        <f aca="false">IF(DA$69=1,SUMIFS(dr_USD,dr_Mes,99,dr_Cod,"NOM_A",dr_Est,"&lt;&gt;Excluido"),DA$91+DA$92+DA$93)</f>
        <v>8959.98771891781</v>
      </c>
      <c r="DB94" s="12" t="n">
        <f aca="false">IF(DB$69=1,SUMIFS(dr_USD,dr_Mes,100,dr_Cod,"NOM_A",dr_Est,"&lt;&gt;Excluido"),DB$91+DB$92+DB$93)</f>
        <v>8959.98771891781</v>
      </c>
      <c r="DC94" s="12" t="n">
        <f aca="false">IF(DC$69=1,SUMIFS(dr_USD,dr_Mes,101,dr_Cod,"NOM_A",dr_Est,"&lt;&gt;Excluido"),DC$91+DC$92+DC$93)</f>
        <v>8959.98771891781</v>
      </c>
      <c r="DD94" s="12" t="n">
        <f aca="false">IF(DD$69=1,SUMIFS(dr_USD,dr_Mes,102,dr_Cod,"NOM_A",dr_Est,"&lt;&gt;Excluido"),DD$91+DD$92+DD$93)</f>
        <v>8959.98771891781</v>
      </c>
      <c r="DE94" s="12" t="n">
        <f aca="false">IF(DE$69=1,SUMIFS(dr_USD,dr_Mes,103,dr_Cod,"NOM_A",dr_Est,"&lt;&gt;Excluido"),DE$91+DE$92+DE$93)</f>
        <v>8959.98771891781</v>
      </c>
      <c r="DF94" s="12" t="n">
        <f aca="false">IF(DF$69=1,SUMIFS(dr_USD,dr_Mes,104,dr_Cod,"NOM_A",dr_Est,"&lt;&gt;Excluido"),DF$91+DF$92+DF$93)</f>
        <v>8959.98771891781</v>
      </c>
      <c r="DG94" s="12" t="n">
        <f aca="false">IF(DG$69=1,SUMIFS(dr_USD,dr_Mes,105,dr_Cod,"NOM_A",dr_Est,"&lt;&gt;Excluido"),DG$91+DG$92+DG$93)</f>
        <v>8959.98771891781</v>
      </c>
      <c r="DH94" s="12" t="n">
        <f aca="false">IF(DH$69=1,SUMIFS(dr_USD,dr_Mes,106,dr_Cod,"NOM_A",dr_Est,"&lt;&gt;Excluido"),DH$91+DH$92+DH$93)</f>
        <v>8959.98771891781</v>
      </c>
      <c r="DI94" s="12" t="n">
        <f aca="false">IF(DI$69=1,SUMIFS(dr_USD,dr_Mes,107,dr_Cod,"NOM_A",dr_Est,"&lt;&gt;Excluido"),DI$91+DI$92+DI$93)</f>
        <v>8959.98771891781</v>
      </c>
      <c r="DJ94" s="12" t="n">
        <f aca="false">IF(DJ$69=1,SUMIFS(dr_USD,dr_Mes,108,dr_Cod,"NOM_A",dr_Est,"&lt;&gt;Excluido"),DJ$91+DJ$92+DJ$93)</f>
        <v>8959.98771891781</v>
      </c>
      <c r="DK94" s="12" t="n">
        <f aca="false">IF(DK$69=1,SUMIFS(dr_USD,dr_Mes,109,dr_Cod,"NOM_A",dr_Est,"&lt;&gt;Excluido"),DK$91+DK$92+DK$93)</f>
        <v>8959.98771891781</v>
      </c>
      <c r="DL94" s="12" t="n">
        <f aca="false">IF(DL$69=1,SUMIFS(dr_USD,dr_Mes,110,dr_Cod,"NOM_A",dr_Est,"&lt;&gt;Excluido"),DL$91+DL$92+DL$93)</f>
        <v>8959.98771891781</v>
      </c>
      <c r="DM94" s="12" t="n">
        <f aca="false">IF(DM$69=1,SUMIFS(dr_USD,dr_Mes,111,dr_Cod,"NOM_A",dr_Est,"&lt;&gt;Excluido"),DM$91+DM$92+DM$93)</f>
        <v>8959.98771891781</v>
      </c>
      <c r="DN94" s="12" t="n">
        <f aca="false">IF(DN$69=1,SUMIFS(dr_USD,dr_Mes,112,dr_Cod,"NOM_A",dr_Est,"&lt;&gt;Excluido"),DN$91+DN$92+DN$93)</f>
        <v>8959.98771891781</v>
      </c>
      <c r="DO94" s="12" t="n">
        <f aca="false">IF(DO$69=1,SUMIFS(dr_USD,dr_Mes,113,dr_Cod,"NOM_A",dr_Est,"&lt;&gt;Excluido"),DO$91+DO$92+DO$93)</f>
        <v>8959.98771891781</v>
      </c>
      <c r="DP94" s="12" t="n">
        <f aca="false">IF(DP$69=1,SUMIFS(dr_USD,dr_Mes,114,dr_Cod,"NOM_A",dr_Est,"&lt;&gt;Excluido"),DP$91+DP$92+DP$93)</f>
        <v>8959.98771891781</v>
      </c>
      <c r="DQ94" s="12" t="n">
        <f aca="false">IF(DQ$69=1,SUMIFS(dr_USD,dr_Mes,115,dr_Cod,"NOM_A",dr_Est,"&lt;&gt;Excluido"),DQ$91+DQ$92+DQ$93)</f>
        <v>8959.98771891781</v>
      </c>
      <c r="DR94" s="12" t="n">
        <f aca="false">IF(DR$69=1,SUMIFS(dr_USD,dr_Mes,116,dr_Cod,"NOM_A",dr_Est,"&lt;&gt;Excluido"),DR$91+DR$92+DR$93)</f>
        <v>8959.98771891781</v>
      </c>
      <c r="DS94" s="12" t="n">
        <f aca="false">IF(DS$69=1,SUMIFS(dr_USD,dr_Mes,117,dr_Cod,"NOM_A",dr_Est,"&lt;&gt;Excluido"),DS$91+DS$92+DS$93)</f>
        <v>8959.98771891781</v>
      </c>
      <c r="DT94" s="12" t="n">
        <f aca="false">IF(DT$69=1,SUMIFS(dr_USD,dr_Mes,118,dr_Cod,"NOM_A",dr_Est,"&lt;&gt;Excluido"),DT$91+DT$92+DT$93)</f>
        <v>8959.98771891781</v>
      </c>
      <c r="DU94" s="12" t="n">
        <f aca="false">IF(DU$69=1,SUMIFS(dr_USD,dr_Mes,119,dr_Cod,"NOM_A",dr_Est,"&lt;&gt;Excluido"),DU$91+DU$92+DU$93)</f>
        <v>8959.98771891781</v>
      </c>
      <c r="DV94" s="12" t="n">
        <f aca="false">IF(DV$69=1,SUMIFS(dr_USD,dr_Mes,120,dr_Cod,"NOM_A",dr_Est,"&lt;&gt;Excluido"),DV$91+DV$92+DV$93)</f>
        <v>8959.98771891781</v>
      </c>
      <c r="DW94" s="12" t="n">
        <f aca="false">IF(DW$69=1,SUMIFS(dr_USD,dr_Mes,121,dr_Cod,"NOM_A",dr_Est,"&lt;&gt;Excluido"),DW$91+DW$92+DW$93)</f>
        <v>0</v>
      </c>
      <c r="DX94" s="12" t="n">
        <f aca="false">IF(DX$69=1,SUMIFS(dr_USD,dr_Mes,122,dr_Cod,"NOM_A",dr_Est,"&lt;&gt;Excluido"),DX$91+DX$92+DX$93)</f>
        <v>0</v>
      </c>
      <c r="DY94" s="12" t="n">
        <f aca="false">IF(DY$69=1,SUMIFS(dr_USD,dr_Mes,123,dr_Cod,"NOM_A",dr_Est,"&lt;&gt;Excluido"),DY$91+DY$92+DY$93)</f>
        <v>0</v>
      </c>
      <c r="DZ94" s="12" t="n">
        <f aca="false">IF(DZ$69=1,SUMIFS(dr_USD,dr_Mes,124,dr_Cod,"NOM_A",dr_Est,"&lt;&gt;Excluido"),DZ$91+DZ$92+DZ$93)</f>
        <v>0</v>
      </c>
      <c r="EA94" s="12" t="n">
        <f aca="false">IF(EA$69=1,SUMIFS(dr_USD,dr_Mes,125,dr_Cod,"NOM_A",dr_Est,"&lt;&gt;Excluido"),EA$91+EA$92+EA$93)</f>
        <v>0</v>
      </c>
      <c r="EB94" s="12" t="n">
        <f aca="false">IF(EB$69=1,SUMIFS(dr_USD,dr_Mes,126,dr_Cod,"NOM_A",dr_Est,"&lt;&gt;Excluido"),EB$91+EB$92+EB$93)</f>
        <v>0</v>
      </c>
      <c r="EC94" s="12" t="n">
        <f aca="false">IF(EC$69=1,SUMIFS(dr_USD,dr_Mes,127,dr_Cod,"NOM_A",dr_Est,"&lt;&gt;Excluido"),EC$91+EC$92+EC$93)</f>
        <v>0</v>
      </c>
      <c r="ED94" s="12" t="n">
        <f aca="false">IF(ED$69=1,SUMIFS(dr_USD,dr_Mes,128,dr_Cod,"NOM_A",dr_Est,"&lt;&gt;Excluido"),ED$91+ED$92+ED$93)</f>
        <v>0</v>
      </c>
      <c r="EE94" s="12" t="n">
        <f aca="false">IF(EE$69=1,SUMIFS(dr_USD,dr_Mes,129,dr_Cod,"NOM_A",dr_Est,"&lt;&gt;Excluido"),EE$91+EE$92+EE$93)</f>
        <v>0</v>
      </c>
      <c r="EF94" s="12" t="n">
        <f aca="false">IF(EF$69=1,SUMIFS(dr_USD,dr_Mes,130,dr_Cod,"NOM_A",dr_Est,"&lt;&gt;Excluido"),EF$91+EF$92+EF$93)</f>
        <v>0</v>
      </c>
      <c r="EG94" s="12" t="n">
        <f aca="false">IF(EG$69=1,SUMIFS(dr_USD,dr_Mes,131,dr_Cod,"NOM_A",dr_Est,"&lt;&gt;Excluido"),EG$91+EG$92+EG$93)</f>
        <v>0</v>
      </c>
      <c r="EH94" s="12" t="n">
        <f aca="false">IF(EH$69=1,SUMIFS(dr_USD,dr_Mes,132,dr_Cod,"NOM_A",dr_Est,"&lt;&gt;Excluido"),EH$91+EH$92+EH$93)</f>
        <v>0</v>
      </c>
      <c r="EI94" s="12" t="n">
        <f aca="false">IF(EI$69=1,SUMIFS(dr_USD,dr_Mes,133,dr_Cod,"NOM_A",dr_Est,"&lt;&gt;Excluido"),EI$91+EI$92+EI$93)</f>
        <v>0</v>
      </c>
      <c r="EJ94" s="12" t="n">
        <f aca="false">IF(EJ$69=1,SUMIFS(dr_USD,dr_Mes,134,dr_Cod,"NOM_A",dr_Est,"&lt;&gt;Excluido"),EJ$91+EJ$92+EJ$93)</f>
        <v>0</v>
      </c>
      <c r="EK94" s="12" t="n">
        <f aca="false">IF(EK$69=1,SUMIFS(dr_USD,dr_Mes,135,dr_Cod,"NOM_A",dr_Est,"&lt;&gt;Excluido"),EK$91+EK$92+EK$93)</f>
        <v>0</v>
      </c>
      <c r="EL94" s="12" t="n">
        <f aca="false">IF(EL$69=1,SUMIFS(dr_USD,dr_Mes,136,dr_Cod,"NOM_A",dr_Est,"&lt;&gt;Excluido"),EL$91+EL$92+EL$93)</f>
        <v>0</v>
      </c>
      <c r="EM94" s="12" t="n">
        <f aca="false">IF(EM$69=1,SUMIFS(dr_USD,dr_Mes,137,dr_Cod,"NOM_A",dr_Est,"&lt;&gt;Excluido"),EM$91+EM$92+EM$93)</f>
        <v>0</v>
      </c>
      <c r="EN94" s="12" t="n">
        <f aca="false">IF(EN$69=1,SUMIFS(dr_USD,dr_Mes,138,dr_Cod,"NOM_A",dr_Est,"&lt;&gt;Excluido"),EN$91+EN$92+EN$93)</f>
        <v>0</v>
      </c>
      <c r="EO94" s="12" t="n">
        <f aca="false">IF(EO$69=1,SUMIFS(dr_USD,dr_Mes,139,dr_Cod,"NOM_A",dr_Est,"&lt;&gt;Excluido"),EO$91+EO$92+EO$93)</f>
        <v>0</v>
      </c>
      <c r="EP94" s="12" t="n">
        <f aca="false">IF(EP$69=1,SUMIFS(dr_USD,dr_Mes,140,dr_Cod,"NOM_A",dr_Est,"&lt;&gt;Excluido"),EP$91+EP$92+EP$93)</f>
        <v>0</v>
      </c>
      <c r="EQ94" s="12" t="n">
        <f aca="false">IF(EQ$69=1,SUMIFS(dr_USD,dr_Mes,141,dr_Cod,"NOM_A",dr_Est,"&lt;&gt;Excluido"),EQ$91+EQ$92+EQ$93)</f>
        <v>0</v>
      </c>
      <c r="ER94" s="12" t="n">
        <f aca="false">IF(ER$69=1,SUMIFS(dr_USD,dr_Mes,142,dr_Cod,"NOM_A",dr_Est,"&lt;&gt;Excluido"),ER$91+ER$92+ER$93)</f>
        <v>0</v>
      </c>
      <c r="ES94" s="12" t="n">
        <f aca="false">IF(ES$69=1,SUMIFS(dr_USD,dr_Mes,143,dr_Cod,"NOM_A",dr_Est,"&lt;&gt;Excluido"),ES$91+ES$92+ES$93)</f>
        <v>0</v>
      </c>
      <c r="ET94" s="12" t="n">
        <f aca="false">IF(ET$69=1,SUMIFS(dr_USD,dr_Mes,144,dr_Cod,"NOM_A",dr_Est,"&lt;&gt;Excluido"),ET$91+ET$92+ET$93)</f>
        <v>0</v>
      </c>
      <c r="EU94" s="12" t="n">
        <f aca="false">IF(EU$69=1,SUMIFS(dr_USD,dr_Mes,145,dr_Cod,"NOM_A",dr_Est,"&lt;&gt;Excluido"),EU$91+EU$92+EU$93)</f>
        <v>0</v>
      </c>
      <c r="EV94" s="12" t="n">
        <f aca="false">IF(EV$69=1,SUMIFS(dr_USD,dr_Mes,146,dr_Cod,"NOM_A",dr_Est,"&lt;&gt;Excluido"),EV$91+EV$92+EV$93)</f>
        <v>0</v>
      </c>
      <c r="EW94" s="12" t="n">
        <f aca="false">IF(EW$69=1,SUMIFS(dr_USD,dr_Mes,147,dr_Cod,"NOM_A",dr_Est,"&lt;&gt;Excluido"),EW$91+EW$92+EW$93)</f>
        <v>0</v>
      </c>
      <c r="EX94" s="12" t="n">
        <f aca="false">IF(EX$69=1,SUMIFS(dr_USD,dr_Mes,148,dr_Cod,"NOM_A",dr_Est,"&lt;&gt;Excluido"),EX$91+EX$92+EX$93)</f>
        <v>0</v>
      </c>
      <c r="EY94" s="12" t="n">
        <f aca="false">IF(EY$69=1,SUMIFS(dr_USD,dr_Mes,149,dr_Cod,"NOM_A",dr_Est,"&lt;&gt;Excluido"),EY$91+EY$92+EY$93)</f>
        <v>0</v>
      </c>
      <c r="EZ94" s="12" t="n">
        <f aca="false">IF(EZ$69=1,SUMIFS(dr_USD,dr_Mes,150,dr_Cod,"NOM_A",dr_Est,"&lt;&gt;Excluido"),EZ$91+EZ$92+EZ$93)</f>
        <v>0</v>
      </c>
      <c r="FA94" s="12" t="n">
        <f aca="false">IF(FA$69=1,SUMIFS(dr_USD,dr_Mes,151,dr_Cod,"NOM_A",dr_Est,"&lt;&gt;Excluido"),FA$91+FA$92+FA$93)</f>
        <v>0</v>
      </c>
      <c r="FB94" s="12" t="n">
        <f aca="false">IF(FB$69=1,SUMIFS(dr_USD,dr_Mes,152,dr_Cod,"NOM_A",dr_Est,"&lt;&gt;Excluido"),FB$91+FB$92+FB$93)</f>
        <v>0</v>
      </c>
      <c r="FC94" s="12" t="n">
        <f aca="false">IF(FC$69=1,SUMIFS(dr_USD,dr_Mes,153,dr_Cod,"NOM_A",dr_Est,"&lt;&gt;Excluido"),FC$91+FC$92+FC$93)</f>
        <v>0</v>
      </c>
      <c r="FD94" s="12" t="n">
        <f aca="false">IF(FD$69=1,SUMIFS(dr_USD,dr_Mes,154,dr_Cod,"NOM_A",dr_Est,"&lt;&gt;Excluido"),FD$91+FD$92+FD$93)</f>
        <v>0</v>
      </c>
      <c r="FE94" s="12" t="n">
        <f aca="false">IF(FE$69=1,SUMIFS(dr_USD,dr_Mes,155,dr_Cod,"NOM_A",dr_Est,"&lt;&gt;Excluido"),FE$91+FE$92+FE$93)</f>
        <v>0</v>
      </c>
      <c r="FF94" s="12" t="n">
        <f aca="false">IF(FF$69=1,SUMIFS(dr_USD,dr_Mes,156,dr_Cod,"NOM_A",dr_Est,"&lt;&gt;Excluido"),FF$91+FF$92+FF$93)</f>
        <v>0</v>
      </c>
    </row>
    <row r="95" customFormat="false" ht="15" hidden="false" customHeight="false" outlineLevel="0" collapsed="false">
      <c r="A95" s="4"/>
      <c r="B95" s="3" t="s">
        <v>1045</v>
      </c>
      <c r="C95" s="4"/>
      <c r="D95" s="4"/>
      <c r="E95" s="4"/>
    </row>
    <row r="96" customFormat="false" ht="15" hidden="false" customHeight="false" outlineLevel="0" collapsed="false">
      <c r="A96" s="2" t="s">
        <v>1046</v>
      </c>
      <c r="B96" s="8" t="s">
        <v>1047</v>
      </c>
      <c r="C96" s="8" t="s">
        <v>1023</v>
      </c>
      <c r="E96" s="70" t="n">
        <f aca="false">MAX($F96:$FF96)</f>
        <v>74</v>
      </c>
      <c r="F96" s="19" t="n">
        <f aca="false">F$78+F$84+F$90</f>
        <v>0</v>
      </c>
      <c r="G96" s="19" t="n">
        <f aca="false">G$78+G$84+G$90</f>
        <v>65</v>
      </c>
      <c r="H96" s="19" t="n">
        <f aca="false">H$78+H$84+H$90</f>
        <v>65</v>
      </c>
      <c r="I96" s="19" t="n">
        <f aca="false">I$78+I$84+I$90</f>
        <v>65</v>
      </c>
      <c r="J96" s="19" t="n">
        <f aca="false">J$78+J$84+J$90</f>
        <v>65</v>
      </c>
      <c r="K96" s="19" t="n">
        <f aca="false">K$78+K$84+K$90</f>
        <v>65</v>
      </c>
      <c r="L96" s="19" t="n">
        <f aca="false">L$78+L$84+L$90</f>
        <v>65</v>
      </c>
      <c r="M96" s="19" t="n">
        <f aca="false">M$78+M$84+M$90</f>
        <v>65</v>
      </c>
      <c r="N96" s="19" t="n">
        <f aca="false">N$78+N$84+N$90</f>
        <v>65</v>
      </c>
      <c r="O96" s="19" t="n">
        <f aca="false">O$78+O$84+O$90</f>
        <v>65</v>
      </c>
      <c r="P96" s="19" t="n">
        <f aca="false">P$78+P$84+P$90</f>
        <v>65</v>
      </c>
      <c r="Q96" s="19" t="n">
        <f aca="false">Q$78+Q$84+Q$90</f>
        <v>65</v>
      </c>
      <c r="R96" s="19" t="n">
        <f aca="false">R$78+R$84+R$90</f>
        <v>65</v>
      </c>
      <c r="S96" s="19" t="n">
        <f aca="false">S$78+S$84+S$90</f>
        <v>65</v>
      </c>
      <c r="T96" s="19" t="n">
        <f aca="false">T$78+T$84+T$90</f>
        <v>65</v>
      </c>
      <c r="U96" s="19" t="n">
        <f aca="false">U$78+U$84+U$90</f>
        <v>65</v>
      </c>
      <c r="V96" s="19" t="n">
        <f aca="false">V$78+V$84+V$90</f>
        <v>65</v>
      </c>
      <c r="W96" s="19" t="n">
        <f aca="false">W$78+W$84+W$90</f>
        <v>65</v>
      </c>
      <c r="X96" s="19" t="n">
        <f aca="false">X$78+X$84+X$90</f>
        <v>65</v>
      </c>
      <c r="Y96" s="19" t="n">
        <f aca="false">Y$78+Y$84+Y$90</f>
        <v>65</v>
      </c>
      <c r="Z96" s="19" t="n">
        <f aca="false">Z$78+Z$84+Z$90</f>
        <v>65</v>
      </c>
      <c r="AA96" s="19" t="n">
        <f aca="false">AA$78+AA$84+AA$90</f>
        <v>65</v>
      </c>
      <c r="AB96" s="19" t="n">
        <f aca="false">AB$78+AB$84+AB$90</f>
        <v>65</v>
      </c>
      <c r="AC96" s="19" t="n">
        <f aca="false">AC$78+AC$84+AC$90</f>
        <v>65</v>
      </c>
      <c r="AD96" s="19" t="n">
        <f aca="false">AD$78+AD$84+AD$90</f>
        <v>65</v>
      </c>
      <c r="AE96" s="19" t="n">
        <f aca="false">AE$78+AE$84+AE$90</f>
        <v>68</v>
      </c>
      <c r="AF96" s="19" t="n">
        <f aca="false">AF$78+AF$84+AF$90</f>
        <v>68</v>
      </c>
      <c r="AG96" s="19" t="n">
        <f aca="false">AG$78+AG$84+AG$90</f>
        <v>68</v>
      </c>
      <c r="AH96" s="19" t="n">
        <f aca="false">AH$78+AH$84+AH$90</f>
        <v>68</v>
      </c>
      <c r="AI96" s="19" t="n">
        <f aca="false">AI$78+AI$84+AI$90</f>
        <v>68</v>
      </c>
      <c r="AJ96" s="19" t="n">
        <f aca="false">AJ$78+AJ$84+AJ$90</f>
        <v>68</v>
      </c>
      <c r="AK96" s="19" t="n">
        <f aca="false">AK$78+AK$84+AK$90</f>
        <v>68</v>
      </c>
      <c r="AL96" s="19" t="n">
        <f aca="false">AL$78+AL$84+AL$90</f>
        <v>68</v>
      </c>
      <c r="AM96" s="19" t="n">
        <f aca="false">AM$78+AM$84+AM$90</f>
        <v>68</v>
      </c>
      <c r="AN96" s="19" t="n">
        <f aca="false">AN$78+AN$84+AN$90</f>
        <v>68</v>
      </c>
      <c r="AO96" s="19" t="n">
        <f aca="false">AO$78+AO$84+AO$90</f>
        <v>68</v>
      </c>
      <c r="AP96" s="19" t="n">
        <f aca="false">AP$78+AP$84+AP$90</f>
        <v>68</v>
      </c>
      <c r="AQ96" s="19" t="n">
        <f aca="false">AQ$78+AQ$84+AQ$90</f>
        <v>71</v>
      </c>
      <c r="AR96" s="19" t="n">
        <f aca="false">AR$78+AR$84+AR$90</f>
        <v>71</v>
      </c>
      <c r="AS96" s="19" t="n">
        <f aca="false">AS$78+AS$84+AS$90</f>
        <v>71</v>
      </c>
      <c r="AT96" s="19" t="n">
        <f aca="false">AT$78+AT$84+AT$90</f>
        <v>71</v>
      </c>
      <c r="AU96" s="19" t="n">
        <f aca="false">AU$78+AU$84+AU$90</f>
        <v>71</v>
      </c>
      <c r="AV96" s="19" t="n">
        <f aca="false">AV$78+AV$84+AV$90</f>
        <v>71</v>
      </c>
      <c r="AW96" s="19" t="n">
        <f aca="false">AW$78+AW$84+AW$90</f>
        <v>71</v>
      </c>
      <c r="AX96" s="19" t="n">
        <f aca="false">AX$78+AX$84+AX$90</f>
        <v>71</v>
      </c>
      <c r="AY96" s="19" t="n">
        <f aca="false">AY$78+AY$84+AY$90</f>
        <v>71</v>
      </c>
      <c r="AZ96" s="19" t="n">
        <f aca="false">AZ$78+AZ$84+AZ$90</f>
        <v>71</v>
      </c>
      <c r="BA96" s="19" t="n">
        <f aca="false">BA$78+BA$84+BA$90</f>
        <v>71</v>
      </c>
      <c r="BB96" s="19" t="n">
        <f aca="false">BB$78+BB$84+BB$90</f>
        <v>71</v>
      </c>
      <c r="BC96" s="19" t="n">
        <f aca="false">BC$78+BC$84+BC$90</f>
        <v>74</v>
      </c>
      <c r="BD96" s="19" t="n">
        <f aca="false">BD$78+BD$84+BD$90</f>
        <v>74</v>
      </c>
      <c r="BE96" s="19" t="n">
        <f aca="false">BE$78+BE$84+BE$90</f>
        <v>74</v>
      </c>
      <c r="BF96" s="19" t="n">
        <f aca="false">BF$78+BF$84+BF$90</f>
        <v>74</v>
      </c>
      <c r="BG96" s="19" t="n">
        <f aca="false">BG$78+BG$84+BG$90</f>
        <v>74</v>
      </c>
      <c r="BH96" s="19" t="n">
        <f aca="false">BH$78+BH$84+BH$90</f>
        <v>74</v>
      </c>
      <c r="BI96" s="19" t="n">
        <f aca="false">BI$78+BI$84+BI$90</f>
        <v>74</v>
      </c>
      <c r="BJ96" s="19" t="n">
        <f aca="false">BJ$78+BJ$84+BJ$90</f>
        <v>74</v>
      </c>
      <c r="BK96" s="19" t="n">
        <f aca="false">BK$78+BK$84+BK$90</f>
        <v>74</v>
      </c>
      <c r="BL96" s="19" t="n">
        <f aca="false">BL$78+BL$84+BL$90</f>
        <v>74</v>
      </c>
      <c r="BM96" s="19" t="n">
        <f aca="false">BM$78+BM$84+BM$90</f>
        <v>74</v>
      </c>
      <c r="BN96" s="19" t="n">
        <f aca="false">BN$78+BN$84+BN$90</f>
        <v>74</v>
      </c>
      <c r="BO96" s="19" t="n">
        <f aca="false">BO$78+BO$84+BO$90</f>
        <v>74</v>
      </c>
      <c r="BP96" s="19" t="n">
        <f aca="false">BP$78+BP$84+BP$90</f>
        <v>74</v>
      </c>
      <c r="BQ96" s="19" t="n">
        <f aca="false">BQ$78+BQ$84+BQ$90</f>
        <v>74</v>
      </c>
      <c r="BR96" s="19" t="n">
        <f aca="false">BR$78+BR$84+BR$90</f>
        <v>74</v>
      </c>
      <c r="BS96" s="19" t="n">
        <f aca="false">BS$78+BS$84+BS$90</f>
        <v>74</v>
      </c>
      <c r="BT96" s="19" t="n">
        <f aca="false">BT$78+BT$84+BT$90</f>
        <v>74</v>
      </c>
      <c r="BU96" s="19" t="n">
        <f aca="false">BU$78+BU$84+BU$90</f>
        <v>74</v>
      </c>
      <c r="BV96" s="19" t="n">
        <f aca="false">BV$78+BV$84+BV$90</f>
        <v>74</v>
      </c>
      <c r="BW96" s="19" t="n">
        <f aca="false">BW$78+BW$84+BW$90</f>
        <v>74</v>
      </c>
      <c r="BX96" s="19" t="n">
        <f aca="false">BX$78+BX$84+BX$90</f>
        <v>74</v>
      </c>
      <c r="BY96" s="19" t="n">
        <f aca="false">BY$78+BY$84+BY$90</f>
        <v>74</v>
      </c>
      <c r="BZ96" s="19" t="n">
        <f aca="false">BZ$78+BZ$84+BZ$90</f>
        <v>74</v>
      </c>
      <c r="CA96" s="19" t="n">
        <f aca="false">CA$78+CA$84+CA$90</f>
        <v>74</v>
      </c>
      <c r="CB96" s="19" t="n">
        <f aca="false">CB$78+CB$84+CB$90</f>
        <v>74</v>
      </c>
      <c r="CC96" s="19" t="n">
        <f aca="false">CC$78+CC$84+CC$90</f>
        <v>74</v>
      </c>
      <c r="CD96" s="19" t="n">
        <f aca="false">CD$78+CD$84+CD$90</f>
        <v>74</v>
      </c>
      <c r="CE96" s="19" t="n">
        <f aca="false">CE$78+CE$84+CE$90</f>
        <v>74</v>
      </c>
      <c r="CF96" s="19" t="n">
        <f aca="false">CF$78+CF$84+CF$90</f>
        <v>74</v>
      </c>
      <c r="CG96" s="19" t="n">
        <f aca="false">CG$78+CG$84+CG$90</f>
        <v>74</v>
      </c>
      <c r="CH96" s="19" t="n">
        <f aca="false">CH$78+CH$84+CH$90</f>
        <v>74</v>
      </c>
      <c r="CI96" s="19" t="n">
        <f aca="false">CI$78+CI$84+CI$90</f>
        <v>74</v>
      </c>
      <c r="CJ96" s="19" t="n">
        <f aca="false">CJ$78+CJ$84+CJ$90</f>
        <v>74</v>
      </c>
      <c r="CK96" s="19" t="n">
        <f aca="false">CK$78+CK$84+CK$90</f>
        <v>74</v>
      </c>
      <c r="CL96" s="19" t="n">
        <f aca="false">CL$78+CL$84+CL$90</f>
        <v>74</v>
      </c>
      <c r="CM96" s="19" t="n">
        <f aca="false">CM$78+CM$84+CM$90</f>
        <v>74</v>
      </c>
      <c r="CN96" s="19" t="n">
        <f aca="false">CN$78+CN$84+CN$90</f>
        <v>74</v>
      </c>
      <c r="CO96" s="19" t="n">
        <f aca="false">CO$78+CO$84+CO$90</f>
        <v>74</v>
      </c>
      <c r="CP96" s="19" t="n">
        <f aca="false">CP$78+CP$84+CP$90</f>
        <v>74</v>
      </c>
      <c r="CQ96" s="19" t="n">
        <f aca="false">CQ$78+CQ$84+CQ$90</f>
        <v>74</v>
      </c>
      <c r="CR96" s="19" t="n">
        <f aca="false">CR$78+CR$84+CR$90</f>
        <v>74</v>
      </c>
      <c r="CS96" s="19" t="n">
        <f aca="false">CS$78+CS$84+CS$90</f>
        <v>74</v>
      </c>
      <c r="CT96" s="19" t="n">
        <f aca="false">CT$78+CT$84+CT$90</f>
        <v>74</v>
      </c>
      <c r="CU96" s="19" t="n">
        <f aca="false">CU$78+CU$84+CU$90</f>
        <v>74</v>
      </c>
      <c r="CV96" s="19" t="n">
        <f aca="false">CV$78+CV$84+CV$90</f>
        <v>74</v>
      </c>
      <c r="CW96" s="19" t="n">
        <f aca="false">CW$78+CW$84+CW$90</f>
        <v>74</v>
      </c>
      <c r="CX96" s="19" t="n">
        <f aca="false">CX$78+CX$84+CX$90</f>
        <v>74</v>
      </c>
      <c r="CY96" s="19" t="n">
        <f aca="false">CY$78+CY$84+CY$90</f>
        <v>74</v>
      </c>
      <c r="CZ96" s="19" t="n">
        <f aca="false">CZ$78+CZ$84+CZ$90</f>
        <v>74</v>
      </c>
      <c r="DA96" s="19" t="n">
        <f aca="false">DA$78+DA$84+DA$90</f>
        <v>74</v>
      </c>
      <c r="DB96" s="19" t="n">
        <f aca="false">DB$78+DB$84+DB$90</f>
        <v>74</v>
      </c>
      <c r="DC96" s="19" t="n">
        <f aca="false">DC$78+DC$84+DC$90</f>
        <v>74</v>
      </c>
      <c r="DD96" s="19" t="n">
        <f aca="false">DD$78+DD$84+DD$90</f>
        <v>74</v>
      </c>
      <c r="DE96" s="19" t="n">
        <f aca="false">DE$78+DE$84+DE$90</f>
        <v>74</v>
      </c>
      <c r="DF96" s="19" t="n">
        <f aca="false">DF$78+DF$84+DF$90</f>
        <v>74</v>
      </c>
      <c r="DG96" s="19" t="n">
        <f aca="false">DG$78+DG$84+DG$90</f>
        <v>74</v>
      </c>
      <c r="DH96" s="19" t="n">
        <f aca="false">DH$78+DH$84+DH$90</f>
        <v>74</v>
      </c>
      <c r="DI96" s="19" t="n">
        <f aca="false">DI$78+DI$84+DI$90</f>
        <v>74</v>
      </c>
      <c r="DJ96" s="19" t="n">
        <f aca="false">DJ$78+DJ$84+DJ$90</f>
        <v>74</v>
      </c>
      <c r="DK96" s="19" t="n">
        <f aca="false">DK$78+DK$84+DK$90</f>
        <v>74</v>
      </c>
      <c r="DL96" s="19" t="n">
        <f aca="false">DL$78+DL$84+DL$90</f>
        <v>74</v>
      </c>
      <c r="DM96" s="19" t="n">
        <f aca="false">DM$78+DM$84+DM$90</f>
        <v>74</v>
      </c>
      <c r="DN96" s="19" t="n">
        <f aca="false">DN$78+DN$84+DN$90</f>
        <v>74</v>
      </c>
      <c r="DO96" s="19" t="n">
        <f aca="false">DO$78+DO$84+DO$90</f>
        <v>74</v>
      </c>
      <c r="DP96" s="19" t="n">
        <f aca="false">DP$78+DP$84+DP$90</f>
        <v>74</v>
      </c>
      <c r="DQ96" s="19" t="n">
        <f aca="false">DQ$78+DQ$84+DQ$90</f>
        <v>74</v>
      </c>
      <c r="DR96" s="19" t="n">
        <f aca="false">DR$78+DR$84+DR$90</f>
        <v>74</v>
      </c>
      <c r="DS96" s="19" t="n">
        <f aca="false">DS$78+DS$84+DS$90</f>
        <v>74</v>
      </c>
      <c r="DT96" s="19" t="n">
        <f aca="false">DT$78+DT$84+DT$90</f>
        <v>74</v>
      </c>
      <c r="DU96" s="19" t="n">
        <f aca="false">DU$78+DU$84+DU$90</f>
        <v>74</v>
      </c>
      <c r="DV96" s="19" t="n">
        <f aca="false">DV$78+DV$84+DV$90</f>
        <v>74</v>
      </c>
      <c r="DW96" s="19" t="n">
        <f aca="false">DW$78+DW$84+DW$90</f>
        <v>0</v>
      </c>
      <c r="DX96" s="19" t="n">
        <f aca="false">DX$78+DX$84+DX$90</f>
        <v>0</v>
      </c>
      <c r="DY96" s="19" t="n">
        <f aca="false">DY$78+DY$84+DY$90</f>
        <v>0</v>
      </c>
      <c r="DZ96" s="19" t="n">
        <f aca="false">DZ$78+DZ$84+DZ$90</f>
        <v>0</v>
      </c>
      <c r="EA96" s="19" t="n">
        <f aca="false">EA$78+EA$84+EA$90</f>
        <v>0</v>
      </c>
      <c r="EB96" s="19" t="n">
        <f aca="false">EB$78+EB$84+EB$90</f>
        <v>0</v>
      </c>
      <c r="EC96" s="19" t="n">
        <f aca="false">EC$78+EC$84+EC$90</f>
        <v>0</v>
      </c>
      <c r="ED96" s="19" t="n">
        <f aca="false">ED$78+ED$84+ED$90</f>
        <v>0</v>
      </c>
      <c r="EE96" s="19" t="n">
        <f aca="false">EE$78+EE$84+EE$90</f>
        <v>0</v>
      </c>
      <c r="EF96" s="19" t="n">
        <f aca="false">EF$78+EF$84+EF$90</f>
        <v>0</v>
      </c>
      <c r="EG96" s="19" t="n">
        <f aca="false">EG$78+EG$84+EG$90</f>
        <v>0</v>
      </c>
      <c r="EH96" s="19" t="n">
        <f aca="false">EH$78+EH$84+EH$90</f>
        <v>0</v>
      </c>
      <c r="EI96" s="19" t="n">
        <f aca="false">EI$78+EI$84+EI$90</f>
        <v>0</v>
      </c>
      <c r="EJ96" s="19" t="n">
        <f aca="false">EJ$78+EJ$84+EJ$90</f>
        <v>0</v>
      </c>
      <c r="EK96" s="19" t="n">
        <f aca="false">EK$78+EK$84+EK$90</f>
        <v>0</v>
      </c>
      <c r="EL96" s="19" t="n">
        <f aca="false">EL$78+EL$84+EL$90</f>
        <v>0</v>
      </c>
      <c r="EM96" s="19" t="n">
        <f aca="false">EM$78+EM$84+EM$90</f>
        <v>0</v>
      </c>
      <c r="EN96" s="19" t="n">
        <f aca="false">EN$78+EN$84+EN$90</f>
        <v>0</v>
      </c>
      <c r="EO96" s="19" t="n">
        <f aca="false">EO$78+EO$84+EO$90</f>
        <v>0</v>
      </c>
      <c r="EP96" s="19" t="n">
        <f aca="false">EP$78+EP$84+EP$90</f>
        <v>0</v>
      </c>
      <c r="EQ96" s="19" t="n">
        <f aca="false">EQ$78+EQ$84+EQ$90</f>
        <v>0</v>
      </c>
      <c r="ER96" s="19" t="n">
        <f aca="false">ER$78+ER$84+ER$90</f>
        <v>0</v>
      </c>
      <c r="ES96" s="19" t="n">
        <f aca="false">ES$78+ES$84+ES$90</f>
        <v>0</v>
      </c>
      <c r="ET96" s="19" t="n">
        <f aca="false">ET$78+ET$84+ET$90</f>
        <v>0</v>
      </c>
      <c r="EU96" s="19" t="n">
        <f aca="false">EU$78+EU$84+EU$90</f>
        <v>0</v>
      </c>
      <c r="EV96" s="19" t="n">
        <f aca="false">EV$78+EV$84+EV$90</f>
        <v>0</v>
      </c>
      <c r="EW96" s="19" t="n">
        <f aca="false">EW$78+EW$84+EW$90</f>
        <v>0</v>
      </c>
      <c r="EX96" s="19" t="n">
        <f aca="false">EX$78+EX$84+EX$90</f>
        <v>0</v>
      </c>
      <c r="EY96" s="19" t="n">
        <f aca="false">EY$78+EY$84+EY$90</f>
        <v>0</v>
      </c>
      <c r="EZ96" s="19" t="n">
        <f aca="false">EZ$78+EZ$84+EZ$90</f>
        <v>0</v>
      </c>
      <c r="FA96" s="19" t="n">
        <f aca="false">FA$78+FA$84+FA$90</f>
        <v>0</v>
      </c>
      <c r="FB96" s="19" t="n">
        <f aca="false">FB$78+FB$84+FB$90</f>
        <v>0</v>
      </c>
      <c r="FC96" s="19" t="n">
        <f aca="false">FC$78+FC$84+FC$90</f>
        <v>0</v>
      </c>
      <c r="FD96" s="19" t="n">
        <f aca="false">FD$78+FD$84+FD$90</f>
        <v>0</v>
      </c>
      <c r="FE96" s="19" t="n">
        <f aca="false">FE$78+FE$84+FE$90</f>
        <v>0</v>
      </c>
      <c r="FF96" s="19" t="n">
        <f aca="false">FF$78+FF$84+FF$90</f>
        <v>0</v>
      </c>
    </row>
    <row r="97" customFormat="false" ht="15" hidden="false" customHeight="false" outlineLevel="0" collapsed="false">
      <c r="A97" s="2" t="s">
        <v>1048</v>
      </c>
      <c r="B97" s="8" t="s">
        <v>1049</v>
      </c>
      <c r="C97" s="8" t="s">
        <v>255</v>
      </c>
      <c r="E97" s="65" t="n">
        <f aca="false">SUM($F97:$FF97)</f>
        <v>5160768.23506849</v>
      </c>
      <c r="F97" s="13" t="n">
        <f aca="false">F$79+F$85+F$91</f>
        <v>0</v>
      </c>
      <c r="G97" s="13" t="n">
        <f aca="false">G$79+G$85+G$91</f>
        <v>39755.3576712329</v>
      </c>
      <c r="H97" s="13" t="n">
        <f aca="false">H$79+H$85+H$91</f>
        <v>39755.3576712329</v>
      </c>
      <c r="I97" s="13" t="n">
        <f aca="false">I$79+I$85+I$91</f>
        <v>39755.3576712329</v>
      </c>
      <c r="J97" s="13" t="n">
        <f aca="false">J$79+J$85+J$91</f>
        <v>39755.3576712329</v>
      </c>
      <c r="K97" s="13" t="n">
        <f aca="false">K$79+K$85+K$91</f>
        <v>39755.3576712329</v>
      </c>
      <c r="L97" s="13" t="n">
        <f aca="false">L$79+L$85+L$91</f>
        <v>39755.3576712329</v>
      </c>
      <c r="M97" s="13" t="n">
        <f aca="false">M$79+M$85+M$91</f>
        <v>39755.3576712329</v>
      </c>
      <c r="N97" s="13" t="n">
        <f aca="false">N$79+N$85+N$91</f>
        <v>39755.3576712329</v>
      </c>
      <c r="O97" s="13" t="n">
        <f aca="false">O$79+O$85+O$91</f>
        <v>39755.3576712329</v>
      </c>
      <c r="P97" s="13" t="n">
        <f aca="false">P$79+P$85+P$91</f>
        <v>39755.3576712329</v>
      </c>
      <c r="Q97" s="13" t="n">
        <f aca="false">Q$79+Q$85+Q$91</f>
        <v>39755.3576712329</v>
      </c>
      <c r="R97" s="13" t="n">
        <f aca="false">R$79+R$85+R$91</f>
        <v>39755.3576712329</v>
      </c>
      <c r="S97" s="13" t="n">
        <f aca="false">S$79+S$85+S$91</f>
        <v>39755.3576712329</v>
      </c>
      <c r="T97" s="13" t="n">
        <f aca="false">T$79+T$85+T$91</f>
        <v>39755.3576712329</v>
      </c>
      <c r="U97" s="13" t="n">
        <f aca="false">U$79+U$85+U$91</f>
        <v>39755.3576712329</v>
      </c>
      <c r="V97" s="13" t="n">
        <f aca="false">V$79+V$85+V$91</f>
        <v>39755.3576712329</v>
      </c>
      <c r="W97" s="13" t="n">
        <f aca="false">W$79+W$85+W$91</f>
        <v>39755.3576712329</v>
      </c>
      <c r="X97" s="13" t="n">
        <f aca="false">X$79+X$85+X$91</f>
        <v>39755.3576712329</v>
      </c>
      <c r="Y97" s="13" t="n">
        <f aca="false">Y$79+Y$85+Y$91</f>
        <v>39755.3576712329</v>
      </c>
      <c r="Z97" s="13" t="n">
        <f aca="false">Z$79+Z$85+Z$91</f>
        <v>39755.3576712329</v>
      </c>
      <c r="AA97" s="13" t="n">
        <f aca="false">AA$79+AA$85+AA$91</f>
        <v>39755.3576712329</v>
      </c>
      <c r="AB97" s="13" t="n">
        <f aca="false">AB$79+AB$85+AB$91</f>
        <v>39755.3576712329</v>
      </c>
      <c r="AC97" s="13" t="n">
        <f aca="false">AC$79+AC$85+AC$91</f>
        <v>39755.3576712329</v>
      </c>
      <c r="AD97" s="13" t="n">
        <f aca="false">AD$79+AD$85+AD$91</f>
        <v>39755.3576712329</v>
      </c>
      <c r="AE97" s="13" t="n">
        <f aca="false">AE$79+AE$85+AE$91</f>
        <v>41438.7076712329</v>
      </c>
      <c r="AF97" s="13" t="n">
        <f aca="false">AF$79+AF$85+AF$91</f>
        <v>41438.7076712329</v>
      </c>
      <c r="AG97" s="13" t="n">
        <f aca="false">AG$79+AG$85+AG$91</f>
        <v>41438.7076712329</v>
      </c>
      <c r="AH97" s="13" t="n">
        <f aca="false">AH$79+AH$85+AH$91</f>
        <v>41438.7076712329</v>
      </c>
      <c r="AI97" s="13" t="n">
        <f aca="false">AI$79+AI$85+AI$91</f>
        <v>41438.7076712329</v>
      </c>
      <c r="AJ97" s="13" t="n">
        <f aca="false">AJ$79+AJ$85+AJ$91</f>
        <v>41438.7076712329</v>
      </c>
      <c r="AK97" s="13" t="n">
        <f aca="false">AK$79+AK$85+AK$91</f>
        <v>41438.7076712329</v>
      </c>
      <c r="AL97" s="13" t="n">
        <f aca="false">AL$79+AL$85+AL$91</f>
        <v>41438.7076712329</v>
      </c>
      <c r="AM97" s="13" t="n">
        <f aca="false">AM$79+AM$85+AM$91</f>
        <v>41438.7076712329</v>
      </c>
      <c r="AN97" s="13" t="n">
        <f aca="false">AN$79+AN$85+AN$91</f>
        <v>41438.7076712329</v>
      </c>
      <c r="AO97" s="13" t="n">
        <f aca="false">AO$79+AO$85+AO$91</f>
        <v>41438.7076712329</v>
      </c>
      <c r="AP97" s="13" t="n">
        <f aca="false">AP$79+AP$85+AP$91</f>
        <v>41438.7076712329</v>
      </c>
      <c r="AQ97" s="13" t="n">
        <f aca="false">AQ$79+AQ$85+AQ$91</f>
        <v>42753.7239726027</v>
      </c>
      <c r="AR97" s="13" t="n">
        <f aca="false">AR$79+AR$85+AR$91</f>
        <v>42753.7239726027</v>
      </c>
      <c r="AS97" s="13" t="n">
        <f aca="false">AS$79+AS$85+AS$91</f>
        <v>42753.7239726027</v>
      </c>
      <c r="AT97" s="13" t="n">
        <f aca="false">AT$79+AT$85+AT$91</f>
        <v>42753.7239726027</v>
      </c>
      <c r="AU97" s="13" t="n">
        <f aca="false">AU$79+AU$85+AU$91</f>
        <v>42753.7239726027</v>
      </c>
      <c r="AV97" s="13" t="n">
        <f aca="false">AV$79+AV$85+AV$91</f>
        <v>42753.7239726027</v>
      </c>
      <c r="AW97" s="13" t="n">
        <f aca="false">AW$79+AW$85+AW$91</f>
        <v>42753.7239726027</v>
      </c>
      <c r="AX97" s="13" t="n">
        <f aca="false">AX$79+AX$85+AX$91</f>
        <v>42753.7239726027</v>
      </c>
      <c r="AY97" s="13" t="n">
        <f aca="false">AY$79+AY$85+AY$91</f>
        <v>42753.7239726027</v>
      </c>
      <c r="AZ97" s="13" t="n">
        <f aca="false">AZ$79+AZ$85+AZ$91</f>
        <v>42753.7239726027</v>
      </c>
      <c r="BA97" s="13" t="n">
        <f aca="false">BA$79+BA$85+BA$91</f>
        <v>42753.7239726027</v>
      </c>
      <c r="BB97" s="13" t="n">
        <f aca="false">BB$79+BB$85+BB$91</f>
        <v>42753.7239726027</v>
      </c>
      <c r="BC97" s="13" t="n">
        <f aca="false">BC$79+BC$85+BC$91</f>
        <v>44393.4787671233</v>
      </c>
      <c r="BD97" s="13" t="n">
        <f aca="false">BD$79+BD$85+BD$91</f>
        <v>44393.4787671233</v>
      </c>
      <c r="BE97" s="13" t="n">
        <f aca="false">BE$79+BE$85+BE$91</f>
        <v>44393.4787671233</v>
      </c>
      <c r="BF97" s="13" t="n">
        <f aca="false">BF$79+BF$85+BF$91</f>
        <v>44393.4787671233</v>
      </c>
      <c r="BG97" s="13" t="n">
        <f aca="false">BG$79+BG$85+BG$91</f>
        <v>44393.4787671233</v>
      </c>
      <c r="BH97" s="13" t="n">
        <f aca="false">BH$79+BH$85+BH$91</f>
        <v>44393.4787671233</v>
      </c>
      <c r="BI97" s="13" t="n">
        <f aca="false">BI$79+BI$85+BI$91</f>
        <v>44393.4787671233</v>
      </c>
      <c r="BJ97" s="13" t="n">
        <f aca="false">BJ$79+BJ$85+BJ$91</f>
        <v>44393.4787671233</v>
      </c>
      <c r="BK97" s="13" t="n">
        <f aca="false">BK$79+BK$85+BK$91</f>
        <v>44393.4787671233</v>
      </c>
      <c r="BL97" s="13" t="n">
        <f aca="false">BL$79+BL$85+BL$91</f>
        <v>44393.4787671233</v>
      </c>
      <c r="BM97" s="13" t="n">
        <f aca="false">BM$79+BM$85+BM$91</f>
        <v>44393.4787671233</v>
      </c>
      <c r="BN97" s="13" t="n">
        <f aca="false">BN$79+BN$85+BN$91</f>
        <v>44393.4787671233</v>
      </c>
      <c r="BO97" s="13" t="n">
        <f aca="false">BO$79+BO$85+BO$91</f>
        <v>44393.4787671233</v>
      </c>
      <c r="BP97" s="13" t="n">
        <f aca="false">BP$79+BP$85+BP$91</f>
        <v>44393.4787671233</v>
      </c>
      <c r="BQ97" s="13" t="n">
        <f aca="false">BQ$79+BQ$85+BQ$91</f>
        <v>44393.4787671233</v>
      </c>
      <c r="BR97" s="13" t="n">
        <f aca="false">BR$79+BR$85+BR$91</f>
        <v>44393.4787671233</v>
      </c>
      <c r="BS97" s="13" t="n">
        <f aca="false">BS$79+BS$85+BS$91</f>
        <v>44393.4787671233</v>
      </c>
      <c r="BT97" s="13" t="n">
        <f aca="false">BT$79+BT$85+BT$91</f>
        <v>44393.4787671233</v>
      </c>
      <c r="BU97" s="13" t="n">
        <f aca="false">BU$79+BU$85+BU$91</f>
        <v>44393.4787671233</v>
      </c>
      <c r="BV97" s="13" t="n">
        <f aca="false">BV$79+BV$85+BV$91</f>
        <v>44393.4787671233</v>
      </c>
      <c r="BW97" s="13" t="n">
        <f aca="false">BW$79+BW$85+BW$91</f>
        <v>44393.4787671233</v>
      </c>
      <c r="BX97" s="13" t="n">
        <f aca="false">BX$79+BX$85+BX$91</f>
        <v>44393.4787671233</v>
      </c>
      <c r="BY97" s="13" t="n">
        <f aca="false">BY$79+BY$85+BY$91</f>
        <v>44393.4787671233</v>
      </c>
      <c r="BZ97" s="13" t="n">
        <f aca="false">BZ$79+BZ$85+BZ$91</f>
        <v>44393.4787671233</v>
      </c>
      <c r="CA97" s="13" t="n">
        <f aca="false">CA$79+CA$85+CA$91</f>
        <v>44393.4787671233</v>
      </c>
      <c r="CB97" s="13" t="n">
        <f aca="false">CB$79+CB$85+CB$91</f>
        <v>44393.4787671233</v>
      </c>
      <c r="CC97" s="13" t="n">
        <f aca="false">CC$79+CC$85+CC$91</f>
        <v>44393.4787671233</v>
      </c>
      <c r="CD97" s="13" t="n">
        <f aca="false">CD$79+CD$85+CD$91</f>
        <v>44393.4787671233</v>
      </c>
      <c r="CE97" s="13" t="n">
        <f aca="false">CE$79+CE$85+CE$91</f>
        <v>44393.4787671233</v>
      </c>
      <c r="CF97" s="13" t="n">
        <f aca="false">CF$79+CF$85+CF$91</f>
        <v>44393.4787671233</v>
      </c>
      <c r="CG97" s="13" t="n">
        <f aca="false">CG$79+CG$85+CG$91</f>
        <v>44393.4787671233</v>
      </c>
      <c r="CH97" s="13" t="n">
        <f aca="false">CH$79+CH$85+CH$91</f>
        <v>44393.4787671233</v>
      </c>
      <c r="CI97" s="13" t="n">
        <f aca="false">CI$79+CI$85+CI$91</f>
        <v>44393.4787671233</v>
      </c>
      <c r="CJ97" s="13" t="n">
        <f aca="false">CJ$79+CJ$85+CJ$91</f>
        <v>44393.4787671233</v>
      </c>
      <c r="CK97" s="13" t="n">
        <f aca="false">CK$79+CK$85+CK$91</f>
        <v>44393.4787671233</v>
      </c>
      <c r="CL97" s="13" t="n">
        <f aca="false">CL$79+CL$85+CL$91</f>
        <v>44393.4787671233</v>
      </c>
      <c r="CM97" s="13" t="n">
        <f aca="false">CM$79+CM$85+CM$91</f>
        <v>44393.4787671233</v>
      </c>
      <c r="CN97" s="13" t="n">
        <f aca="false">CN$79+CN$85+CN$91</f>
        <v>44393.4787671233</v>
      </c>
      <c r="CO97" s="13" t="n">
        <f aca="false">CO$79+CO$85+CO$91</f>
        <v>44393.4787671233</v>
      </c>
      <c r="CP97" s="13" t="n">
        <f aca="false">CP$79+CP$85+CP$91</f>
        <v>44393.4787671233</v>
      </c>
      <c r="CQ97" s="13" t="n">
        <f aca="false">CQ$79+CQ$85+CQ$91</f>
        <v>44393.4787671233</v>
      </c>
      <c r="CR97" s="13" t="n">
        <f aca="false">CR$79+CR$85+CR$91</f>
        <v>44393.4787671233</v>
      </c>
      <c r="CS97" s="13" t="n">
        <f aca="false">CS$79+CS$85+CS$91</f>
        <v>44393.4787671233</v>
      </c>
      <c r="CT97" s="13" t="n">
        <f aca="false">CT$79+CT$85+CT$91</f>
        <v>44393.4787671233</v>
      </c>
      <c r="CU97" s="13" t="n">
        <f aca="false">CU$79+CU$85+CU$91</f>
        <v>44393.4787671233</v>
      </c>
      <c r="CV97" s="13" t="n">
        <f aca="false">CV$79+CV$85+CV$91</f>
        <v>44393.4787671233</v>
      </c>
      <c r="CW97" s="13" t="n">
        <f aca="false">CW$79+CW$85+CW$91</f>
        <v>44393.4787671233</v>
      </c>
      <c r="CX97" s="13" t="n">
        <f aca="false">CX$79+CX$85+CX$91</f>
        <v>44393.4787671233</v>
      </c>
      <c r="CY97" s="13" t="n">
        <f aca="false">CY$79+CY$85+CY$91</f>
        <v>44393.4787671233</v>
      </c>
      <c r="CZ97" s="13" t="n">
        <f aca="false">CZ$79+CZ$85+CZ$91</f>
        <v>44393.4787671233</v>
      </c>
      <c r="DA97" s="13" t="n">
        <f aca="false">DA$79+DA$85+DA$91</f>
        <v>44393.4787671233</v>
      </c>
      <c r="DB97" s="13" t="n">
        <f aca="false">DB$79+DB$85+DB$91</f>
        <v>44393.4787671233</v>
      </c>
      <c r="DC97" s="13" t="n">
        <f aca="false">DC$79+DC$85+DC$91</f>
        <v>44393.4787671233</v>
      </c>
      <c r="DD97" s="13" t="n">
        <f aca="false">DD$79+DD$85+DD$91</f>
        <v>44393.4787671233</v>
      </c>
      <c r="DE97" s="13" t="n">
        <f aca="false">DE$79+DE$85+DE$91</f>
        <v>44393.4787671233</v>
      </c>
      <c r="DF97" s="13" t="n">
        <f aca="false">DF$79+DF$85+DF$91</f>
        <v>44393.4787671233</v>
      </c>
      <c r="DG97" s="13" t="n">
        <f aca="false">DG$79+DG$85+DG$91</f>
        <v>44393.4787671233</v>
      </c>
      <c r="DH97" s="13" t="n">
        <f aca="false">DH$79+DH$85+DH$91</f>
        <v>44393.4787671233</v>
      </c>
      <c r="DI97" s="13" t="n">
        <f aca="false">DI$79+DI$85+DI$91</f>
        <v>44393.4787671233</v>
      </c>
      <c r="DJ97" s="13" t="n">
        <f aca="false">DJ$79+DJ$85+DJ$91</f>
        <v>44393.4787671233</v>
      </c>
      <c r="DK97" s="13" t="n">
        <f aca="false">DK$79+DK$85+DK$91</f>
        <v>44393.4787671233</v>
      </c>
      <c r="DL97" s="13" t="n">
        <f aca="false">DL$79+DL$85+DL$91</f>
        <v>44393.4787671233</v>
      </c>
      <c r="DM97" s="13" t="n">
        <f aca="false">DM$79+DM$85+DM$91</f>
        <v>44393.4787671233</v>
      </c>
      <c r="DN97" s="13" t="n">
        <f aca="false">DN$79+DN$85+DN$91</f>
        <v>44393.4787671233</v>
      </c>
      <c r="DO97" s="13" t="n">
        <f aca="false">DO$79+DO$85+DO$91</f>
        <v>44393.4787671233</v>
      </c>
      <c r="DP97" s="13" t="n">
        <f aca="false">DP$79+DP$85+DP$91</f>
        <v>44393.4787671233</v>
      </c>
      <c r="DQ97" s="13" t="n">
        <f aca="false">DQ$79+DQ$85+DQ$91</f>
        <v>44393.4787671233</v>
      </c>
      <c r="DR97" s="13" t="n">
        <f aca="false">DR$79+DR$85+DR$91</f>
        <v>44393.4787671233</v>
      </c>
      <c r="DS97" s="13" t="n">
        <f aca="false">DS$79+DS$85+DS$91</f>
        <v>44393.4787671233</v>
      </c>
      <c r="DT97" s="13" t="n">
        <f aca="false">DT$79+DT$85+DT$91</f>
        <v>44393.4787671233</v>
      </c>
      <c r="DU97" s="13" t="n">
        <f aca="false">DU$79+DU$85+DU$91</f>
        <v>44393.4787671233</v>
      </c>
      <c r="DV97" s="13" t="n">
        <f aca="false">DV$79+DV$85+DV$91</f>
        <v>44393.4787671233</v>
      </c>
      <c r="DW97" s="13" t="n">
        <f aca="false">DW$79+DW$85+DW$91</f>
        <v>0</v>
      </c>
      <c r="DX97" s="13" t="n">
        <f aca="false">DX$79+DX$85+DX$91</f>
        <v>0</v>
      </c>
      <c r="DY97" s="13" t="n">
        <f aca="false">DY$79+DY$85+DY$91</f>
        <v>0</v>
      </c>
      <c r="DZ97" s="13" t="n">
        <f aca="false">DZ$79+DZ$85+DZ$91</f>
        <v>0</v>
      </c>
      <c r="EA97" s="13" t="n">
        <f aca="false">EA$79+EA$85+EA$91</f>
        <v>0</v>
      </c>
      <c r="EB97" s="13" t="n">
        <f aca="false">EB$79+EB$85+EB$91</f>
        <v>0</v>
      </c>
      <c r="EC97" s="13" t="n">
        <f aca="false">EC$79+EC$85+EC$91</f>
        <v>0</v>
      </c>
      <c r="ED97" s="13" t="n">
        <f aca="false">ED$79+ED$85+ED$91</f>
        <v>0</v>
      </c>
      <c r="EE97" s="13" t="n">
        <f aca="false">EE$79+EE$85+EE$91</f>
        <v>0</v>
      </c>
      <c r="EF97" s="13" t="n">
        <f aca="false">EF$79+EF$85+EF$91</f>
        <v>0</v>
      </c>
      <c r="EG97" s="13" t="n">
        <f aca="false">EG$79+EG$85+EG$91</f>
        <v>0</v>
      </c>
      <c r="EH97" s="13" t="n">
        <f aca="false">EH$79+EH$85+EH$91</f>
        <v>0</v>
      </c>
      <c r="EI97" s="13" t="n">
        <f aca="false">EI$79+EI$85+EI$91</f>
        <v>0</v>
      </c>
      <c r="EJ97" s="13" t="n">
        <f aca="false">EJ$79+EJ$85+EJ$91</f>
        <v>0</v>
      </c>
      <c r="EK97" s="13" t="n">
        <f aca="false">EK$79+EK$85+EK$91</f>
        <v>0</v>
      </c>
      <c r="EL97" s="13" t="n">
        <f aca="false">EL$79+EL$85+EL$91</f>
        <v>0</v>
      </c>
      <c r="EM97" s="13" t="n">
        <f aca="false">EM$79+EM$85+EM$91</f>
        <v>0</v>
      </c>
      <c r="EN97" s="13" t="n">
        <f aca="false">EN$79+EN$85+EN$91</f>
        <v>0</v>
      </c>
      <c r="EO97" s="13" t="n">
        <f aca="false">EO$79+EO$85+EO$91</f>
        <v>0</v>
      </c>
      <c r="EP97" s="13" t="n">
        <f aca="false">EP$79+EP$85+EP$91</f>
        <v>0</v>
      </c>
      <c r="EQ97" s="13" t="n">
        <f aca="false">EQ$79+EQ$85+EQ$91</f>
        <v>0</v>
      </c>
      <c r="ER97" s="13" t="n">
        <f aca="false">ER$79+ER$85+ER$91</f>
        <v>0</v>
      </c>
      <c r="ES97" s="13" t="n">
        <f aca="false">ES$79+ES$85+ES$91</f>
        <v>0</v>
      </c>
      <c r="ET97" s="13" t="n">
        <f aca="false">ET$79+ET$85+ET$91</f>
        <v>0</v>
      </c>
      <c r="EU97" s="13" t="n">
        <f aca="false">EU$79+EU$85+EU$91</f>
        <v>0</v>
      </c>
      <c r="EV97" s="13" t="n">
        <f aca="false">EV$79+EV$85+EV$91</f>
        <v>0</v>
      </c>
      <c r="EW97" s="13" t="n">
        <f aca="false">EW$79+EW$85+EW$91</f>
        <v>0</v>
      </c>
      <c r="EX97" s="13" t="n">
        <f aca="false">EX$79+EX$85+EX$91</f>
        <v>0</v>
      </c>
      <c r="EY97" s="13" t="n">
        <f aca="false">EY$79+EY$85+EY$91</f>
        <v>0</v>
      </c>
      <c r="EZ97" s="13" t="n">
        <f aca="false">EZ$79+EZ$85+EZ$91</f>
        <v>0</v>
      </c>
      <c r="FA97" s="13" t="n">
        <f aca="false">FA$79+FA$85+FA$91</f>
        <v>0</v>
      </c>
      <c r="FB97" s="13" t="n">
        <f aca="false">FB$79+FB$85+FB$91</f>
        <v>0</v>
      </c>
      <c r="FC97" s="13" t="n">
        <f aca="false">FC$79+FC$85+FC$91</f>
        <v>0</v>
      </c>
      <c r="FD97" s="13" t="n">
        <f aca="false">FD$79+FD$85+FD$91</f>
        <v>0</v>
      </c>
      <c r="FE97" s="13" t="n">
        <f aca="false">FE$79+FE$85+FE$91</f>
        <v>0</v>
      </c>
      <c r="FF97" s="13" t="n">
        <f aca="false">FF$79+FF$85+FF$91</f>
        <v>0</v>
      </c>
    </row>
    <row r="98" customFormat="false" ht="15" hidden="false" customHeight="false" outlineLevel="0" collapsed="false">
      <c r="A98" s="2" t="s">
        <v>1050</v>
      </c>
      <c r="B98" s="66" t="s">
        <v>1051</v>
      </c>
      <c r="C98" s="8" t="s">
        <v>255</v>
      </c>
      <c r="E98" s="67" t="n">
        <f aca="false">SUM($F98:$FF98)</f>
        <v>8059646.82920334</v>
      </c>
      <c r="F98" s="12" t="n">
        <f aca="false">F$82+F$88+F$94</f>
        <v>0</v>
      </c>
      <c r="G98" s="12" t="n">
        <f aca="false">G$82+G$88+G$94</f>
        <v>62014.7084150548</v>
      </c>
      <c r="H98" s="12" t="n">
        <f aca="false">H$82+H$88+H$94</f>
        <v>62014.7084150548</v>
      </c>
      <c r="I98" s="12" t="n">
        <f aca="false">I$82+I$88+I$94</f>
        <v>62014.7084150548</v>
      </c>
      <c r="J98" s="12" t="n">
        <f aca="false">J$82+J$88+J$94</f>
        <v>62014.7084150548</v>
      </c>
      <c r="K98" s="12" t="n">
        <f aca="false">K$82+K$88+K$94</f>
        <v>62014.7084150548</v>
      </c>
      <c r="L98" s="12" t="n">
        <f aca="false">L$82+L$88+L$94</f>
        <v>62014.7084150548</v>
      </c>
      <c r="M98" s="12" t="n">
        <f aca="false">M$82+M$88+M$94</f>
        <v>62014.7084150548</v>
      </c>
      <c r="N98" s="12" t="n">
        <f aca="false">N$82+N$88+N$94</f>
        <v>62014.7084150548</v>
      </c>
      <c r="O98" s="12" t="n">
        <f aca="false">O$82+O$88+O$94</f>
        <v>62014.7084150548</v>
      </c>
      <c r="P98" s="12" t="n">
        <f aca="false">P$82+P$88+P$94</f>
        <v>62014.7084150548</v>
      </c>
      <c r="Q98" s="12" t="n">
        <f aca="false">Q$82+Q$88+Q$94</f>
        <v>62014.7084150548</v>
      </c>
      <c r="R98" s="12" t="n">
        <f aca="false">R$82+R$88+R$94</f>
        <v>62014.7084150548</v>
      </c>
      <c r="S98" s="12" t="n">
        <f aca="false">S$82+S$88+S$94</f>
        <v>62014.7084150548</v>
      </c>
      <c r="T98" s="12" t="n">
        <f aca="false">T$82+T$88+T$94</f>
        <v>62014.7084150548</v>
      </c>
      <c r="U98" s="12" t="n">
        <f aca="false">U$82+U$88+U$94</f>
        <v>62014.7084150548</v>
      </c>
      <c r="V98" s="12" t="n">
        <f aca="false">V$82+V$88+V$94</f>
        <v>62014.7084150548</v>
      </c>
      <c r="W98" s="12" t="n">
        <f aca="false">W$82+W$88+W$94</f>
        <v>62014.7084150548</v>
      </c>
      <c r="X98" s="12" t="n">
        <f aca="false">X$82+X$88+X$94</f>
        <v>62014.7084150548</v>
      </c>
      <c r="Y98" s="12" t="n">
        <f aca="false">Y$82+Y$88+Y$94</f>
        <v>62014.7084150548</v>
      </c>
      <c r="Z98" s="12" t="n">
        <f aca="false">Z$82+Z$88+Z$94</f>
        <v>62014.7084150548</v>
      </c>
      <c r="AA98" s="12" t="n">
        <f aca="false">AA$82+AA$88+AA$94</f>
        <v>62014.7084150548</v>
      </c>
      <c r="AB98" s="12" t="n">
        <f aca="false">AB$82+AB$88+AB$94</f>
        <v>62014.7084150548</v>
      </c>
      <c r="AC98" s="12" t="n">
        <f aca="false">AC$82+AC$88+AC$94</f>
        <v>62014.7084150548</v>
      </c>
      <c r="AD98" s="12" t="n">
        <f aca="false">AD$82+AD$88+AD$94</f>
        <v>62014.7084150548</v>
      </c>
      <c r="AE98" s="12" t="n">
        <f aca="false">AE$82+AE$88+AE$94</f>
        <v>64660.1262588219</v>
      </c>
      <c r="AF98" s="12" t="n">
        <f aca="false">AF$82+AF$88+AF$94</f>
        <v>64660.1262588219</v>
      </c>
      <c r="AG98" s="12" t="n">
        <f aca="false">AG$82+AG$88+AG$94</f>
        <v>64660.1262588219</v>
      </c>
      <c r="AH98" s="12" t="n">
        <f aca="false">AH$82+AH$88+AH$94</f>
        <v>64660.1262588219</v>
      </c>
      <c r="AI98" s="12" t="n">
        <f aca="false">AI$82+AI$88+AI$94</f>
        <v>64660.1262588219</v>
      </c>
      <c r="AJ98" s="12" t="n">
        <f aca="false">AJ$82+AJ$88+AJ$94</f>
        <v>64660.1262588219</v>
      </c>
      <c r="AK98" s="12" t="n">
        <f aca="false">AK$82+AK$88+AK$94</f>
        <v>64660.1262588219</v>
      </c>
      <c r="AL98" s="12" t="n">
        <f aca="false">AL$82+AL$88+AL$94</f>
        <v>64660.1262588219</v>
      </c>
      <c r="AM98" s="12" t="n">
        <f aca="false">AM$82+AM$88+AM$94</f>
        <v>64660.1262588219</v>
      </c>
      <c r="AN98" s="12" t="n">
        <f aca="false">AN$82+AN$88+AN$94</f>
        <v>64660.1262588219</v>
      </c>
      <c r="AO98" s="12" t="n">
        <f aca="false">AO$82+AO$88+AO$94</f>
        <v>64660.1262588219</v>
      </c>
      <c r="AP98" s="12" t="n">
        <f aca="false">AP$82+AP$88+AP$94</f>
        <v>64660.1262588219</v>
      </c>
      <c r="AQ98" s="12" t="n">
        <f aca="false">AQ$82+AQ$88+AQ$94</f>
        <v>66778.4954132192</v>
      </c>
      <c r="AR98" s="12" t="n">
        <f aca="false">AR$82+AR$88+AR$94</f>
        <v>66778.4954132192</v>
      </c>
      <c r="AS98" s="12" t="n">
        <f aca="false">AS$82+AS$88+AS$94</f>
        <v>66778.4954132192</v>
      </c>
      <c r="AT98" s="12" t="n">
        <f aca="false">AT$82+AT$88+AT$94</f>
        <v>66778.4954132192</v>
      </c>
      <c r="AU98" s="12" t="n">
        <f aca="false">AU$82+AU$88+AU$94</f>
        <v>66778.4954132192</v>
      </c>
      <c r="AV98" s="12" t="n">
        <f aca="false">AV$82+AV$88+AV$94</f>
        <v>66778.4954132192</v>
      </c>
      <c r="AW98" s="12" t="n">
        <f aca="false">AW$82+AW$88+AW$94</f>
        <v>66778.4954132192</v>
      </c>
      <c r="AX98" s="12" t="n">
        <f aca="false">AX$82+AX$88+AX$94</f>
        <v>66778.4954132192</v>
      </c>
      <c r="AY98" s="12" t="n">
        <f aca="false">AY$82+AY$88+AY$94</f>
        <v>66778.4954132192</v>
      </c>
      <c r="AZ98" s="12" t="n">
        <f aca="false">AZ$82+AZ$88+AZ$94</f>
        <v>66778.4954132192</v>
      </c>
      <c r="BA98" s="12" t="n">
        <f aca="false">BA$82+BA$88+BA$94</f>
        <v>66778.4954132192</v>
      </c>
      <c r="BB98" s="12" t="n">
        <f aca="false">BB$82+BB$88+BB$94</f>
        <v>66778.4954132192</v>
      </c>
      <c r="BC98" s="12" t="n">
        <f aca="false">BC$82+BC$88+BC$94</f>
        <v>69361.5328774658</v>
      </c>
      <c r="BD98" s="12" t="n">
        <f aca="false">BD$82+BD$88+BD$94</f>
        <v>69361.5328774658</v>
      </c>
      <c r="BE98" s="12" t="n">
        <f aca="false">BE$82+BE$88+BE$94</f>
        <v>69361.5328774658</v>
      </c>
      <c r="BF98" s="12" t="n">
        <f aca="false">BF$82+BF$88+BF$94</f>
        <v>69361.5328774658</v>
      </c>
      <c r="BG98" s="12" t="n">
        <f aca="false">BG$82+BG$88+BG$94</f>
        <v>69361.5328774658</v>
      </c>
      <c r="BH98" s="12" t="n">
        <f aca="false">BH$82+BH$88+BH$94</f>
        <v>69361.5328774658</v>
      </c>
      <c r="BI98" s="12" t="n">
        <f aca="false">BI$82+BI$88+BI$94</f>
        <v>69361.5328774658</v>
      </c>
      <c r="BJ98" s="12" t="n">
        <f aca="false">BJ$82+BJ$88+BJ$94</f>
        <v>69361.5328774658</v>
      </c>
      <c r="BK98" s="12" t="n">
        <f aca="false">BK$82+BK$88+BK$94</f>
        <v>69361.5328774658</v>
      </c>
      <c r="BL98" s="12" t="n">
        <f aca="false">BL$82+BL$88+BL$94</f>
        <v>69361.5328774658</v>
      </c>
      <c r="BM98" s="12" t="n">
        <f aca="false">BM$82+BM$88+BM$94</f>
        <v>69361.5328774658</v>
      </c>
      <c r="BN98" s="12" t="n">
        <f aca="false">BN$82+BN$88+BN$94</f>
        <v>69361.5328774658</v>
      </c>
      <c r="BO98" s="12" t="n">
        <f aca="false">BO$82+BO$88+BO$94</f>
        <v>69361.5328774658</v>
      </c>
      <c r="BP98" s="12" t="n">
        <f aca="false">BP$82+BP$88+BP$94</f>
        <v>69361.5328774658</v>
      </c>
      <c r="BQ98" s="12" t="n">
        <f aca="false">BQ$82+BQ$88+BQ$94</f>
        <v>69361.5328774658</v>
      </c>
      <c r="BR98" s="12" t="n">
        <f aca="false">BR$82+BR$88+BR$94</f>
        <v>69361.5328774658</v>
      </c>
      <c r="BS98" s="12" t="n">
        <f aca="false">BS$82+BS$88+BS$94</f>
        <v>69361.5328774658</v>
      </c>
      <c r="BT98" s="12" t="n">
        <f aca="false">BT$82+BT$88+BT$94</f>
        <v>69361.5328774658</v>
      </c>
      <c r="BU98" s="12" t="n">
        <f aca="false">BU$82+BU$88+BU$94</f>
        <v>69361.5328774658</v>
      </c>
      <c r="BV98" s="12" t="n">
        <f aca="false">BV$82+BV$88+BV$94</f>
        <v>69361.5328774658</v>
      </c>
      <c r="BW98" s="12" t="n">
        <f aca="false">BW$82+BW$88+BW$94</f>
        <v>69361.5328774658</v>
      </c>
      <c r="BX98" s="12" t="n">
        <f aca="false">BX$82+BX$88+BX$94</f>
        <v>69361.5328774658</v>
      </c>
      <c r="BY98" s="12" t="n">
        <f aca="false">BY$82+BY$88+BY$94</f>
        <v>69361.5328774658</v>
      </c>
      <c r="BZ98" s="12" t="n">
        <f aca="false">BZ$82+BZ$88+BZ$94</f>
        <v>69361.5328774658</v>
      </c>
      <c r="CA98" s="12" t="n">
        <f aca="false">CA$82+CA$88+CA$94</f>
        <v>69361.5328774658</v>
      </c>
      <c r="CB98" s="12" t="n">
        <f aca="false">CB$82+CB$88+CB$94</f>
        <v>69361.5328774658</v>
      </c>
      <c r="CC98" s="12" t="n">
        <f aca="false">CC$82+CC$88+CC$94</f>
        <v>69361.5328774658</v>
      </c>
      <c r="CD98" s="12" t="n">
        <f aca="false">CD$82+CD$88+CD$94</f>
        <v>69361.5328774658</v>
      </c>
      <c r="CE98" s="12" t="n">
        <f aca="false">CE$82+CE$88+CE$94</f>
        <v>69361.5328774658</v>
      </c>
      <c r="CF98" s="12" t="n">
        <f aca="false">CF$82+CF$88+CF$94</f>
        <v>69361.5328774658</v>
      </c>
      <c r="CG98" s="12" t="n">
        <f aca="false">CG$82+CG$88+CG$94</f>
        <v>69361.5328774658</v>
      </c>
      <c r="CH98" s="12" t="n">
        <f aca="false">CH$82+CH$88+CH$94</f>
        <v>69361.5328774658</v>
      </c>
      <c r="CI98" s="12" t="n">
        <f aca="false">CI$82+CI$88+CI$94</f>
        <v>69361.5328774658</v>
      </c>
      <c r="CJ98" s="12" t="n">
        <f aca="false">CJ$82+CJ$88+CJ$94</f>
        <v>69361.5328774658</v>
      </c>
      <c r="CK98" s="12" t="n">
        <f aca="false">CK$82+CK$88+CK$94</f>
        <v>69361.5328774658</v>
      </c>
      <c r="CL98" s="12" t="n">
        <f aca="false">CL$82+CL$88+CL$94</f>
        <v>69361.5328774658</v>
      </c>
      <c r="CM98" s="12" t="n">
        <f aca="false">CM$82+CM$88+CM$94</f>
        <v>69361.5328774658</v>
      </c>
      <c r="CN98" s="12" t="n">
        <f aca="false">CN$82+CN$88+CN$94</f>
        <v>69361.5328774658</v>
      </c>
      <c r="CO98" s="12" t="n">
        <f aca="false">CO$82+CO$88+CO$94</f>
        <v>69361.5328774658</v>
      </c>
      <c r="CP98" s="12" t="n">
        <f aca="false">CP$82+CP$88+CP$94</f>
        <v>69361.5328774658</v>
      </c>
      <c r="CQ98" s="12" t="n">
        <f aca="false">CQ$82+CQ$88+CQ$94</f>
        <v>69361.5328774658</v>
      </c>
      <c r="CR98" s="12" t="n">
        <f aca="false">CR$82+CR$88+CR$94</f>
        <v>69361.5328774658</v>
      </c>
      <c r="CS98" s="12" t="n">
        <f aca="false">CS$82+CS$88+CS$94</f>
        <v>69361.5328774658</v>
      </c>
      <c r="CT98" s="12" t="n">
        <f aca="false">CT$82+CT$88+CT$94</f>
        <v>69361.5328774658</v>
      </c>
      <c r="CU98" s="12" t="n">
        <f aca="false">CU$82+CU$88+CU$94</f>
        <v>69361.5328774658</v>
      </c>
      <c r="CV98" s="12" t="n">
        <f aca="false">CV$82+CV$88+CV$94</f>
        <v>69361.5328774658</v>
      </c>
      <c r="CW98" s="12" t="n">
        <f aca="false">CW$82+CW$88+CW$94</f>
        <v>69361.5328774658</v>
      </c>
      <c r="CX98" s="12" t="n">
        <f aca="false">CX$82+CX$88+CX$94</f>
        <v>69361.5328774658</v>
      </c>
      <c r="CY98" s="12" t="n">
        <f aca="false">CY$82+CY$88+CY$94</f>
        <v>69361.5328774658</v>
      </c>
      <c r="CZ98" s="12" t="n">
        <f aca="false">CZ$82+CZ$88+CZ$94</f>
        <v>69361.5328774658</v>
      </c>
      <c r="DA98" s="12" t="n">
        <f aca="false">DA$82+DA$88+DA$94</f>
        <v>69361.5328774658</v>
      </c>
      <c r="DB98" s="12" t="n">
        <f aca="false">DB$82+DB$88+DB$94</f>
        <v>69361.5328774658</v>
      </c>
      <c r="DC98" s="12" t="n">
        <f aca="false">DC$82+DC$88+DC$94</f>
        <v>69361.5328774658</v>
      </c>
      <c r="DD98" s="12" t="n">
        <f aca="false">DD$82+DD$88+DD$94</f>
        <v>69361.5328774658</v>
      </c>
      <c r="DE98" s="12" t="n">
        <f aca="false">DE$82+DE$88+DE$94</f>
        <v>69361.5328774658</v>
      </c>
      <c r="DF98" s="12" t="n">
        <f aca="false">DF$82+DF$88+DF$94</f>
        <v>69361.5328774658</v>
      </c>
      <c r="DG98" s="12" t="n">
        <f aca="false">DG$82+DG$88+DG$94</f>
        <v>69361.5328774658</v>
      </c>
      <c r="DH98" s="12" t="n">
        <f aca="false">DH$82+DH$88+DH$94</f>
        <v>69361.5328774658</v>
      </c>
      <c r="DI98" s="12" t="n">
        <f aca="false">DI$82+DI$88+DI$94</f>
        <v>69361.5328774658</v>
      </c>
      <c r="DJ98" s="12" t="n">
        <f aca="false">DJ$82+DJ$88+DJ$94</f>
        <v>69361.5328774658</v>
      </c>
      <c r="DK98" s="12" t="n">
        <f aca="false">DK$82+DK$88+DK$94</f>
        <v>69361.5328774658</v>
      </c>
      <c r="DL98" s="12" t="n">
        <f aca="false">DL$82+DL$88+DL$94</f>
        <v>69361.5328774658</v>
      </c>
      <c r="DM98" s="12" t="n">
        <f aca="false">DM$82+DM$88+DM$94</f>
        <v>69361.5328774658</v>
      </c>
      <c r="DN98" s="12" t="n">
        <f aca="false">DN$82+DN$88+DN$94</f>
        <v>69361.5328774658</v>
      </c>
      <c r="DO98" s="12" t="n">
        <f aca="false">DO$82+DO$88+DO$94</f>
        <v>69361.5328774658</v>
      </c>
      <c r="DP98" s="12" t="n">
        <f aca="false">DP$82+DP$88+DP$94</f>
        <v>69361.5328774658</v>
      </c>
      <c r="DQ98" s="12" t="n">
        <f aca="false">DQ$82+DQ$88+DQ$94</f>
        <v>69361.5328774658</v>
      </c>
      <c r="DR98" s="12" t="n">
        <f aca="false">DR$82+DR$88+DR$94</f>
        <v>69361.5328774658</v>
      </c>
      <c r="DS98" s="12" t="n">
        <f aca="false">DS$82+DS$88+DS$94</f>
        <v>69361.5328774658</v>
      </c>
      <c r="DT98" s="12" t="n">
        <f aca="false">DT$82+DT$88+DT$94</f>
        <v>69361.5328774658</v>
      </c>
      <c r="DU98" s="12" t="n">
        <f aca="false">DU$82+DU$88+DU$94</f>
        <v>69361.5328774658</v>
      </c>
      <c r="DV98" s="12" t="n">
        <f aca="false">DV$82+DV$88+DV$94</f>
        <v>69361.5328774658</v>
      </c>
      <c r="DW98" s="12" t="n">
        <f aca="false">DW$82+DW$88+DW$94</f>
        <v>0</v>
      </c>
      <c r="DX98" s="12" t="n">
        <f aca="false">DX$82+DX$88+DX$94</f>
        <v>0</v>
      </c>
      <c r="DY98" s="12" t="n">
        <f aca="false">DY$82+DY$88+DY$94</f>
        <v>0</v>
      </c>
      <c r="DZ98" s="12" t="n">
        <f aca="false">DZ$82+DZ$88+DZ$94</f>
        <v>0</v>
      </c>
      <c r="EA98" s="12" t="n">
        <f aca="false">EA$82+EA$88+EA$94</f>
        <v>0</v>
      </c>
      <c r="EB98" s="12" t="n">
        <f aca="false">EB$82+EB$88+EB$94</f>
        <v>0</v>
      </c>
      <c r="EC98" s="12" t="n">
        <f aca="false">EC$82+EC$88+EC$94</f>
        <v>0</v>
      </c>
      <c r="ED98" s="12" t="n">
        <f aca="false">ED$82+ED$88+ED$94</f>
        <v>0</v>
      </c>
      <c r="EE98" s="12" t="n">
        <f aca="false">EE$82+EE$88+EE$94</f>
        <v>0</v>
      </c>
      <c r="EF98" s="12" t="n">
        <f aca="false">EF$82+EF$88+EF$94</f>
        <v>0</v>
      </c>
      <c r="EG98" s="12" t="n">
        <f aca="false">EG$82+EG$88+EG$94</f>
        <v>0</v>
      </c>
      <c r="EH98" s="12" t="n">
        <f aca="false">EH$82+EH$88+EH$94</f>
        <v>0</v>
      </c>
      <c r="EI98" s="12" t="n">
        <f aca="false">EI$82+EI$88+EI$94</f>
        <v>0</v>
      </c>
      <c r="EJ98" s="12" t="n">
        <f aca="false">EJ$82+EJ$88+EJ$94</f>
        <v>0</v>
      </c>
      <c r="EK98" s="12" t="n">
        <f aca="false">EK$82+EK$88+EK$94</f>
        <v>0</v>
      </c>
      <c r="EL98" s="12" t="n">
        <f aca="false">EL$82+EL$88+EL$94</f>
        <v>0</v>
      </c>
      <c r="EM98" s="12" t="n">
        <f aca="false">EM$82+EM$88+EM$94</f>
        <v>0</v>
      </c>
      <c r="EN98" s="12" t="n">
        <f aca="false">EN$82+EN$88+EN$94</f>
        <v>0</v>
      </c>
      <c r="EO98" s="12" t="n">
        <f aca="false">EO$82+EO$88+EO$94</f>
        <v>0</v>
      </c>
      <c r="EP98" s="12" t="n">
        <f aca="false">EP$82+EP$88+EP$94</f>
        <v>0</v>
      </c>
      <c r="EQ98" s="12" t="n">
        <f aca="false">EQ$82+EQ$88+EQ$94</f>
        <v>0</v>
      </c>
      <c r="ER98" s="12" t="n">
        <f aca="false">ER$82+ER$88+ER$94</f>
        <v>0</v>
      </c>
      <c r="ES98" s="12" t="n">
        <f aca="false">ES$82+ES$88+ES$94</f>
        <v>0</v>
      </c>
      <c r="ET98" s="12" t="n">
        <f aca="false">ET$82+ET$88+ET$94</f>
        <v>0</v>
      </c>
      <c r="EU98" s="12" t="n">
        <f aca="false">EU$82+EU$88+EU$94</f>
        <v>0</v>
      </c>
      <c r="EV98" s="12" t="n">
        <f aca="false">EV$82+EV$88+EV$94</f>
        <v>0</v>
      </c>
      <c r="EW98" s="12" t="n">
        <f aca="false">EW$82+EW$88+EW$94</f>
        <v>0</v>
      </c>
      <c r="EX98" s="12" t="n">
        <f aca="false">EX$82+EX$88+EX$94</f>
        <v>0</v>
      </c>
      <c r="EY98" s="12" t="n">
        <f aca="false">EY$82+EY$88+EY$94</f>
        <v>0</v>
      </c>
      <c r="EZ98" s="12" t="n">
        <f aca="false">EZ$82+EZ$88+EZ$94</f>
        <v>0</v>
      </c>
      <c r="FA98" s="12" t="n">
        <f aca="false">FA$82+FA$88+FA$94</f>
        <v>0</v>
      </c>
      <c r="FB98" s="12" t="n">
        <f aca="false">FB$82+FB$88+FB$94</f>
        <v>0</v>
      </c>
      <c r="FC98" s="12" t="n">
        <f aca="false">FC$82+FC$88+FC$94</f>
        <v>0</v>
      </c>
      <c r="FD98" s="12" t="n">
        <f aca="false">FD$82+FD$88+FD$94</f>
        <v>0</v>
      </c>
      <c r="FE98" s="12" t="n">
        <f aca="false">FE$82+FE$88+FE$94</f>
        <v>0</v>
      </c>
      <c r="FF98" s="12" t="n">
        <f aca="false">FF$82+FF$88+FF$94</f>
        <v>0</v>
      </c>
    </row>
    <row r="99" customFormat="false" ht="15" hidden="false" customHeight="false" outlineLevel="0" collapsed="false">
      <c r="A99" s="4"/>
      <c r="B99" s="3" t="s">
        <v>1052</v>
      </c>
      <c r="C99" s="4"/>
      <c r="D99" s="4"/>
      <c r="E99" s="4"/>
    </row>
    <row r="100" customFormat="false" ht="15" hidden="false" customHeight="false" outlineLevel="0" collapsed="false">
      <c r="A100" s="2" t="s">
        <v>1053</v>
      </c>
      <c r="B100" s="8" t="s">
        <v>1054</v>
      </c>
      <c r="C100" s="8" t="s">
        <v>263</v>
      </c>
      <c r="F100" s="53" t="n">
        <f aca="false">e_MPg*(1+e_MPvar)*(1+e_MPgr)^(Calendario!F$19-1)</f>
        <v>82.65</v>
      </c>
      <c r="G100" s="53" t="n">
        <f aca="false">e_MPg*(1+e_MPvar)*(1+e_MPgr)^(Calendario!G$19-1)</f>
        <v>82.65</v>
      </c>
      <c r="H100" s="53" t="n">
        <f aca="false">e_MPg*(1+e_MPvar)*(1+e_MPgr)^(Calendario!H$19-1)</f>
        <v>82.65</v>
      </c>
      <c r="I100" s="53" t="n">
        <f aca="false">e_MPg*(1+e_MPvar)*(1+e_MPgr)^(Calendario!I$19-1)</f>
        <v>82.65</v>
      </c>
      <c r="J100" s="53" t="n">
        <f aca="false">e_MPg*(1+e_MPvar)*(1+e_MPgr)^(Calendario!J$19-1)</f>
        <v>82.65</v>
      </c>
      <c r="K100" s="53" t="n">
        <f aca="false">e_MPg*(1+e_MPvar)*(1+e_MPgr)^(Calendario!K$19-1)</f>
        <v>82.65</v>
      </c>
      <c r="L100" s="53" t="n">
        <f aca="false">e_MPg*(1+e_MPvar)*(1+e_MPgr)^(Calendario!L$19-1)</f>
        <v>82.65</v>
      </c>
      <c r="M100" s="53" t="n">
        <f aca="false">e_MPg*(1+e_MPvar)*(1+e_MPgr)^(Calendario!M$19-1)</f>
        <v>82.65</v>
      </c>
      <c r="N100" s="53" t="n">
        <f aca="false">e_MPg*(1+e_MPvar)*(1+e_MPgr)^(Calendario!N$19-1)</f>
        <v>82.65</v>
      </c>
      <c r="O100" s="53" t="n">
        <f aca="false">e_MPg*(1+e_MPvar)*(1+e_MPgr)^(Calendario!O$19-1)</f>
        <v>82.65</v>
      </c>
      <c r="P100" s="53" t="n">
        <f aca="false">e_MPg*(1+e_MPvar)*(1+e_MPgr)^(Calendario!P$19-1)</f>
        <v>82.65</v>
      </c>
      <c r="Q100" s="53" t="n">
        <f aca="false">e_MPg*(1+e_MPvar)*(1+e_MPgr)^(Calendario!Q$19-1)</f>
        <v>82.65</v>
      </c>
      <c r="R100" s="53" t="n">
        <f aca="false">e_MPg*(1+e_MPvar)*(1+e_MPgr)^(Calendario!R$19-1)</f>
        <v>82.65</v>
      </c>
      <c r="S100" s="53" t="n">
        <f aca="false">e_MPg*(1+e_MPvar)*(1+e_MPgr)^(Calendario!S$19-1)</f>
        <v>83.4765</v>
      </c>
      <c r="T100" s="53" t="n">
        <f aca="false">e_MPg*(1+e_MPvar)*(1+e_MPgr)^(Calendario!T$19-1)</f>
        <v>83.4765</v>
      </c>
      <c r="U100" s="53" t="n">
        <f aca="false">e_MPg*(1+e_MPvar)*(1+e_MPgr)^(Calendario!U$19-1)</f>
        <v>83.4765</v>
      </c>
      <c r="V100" s="53" t="n">
        <f aca="false">e_MPg*(1+e_MPvar)*(1+e_MPgr)^(Calendario!V$19-1)</f>
        <v>83.4765</v>
      </c>
      <c r="W100" s="53" t="n">
        <f aca="false">e_MPg*(1+e_MPvar)*(1+e_MPgr)^(Calendario!W$19-1)</f>
        <v>83.4765</v>
      </c>
      <c r="X100" s="53" t="n">
        <f aca="false">e_MPg*(1+e_MPvar)*(1+e_MPgr)^(Calendario!X$19-1)</f>
        <v>83.4765</v>
      </c>
      <c r="Y100" s="53" t="n">
        <f aca="false">e_MPg*(1+e_MPvar)*(1+e_MPgr)^(Calendario!Y$19-1)</f>
        <v>83.4765</v>
      </c>
      <c r="Z100" s="53" t="n">
        <f aca="false">e_MPg*(1+e_MPvar)*(1+e_MPgr)^(Calendario!Z$19-1)</f>
        <v>83.4765</v>
      </c>
      <c r="AA100" s="53" t="n">
        <f aca="false">e_MPg*(1+e_MPvar)*(1+e_MPgr)^(Calendario!AA$19-1)</f>
        <v>83.4765</v>
      </c>
      <c r="AB100" s="53" t="n">
        <f aca="false">e_MPg*(1+e_MPvar)*(1+e_MPgr)^(Calendario!AB$19-1)</f>
        <v>83.4765</v>
      </c>
      <c r="AC100" s="53" t="n">
        <f aca="false">e_MPg*(1+e_MPvar)*(1+e_MPgr)^(Calendario!AC$19-1)</f>
        <v>83.4765</v>
      </c>
      <c r="AD100" s="53" t="n">
        <f aca="false">e_MPg*(1+e_MPvar)*(1+e_MPgr)^(Calendario!AD$19-1)</f>
        <v>83.4765</v>
      </c>
      <c r="AE100" s="53" t="n">
        <f aca="false">e_MPg*(1+e_MPvar)*(1+e_MPgr)^(Calendario!AE$19-1)</f>
        <v>84.311265</v>
      </c>
      <c r="AF100" s="53" t="n">
        <f aca="false">e_MPg*(1+e_MPvar)*(1+e_MPgr)^(Calendario!AF$19-1)</f>
        <v>84.311265</v>
      </c>
      <c r="AG100" s="53" t="n">
        <f aca="false">e_MPg*(1+e_MPvar)*(1+e_MPgr)^(Calendario!AG$19-1)</f>
        <v>84.311265</v>
      </c>
      <c r="AH100" s="53" t="n">
        <f aca="false">e_MPg*(1+e_MPvar)*(1+e_MPgr)^(Calendario!AH$19-1)</f>
        <v>84.311265</v>
      </c>
      <c r="AI100" s="53" t="n">
        <f aca="false">e_MPg*(1+e_MPvar)*(1+e_MPgr)^(Calendario!AI$19-1)</f>
        <v>84.311265</v>
      </c>
      <c r="AJ100" s="53" t="n">
        <f aca="false">e_MPg*(1+e_MPvar)*(1+e_MPgr)^(Calendario!AJ$19-1)</f>
        <v>84.311265</v>
      </c>
      <c r="AK100" s="53" t="n">
        <f aca="false">e_MPg*(1+e_MPvar)*(1+e_MPgr)^(Calendario!AK$19-1)</f>
        <v>84.311265</v>
      </c>
      <c r="AL100" s="53" t="n">
        <f aca="false">e_MPg*(1+e_MPvar)*(1+e_MPgr)^(Calendario!AL$19-1)</f>
        <v>84.311265</v>
      </c>
      <c r="AM100" s="53" t="n">
        <f aca="false">e_MPg*(1+e_MPvar)*(1+e_MPgr)^(Calendario!AM$19-1)</f>
        <v>84.311265</v>
      </c>
      <c r="AN100" s="53" t="n">
        <f aca="false">e_MPg*(1+e_MPvar)*(1+e_MPgr)^(Calendario!AN$19-1)</f>
        <v>84.311265</v>
      </c>
      <c r="AO100" s="53" t="n">
        <f aca="false">e_MPg*(1+e_MPvar)*(1+e_MPgr)^(Calendario!AO$19-1)</f>
        <v>84.311265</v>
      </c>
      <c r="AP100" s="53" t="n">
        <f aca="false">e_MPg*(1+e_MPvar)*(1+e_MPgr)^(Calendario!AP$19-1)</f>
        <v>84.311265</v>
      </c>
      <c r="AQ100" s="53" t="n">
        <f aca="false">e_MPg*(1+e_MPvar)*(1+e_MPgr)^(Calendario!AQ$19-1)</f>
        <v>85.15437765</v>
      </c>
      <c r="AR100" s="53" t="n">
        <f aca="false">e_MPg*(1+e_MPvar)*(1+e_MPgr)^(Calendario!AR$19-1)</f>
        <v>85.15437765</v>
      </c>
      <c r="AS100" s="53" t="n">
        <f aca="false">e_MPg*(1+e_MPvar)*(1+e_MPgr)^(Calendario!AS$19-1)</f>
        <v>85.15437765</v>
      </c>
      <c r="AT100" s="53" t="n">
        <f aca="false">e_MPg*(1+e_MPvar)*(1+e_MPgr)^(Calendario!AT$19-1)</f>
        <v>85.15437765</v>
      </c>
      <c r="AU100" s="53" t="n">
        <f aca="false">e_MPg*(1+e_MPvar)*(1+e_MPgr)^(Calendario!AU$19-1)</f>
        <v>85.15437765</v>
      </c>
      <c r="AV100" s="53" t="n">
        <f aca="false">e_MPg*(1+e_MPvar)*(1+e_MPgr)^(Calendario!AV$19-1)</f>
        <v>85.15437765</v>
      </c>
      <c r="AW100" s="53" t="n">
        <f aca="false">e_MPg*(1+e_MPvar)*(1+e_MPgr)^(Calendario!AW$19-1)</f>
        <v>85.15437765</v>
      </c>
      <c r="AX100" s="53" t="n">
        <f aca="false">e_MPg*(1+e_MPvar)*(1+e_MPgr)^(Calendario!AX$19-1)</f>
        <v>85.15437765</v>
      </c>
      <c r="AY100" s="53" t="n">
        <f aca="false">e_MPg*(1+e_MPvar)*(1+e_MPgr)^(Calendario!AY$19-1)</f>
        <v>85.15437765</v>
      </c>
      <c r="AZ100" s="53" t="n">
        <f aca="false">e_MPg*(1+e_MPvar)*(1+e_MPgr)^(Calendario!AZ$19-1)</f>
        <v>85.15437765</v>
      </c>
      <c r="BA100" s="53" t="n">
        <f aca="false">e_MPg*(1+e_MPvar)*(1+e_MPgr)^(Calendario!BA$19-1)</f>
        <v>85.15437765</v>
      </c>
      <c r="BB100" s="53" t="n">
        <f aca="false">e_MPg*(1+e_MPvar)*(1+e_MPgr)^(Calendario!BB$19-1)</f>
        <v>85.15437765</v>
      </c>
      <c r="BC100" s="53" t="n">
        <f aca="false">e_MPg*(1+e_MPvar)*(1+e_MPgr)^(Calendario!BC$19-1)</f>
        <v>86.0059214265</v>
      </c>
      <c r="BD100" s="53" t="n">
        <f aca="false">e_MPg*(1+e_MPvar)*(1+e_MPgr)^(Calendario!BD$19-1)</f>
        <v>86.0059214265</v>
      </c>
      <c r="BE100" s="53" t="n">
        <f aca="false">e_MPg*(1+e_MPvar)*(1+e_MPgr)^(Calendario!BE$19-1)</f>
        <v>86.0059214265</v>
      </c>
      <c r="BF100" s="53" t="n">
        <f aca="false">e_MPg*(1+e_MPvar)*(1+e_MPgr)^(Calendario!BF$19-1)</f>
        <v>86.0059214265</v>
      </c>
      <c r="BG100" s="53" t="n">
        <f aca="false">e_MPg*(1+e_MPvar)*(1+e_MPgr)^(Calendario!BG$19-1)</f>
        <v>86.0059214265</v>
      </c>
      <c r="BH100" s="53" t="n">
        <f aca="false">e_MPg*(1+e_MPvar)*(1+e_MPgr)^(Calendario!BH$19-1)</f>
        <v>86.0059214265</v>
      </c>
      <c r="BI100" s="53" t="n">
        <f aca="false">e_MPg*(1+e_MPvar)*(1+e_MPgr)^(Calendario!BI$19-1)</f>
        <v>86.0059214265</v>
      </c>
      <c r="BJ100" s="53" t="n">
        <f aca="false">e_MPg*(1+e_MPvar)*(1+e_MPgr)^(Calendario!BJ$19-1)</f>
        <v>86.0059214265</v>
      </c>
      <c r="BK100" s="53" t="n">
        <f aca="false">e_MPg*(1+e_MPvar)*(1+e_MPgr)^(Calendario!BK$19-1)</f>
        <v>86.0059214265</v>
      </c>
      <c r="BL100" s="53" t="n">
        <f aca="false">e_MPg*(1+e_MPvar)*(1+e_MPgr)^(Calendario!BL$19-1)</f>
        <v>86.0059214265</v>
      </c>
      <c r="BM100" s="53" t="n">
        <f aca="false">e_MPg*(1+e_MPvar)*(1+e_MPgr)^(Calendario!BM$19-1)</f>
        <v>86.0059214265</v>
      </c>
      <c r="BN100" s="53" t="n">
        <f aca="false">e_MPg*(1+e_MPvar)*(1+e_MPgr)^(Calendario!BN$19-1)</f>
        <v>86.0059214265</v>
      </c>
      <c r="BO100" s="53" t="n">
        <f aca="false">e_MPg*(1+e_MPvar)*(1+e_MPgr)^(Calendario!BO$19-1)</f>
        <v>86.865980640765</v>
      </c>
      <c r="BP100" s="53" t="n">
        <f aca="false">e_MPg*(1+e_MPvar)*(1+e_MPgr)^(Calendario!BP$19-1)</f>
        <v>86.865980640765</v>
      </c>
      <c r="BQ100" s="53" t="n">
        <f aca="false">e_MPg*(1+e_MPvar)*(1+e_MPgr)^(Calendario!BQ$19-1)</f>
        <v>86.865980640765</v>
      </c>
      <c r="BR100" s="53" t="n">
        <f aca="false">e_MPg*(1+e_MPvar)*(1+e_MPgr)^(Calendario!BR$19-1)</f>
        <v>86.865980640765</v>
      </c>
      <c r="BS100" s="53" t="n">
        <f aca="false">e_MPg*(1+e_MPvar)*(1+e_MPgr)^(Calendario!BS$19-1)</f>
        <v>86.865980640765</v>
      </c>
      <c r="BT100" s="53" t="n">
        <f aca="false">e_MPg*(1+e_MPvar)*(1+e_MPgr)^(Calendario!BT$19-1)</f>
        <v>86.865980640765</v>
      </c>
      <c r="BU100" s="53" t="n">
        <f aca="false">e_MPg*(1+e_MPvar)*(1+e_MPgr)^(Calendario!BU$19-1)</f>
        <v>86.865980640765</v>
      </c>
      <c r="BV100" s="53" t="n">
        <f aca="false">e_MPg*(1+e_MPvar)*(1+e_MPgr)^(Calendario!BV$19-1)</f>
        <v>86.865980640765</v>
      </c>
      <c r="BW100" s="53" t="n">
        <f aca="false">e_MPg*(1+e_MPvar)*(1+e_MPgr)^(Calendario!BW$19-1)</f>
        <v>86.865980640765</v>
      </c>
      <c r="BX100" s="53" t="n">
        <f aca="false">e_MPg*(1+e_MPvar)*(1+e_MPgr)^(Calendario!BX$19-1)</f>
        <v>86.865980640765</v>
      </c>
      <c r="BY100" s="53" t="n">
        <f aca="false">e_MPg*(1+e_MPvar)*(1+e_MPgr)^(Calendario!BY$19-1)</f>
        <v>86.865980640765</v>
      </c>
      <c r="BZ100" s="53" t="n">
        <f aca="false">e_MPg*(1+e_MPvar)*(1+e_MPgr)^(Calendario!BZ$19-1)</f>
        <v>86.865980640765</v>
      </c>
      <c r="CA100" s="53" t="n">
        <f aca="false">e_MPg*(1+e_MPvar)*(1+e_MPgr)^(Calendario!CA$19-1)</f>
        <v>87.7346404471727</v>
      </c>
      <c r="CB100" s="53" t="n">
        <f aca="false">e_MPg*(1+e_MPvar)*(1+e_MPgr)^(Calendario!CB$19-1)</f>
        <v>87.7346404471727</v>
      </c>
      <c r="CC100" s="53" t="n">
        <f aca="false">e_MPg*(1+e_MPvar)*(1+e_MPgr)^(Calendario!CC$19-1)</f>
        <v>87.7346404471727</v>
      </c>
      <c r="CD100" s="53" t="n">
        <f aca="false">e_MPg*(1+e_MPvar)*(1+e_MPgr)^(Calendario!CD$19-1)</f>
        <v>87.7346404471727</v>
      </c>
      <c r="CE100" s="53" t="n">
        <f aca="false">e_MPg*(1+e_MPvar)*(1+e_MPgr)^(Calendario!CE$19-1)</f>
        <v>87.7346404471727</v>
      </c>
      <c r="CF100" s="53" t="n">
        <f aca="false">e_MPg*(1+e_MPvar)*(1+e_MPgr)^(Calendario!CF$19-1)</f>
        <v>87.7346404471727</v>
      </c>
      <c r="CG100" s="53" t="n">
        <f aca="false">e_MPg*(1+e_MPvar)*(1+e_MPgr)^(Calendario!CG$19-1)</f>
        <v>87.7346404471727</v>
      </c>
      <c r="CH100" s="53" t="n">
        <f aca="false">e_MPg*(1+e_MPvar)*(1+e_MPgr)^(Calendario!CH$19-1)</f>
        <v>87.7346404471727</v>
      </c>
      <c r="CI100" s="53" t="n">
        <f aca="false">e_MPg*(1+e_MPvar)*(1+e_MPgr)^(Calendario!CI$19-1)</f>
        <v>87.7346404471727</v>
      </c>
      <c r="CJ100" s="53" t="n">
        <f aca="false">e_MPg*(1+e_MPvar)*(1+e_MPgr)^(Calendario!CJ$19-1)</f>
        <v>87.7346404471727</v>
      </c>
      <c r="CK100" s="53" t="n">
        <f aca="false">e_MPg*(1+e_MPvar)*(1+e_MPgr)^(Calendario!CK$19-1)</f>
        <v>87.7346404471727</v>
      </c>
      <c r="CL100" s="53" t="n">
        <f aca="false">e_MPg*(1+e_MPvar)*(1+e_MPgr)^(Calendario!CL$19-1)</f>
        <v>87.7346404471727</v>
      </c>
      <c r="CM100" s="53" t="n">
        <f aca="false">e_MPg*(1+e_MPvar)*(1+e_MPgr)^(Calendario!CM$19-1)</f>
        <v>88.6119868516444</v>
      </c>
      <c r="CN100" s="53" t="n">
        <f aca="false">e_MPg*(1+e_MPvar)*(1+e_MPgr)^(Calendario!CN$19-1)</f>
        <v>88.6119868516444</v>
      </c>
      <c r="CO100" s="53" t="n">
        <f aca="false">e_MPg*(1+e_MPvar)*(1+e_MPgr)^(Calendario!CO$19-1)</f>
        <v>88.6119868516444</v>
      </c>
      <c r="CP100" s="53" t="n">
        <f aca="false">e_MPg*(1+e_MPvar)*(1+e_MPgr)^(Calendario!CP$19-1)</f>
        <v>88.6119868516444</v>
      </c>
      <c r="CQ100" s="53" t="n">
        <f aca="false">e_MPg*(1+e_MPvar)*(1+e_MPgr)^(Calendario!CQ$19-1)</f>
        <v>88.6119868516444</v>
      </c>
      <c r="CR100" s="53" t="n">
        <f aca="false">e_MPg*(1+e_MPvar)*(1+e_MPgr)^(Calendario!CR$19-1)</f>
        <v>88.6119868516444</v>
      </c>
      <c r="CS100" s="53" t="n">
        <f aca="false">e_MPg*(1+e_MPvar)*(1+e_MPgr)^(Calendario!CS$19-1)</f>
        <v>88.6119868516444</v>
      </c>
      <c r="CT100" s="53" t="n">
        <f aca="false">e_MPg*(1+e_MPvar)*(1+e_MPgr)^(Calendario!CT$19-1)</f>
        <v>88.6119868516444</v>
      </c>
      <c r="CU100" s="53" t="n">
        <f aca="false">e_MPg*(1+e_MPvar)*(1+e_MPgr)^(Calendario!CU$19-1)</f>
        <v>88.6119868516444</v>
      </c>
      <c r="CV100" s="53" t="n">
        <f aca="false">e_MPg*(1+e_MPvar)*(1+e_MPgr)^(Calendario!CV$19-1)</f>
        <v>88.6119868516444</v>
      </c>
      <c r="CW100" s="53" t="n">
        <f aca="false">e_MPg*(1+e_MPvar)*(1+e_MPgr)^(Calendario!CW$19-1)</f>
        <v>88.6119868516444</v>
      </c>
      <c r="CX100" s="53" t="n">
        <f aca="false">e_MPg*(1+e_MPvar)*(1+e_MPgr)^(Calendario!CX$19-1)</f>
        <v>88.6119868516444</v>
      </c>
      <c r="CY100" s="53" t="n">
        <f aca="false">e_MPg*(1+e_MPvar)*(1+e_MPgr)^(Calendario!CY$19-1)</f>
        <v>89.4981067201608</v>
      </c>
      <c r="CZ100" s="53" t="n">
        <f aca="false">e_MPg*(1+e_MPvar)*(1+e_MPgr)^(Calendario!CZ$19-1)</f>
        <v>89.4981067201608</v>
      </c>
      <c r="DA100" s="53" t="n">
        <f aca="false">e_MPg*(1+e_MPvar)*(1+e_MPgr)^(Calendario!DA$19-1)</f>
        <v>89.4981067201608</v>
      </c>
      <c r="DB100" s="53" t="n">
        <f aca="false">e_MPg*(1+e_MPvar)*(1+e_MPgr)^(Calendario!DB$19-1)</f>
        <v>89.4981067201608</v>
      </c>
      <c r="DC100" s="53" t="n">
        <f aca="false">e_MPg*(1+e_MPvar)*(1+e_MPgr)^(Calendario!DC$19-1)</f>
        <v>89.4981067201608</v>
      </c>
      <c r="DD100" s="53" t="n">
        <f aca="false">e_MPg*(1+e_MPvar)*(1+e_MPgr)^(Calendario!DD$19-1)</f>
        <v>89.4981067201608</v>
      </c>
      <c r="DE100" s="53" t="n">
        <f aca="false">e_MPg*(1+e_MPvar)*(1+e_MPgr)^(Calendario!DE$19-1)</f>
        <v>89.4981067201608</v>
      </c>
      <c r="DF100" s="53" t="n">
        <f aca="false">e_MPg*(1+e_MPvar)*(1+e_MPgr)^(Calendario!DF$19-1)</f>
        <v>89.4981067201608</v>
      </c>
      <c r="DG100" s="53" t="n">
        <f aca="false">e_MPg*(1+e_MPvar)*(1+e_MPgr)^(Calendario!DG$19-1)</f>
        <v>89.4981067201608</v>
      </c>
      <c r="DH100" s="53" t="n">
        <f aca="false">e_MPg*(1+e_MPvar)*(1+e_MPgr)^(Calendario!DH$19-1)</f>
        <v>89.4981067201608</v>
      </c>
      <c r="DI100" s="53" t="n">
        <f aca="false">e_MPg*(1+e_MPvar)*(1+e_MPgr)^(Calendario!DI$19-1)</f>
        <v>89.4981067201608</v>
      </c>
      <c r="DJ100" s="53" t="n">
        <f aca="false">e_MPg*(1+e_MPvar)*(1+e_MPgr)^(Calendario!DJ$19-1)</f>
        <v>89.4981067201608</v>
      </c>
      <c r="DK100" s="53" t="n">
        <f aca="false">e_MPg*(1+e_MPvar)*(1+e_MPgr)^(Calendario!DK$19-1)</f>
        <v>90.3930877873624</v>
      </c>
      <c r="DL100" s="53" t="n">
        <f aca="false">e_MPg*(1+e_MPvar)*(1+e_MPgr)^(Calendario!DL$19-1)</f>
        <v>90.3930877873624</v>
      </c>
      <c r="DM100" s="53" t="n">
        <f aca="false">e_MPg*(1+e_MPvar)*(1+e_MPgr)^(Calendario!DM$19-1)</f>
        <v>90.3930877873624</v>
      </c>
      <c r="DN100" s="53" t="n">
        <f aca="false">e_MPg*(1+e_MPvar)*(1+e_MPgr)^(Calendario!DN$19-1)</f>
        <v>90.3930877873624</v>
      </c>
      <c r="DO100" s="53" t="n">
        <f aca="false">e_MPg*(1+e_MPvar)*(1+e_MPgr)^(Calendario!DO$19-1)</f>
        <v>90.3930877873624</v>
      </c>
      <c r="DP100" s="53" t="n">
        <f aca="false">e_MPg*(1+e_MPvar)*(1+e_MPgr)^(Calendario!DP$19-1)</f>
        <v>90.3930877873624</v>
      </c>
      <c r="DQ100" s="53" t="n">
        <f aca="false">e_MPg*(1+e_MPvar)*(1+e_MPgr)^(Calendario!DQ$19-1)</f>
        <v>90.3930877873624</v>
      </c>
      <c r="DR100" s="53" t="n">
        <f aca="false">e_MPg*(1+e_MPvar)*(1+e_MPgr)^(Calendario!DR$19-1)</f>
        <v>90.3930877873624</v>
      </c>
      <c r="DS100" s="53" t="n">
        <f aca="false">e_MPg*(1+e_MPvar)*(1+e_MPgr)^(Calendario!DS$19-1)</f>
        <v>90.3930877873624</v>
      </c>
      <c r="DT100" s="53" t="n">
        <f aca="false">e_MPg*(1+e_MPvar)*(1+e_MPgr)^(Calendario!DT$19-1)</f>
        <v>90.3930877873624</v>
      </c>
      <c r="DU100" s="53" t="n">
        <f aca="false">e_MPg*(1+e_MPvar)*(1+e_MPgr)^(Calendario!DU$19-1)</f>
        <v>90.3930877873624</v>
      </c>
      <c r="DV100" s="53" t="n">
        <f aca="false">e_MPg*(1+e_MPvar)*(1+e_MPgr)^(Calendario!DV$19-1)</f>
        <v>90.3930877873624</v>
      </c>
      <c r="DW100" s="53" t="n">
        <f aca="false">e_MPg*(1+e_MPvar)*(1+e_MPgr)^(Calendario!DW$19-1)</f>
        <v>91.2970186652361</v>
      </c>
      <c r="DX100" s="53" t="n">
        <f aca="false">e_MPg*(1+e_MPvar)*(1+e_MPgr)^(Calendario!DX$19-1)</f>
        <v>91.2970186652361</v>
      </c>
      <c r="DY100" s="53" t="n">
        <f aca="false">e_MPg*(1+e_MPvar)*(1+e_MPgr)^(Calendario!DY$19-1)</f>
        <v>91.2970186652361</v>
      </c>
      <c r="DZ100" s="53" t="n">
        <f aca="false">e_MPg*(1+e_MPvar)*(1+e_MPgr)^(Calendario!DZ$19-1)</f>
        <v>91.2970186652361</v>
      </c>
      <c r="EA100" s="53" t="n">
        <f aca="false">e_MPg*(1+e_MPvar)*(1+e_MPgr)^(Calendario!EA$19-1)</f>
        <v>91.2970186652361</v>
      </c>
      <c r="EB100" s="53" t="n">
        <f aca="false">e_MPg*(1+e_MPvar)*(1+e_MPgr)^(Calendario!EB$19-1)</f>
        <v>91.2970186652361</v>
      </c>
      <c r="EC100" s="53" t="n">
        <f aca="false">e_MPg*(1+e_MPvar)*(1+e_MPgr)^(Calendario!EC$19-1)</f>
        <v>91.2970186652361</v>
      </c>
      <c r="ED100" s="53" t="n">
        <f aca="false">e_MPg*(1+e_MPvar)*(1+e_MPgr)^(Calendario!ED$19-1)</f>
        <v>91.2970186652361</v>
      </c>
      <c r="EE100" s="53" t="n">
        <f aca="false">e_MPg*(1+e_MPvar)*(1+e_MPgr)^(Calendario!EE$19-1)</f>
        <v>91.2970186652361</v>
      </c>
      <c r="EF100" s="53" t="n">
        <f aca="false">e_MPg*(1+e_MPvar)*(1+e_MPgr)^(Calendario!EF$19-1)</f>
        <v>91.2970186652361</v>
      </c>
      <c r="EG100" s="53" t="n">
        <f aca="false">e_MPg*(1+e_MPvar)*(1+e_MPgr)^(Calendario!EG$19-1)</f>
        <v>91.2970186652361</v>
      </c>
      <c r="EH100" s="53" t="n">
        <f aca="false">e_MPg*(1+e_MPvar)*(1+e_MPgr)^(Calendario!EH$19-1)</f>
        <v>91.2970186652361</v>
      </c>
      <c r="EI100" s="53" t="n">
        <f aca="false">e_MPg*(1+e_MPvar)*(1+e_MPgr)^(Calendario!EI$19-1)</f>
        <v>92.2099888518884</v>
      </c>
      <c r="EJ100" s="53" t="n">
        <f aca="false">e_MPg*(1+e_MPvar)*(1+e_MPgr)^(Calendario!EJ$19-1)</f>
        <v>92.2099888518884</v>
      </c>
      <c r="EK100" s="53" t="n">
        <f aca="false">e_MPg*(1+e_MPvar)*(1+e_MPgr)^(Calendario!EK$19-1)</f>
        <v>92.2099888518884</v>
      </c>
      <c r="EL100" s="53" t="n">
        <f aca="false">e_MPg*(1+e_MPvar)*(1+e_MPgr)^(Calendario!EL$19-1)</f>
        <v>92.2099888518884</v>
      </c>
      <c r="EM100" s="53" t="n">
        <f aca="false">e_MPg*(1+e_MPvar)*(1+e_MPgr)^(Calendario!EM$19-1)</f>
        <v>92.2099888518884</v>
      </c>
      <c r="EN100" s="53" t="n">
        <f aca="false">e_MPg*(1+e_MPvar)*(1+e_MPgr)^(Calendario!EN$19-1)</f>
        <v>92.2099888518884</v>
      </c>
      <c r="EO100" s="53" t="n">
        <f aca="false">e_MPg*(1+e_MPvar)*(1+e_MPgr)^(Calendario!EO$19-1)</f>
        <v>92.2099888518884</v>
      </c>
      <c r="EP100" s="53" t="n">
        <f aca="false">e_MPg*(1+e_MPvar)*(1+e_MPgr)^(Calendario!EP$19-1)</f>
        <v>92.2099888518884</v>
      </c>
      <c r="EQ100" s="53" t="n">
        <f aca="false">e_MPg*(1+e_MPvar)*(1+e_MPgr)^(Calendario!EQ$19-1)</f>
        <v>92.2099888518884</v>
      </c>
      <c r="ER100" s="53" t="n">
        <f aca="false">e_MPg*(1+e_MPvar)*(1+e_MPgr)^(Calendario!ER$19-1)</f>
        <v>92.2099888518884</v>
      </c>
      <c r="ES100" s="53" t="n">
        <f aca="false">e_MPg*(1+e_MPvar)*(1+e_MPgr)^(Calendario!ES$19-1)</f>
        <v>92.2099888518884</v>
      </c>
      <c r="ET100" s="53" t="n">
        <f aca="false">e_MPg*(1+e_MPvar)*(1+e_MPgr)^(Calendario!ET$19-1)</f>
        <v>92.2099888518884</v>
      </c>
      <c r="EU100" s="53" t="n">
        <f aca="false">e_MPg*(1+e_MPvar)*(1+e_MPgr)^(Calendario!EU$19-1)</f>
        <v>93.1320887404073</v>
      </c>
      <c r="EV100" s="53" t="n">
        <f aca="false">e_MPg*(1+e_MPvar)*(1+e_MPgr)^(Calendario!EV$19-1)</f>
        <v>93.1320887404073</v>
      </c>
      <c r="EW100" s="53" t="n">
        <f aca="false">e_MPg*(1+e_MPvar)*(1+e_MPgr)^(Calendario!EW$19-1)</f>
        <v>93.1320887404073</v>
      </c>
      <c r="EX100" s="53" t="n">
        <f aca="false">e_MPg*(1+e_MPvar)*(1+e_MPgr)^(Calendario!EX$19-1)</f>
        <v>93.1320887404073</v>
      </c>
      <c r="EY100" s="53" t="n">
        <f aca="false">e_MPg*(1+e_MPvar)*(1+e_MPgr)^(Calendario!EY$19-1)</f>
        <v>93.1320887404073</v>
      </c>
      <c r="EZ100" s="53" t="n">
        <f aca="false">e_MPg*(1+e_MPvar)*(1+e_MPgr)^(Calendario!EZ$19-1)</f>
        <v>93.1320887404073</v>
      </c>
      <c r="FA100" s="53" t="n">
        <f aca="false">e_MPg*(1+e_MPvar)*(1+e_MPgr)^(Calendario!FA$19-1)</f>
        <v>93.1320887404073</v>
      </c>
      <c r="FB100" s="53" t="n">
        <f aca="false">e_MPg*(1+e_MPvar)*(1+e_MPgr)^(Calendario!FB$19-1)</f>
        <v>93.1320887404073</v>
      </c>
      <c r="FC100" s="53" t="n">
        <f aca="false">e_MPg*(1+e_MPvar)*(1+e_MPgr)^(Calendario!FC$19-1)</f>
        <v>93.1320887404073</v>
      </c>
      <c r="FD100" s="53" t="n">
        <f aca="false">e_MPg*(1+e_MPvar)*(1+e_MPgr)^(Calendario!FD$19-1)</f>
        <v>93.1320887404073</v>
      </c>
      <c r="FE100" s="53" t="n">
        <f aca="false">e_MPg*(1+e_MPvar)*(1+e_MPgr)^(Calendario!FE$19-1)</f>
        <v>93.1320887404073</v>
      </c>
      <c r="FF100" s="53" t="n">
        <f aca="false">e_MPg*(1+e_MPvar)*(1+e_MPgr)^(Calendario!FF$19-1)</f>
        <v>93.1320887404073</v>
      </c>
    </row>
    <row r="101" customFormat="false" ht="15" hidden="false" customHeight="false" outlineLevel="0" collapsed="false">
      <c r="A101" s="2" t="s">
        <v>1055</v>
      </c>
      <c r="B101" s="8" t="s">
        <v>1056</v>
      </c>
      <c r="C101" s="8" t="s">
        <v>263</v>
      </c>
      <c r="F101" s="53" t="n">
        <f aca="false">e_MPc*(1+e_MPvar)*IF(p_C2=1,(1+e_MPgr)^(Calendario!F$19-1),IF(Calendario!F$19=1,1,1+e_MPgr))</f>
        <v>7.41</v>
      </c>
      <c r="G101" s="53" t="n">
        <f aca="false">e_MPc*(1+e_MPvar)*IF(p_C2=1,(1+e_MPgr)^(Calendario!G$19-1),IF(Calendario!G$19=1,1,1+e_MPgr))</f>
        <v>7.41</v>
      </c>
      <c r="H101" s="53" t="n">
        <f aca="false">e_MPc*(1+e_MPvar)*IF(p_C2=1,(1+e_MPgr)^(Calendario!H$19-1),IF(Calendario!H$19=1,1,1+e_MPgr))</f>
        <v>7.41</v>
      </c>
      <c r="I101" s="53" t="n">
        <f aca="false">e_MPc*(1+e_MPvar)*IF(p_C2=1,(1+e_MPgr)^(Calendario!I$19-1),IF(Calendario!I$19=1,1,1+e_MPgr))</f>
        <v>7.41</v>
      </c>
      <c r="J101" s="53" t="n">
        <f aca="false">e_MPc*(1+e_MPvar)*IF(p_C2=1,(1+e_MPgr)^(Calendario!J$19-1),IF(Calendario!J$19=1,1,1+e_MPgr))</f>
        <v>7.41</v>
      </c>
      <c r="K101" s="53" t="n">
        <f aca="false">e_MPc*(1+e_MPvar)*IF(p_C2=1,(1+e_MPgr)^(Calendario!K$19-1),IF(Calendario!K$19=1,1,1+e_MPgr))</f>
        <v>7.41</v>
      </c>
      <c r="L101" s="53" t="n">
        <f aca="false">e_MPc*(1+e_MPvar)*IF(p_C2=1,(1+e_MPgr)^(Calendario!L$19-1),IF(Calendario!L$19=1,1,1+e_MPgr))</f>
        <v>7.41</v>
      </c>
      <c r="M101" s="53" t="n">
        <f aca="false">e_MPc*(1+e_MPvar)*IF(p_C2=1,(1+e_MPgr)^(Calendario!M$19-1),IF(Calendario!M$19=1,1,1+e_MPgr))</f>
        <v>7.41</v>
      </c>
      <c r="N101" s="53" t="n">
        <f aca="false">e_MPc*(1+e_MPvar)*IF(p_C2=1,(1+e_MPgr)^(Calendario!N$19-1),IF(Calendario!N$19=1,1,1+e_MPgr))</f>
        <v>7.41</v>
      </c>
      <c r="O101" s="53" t="n">
        <f aca="false">e_MPc*(1+e_MPvar)*IF(p_C2=1,(1+e_MPgr)^(Calendario!O$19-1),IF(Calendario!O$19=1,1,1+e_MPgr))</f>
        <v>7.41</v>
      </c>
      <c r="P101" s="53" t="n">
        <f aca="false">e_MPc*(1+e_MPvar)*IF(p_C2=1,(1+e_MPgr)^(Calendario!P$19-1),IF(Calendario!P$19=1,1,1+e_MPgr))</f>
        <v>7.41</v>
      </c>
      <c r="Q101" s="53" t="n">
        <f aca="false">e_MPc*(1+e_MPvar)*IF(p_C2=1,(1+e_MPgr)^(Calendario!Q$19-1),IF(Calendario!Q$19=1,1,1+e_MPgr))</f>
        <v>7.41</v>
      </c>
      <c r="R101" s="53" t="n">
        <f aca="false">e_MPc*(1+e_MPvar)*IF(p_C2=1,(1+e_MPgr)^(Calendario!R$19-1),IF(Calendario!R$19=1,1,1+e_MPgr))</f>
        <v>7.41</v>
      </c>
      <c r="S101" s="53" t="n">
        <f aca="false">e_MPc*(1+e_MPvar)*IF(p_C2=1,(1+e_MPgr)^(Calendario!S$19-1),IF(Calendario!S$19=1,1,1+e_MPgr))</f>
        <v>7.4841</v>
      </c>
      <c r="T101" s="53" t="n">
        <f aca="false">e_MPc*(1+e_MPvar)*IF(p_C2=1,(1+e_MPgr)^(Calendario!T$19-1),IF(Calendario!T$19=1,1,1+e_MPgr))</f>
        <v>7.4841</v>
      </c>
      <c r="U101" s="53" t="n">
        <f aca="false">e_MPc*(1+e_MPvar)*IF(p_C2=1,(1+e_MPgr)^(Calendario!U$19-1),IF(Calendario!U$19=1,1,1+e_MPgr))</f>
        <v>7.4841</v>
      </c>
      <c r="V101" s="53" t="n">
        <f aca="false">e_MPc*(1+e_MPvar)*IF(p_C2=1,(1+e_MPgr)^(Calendario!V$19-1),IF(Calendario!V$19=1,1,1+e_MPgr))</f>
        <v>7.4841</v>
      </c>
      <c r="W101" s="53" t="n">
        <f aca="false">e_MPc*(1+e_MPvar)*IF(p_C2=1,(1+e_MPgr)^(Calendario!W$19-1),IF(Calendario!W$19=1,1,1+e_MPgr))</f>
        <v>7.4841</v>
      </c>
      <c r="X101" s="53" t="n">
        <f aca="false">e_MPc*(1+e_MPvar)*IF(p_C2=1,(1+e_MPgr)^(Calendario!X$19-1),IF(Calendario!X$19=1,1,1+e_MPgr))</f>
        <v>7.4841</v>
      </c>
      <c r="Y101" s="53" t="n">
        <f aca="false">e_MPc*(1+e_MPvar)*IF(p_C2=1,(1+e_MPgr)^(Calendario!Y$19-1),IF(Calendario!Y$19=1,1,1+e_MPgr))</f>
        <v>7.4841</v>
      </c>
      <c r="Z101" s="53" t="n">
        <f aca="false">e_MPc*(1+e_MPvar)*IF(p_C2=1,(1+e_MPgr)^(Calendario!Z$19-1),IF(Calendario!Z$19=1,1,1+e_MPgr))</f>
        <v>7.4841</v>
      </c>
      <c r="AA101" s="53" t="n">
        <f aca="false">e_MPc*(1+e_MPvar)*IF(p_C2=1,(1+e_MPgr)^(Calendario!AA$19-1),IF(Calendario!AA$19=1,1,1+e_MPgr))</f>
        <v>7.4841</v>
      </c>
      <c r="AB101" s="53" t="n">
        <f aca="false">e_MPc*(1+e_MPvar)*IF(p_C2=1,(1+e_MPgr)^(Calendario!AB$19-1),IF(Calendario!AB$19=1,1,1+e_MPgr))</f>
        <v>7.4841</v>
      </c>
      <c r="AC101" s="53" t="n">
        <f aca="false">e_MPc*(1+e_MPvar)*IF(p_C2=1,(1+e_MPgr)^(Calendario!AC$19-1),IF(Calendario!AC$19=1,1,1+e_MPgr))</f>
        <v>7.4841</v>
      </c>
      <c r="AD101" s="53" t="n">
        <f aca="false">e_MPc*(1+e_MPvar)*IF(p_C2=1,(1+e_MPgr)^(Calendario!AD$19-1),IF(Calendario!AD$19=1,1,1+e_MPgr))</f>
        <v>7.4841</v>
      </c>
      <c r="AE101" s="53" t="n">
        <f aca="false">e_MPc*(1+e_MPvar)*IF(p_C2=1,(1+e_MPgr)^(Calendario!AE$19-1),IF(Calendario!AE$19=1,1,1+e_MPgr))</f>
        <v>7.558941</v>
      </c>
      <c r="AF101" s="53" t="n">
        <f aca="false">e_MPc*(1+e_MPvar)*IF(p_C2=1,(1+e_MPgr)^(Calendario!AF$19-1),IF(Calendario!AF$19=1,1,1+e_MPgr))</f>
        <v>7.558941</v>
      </c>
      <c r="AG101" s="53" t="n">
        <f aca="false">e_MPc*(1+e_MPvar)*IF(p_C2=1,(1+e_MPgr)^(Calendario!AG$19-1),IF(Calendario!AG$19=1,1,1+e_MPgr))</f>
        <v>7.558941</v>
      </c>
      <c r="AH101" s="53" t="n">
        <f aca="false">e_MPc*(1+e_MPvar)*IF(p_C2=1,(1+e_MPgr)^(Calendario!AH$19-1),IF(Calendario!AH$19=1,1,1+e_MPgr))</f>
        <v>7.558941</v>
      </c>
      <c r="AI101" s="53" t="n">
        <f aca="false">e_MPc*(1+e_MPvar)*IF(p_C2=1,(1+e_MPgr)^(Calendario!AI$19-1),IF(Calendario!AI$19=1,1,1+e_MPgr))</f>
        <v>7.558941</v>
      </c>
      <c r="AJ101" s="53" t="n">
        <f aca="false">e_MPc*(1+e_MPvar)*IF(p_C2=1,(1+e_MPgr)^(Calendario!AJ$19-1),IF(Calendario!AJ$19=1,1,1+e_MPgr))</f>
        <v>7.558941</v>
      </c>
      <c r="AK101" s="53" t="n">
        <f aca="false">e_MPc*(1+e_MPvar)*IF(p_C2=1,(1+e_MPgr)^(Calendario!AK$19-1),IF(Calendario!AK$19=1,1,1+e_MPgr))</f>
        <v>7.558941</v>
      </c>
      <c r="AL101" s="53" t="n">
        <f aca="false">e_MPc*(1+e_MPvar)*IF(p_C2=1,(1+e_MPgr)^(Calendario!AL$19-1),IF(Calendario!AL$19=1,1,1+e_MPgr))</f>
        <v>7.558941</v>
      </c>
      <c r="AM101" s="53" t="n">
        <f aca="false">e_MPc*(1+e_MPvar)*IF(p_C2=1,(1+e_MPgr)^(Calendario!AM$19-1),IF(Calendario!AM$19=1,1,1+e_MPgr))</f>
        <v>7.558941</v>
      </c>
      <c r="AN101" s="53" t="n">
        <f aca="false">e_MPc*(1+e_MPvar)*IF(p_C2=1,(1+e_MPgr)^(Calendario!AN$19-1),IF(Calendario!AN$19=1,1,1+e_MPgr))</f>
        <v>7.558941</v>
      </c>
      <c r="AO101" s="53" t="n">
        <f aca="false">e_MPc*(1+e_MPvar)*IF(p_C2=1,(1+e_MPgr)^(Calendario!AO$19-1),IF(Calendario!AO$19=1,1,1+e_MPgr))</f>
        <v>7.558941</v>
      </c>
      <c r="AP101" s="53" t="n">
        <f aca="false">e_MPc*(1+e_MPvar)*IF(p_C2=1,(1+e_MPgr)^(Calendario!AP$19-1),IF(Calendario!AP$19=1,1,1+e_MPgr))</f>
        <v>7.558941</v>
      </c>
      <c r="AQ101" s="53" t="n">
        <f aca="false">e_MPc*(1+e_MPvar)*IF(p_C2=1,(1+e_MPgr)^(Calendario!AQ$19-1),IF(Calendario!AQ$19=1,1,1+e_MPgr))</f>
        <v>7.63453041</v>
      </c>
      <c r="AR101" s="53" t="n">
        <f aca="false">e_MPc*(1+e_MPvar)*IF(p_C2=1,(1+e_MPgr)^(Calendario!AR$19-1),IF(Calendario!AR$19=1,1,1+e_MPgr))</f>
        <v>7.63453041</v>
      </c>
      <c r="AS101" s="53" t="n">
        <f aca="false">e_MPc*(1+e_MPvar)*IF(p_C2=1,(1+e_MPgr)^(Calendario!AS$19-1),IF(Calendario!AS$19=1,1,1+e_MPgr))</f>
        <v>7.63453041</v>
      </c>
      <c r="AT101" s="53" t="n">
        <f aca="false">e_MPc*(1+e_MPvar)*IF(p_C2=1,(1+e_MPgr)^(Calendario!AT$19-1),IF(Calendario!AT$19=1,1,1+e_MPgr))</f>
        <v>7.63453041</v>
      </c>
      <c r="AU101" s="53" t="n">
        <f aca="false">e_MPc*(1+e_MPvar)*IF(p_C2=1,(1+e_MPgr)^(Calendario!AU$19-1),IF(Calendario!AU$19=1,1,1+e_MPgr))</f>
        <v>7.63453041</v>
      </c>
      <c r="AV101" s="53" t="n">
        <f aca="false">e_MPc*(1+e_MPvar)*IF(p_C2=1,(1+e_MPgr)^(Calendario!AV$19-1),IF(Calendario!AV$19=1,1,1+e_MPgr))</f>
        <v>7.63453041</v>
      </c>
      <c r="AW101" s="53" t="n">
        <f aca="false">e_MPc*(1+e_MPvar)*IF(p_C2=1,(1+e_MPgr)^(Calendario!AW$19-1),IF(Calendario!AW$19=1,1,1+e_MPgr))</f>
        <v>7.63453041</v>
      </c>
      <c r="AX101" s="53" t="n">
        <f aca="false">e_MPc*(1+e_MPvar)*IF(p_C2=1,(1+e_MPgr)^(Calendario!AX$19-1),IF(Calendario!AX$19=1,1,1+e_MPgr))</f>
        <v>7.63453041</v>
      </c>
      <c r="AY101" s="53" t="n">
        <f aca="false">e_MPc*(1+e_MPvar)*IF(p_C2=1,(1+e_MPgr)^(Calendario!AY$19-1),IF(Calendario!AY$19=1,1,1+e_MPgr))</f>
        <v>7.63453041</v>
      </c>
      <c r="AZ101" s="53" t="n">
        <f aca="false">e_MPc*(1+e_MPvar)*IF(p_C2=1,(1+e_MPgr)^(Calendario!AZ$19-1),IF(Calendario!AZ$19=1,1,1+e_MPgr))</f>
        <v>7.63453041</v>
      </c>
      <c r="BA101" s="53" t="n">
        <f aca="false">e_MPc*(1+e_MPvar)*IF(p_C2=1,(1+e_MPgr)^(Calendario!BA$19-1),IF(Calendario!BA$19=1,1,1+e_MPgr))</f>
        <v>7.63453041</v>
      </c>
      <c r="BB101" s="53" t="n">
        <f aca="false">e_MPc*(1+e_MPvar)*IF(p_C2=1,(1+e_MPgr)^(Calendario!BB$19-1),IF(Calendario!BB$19=1,1,1+e_MPgr))</f>
        <v>7.63453041</v>
      </c>
      <c r="BC101" s="53" t="n">
        <f aca="false">e_MPc*(1+e_MPvar)*IF(p_C2=1,(1+e_MPgr)^(Calendario!BC$19-1),IF(Calendario!BC$19=1,1,1+e_MPgr))</f>
        <v>7.7108757141</v>
      </c>
      <c r="BD101" s="53" t="n">
        <f aca="false">e_MPc*(1+e_MPvar)*IF(p_C2=1,(1+e_MPgr)^(Calendario!BD$19-1),IF(Calendario!BD$19=1,1,1+e_MPgr))</f>
        <v>7.7108757141</v>
      </c>
      <c r="BE101" s="53" t="n">
        <f aca="false">e_MPc*(1+e_MPvar)*IF(p_C2=1,(1+e_MPgr)^(Calendario!BE$19-1),IF(Calendario!BE$19=1,1,1+e_MPgr))</f>
        <v>7.7108757141</v>
      </c>
      <c r="BF101" s="53" t="n">
        <f aca="false">e_MPc*(1+e_MPvar)*IF(p_C2=1,(1+e_MPgr)^(Calendario!BF$19-1),IF(Calendario!BF$19=1,1,1+e_MPgr))</f>
        <v>7.7108757141</v>
      </c>
      <c r="BG101" s="53" t="n">
        <f aca="false">e_MPc*(1+e_MPvar)*IF(p_C2=1,(1+e_MPgr)^(Calendario!BG$19-1),IF(Calendario!BG$19=1,1,1+e_MPgr))</f>
        <v>7.7108757141</v>
      </c>
      <c r="BH101" s="53" t="n">
        <f aca="false">e_MPc*(1+e_MPvar)*IF(p_C2=1,(1+e_MPgr)^(Calendario!BH$19-1),IF(Calendario!BH$19=1,1,1+e_MPgr))</f>
        <v>7.7108757141</v>
      </c>
      <c r="BI101" s="53" t="n">
        <f aca="false">e_MPc*(1+e_MPvar)*IF(p_C2=1,(1+e_MPgr)^(Calendario!BI$19-1),IF(Calendario!BI$19=1,1,1+e_MPgr))</f>
        <v>7.7108757141</v>
      </c>
      <c r="BJ101" s="53" t="n">
        <f aca="false">e_MPc*(1+e_MPvar)*IF(p_C2=1,(1+e_MPgr)^(Calendario!BJ$19-1),IF(Calendario!BJ$19=1,1,1+e_MPgr))</f>
        <v>7.7108757141</v>
      </c>
      <c r="BK101" s="53" t="n">
        <f aca="false">e_MPc*(1+e_MPvar)*IF(p_C2=1,(1+e_MPgr)^(Calendario!BK$19-1),IF(Calendario!BK$19=1,1,1+e_MPgr))</f>
        <v>7.7108757141</v>
      </c>
      <c r="BL101" s="53" t="n">
        <f aca="false">e_MPc*(1+e_MPvar)*IF(p_C2=1,(1+e_MPgr)^(Calendario!BL$19-1),IF(Calendario!BL$19=1,1,1+e_MPgr))</f>
        <v>7.7108757141</v>
      </c>
      <c r="BM101" s="53" t="n">
        <f aca="false">e_MPc*(1+e_MPvar)*IF(p_C2=1,(1+e_MPgr)^(Calendario!BM$19-1),IF(Calendario!BM$19=1,1,1+e_MPgr))</f>
        <v>7.7108757141</v>
      </c>
      <c r="BN101" s="53" t="n">
        <f aca="false">e_MPc*(1+e_MPvar)*IF(p_C2=1,(1+e_MPgr)^(Calendario!BN$19-1),IF(Calendario!BN$19=1,1,1+e_MPgr))</f>
        <v>7.7108757141</v>
      </c>
      <c r="BO101" s="53" t="n">
        <f aca="false">e_MPc*(1+e_MPvar)*IF(p_C2=1,(1+e_MPgr)^(Calendario!BO$19-1),IF(Calendario!BO$19=1,1,1+e_MPgr))</f>
        <v>7.787984471241</v>
      </c>
      <c r="BP101" s="53" t="n">
        <f aca="false">e_MPc*(1+e_MPvar)*IF(p_C2=1,(1+e_MPgr)^(Calendario!BP$19-1),IF(Calendario!BP$19=1,1,1+e_MPgr))</f>
        <v>7.787984471241</v>
      </c>
      <c r="BQ101" s="53" t="n">
        <f aca="false">e_MPc*(1+e_MPvar)*IF(p_C2=1,(1+e_MPgr)^(Calendario!BQ$19-1),IF(Calendario!BQ$19=1,1,1+e_MPgr))</f>
        <v>7.787984471241</v>
      </c>
      <c r="BR101" s="53" t="n">
        <f aca="false">e_MPc*(1+e_MPvar)*IF(p_C2=1,(1+e_MPgr)^(Calendario!BR$19-1),IF(Calendario!BR$19=1,1,1+e_MPgr))</f>
        <v>7.787984471241</v>
      </c>
      <c r="BS101" s="53" t="n">
        <f aca="false">e_MPc*(1+e_MPvar)*IF(p_C2=1,(1+e_MPgr)^(Calendario!BS$19-1),IF(Calendario!BS$19=1,1,1+e_MPgr))</f>
        <v>7.787984471241</v>
      </c>
      <c r="BT101" s="53" t="n">
        <f aca="false">e_MPc*(1+e_MPvar)*IF(p_C2=1,(1+e_MPgr)^(Calendario!BT$19-1),IF(Calendario!BT$19=1,1,1+e_MPgr))</f>
        <v>7.787984471241</v>
      </c>
      <c r="BU101" s="53" t="n">
        <f aca="false">e_MPc*(1+e_MPvar)*IF(p_C2=1,(1+e_MPgr)^(Calendario!BU$19-1),IF(Calendario!BU$19=1,1,1+e_MPgr))</f>
        <v>7.787984471241</v>
      </c>
      <c r="BV101" s="53" t="n">
        <f aca="false">e_MPc*(1+e_MPvar)*IF(p_C2=1,(1+e_MPgr)^(Calendario!BV$19-1),IF(Calendario!BV$19=1,1,1+e_MPgr))</f>
        <v>7.787984471241</v>
      </c>
      <c r="BW101" s="53" t="n">
        <f aca="false">e_MPc*(1+e_MPvar)*IF(p_C2=1,(1+e_MPgr)^(Calendario!BW$19-1),IF(Calendario!BW$19=1,1,1+e_MPgr))</f>
        <v>7.787984471241</v>
      </c>
      <c r="BX101" s="53" t="n">
        <f aca="false">e_MPc*(1+e_MPvar)*IF(p_C2=1,(1+e_MPgr)^(Calendario!BX$19-1),IF(Calendario!BX$19=1,1,1+e_MPgr))</f>
        <v>7.787984471241</v>
      </c>
      <c r="BY101" s="53" t="n">
        <f aca="false">e_MPc*(1+e_MPvar)*IF(p_C2=1,(1+e_MPgr)^(Calendario!BY$19-1),IF(Calendario!BY$19=1,1,1+e_MPgr))</f>
        <v>7.787984471241</v>
      </c>
      <c r="BZ101" s="53" t="n">
        <f aca="false">e_MPc*(1+e_MPvar)*IF(p_C2=1,(1+e_MPgr)^(Calendario!BZ$19-1),IF(Calendario!BZ$19=1,1,1+e_MPgr))</f>
        <v>7.787984471241</v>
      </c>
      <c r="CA101" s="53" t="n">
        <f aca="false">e_MPc*(1+e_MPvar)*IF(p_C2=1,(1+e_MPgr)^(Calendario!CA$19-1),IF(Calendario!CA$19=1,1,1+e_MPgr))</f>
        <v>7.86586431595341</v>
      </c>
      <c r="CB101" s="53" t="n">
        <f aca="false">e_MPc*(1+e_MPvar)*IF(p_C2=1,(1+e_MPgr)^(Calendario!CB$19-1),IF(Calendario!CB$19=1,1,1+e_MPgr))</f>
        <v>7.86586431595341</v>
      </c>
      <c r="CC101" s="53" t="n">
        <f aca="false">e_MPc*(1+e_MPvar)*IF(p_C2=1,(1+e_MPgr)^(Calendario!CC$19-1),IF(Calendario!CC$19=1,1,1+e_MPgr))</f>
        <v>7.86586431595341</v>
      </c>
      <c r="CD101" s="53" t="n">
        <f aca="false">e_MPc*(1+e_MPvar)*IF(p_C2=1,(1+e_MPgr)^(Calendario!CD$19-1),IF(Calendario!CD$19=1,1,1+e_MPgr))</f>
        <v>7.86586431595341</v>
      </c>
      <c r="CE101" s="53" t="n">
        <f aca="false">e_MPc*(1+e_MPvar)*IF(p_C2=1,(1+e_MPgr)^(Calendario!CE$19-1),IF(Calendario!CE$19=1,1,1+e_MPgr))</f>
        <v>7.86586431595341</v>
      </c>
      <c r="CF101" s="53" t="n">
        <f aca="false">e_MPc*(1+e_MPvar)*IF(p_C2=1,(1+e_MPgr)^(Calendario!CF$19-1),IF(Calendario!CF$19=1,1,1+e_MPgr))</f>
        <v>7.86586431595341</v>
      </c>
      <c r="CG101" s="53" t="n">
        <f aca="false">e_MPc*(1+e_MPvar)*IF(p_C2=1,(1+e_MPgr)^(Calendario!CG$19-1),IF(Calendario!CG$19=1,1,1+e_MPgr))</f>
        <v>7.86586431595341</v>
      </c>
      <c r="CH101" s="53" t="n">
        <f aca="false">e_MPc*(1+e_MPvar)*IF(p_C2=1,(1+e_MPgr)^(Calendario!CH$19-1),IF(Calendario!CH$19=1,1,1+e_MPgr))</f>
        <v>7.86586431595341</v>
      </c>
      <c r="CI101" s="53" t="n">
        <f aca="false">e_MPc*(1+e_MPvar)*IF(p_C2=1,(1+e_MPgr)^(Calendario!CI$19-1),IF(Calendario!CI$19=1,1,1+e_MPgr))</f>
        <v>7.86586431595341</v>
      </c>
      <c r="CJ101" s="53" t="n">
        <f aca="false">e_MPc*(1+e_MPvar)*IF(p_C2=1,(1+e_MPgr)^(Calendario!CJ$19-1),IF(Calendario!CJ$19=1,1,1+e_MPgr))</f>
        <v>7.86586431595341</v>
      </c>
      <c r="CK101" s="53" t="n">
        <f aca="false">e_MPc*(1+e_MPvar)*IF(p_C2=1,(1+e_MPgr)^(Calendario!CK$19-1),IF(Calendario!CK$19=1,1,1+e_MPgr))</f>
        <v>7.86586431595341</v>
      </c>
      <c r="CL101" s="53" t="n">
        <f aca="false">e_MPc*(1+e_MPvar)*IF(p_C2=1,(1+e_MPgr)^(Calendario!CL$19-1),IF(Calendario!CL$19=1,1,1+e_MPgr))</f>
        <v>7.86586431595341</v>
      </c>
      <c r="CM101" s="53" t="n">
        <f aca="false">e_MPc*(1+e_MPvar)*IF(p_C2=1,(1+e_MPgr)^(Calendario!CM$19-1),IF(Calendario!CM$19=1,1,1+e_MPgr))</f>
        <v>7.94452295911295</v>
      </c>
      <c r="CN101" s="53" t="n">
        <f aca="false">e_MPc*(1+e_MPvar)*IF(p_C2=1,(1+e_MPgr)^(Calendario!CN$19-1),IF(Calendario!CN$19=1,1,1+e_MPgr))</f>
        <v>7.94452295911295</v>
      </c>
      <c r="CO101" s="53" t="n">
        <f aca="false">e_MPc*(1+e_MPvar)*IF(p_C2=1,(1+e_MPgr)^(Calendario!CO$19-1),IF(Calendario!CO$19=1,1,1+e_MPgr))</f>
        <v>7.94452295911295</v>
      </c>
      <c r="CP101" s="53" t="n">
        <f aca="false">e_MPc*(1+e_MPvar)*IF(p_C2=1,(1+e_MPgr)^(Calendario!CP$19-1),IF(Calendario!CP$19=1,1,1+e_MPgr))</f>
        <v>7.94452295911295</v>
      </c>
      <c r="CQ101" s="53" t="n">
        <f aca="false">e_MPc*(1+e_MPvar)*IF(p_C2=1,(1+e_MPgr)^(Calendario!CQ$19-1),IF(Calendario!CQ$19=1,1,1+e_MPgr))</f>
        <v>7.94452295911295</v>
      </c>
      <c r="CR101" s="53" t="n">
        <f aca="false">e_MPc*(1+e_MPvar)*IF(p_C2=1,(1+e_MPgr)^(Calendario!CR$19-1),IF(Calendario!CR$19=1,1,1+e_MPgr))</f>
        <v>7.94452295911295</v>
      </c>
      <c r="CS101" s="53" t="n">
        <f aca="false">e_MPc*(1+e_MPvar)*IF(p_C2=1,(1+e_MPgr)^(Calendario!CS$19-1),IF(Calendario!CS$19=1,1,1+e_MPgr))</f>
        <v>7.94452295911295</v>
      </c>
      <c r="CT101" s="53" t="n">
        <f aca="false">e_MPc*(1+e_MPvar)*IF(p_C2=1,(1+e_MPgr)^(Calendario!CT$19-1),IF(Calendario!CT$19=1,1,1+e_MPgr))</f>
        <v>7.94452295911295</v>
      </c>
      <c r="CU101" s="53" t="n">
        <f aca="false">e_MPc*(1+e_MPvar)*IF(p_C2=1,(1+e_MPgr)^(Calendario!CU$19-1),IF(Calendario!CU$19=1,1,1+e_MPgr))</f>
        <v>7.94452295911295</v>
      </c>
      <c r="CV101" s="53" t="n">
        <f aca="false">e_MPc*(1+e_MPvar)*IF(p_C2=1,(1+e_MPgr)^(Calendario!CV$19-1),IF(Calendario!CV$19=1,1,1+e_MPgr))</f>
        <v>7.94452295911295</v>
      </c>
      <c r="CW101" s="53" t="n">
        <f aca="false">e_MPc*(1+e_MPvar)*IF(p_C2=1,(1+e_MPgr)^(Calendario!CW$19-1),IF(Calendario!CW$19=1,1,1+e_MPgr))</f>
        <v>7.94452295911295</v>
      </c>
      <c r="CX101" s="53" t="n">
        <f aca="false">e_MPc*(1+e_MPvar)*IF(p_C2=1,(1+e_MPgr)^(Calendario!CX$19-1),IF(Calendario!CX$19=1,1,1+e_MPgr))</f>
        <v>7.94452295911295</v>
      </c>
      <c r="CY101" s="53" t="n">
        <f aca="false">e_MPc*(1+e_MPvar)*IF(p_C2=1,(1+e_MPgr)^(Calendario!CY$19-1),IF(Calendario!CY$19=1,1,1+e_MPgr))</f>
        <v>8.02396818870408</v>
      </c>
      <c r="CZ101" s="53" t="n">
        <f aca="false">e_MPc*(1+e_MPvar)*IF(p_C2=1,(1+e_MPgr)^(Calendario!CZ$19-1),IF(Calendario!CZ$19=1,1,1+e_MPgr))</f>
        <v>8.02396818870408</v>
      </c>
      <c r="DA101" s="53" t="n">
        <f aca="false">e_MPc*(1+e_MPvar)*IF(p_C2=1,(1+e_MPgr)^(Calendario!DA$19-1),IF(Calendario!DA$19=1,1,1+e_MPgr))</f>
        <v>8.02396818870408</v>
      </c>
      <c r="DB101" s="53" t="n">
        <f aca="false">e_MPc*(1+e_MPvar)*IF(p_C2=1,(1+e_MPgr)^(Calendario!DB$19-1),IF(Calendario!DB$19=1,1,1+e_MPgr))</f>
        <v>8.02396818870408</v>
      </c>
      <c r="DC101" s="53" t="n">
        <f aca="false">e_MPc*(1+e_MPvar)*IF(p_C2=1,(1+e_MPgr)^(Calendario!DC$19-1),IF(Calendario!DC$19=1,1,1+e_MPgr))</f>
        <v>8.02396818870408</v>
      </c>
      <c r="DD101" s="53" t="n">
        <f aca="false">e_MPc*(1+e_MPvar)*IF(p_C2=1,(1+e_MPgr)^(Calendario!DD$19-1),IF(Calendario!DD$19=1,1,1+e_MPgr))</f>
        <v>8.02396818870408</v>
      </c>
      <c r="DE101" s="53" t="n">
        <f aca="false">e_MPc*(1+e_MPvar)*IF(p_C2=1,(1+e_MPgr)^(Calendario!DE$19-1),IF(Calendario!DE$19=1,1,1+e_MPgr))</f>
        <v>8.02396818870408</v>
      </c>
      <c r="DF101" s="53" t="n">
        <f aca="false">e_MPc*(1+e_MPvar)*IF(p_C2=1,(1+e_MPgr)^(Calendario!DF$19-1),IF(Calendario!DF$19=1,1,1+e_MPgr))</f>
        <v>8.02396818870408</v>
      </c>
      <c r="DG101" s="53" t="n">
        <f aca="false">e_MPc*(1+e_MPvar)*IF(p_C2=1,(1+e_MPgr)^(Calendario!DG$19-1),IF(Calendario!DG$19=1,1,1+e_MPgr))</f>
        <v>8.02396818870408</v>
      </c>
      <c r="DH101" s="53" t="n">
        <f aca="false">e_MPc*(1+e_MPvar)*IF(p_C2=1,(1+e_MPgr)^(Calendario!DH$19-1),IF(Calendario!DH$19=1,1,1+e_MPgr))</f>
        <v>8.02396818870408</v>
      </c>
      <c r="DI101" s="53" t="n">
        <f aca="false">e_MPc*(1+e_MPvar)*IF(p_C2=1,(1+e_MPgr)^(Calendario!DI$19-1),IF(Calendario!DI$19=1,1,1+e_MPgr))</f>
        <v>8.02396818870408</v>
      </c>
      <c r="DJ101" s="53" t="n">
        <f aca="false">e_MPc*(1+e_MPvar)*IF(p_C2=1,(1+e_MPgr)^(Calendario!DJ$19-1),IF(Calendario!DJ$19=1,1,1+e_MPgr))</f>
        <v>8.02396818870408</v>
      </c>
      <c r="DK101" s="53" t="n">
        <f aca="false">e_MPc*(1+e_MPvar)*IF(p_C2=1,(1+e_MPgr)^(Calendario!DK$19-1),IF(Calendario!DK$19=1,1,1+e_MPgr))</f>
        <v>8.10420787059111</v>
      </c>
      <c r="DL101" s="53" t="n">
        <f aca="false">e_MPc*(1+e_MPvar)*IF(p_C2=1,(1+e_MPgr)^(Calendario!DL$19-1),IF(Calendario!DL$19=1,1,1+e_MPgr))</f>
        <v>8.10420787059111</v>
      </c>
      <c r="DM101" s="53" t="n">
        <f aca="false">e_MPc*(1+e_MPvar)*IF(p_C2=1,(1+e_MPgr)^(Calendario!DM$19-1),IF(Calendario!DM$19=1,1,1+e_MPgr))</f>
        <v>8.10420787059111</v>
      </c>
      <c r="DN101" s="53" t="n">
        <f aca="false">e_MPc*(1+e_MPvar)*IF(p_C2=1,(1+e_MPgr)^(Calendario!DN$19-1),IF(Calendario!DN$19=1,1,1+e_MPgr))</f>
        <v>8.10420787059111</v>
      </c>
      <c r="DO101" s="53" t="n">
        <f aca="false">e_MPc*(1+e_MPvar)*IF(p_C2=1,(1+e_MPgr)^(Calendario!DO$19-1),IF(Calendario!DO$19=1,1,1+e_MPgr))</f>
        <v>8.10420787059111</v>
      </c>
      <c r="DP101" s="53" t="n">
        <f aca="false">e_MPc*(1+e_MPvar)*IF(p_C2=1,(1+e_MPgr)^(Calendario!DP$19-1),IF(Calendario!DP$19=1,1,1+e_MPgr))</f>
        <v>8.10420787059111</v>
      </c>
      <c r="DQ101" s="53" t="n">
        <f aca="false">e_MPc*(1+e_MPvar)*IF(p_C2=1,(1+e_MPgr)^(Calendario!DQ$19-1),IF(Calendario!DQ$19=1,1,1+e_MPgr))</f>
        <v>8.10420787059111</v>
      </c>
      <c r="DR101" s="53" t="n">
        <f aca="false">e_MPc*(1+e_MPvar)*IF(p_C2=1,(1+e_MPgr)^(Calendario!DR$19-1),IF(Calendario!DR$19=1,1,1+e_MPgr))</f>
        <v>8.10420787059111</v>
      </c>
      <c r="DS101" s="53" t="n">
        <f aca="false">e_MPc*(1+e_MPvar)*IF(p_C2=1,(1+e_MPgr)^(Calendario!DS$19-1),IF(Calendario!DS$19=1,1,1+e_MPgr))</f>
        <v>8.10420787059111</v>
      </c>
      <c r="DT101" s="53" t="n">
        <f aca="false">e_MPc*(1+e_MPvar)*IF(p_C2=1,(1+e_MPgr)^(Calendario!DT$19-1),IF(Calendario!DT$19=1,1,1+e_MPgr))</f>
        <v>8.10420787059111</v>
      </c>
      <c r="DU101" s="53" t="n">
        <f aca="false">e_MPc*(1+e_MPvar)*IF(p_C2=1,(1+e_MPgr)^(Calendario!DU$19-1),IF(Calendario!DU$19=1,1,1+e_MPgr))</f>
        <v>8.10420787059111</v>
      </c>
      <c r="DV101" s="53" t="n">
        <f aca="false">e_MPc*(1+e_MPvar)*IF(p_C2=1,(1+e_MPgr)^(Calendario!DV$19-1),IF(Calendario!DV$19=1,1,1+e_MPgr))</f>
        <v>8.10420787059111</v>
      </c>
      <c r="DW101" s="53" t="n">
        <f aca="false">e_MPc*(1+e_MPvar)*IF(p_C2=1,(1+e_MPgr)^(Calendario!DW$19-1),IF(Calendario!DW$19=1,1,1+e_MPgr))</f>
        <v>8.18524994929703</v>
      </c>
      <c r="DX101" s="53" t="n">
        <f aca="false">e_MPc*(1+e_MPvar)*IF(p_C2=1,(1+e_MPgr)^(Calendario!DX$19-1),IF(Calendario!DX$19=1,1,1+e_MPgr))</f>
        <v>8.18524994929703</v>
      </c>
      <c r="DY101" s="53" t="n">
        <f aca="false">e_MPc*(1+e_MPvar)*IF(p_C2=1,(1+e_MPgr)^(Calendario!DY$19-1),IF(Calendario!DY$19=1,1,1+e_MPgr))</f>
        <v>8.18524994929703</v>
      </c>
      <c r="DZ101" s="53" t="n">
        <f aca="false">e_MPc*(1+e_MPvar)*IF(p_C2=1,(1+e_MPgr)^(Calendario!DZ$19-1),IF(Calendario!DZ$19=1,1,1+e_MPgr))</f>
        <v>8.18524994929703</v>
      </c>
      <c r="EA101" s="53" t="n">
        <f aca="false">e_MPc*(1+e_MPvar)*IF(p_C2=1,(1+e_MPgr)^(Calendario!EA$19-1),IF(Calendario!EA$19=1,1,1+e_MPgr))</f>
        <v>8.18524994929703</v>
      </c>
      <c r="EB101" s="53" t="n">
        <f aca="false">e_MPc*(1+e_MPvar)*IF(p_C2=1,(1+e_MPgr)^(Calendario!EB$19-1),IF(Calendario!EB$19=1,1,1+e_MPgr))</f>
        <v>8.18524994929703</v>
      </c>
      <c r="EC101" s="53" t="n">
        <f aca="false">e_MPc*(1+e_MPvar)*IF(p_C2=1,(1+e_MPgr)^(Calendario!EC$19-1),IF(Calendario!EC$19=1,1,1+e_MPgr))</f>
        <v>8.18524994929703</v>
      </c>
      <c r="ED101" s="53" t="n">
        <f aca="false">e_MPc*(1+e_MPvar)*IF(p_C2=1,(1+e_MPgr)^(Calendario!ED$19-1),IF(Calendario!ED$19=1,1,1+e_MPgr))</f>
        <v>8.18524994929703</v>
      </c>
      <c r="EE101" s="53" t="n">
        <f aca="false">e_MPc*(1+e_MPvar)*IF(p_C2=1,(1+e_MPgr)^(Calendario!EE$19-1),IF(Calendario!EE$19=1,1,1+e_MPgr))</f>
        <v>8.18524994929703</v>
      </c>
      <c r="EF101" s="53" t="n">
        <f aca="false">e_MPc*(1+e_MPvar)*IF(p_C2=1,(1+e_MPgr)^(Calendario!EF$19-1),IF(Calendario!EF$19=1,1,1+e_MPgr))</f>
        <v>8.18524994929703</v>
      </c>
      <c r="EG101" s="53" t="n">
        <f aca="false">e_MPc*(1+e_MPvar)*IF(p_C2=1,(1+e_MPgr)^(Calendario!EG$19-1),IF(Calendario!EG$19=1,1,1+e_MPgr))</f>
        <v>8.18524994929703</v>
      </c>
      <c r="EH101" s="53" t="n">
        <f aca="false">e_MPc*(1+e_MPvar)*IF(p_C2=1,(1+e_MPgr)^(Calendario!EH$19-1),IF(Calendario!EH$19=1,1,1+e_MPgr))</f>
        <v>8.18524994929703</v>
      </c>
      <c r="EI101" s="53" t="n">
        <f aca="false">e_MPc*(1+e_MPvar)*IF(p_C2=1,(1+e_MPgr)^(Calendario!EI$19-1),IF(Calendario!EI$19=1,1,1+e_MPgr))</f>
        <v>8.26710244879</v>
      </c>
      <c r="EJ101" s="53" t="n">
        <f aca="false">e_MPc*(1+e_MPvar)*IF(p_C2=1,(1+e_MPgr)^(Calendario!EJ$19-1),IF(Calendario!EJ$19=1,1,1+e_MPgr))</f>
        <v>8.26710244879</v>
      </c>
      <c r="EK101" s="53" t="n">
        <f aca="false">e_MPc*(1+e_MPvar)*IF(p_C2=1,(1+e_MPgr)^(Calendario!EK$19-1),IF(Calendario!EK$19=1,1,1+e_MPgr))</f>
        <v>8.26710244879</v>
      </c>
      <c r="EL101" s="53" t="n">
        <f aca="false">e_MPc*(1+e_MPvar)*IF(p_C2=1,(1+e_MPgr)^(Calendario!EL$19-1),IF(Calendario!EL$19=1,1,1+e_MPgr))</f>
        <v>8.26710244879</v>
      </c>
      <c r="EM101" s="53" t="n">
        <f aca="false">e_MPc*(1+e_MPvar)*IF(p_C2=1,(1+e_MPgr)^(Calendario!EM$19-1),IF(Calendario!EM$19=1,1,1+e_MPgr))</f>
        <v>8.26710244879</v>
      </c>
      <c r="EN101" s="53" t="n">
        <f aca="false">e_MPc*(1+e_MPvar)*IF(p_C2=1,(1+e_MPgr)^(Calendario!EN$19-1),IF(Calendario!EN$19=1,1,1+e_MPgr))</f>
        <v>8.26710244879</v>
      </c>
      <c r="EO101" s="53" t="n">
        <f aca="false">e_MPc*(1+e_MPvar)*IF(p_C2=1,(1+e_MPgr)^(Calendario!EO$19-1),IF(Calendario!EO$19=1,1,1+e_MPgr))</f>
        <v>8.26710244879</v>
      </c>
      <c r="EP101" s="53" t="n">
        <f aca="false">e_MPc*(1+e_MPvar)*IF(p_C2=1,(1+e_MPgr)^(Calendario!EP$19-1),IF(Calendario!EP$19=1,1,1+e_MPgr))</f>
        <v>8.26710244879</v>
      </c>
      <c r="EQ101" s="53" t="n">
        <f aca="false">e_MPc*(1+e_MPvar)*IF(p_C2=1,(1+e_MPgr)^(Calendario!EQ$19-1),IF(Calendario!EQ$19=1,1,1+e_MPgr))</f>
        <v>8.26710244879</v>
      </c>
      <c r="ER101" s="53" t="n">
        <f aca="false">e_MPc*(1+e_MPvar)*IF(p_C2=1,(1+e_MPgr)^(Calendario!ER$19-1),IF(Calendario!ER$19=1,1,1+e_MPgr))</f>
        <v>8.26710244879</v>
      </c>
      <c r="ES101" s="53" t="n">
        <f aca="false">e_MPc*(1+e_MPvar)*IF(p_C2=1,(1+e_MPgr)^(Calendario!ES$19-1),IF(Calendario!ES$19=1,1,1+e_MPgr))</f>
        <v>8.26710244879</v>
      </c>
      <c r="ET101" s="53" t="n">
        <f aca="false">e_MPc*(1+e_MPvar)*IF(p_C2=1,(1+e_MPgr)^(Calendario!ET$19-1),IF(Calendario!ET$19=1,1,1+e_MPgr))</f>
        <v>8.26710244879</v>
      </c>
      <c r="EU101" s="53" t="n">
        <f aca="false">e_MPc*(1+e_MPvar)*IF(p_C2=1,(1+e_MPgr)^(Calendario!EU$19-1),IF(Calendario!EU$19=1,1,1+e_MPgr))</f>
        <v>8.3497734732779</v>
      </c>
      <c r="EV101" s="53" t="n">
        <f aca="false">e_MPc*(1+e_MPvar)*IF(p_C2=1,(1+e_MPgr)^(Calendario!EV$19-1),IF(Calendario!EV$19=1,1,1+e_MPgr))</f>
        <v>8.3497734732779</v>
      </c>
      <c r="EW101" s="53" t="n">
        <f aca="false">e_MPc*(1+e_MPvar)*IF(p_C2=1,(1+e_MPgr)^(Calendario!EW$19-1),IF(Calendario!EW$19=1,1,1+e_MPgr))</f>
        <v>8.3497734732779</v>
      </c>
      <c r="EX101" s="53" t="n">
        <f aca="false">e_MPc*(1+e_MPvar)*IF(p_C2=1,(1+e_MPgr)^(Calendario!EX$19-1),IF(Calendario!EX$19=1,1,1+e_MPgr))</f>
        <v>8.3497734732779</v>
      </c>
      <c r="EY101" s="53" t="n">
        <f aca="false">e_MPc*(1+e_MPvar)*IF(p_C2=1,(1+e_MPgr)^(Calendario!EY$19-1),IF(Calendario!EY$19=1,1,1+e_MPgr))</f>
        <v>8.3497734732779</v>
      </c>
      <c r="EZ101" s="53" t="n">
        <f aca="false">e_MPc*(1+e_MPvar)*IF(p_C2=1,(1+e_MPgr)^(Calendario!EZ$19-1),IF(Calendario!EZ$19=1,1,1+e_MPgr))</f>
        <v>8.3497734732779</v>
      </c>
      <c r="FA101" s="53" t="n">
        <f aca="false">e_MPc*(1+e_MPvar)*IF(p_C2=1,(1+e_MPgr)^(Calendario!FA$19-1),IF(Calendario!FA$19=1,1,1+e_MPgr))</f>
        <v>8.3497734732779</v>
      </c>
      <c r="FB101" s="53" t="n">
        <f aca="false">e_MPc*(1+e_MPvar)*IF(p_C2=1,(1+e_MPgr)^(Calendario!FB$19-1),IF(Calendario!FB$19=1,1,1+e_MPgr))</f>
        <v>8.3497734732779</v>
      </c>
      <c r="FC101" s="53" t="n">
        <f aca="false">e_MPc*(1+e_MPvar)*IF(p_C2=1,(1+e_MPgr)^(Calendario!FC$19-1),IF(Calendario!FC$19=1,1,1+e_MPgr))</f>
        <v>8.3497734732779</v>
      </c>
      <c r="FD101" s="53" t="n">
        <f aca="false">e_MPc*(1+e_MPvar)*IF(p_C2=1,(1+e_MPgr)^(Calendario!FD$19-1),IF(Calendario!FD$19=1,1,1+e_MPgr))</f>
        <v>8.3497734732779</v>
      </c>
      <c r="FE101" s="53" t="n">
        <f aca="false">e_MPc*(1+e_MPvar)*IF(p_C2=1,(1+e_MPgr)^(Calendario!FE$19-1),IF(Calendario!FE$19=1,1,1+e_MPgr))</f>
        <v>8.3497734732779</v>
      </c>
      <c r="FF101" s="53" t="n">
        <f aca="false">e_MPc*(1+e_MPvar)*IF(p_C2=1,(1+e_MPgr)^(Calendario!FF$19-1),IF(Calendario!FF$19=1,1,1+e_MPgr))</f>
        <v>8.3497734732779</v>
      </c>
    </row>
    <row r="102" customFormat="false" ht="15" hidden="false" customHeight="false" outlineLevel="0" collapsed="false">
      <c r="A102" s="2" t="s">
        <v>1057</v>
      </c>
      <c r="B102" s="8" t="s">
        <v>537</v>
      </c>
      <c r="C102" s="8" t="s">
        <v>263</v>
      </c>
      <c r="F102" s="53" t="n">
        <f aca="false">e_INSg*(1+e_INSvar)*(1+e_INSgr)^(Calendario!F$19-1)</f>
        <v>45</v>
      </c>
      <c r="G102" s="53" t="n">
        <f aca="false">e_INSg*(1+e_INSvar)*(1+e_INSgr)^(Calendario!G$19-1)</f>
        <v>45</v>
      </c>
      <c r="H102" s="53" t="n">
        <f aca="false">e_INSg*(1+e_INSvar)*(1+e_INSgr)^(Calendario!H$19-1)</f>
        <v>45</v>
      </c>
      <c r="I102" s="53" t="n">
        <f aca="false">e_INSg*(1+e_INSvar)*(1+e_INSgr)^(Calendario!I$19-1)</f>
        <v>45</v>
      </c>
      <c r="J102" s="53" t="n">
        <f aca="false">e_INSg*(1+e_INSvar)*(1+e_INSgr)^(Calendario!J$19-1)</f>
        <v>45</v>
      </c>
      <c r="K102" s="53" t="n">
        <f aca="false">e_INSg*(1+e_INSvar)*(1+e_INSgr)^(Calendario!K$19-1)</f>
        <v>45</v>
      </c>
      <c r="L102" s="53" t="n">
        <f aca="false">e_INSg*(1+e_INSvar)*(1+e_INSgr)^(Calendario!L$19-1)</f>
        <v>45</v>
      </c>
      <c r="M102" s="53" t="n">
        <f aca="false">e_INSg*(1+e_INSvar)*(1+e_INSgr)^(Calendario!M$19-1)</f>
        <v>45</v>
      </c>
      <c r="N102" s="53" t="n">
        <f aca="false">e_INSg*(1+e_INSvar)*(1+e_INSgr)^(Calendario!N$19-1)</f>
        <v>45</v>
      </c>
      <c r="O102" s="53" t="n">
        <f aca="false">e_INSg*(1+e_INSvar)*(1+e_INSgr)^(Calendario!O$19-1)</f>
        <v>45</v>
      </c>
      <c r="P102" s="53" t="n">
        <f aca="false">e_INSg*(1+e_INSvar)*(1+e_INSgr)^(Calendario!P$19-1)</f>
        <v>45</v>
      </c>
      <c r="Q102" s="53" t="n">
        <f aca="false">e_INSg*(1+e_INSvar)*(1+e_INSgr)^(Calendario!Q$19-1)</f>
        <v>45</v>
      </c>
      <c r="R102" s="53" t="n">
        <f aca="false">e_INSg*(1+e_INSvar)*(1+e_INSgr)^(Calendario!R$19-1)</f>
        <v>45</v>
      </c>
      <c r="S102" s="53" t="n">
        <f aca="false">e_INSg*(1+e_INSvar)*(1+e_INSgr)^(Calendario!S$19-1)</f>
        <v>45</v>
      </c>
      <c r="T102" s="53" t="n">
        <f aca="false">e_INSg*(1+e_INSvar)*(1+e_INSgr)^(Calendario!T$19-1)</f>
        <v>45</v>
      </c>
      <c r="U102" s="53" t="n">
        <f aca="false">e_INSg*(1+e_INSvar)*(1+e_INSgr)^(Calendario!U$19-1)</f>
        <v>45</v>
      </c>
      <c r="V102" s="53" t="n">
        <f aca="false">e_INSg*(1+e_INSvar)*(1+e_INSgr)^(Calendario!V$19-1)</f>
        <v>45</v>
      </c>
      <c r="W102" s="53" t="n">
        <f aca="false">e_INSg*(1+e_INSvar)*(1+e_INSgr)^(Calendario!W$19-1)</f>
        <v>45</v>
      </c>
      <c r="X102" s="53" t="n">
        <f aca="false">e_INSg*(1+e_INSvar)*(1+e_INSgr)^(Calendario!X$19-1)</f>
        <v>45</v>
      </c>
      <c r="Y102" s="53" t="n">
        <f aca="false">e_INSg*(1+e_INSvar)*(1+e_INSgr)^(Calendario!Y$19-1)</f>
        <v>45</v>
      </c>
      <c r="Z102" s="53" t="n">
        <f aca="false">e_INSg*(1+e_INSvar)*(1+e_INSgr)^(Calendario!Z$19-1)</f>
        <v>45</v>
      </c>
      <c r="AA102" s="53" t="n">
        <f aca="false">e_INSg*(1+e_INSvar)*(1+e_INSgr)^(Calendario!AA$19-1)</f>
        <v>45</v>
      </c>
      <c r="AB102" s="53" t="n">
        <f aca="false">e_INSg*(1+e_INSvar)*(1+e_INSgr)^(Calendario!AB$19-1)</f>
        <v>45</v>
      </c>
      <c r="AC102" s="53" t="n">
        <f aca="false">e_INSg*(1+e_INSvar)*(1+e_INSgr)^(Calendario!AC$19-1)</f>
        <v>45</v>
      </c>
      <c r="AD102" s="53" t="n">
        <f aca="false">e_INSg*(1+e_INSvar)*(1+e_INSgr)^(Calendario!AD$19-1)</f>
        <v>45</v>
      </c>
      <c r="AE102" s="53" t="n">
        <f aca="false">e_INSg*(1+e_INSvar)*(1+e_INSgr)^(Calendario!AE$19-1)</f>
        <v>45</v>
      </c>
      <c r="AF102" s="53" t="n">
        <f aca="false">e_INSg*(1+e_INSvar)*(1+e_INSgr)^(Calendario!AF$19-1)</f>
        <v>45</v>
      </c>
      <c r="AG102" s="53" t="n">
        <f aca="false">e_INSg*(1+e_INSvar)*(1+e_INSgr)^(Calendario!AG$19-1)</f>
        <v>45</v>
      </c>
      <c r="AH102" s="53" t="n">
        <f aca="false">e_INSg*(1+e_INSvar)*(1+e_INSgr)^(Calendario!AH$19-1)</f>
        <v>45</v>
      </c>
      <c r="AI102" s="53" t="n">
        <f aca="false">e_INSg*(1+e_INSvar)*(1+e_INSgr)^(Calendario!AI$19-1)</f>
        <v>45</v>
      </c>
      <c r="AJ102" s="53" t="n">
        <f aca="false">e_INSg*(1+e_INSvar)*(1+e_INSgr)^(Calendario!AJ$19-1)</f>
        <v>45</v>
      </c>
      <c r="AK102" s="53" t="n">
        <f aca="false">e_INSg*(1+e_INSvar)*(1+e_INSgr)^(Calendario!AK$19-1)</f>
        <v>45</v>
      </c>
      <c r="AL102" s="53" t="n">
        <f aca="false">e_INSg*(1+e_INSvar)*(1+e_INSgr)^(Calendario!AL$19-1)</f>
        <v>45</v>
      </c>
      <c r="AM102" s="53" t="n">
        <f aca="false">e_INSg*(1+e_INSvar)*(1+e_INSgr)^(Calendario!AM$19-1)</f>
        <v>45</v>
      </c>
      <c r="AN102" s="53" t="n">
        <f aca="false">e_INSg*(1+e_INSvar)*(1+e_INSgr)^(Calendario!AN$19-1)</f>
        <v>45</v>
      </c>
      <c r="AO102" s="53" t="n">
        <f aca="false">e_INSg*(1+e_INSvar)*(1+e_INSgr)^(Calendario!AO$19-1)</f>
        <v>45</v>
      </c>
      <c r="AP102" s="53" t="n">
        <f aca="false">e_INSg*(1+e_INSvar)*(1+e_INSgr)^(Calendario!AP$19-1)</f>
        <v>45</v>
      </c>
      <c r="AQ102" s="53" t="n">
        <f aca="false">e_INSg*(1+e_INSvar)*(1+e_INSgr)^(Calendario!AQ$19-1)</f>
        <v>45</v>
      </c>
      <c r="AR102" s="53" t="n">
        <f aca="false">e_INSg*(1+e_INSvar)*(1+e_INSgr)^(Calendario!AR$19-1)</f>
        <v>45</v>
      </c>
      <c r="AS102" s="53" t="n">
        <f aca="false">e_INSg*(1+e_INSvar)*(1+e_INSgr)^(Calendario!AS$19-1)</f>
        <v>45</v>
      </c>
      <c r="AT102" s="53" t="n">
        <f aca="false">e_INSg*(1+e_INSvar)*(1+e_INSgr)^(Calendario!AT$19-1)</f>
        <v>45</v>
      </c>
      <c r="AU102" s="53" t="n">
        <f aca="false">e_INSg*(1+e_INSvar)*(1+e_INSgr)^(Calendario!AU$19-1)</f>
        <v>45</v>
      </c>
      <c r="AV102" s="53" t="n">
        <f aca="false">e_INSg*(1+e_INSvar)*(1+e_INSgr)^(Calendario!AV$19-1)</f>
        <v>45</v>
      </c>
      <c r="AW102" s="53" t="n">
        <f aca="false">e_INSg*(1+e_INSvar)*(1+e_INSgr)^(Calendario!AW$19-1)</f>
        <v>45</v>
      </c>
      <c r="AX102" s="53" t="n">
        <f aca="false">e_INSg*(1+e_INSvar)*(1+e_INSgr)^(Calendario!AX$19-1)</f>
        <v>45</v>
      </c>
      <c r="AY102" s="53" t="n">
        <f aca="false">e_INSg*(1+e_INSvar)*(1+e_INSgr)^(Calendario!AY$19-1)</f>
        <v>45</v>
      </c>
      <c r="AZ102" s="53" t="n">
        <f aca="false">e_INSg*(1+e_INSvar)*(1+e_INSgr)^(Calendario!AZ$19-1)</f>
        <v>45</v>
      </c>
      <c r="BA102" s="53" t="n">
        <f aca="false">e_INSg*(1+e_INSvar)*(1+e_INSgr)^(Calendario!BA$19-1)</f>
        <v>45</v>
      </c>
      <c r="BB102" s="53" t="n">
        <f aca="false">e_INSg*(1+e_INSvar)*(1+e_INSgr)^(Calendario!BB$19-1)</f>
        <v>45</v>
      </c>
      <c r="BC102" s="53" t="n">
        <f aca="false">e_INSg*(1+e_INSvar)*(1+e_INSgr)^(Calendario!BC$19-1)</f>
        <v>45</v>
      </c>
      <c r="BD102" s="53" t="n">
        <f aca="false">e_INSg*(1+e_INSvar)*(1+e_INSgr)^(Calendario!BD$19-1)</f>
        <v>45</v>
      </c>
      <c r="BE102" s="53" t="n">
        <f aca="false">e_INSg*(1+e_INSvar)*(1+e_INSgr)^(Calendario!BE$19-1)</f>
        <v>45</v>
      </c>
      <c r="BF102" s="53" t="n">
        <f aca="false">e_INSg*(1+e_INSvar)*(1+e_INSgr)^(Calendario!BF$19-1)</f>
        <v>45</v>
      </c>
      <c r="BG102" s="53" t="n">
        <f aca="false">e_INSg*(1+e_INSvar)*(1+e_INSgr)^(Calendario!BG$19-1)</f>
        <v>45</v>
      </c>
      <c r="BH102" s="53" t="n">
        <f aca="false">e_INSg*(1+e_INSvar)*(1+e_INSgr)^(Calendario!BH$19-1)</f>
        <v>45</v>
      </c>
      <c r="BI102" s="53" t="n">
        <f aca="false">e_INSg*(1+e_INSvar)*(1+e_INSgr)^(Calendario!BI$19-1)</f>
        <v>45</v>
      </c>
      <c r="BJ102" s="53" t="n">
        <f aca="false">e_INSg*(1+e_INSvar)*(1+e_INSgr)^(Calendario!BJ$19-1)</f>
        <v>45</v>
      </c>
      <c r="BK102" s="53" t="n">
        <f aca="false">e_INSg*(1+e_INSvar)*(1+e_INSgr)^(Calendario!BK$19-1)</f>
        <v>45</v>
      </c>
      <c r="BL102" s="53" t="n">
        <f aca="false">e_INSg*(1+e_INSvar)*(1+e_INSgr)^(Calendario!BL$19-1)</f>
        <v>45</v>
      </c>
      <c r="BM102" s="53" t="n">
        <f aca="false">e_INSg*(1+e_INSvar)*(1+e_INSgr)^(Calendario!BM$19-1)</f>
        <v>45</v>
      </c>
      <c r="BN102" s="53" t="n">
        <f aca="false">e_INSg*(1+e_INSvar)*(1+e_INSgr)^(Calendario!BN$19-1)</f>
        <v>45</v>
      </c>
      <c r="BO102" s="53" t="n">
        <f aca="false">e_INSg*(1+e_INSvar)*(1+e_INSgr)^(Calendario!BO$19-1)</f>
        <v>45</v>
      </c>
      <c r="BP102" s="53" t="n">
        <f aca="false">e_INSg*(1+e_INSvar)*(1+e_INSgr)^(Calendario!BP$19-1)</f>
        <v>45</v>
      </c>
      <c r="BQ102" s="53" t="n">
        <f aca="false">e_INSg*(1+e_INSvar)*(1+e_INSgr)^(Calendario!BQ$19-1)</f>
        <v>45</v>
      </c>
      <c r="BR102" s="53" t="n">
        <f aca="false">e_INSg*(1+e_INSvar)*(1+e_INSgr)^(Calendario!BR$19-1)</f>
        <v>45</v>
      </c>
      <c r="BS102" s="53" t="n">
        <f aca="false">e_INSg*(1+e_INSvar)*(1+e_INSgr)^(Calendario!BS$19-1)</f>
        <v>45</v>
      </c>
      <c r="BT102" s="53" t="n">
        <f aca="false">e_INSg*(1+e_INSvar)*(1+e_INSgr)^(Calendario!BT$19-1)</f>
        <v>45</v>
      </c>
      <c r="BU102" s="53" t="n">
        <f aca="false">e_INSg*(1+e_INSvar)*(1+e_INSgr)^(Calendario!BU$19-1)</f>
        <v>45</v>
      </c>
      <c r="BV102" s="53" t="n">
        <f aca="false">e_INSg*(1+e_INSvar)*(1+e_INSgr)^(Calendario!BV$19-1)</f>
        <v>45</v>
      </c>
      <c r="BW102" s="53" t="n">
        <f aca="false">e_INSg*(1+e_INSvar)*(1+e_INSgr)^(Calendario!BW$19-1)</f>
        <v>45</v>
      </c>
      <c r="BX102" s="53" t="n">
        <f aca="false">e_INSg*(1+e_INSvar)*(1+e_INSgr)^(Calendario!BX$19-1)</f>
        <v>45</v>
      </c>
      <c r="BY102" s="53" t="n">
        <f aca="false">e_INSg*(1+e_INSvar)*(1+e_INSgr)^(Calendario!BY$19-1)</f>
        <v>45</v>
      </c>
      <c r="BZ102" s="53" t="n">
        <f aca="false">e_INSg*(1+e_INSvar)*(1+e_INSgr)^(Calendario!BZ$19-1)</f>
        <v>45</v>
      </c>
      <c r="CA102" s="53" t="n">
        <f aca="false">e_INSg*(1+e_INSvar)*(1+e_INSgr)^(Calendario!CA$19-1)</f>
        <v>45</v>
      </c>
      <c r="CB102" s="53" t="n">
        <f aca="false">e_INSg*(1+e_INSvar)*(1+e_INSgr)^(Calendario!CB$19-1)</f>
        <v>45</v>
      </c>
      <c r="CC102" s="53" t="n">
        <f aca="false">e_INSg*(1+e_INSvar)*(1+e_INSgr)^(Calendario!CC$19-1)</f>
        <v>45</v>
      </c>
      <c r="CD102" s="53" t="n">
        <f aca="false">e_INSg*(1+e_INSvar)*(1+e_INSgr)^(Calendario!CD$19-1)</f>
        <v>45</v>
      </c>
      <c r="CE102" s="53" t="n">
        <f aca="false">e_INSg*(1+e_INSvar)*(1+e_INSgr)^(Calendario!CE$19-1)</f>
        <v>45</v>
      </c>
      <c r="CF102" s="53" t="n">
        <f aca="false">e_INSg*(1+e_INSvar)*(1+e_INSgr)^(Calendario!CF$19-1)</f>
        <v>45</v>
      </c>
      <c r="CG102" s="53" t="n">
        <f aca="false">e_INSg*(1+e_INSvar)*(1+e_INSgr)^(Calendario!CG$19-1)</f>
        <v>45</v>
      </c>
      <c r="CH102" s="53" t="n">
        <f aca="false">e_INSg*(1+e_INSvar)*(1+e_INSgr)^(Calendario!CH$19-1)</f>
        <v>45</v>
      </c>
      <c r="CI102" s="53" t="n">
        <f aca="false">e_INSg*(1+e_INSvar)*(1+e_INSgr)^(Calendario!CI$19-1)</f>
        <v>45</v>
      </c>
      <c r="CJ102" s="53" t="n">
        <f aca="false">e_INSg*(1+e_INSvar)*(1+e_INSgr)^(Calendario!CJ$19-1)</f>
        <v>45</v>
      </c>
      <c r="CK102" s="53" t="n">
        <f aca="false">e_INSg*(1+e_INSvar)*(1+e_INSgr)^(Calendario!CK$19-1)</f>
        <v>45</v>
      </c>
      <c r="CL102" s="53" t="n">
        <f aca="false">e_INSg*(1+e_INSvar)*(1+e_INSgr)^(Calendario!CL$19-1)</f>
        <v>45</v>
      </c>
      <c r="CM102" s="53" t="n">
        <f aca="false">e_INSg*(1+e_INSvar)*(1+e_INSgr)^(Calendario!CM$19-1)</f>
        <v>45</v>
      </c>
      <c r="CN102" s="53" t="n">
        <f aca="false">e_INSg*(1+e_INSvar)*(1+e_INSgr)^(Calendario!CN$19-1)</f>
        <v>45</v>
      </c>
      <c r="CO102" s="53" t="n">
        <f aca="false">e_INSg*(1+e_INSvar)*(1+e_INSgr)^(Calendario!CO$19-1)</f>
        <v>45</v>
      </c>
      <c r="CP102" s="53" t="n">
        <f aca="false">e_INSg*(1+e_INSvar)*(1+e_INSgr)^(Calendario!CP$19-1)</f>
        <v>45</v>
      </c>
      <c r="CQ102" s="53" t="n">
        <f aca="false">e_INSg*(1+e_INSvar)*(1+e_INSgr)^(Calendario!CQ$19-1)</f>
        <v>45</v>
      </c>
      <c r="CR102" s="53" t="n">
        <f aca="false">e_INSg*(1+e_INSvar)*(1+e_INSgr)^(Calendario!CR$19-1)</f>
        <v>45</v>
      </c>
      <c r="CS102" s="53" t="n">
        <f aca="false">e_INSg*(1+e_INSvar)*(1+e_INSgr)^(Calendario!CS$19-1)</f>
        <v>45</v>
      </c>
      <c r="CT102" s="53" t="n">
        <f aca="false">e_INSg*(1+e_INSvar)*(1+e_INSgr)^(Calendario!CT$19-1)</f>
        <v>45</v>
      </c>
      <c r="CU102" s="53" t="n">
        <f aca="false">e_INSg*(1+e_INSvar)*(1+e_INSgr)^(Calendario!CU$19-1)</f>
        <v>45</v>
      </c>
      <c r="CV102" s="53" t="n">
        <f aca="false">e_INSg*(1+e_INSvar)*(1+e_INSgr)^(Calendario!CV$19-1)</f>
        <v>45</v>
      </c>
      <c r="CW102" s="53" t="n">
        <f aca="false">e_INSg*(1+e_INSvar)*(1+e_INSgr)^(Calendario!CW$19-1)</f>
        <v>45</v>
      </c>
      <c r="CX102" s="53" t="n">
        <f aca="false">e_INSg*(1+e_INSvar)*(1+e_INSgr)^(Calendario!CX$19-1)</f>
        <v>45</v>
      </c>
      <c r="CY102" s="53" t="n">
        <f aca="false">e_INSg*(1+e_INSvar)*(1+e_INSgr)^(Calendario!CY$19-1)</f>
        <v>45</v>
      </c>
      <c r="CZ102" s="53" t="n">
        <f aca="false">e_INSg*(1+e_INSvar)*(1+e_INSgr)^(Calendario!CZ$19-1)</f>
        <v>45</v>
      </c>
      <c r="DA102" s="53" t="n">
        <f aca="false">e_INSg*(1+e_INSvar)*(1+e_INSgr)^(Calendario!DA$19-1)</f>
        <v>45</v>
      </c>
      <c r="DB102" s="53" t="n">
        <f aca="false">e_INSg*(1+e_INSvar)*(1+e_INSgr)^(Calendario!DB$19-1)</f>
        <v>45</v>
      </c>
      <c r="DC102" s="53" t="n">
        <f aca="false">e_INSg*(1+e_INSvar)*(1+e_INSgr)^(Calendario!DC$19-1)</f>
        <v>45</v>
      </c>
      <c r="DD102" s="53" t="n">
        <f aca="false">e_INSg*(1+e_INSvar)*(1+e_INSgr)^(Calendario!DD$19-1)</f>
        <v>45</v>
      </c>
      <c r="DE102" s="53" t="n">
        <f aca="false">e_INSg*(1+e_INSvar)*(1+e_INSgr)^(Calendario!DE$19-1)</f>
        <v>45</v>
      </c>
      <c r="DF102" s="53" t="n">
        <f aca="false">e_INSg*(1+e_INSvar)*(1+e_INSgr)^(Calendario!DF$19-1)</f>
        <v>45</v>
      </c>
      <c r="DG102" s="53" t="n">
        <f aca="false">e_INSg*(1+e_INSvar)*(1+e_INSgr)^(Calendario!DG$19-1)</f>
        <v>45</v>
      </c>
      <c r="DH102" s="53" t="n">
        <f aca="false">e_INSg*(1+e_INSvar)*(1+e_INSgr)^(Calendario!DH$19-1)</f>
        <v>45</v>
      </c>
      <c r="DI102" s="53" t="n">
        <f aca="false">e_INSg*(1+e_INSvar)*(1+e_INSgr)^(Calendario!DI$19-1)</f>
        <v>45</v>
      </c>
      <c r="DJ102" s="53" t="n">
        <f aca="false">e_INSg*(1+e_INSvar)*(1+e_INSgr)^(Calendario!DJ$19-1)</f>
        <v>45</v>
      </c>
      <c r="DK102" s="53" t="n">
        <f aca="false">e_INSg*(1+e_INSvar)*(1+e_INSgr)^(Calendario!DK$19-1)</f>
        <v>45</v>
      </c>
      <c r="DL102" s="53" t="n">
        <f aca="false">e_INSg*(1+e_INSvar)*(1+e_INSgr)^(Calendario!DL$19-1)</f>
        <v>45</v>
      </c>
      <c r="DM102" s="53" t="n">
        <f aca="false">e_INSg*(1+e_INSvar)*(1+e_INSgr)^(Calendario!DM$19-1)</f>
        <v>45</v>
      </c>
      <c r="DN102" s="53" t="n">
        <f aca="false">e_INSg*(1+e_INSvar)*(1+e_INSgr)^(Calendario!DN$19-1)</f>
        <v>45</v>
      </c>
      <c r="DO102" s="53" t="n">
        <f aca="false">e_INSg*(1+e_INSvar)*(1+e_INSgr)^(Calendario!DO$19-1)</f>
        <v>45</v>
      </c>
      <c r="DP102" s="53" t="n">
        <f aca="false">e_INSg*(1+e_INSvar)*(1+e_INSgr)^(Calendario!DP$19-1)</f>
        <v>45</v>
      </c>
      <c r="DQ102" s="53" t="n">
        <f aca="false">e_INSg*(1+e_INSvar)*(1+e_INSgr)^(Calendario!DQ$19-1)</f>
        <v>45</v>
      </c>
      <c r="DR102" s="53" t="n">
        <f aca="false">e_INSg*(1+e_INSvar)*(1+e_INSgr)^(Calendario!DR$19-1)</f>
        <v>45</v>
      </c>
      <c r="DS102" s="53" t="n">
        <f aca="false">e_INSg*(1+e_INSvar)*(1+e_INSgr)^(Calendario!DS$19-1)</f>
        <v>45</v>
      </c>
      <c r="DT102" s="53" t="n">
        <f aca="false">e_INSg*(1+e_INSvar)*(1+e_INSgr)^(Calendario!DT$19-1)</f>
        <v>45</v>
      </c>
      <c r="DU102" s="53" t="n">
        <f aca="false">e_INSg*(1+e_INSvar)*(1+e_INSgr)^(Calendario!DU$19-1)</f>
        <v>45</v>
      </c>
      <c r="DV102" s="53" t="n">
        <f aca="false">e_INSg*(1+e_INSvar)*(1+e_INSgr)^(Calendario!DV$19-1)</f>
        <v>45</v>
      </c>
      <c r="DW102" s="53" t="n">
        <f aca="false">e_INSg*(1+e_INSvar)*(1+e_INSgr)^(Calendario!DW$19-1)</f>
        <v>45</v>
      </c>
      <c r="DX102" s="53" t="n">
        <f aca="false">e_INSg*(1+e_INSvar)*(1+e_INSgr)^(Calendario!DX$19-1)</f>
        <v>45</v>
      </c>
      <c r="DY102" s="53" t="n">
        <f aca="false">e_INSg*(1+e_INSvar)*(1+e_INSgr)^(Calendario!DY$19-1)</f>
        <v>45</v>
      </c>
      <c r="DZ102" s="53" t="n">
        <f aca="false">e_INSg*(1+e_INSvar)*(1+e_INSgr)^(Calendario!DZ$19-1)</f>
        <v>45</v>
      </c>
      <c r="EA102" s="53" t="n">
        <f aca="false">e_INSg*(1+e_INSvar)*(1+e_INSgr)^(Calendario!EA$19-1)</f>
        <v>45</v>
      </c>
      <c r="EB102" s="53" t="n">
        <f aca="false">e_INSg*(1+e_INSvar)*(1+e_INSgr)^(Calendario!EB$19-1)</f>
        <v>45</v>
      </c>
      <c r="EC102" s="53" t="n">
        <f aca="false">e_INSg*(1+e_INSvar)*(1+e_INSgr)^(Calendario!EC$19-1)</f>
        <v>45</v>
      </c>
      <c r="ED102" s="53" t="n">
        <f aca="false">e_INSg*(1+e_INSvar)*(1+e_INSgr)^(Calendario!ED$19-1)</f>
        <v>45</v>
      </c>
      <c r="EE102" s="53" t="n">
        <f aca="false">e_INSg*(1+e_INSvar)*(1+e_INSgr)^(Calendario!EE$19-1)</f>
        <v>45</v>
      </c>
      <c r="EF102" s="53" t="n">
        <f aca="false">e_INSg*(1+e_INSvar)*(1+e_INSgr)^(Calendario!EF$19-1)</f>
        <v>45</v>
      </c>
      <c r="EG102" s="53" t="n">
        <f aca="false">e_INSg*(1+e_INSvar)*(1+e_INSgr)^(Calendario!EG$19-1)</f>
        <v>45</v>
      </c>
      <c r="EH102" s="53" t="n">
        <f aca="false">e_INSg*(1+e_INSvar)*(1+e_INSgr)^(Calendario!EH$19-1)</f>
        <v>45</v>
      </c>
      <c r="EI102" s="53" t="n">
        <f aca="false">e_INSg*(1+e_INSvar)*(1+e_INSgr)^(Calendario!EI$19-1)</f>
        <v>45</v>
      </c>
      <c r="EJ102" s="53" t="n">
        <f aca="false">e_INSg*(1+e_INSvar)*(1+e_INSgr)^(Calendario!EJ$19-1)</f>
        <v>45</v>
      </c>
      <c r="EK102" s="53" t="n">
        <f aca="false">e_INSg*(1+e_INSvar)*(1+e_INSgr)^(Calendario!EK$19-1)</f>
        <v>45</v>
      </c>
      <c r="EL102" s="53" t="n">
        <f aca="false">e_INSg*(1+e_INSvar)*(1+e_INSgr)^(Calendario!EL$19-1)</f>
        <v>45</v>
      </c>
      <c r="EM102" s="53" t="n">
        <f aca="false">e_INSg*(1+e_INSvar)*(1+e_INSgr)^(Calendario!EM$19-1)</f>
        <v>45</v>
      </c>
      <c r="EN102" s="53" t="n">
        <f aca="false">e_INSg*(1+e_INSvar)*(1+e_INSgr)^(Calendario!EN$19-1)</f>
        <v>45</v>
      </c>
      <c r="EO102" s="53" t="n">
        <f aca="false">e_INSg*(1+e_INSvar)*(1+e_INSgr)^(Calendario!EO$19-1)</f>
        <v>45</v>
      </c>
      <c r="EP102" s="53" t="n">
        <f aca="false">e_INSg*(1+e_INSvar)*(1+e_INSgr)^(Calendario!EP$19-1)</f>
        <v>45</v>
      </c>
      <c r="EQ102" s="53" t="n">
        <f aca="false">e_INSg*(1+e_INSvar)*(1+e_INSgr)^(Calendario!EQ$19-1)</f>
        <v>45</v>
      </c>
      <c r="ER102" s="53" t="n">
        <f aca="false">e_INSg*(1+e_INSvar)*(1+e_INSgr)^(Calendario!ER$19-1)</f>
        <v>45</v>
      </c>
      <c r="ES102" s="53" t="n">
        <f aca="false">e_INSg*(1+e_INSvar)*(1+e_INSgr)^(Calendario!ES$19-1)</f>
        <v>45</v>
      </c>
      <c r="ET102" s="53" t="n">
        <f aca="false">e_INSg*(1+e_INSvar)*(1+e_INSgr)^(Calendario!ET$19-1)</f>
        <v>45</v>
      </c>
      <c r="EU102" s="53" t="n">
        <f aca="false">e_INSg*(1+e_INSvar)*(1+e_INSgr)^(Calendario!EU$19-1)</f>
        <v>45</v>
      </c>
      <c r="EV102" s="53" t="n">
        <f aca="false">e_INSg*(1+e_INSvar)*(1+e_INSgr)^(Calendario!EV$19-1)</f>
        <v>45</v>
      </c>
      <c r="EW102" s="53" t="n">
        <f aca="false">e_INSg*(1+e_INSvar)*(1+e_INSgr)^(Calendario!EW$19-1)</f>
        <v>45</v>
      </c>
      <c r="EX102" s="53" t="n">
        <f aca="false">e_INSg*(1+e_INSvar)*(1+e_INSgr)^(Calendario!EX$19-1)</f>
        <v>45</v>
      </c>
      <c r="EY102" s="53" t="n">
        <f aca="false">e_INSg*(1+e_INSvar)*(1+e_INSgr)^(Calendario!EY$19-1)</f>
        <v>45</v>
      </c>
      <c r="EZ102" s="53" t="n">
        <f aca="false">e_INSg*(1+e_INSvar)*(1+e_INSgr)^(Calendario!EZ$19-1)</f>
        <v>45</v>
      </c>
      <c r="FA102" s="53" t="n">
        <f aca="false">e_INSg*(1+e_INSvar)*(1+e_INSgr)^(Calendario!FA$19-1)</f>
        <v>45</v>
      </c>
      <c r="FB102" s="53" t="n">
        <f aca="false">e_INSg*(1+e_INSvar)*(1+e_INSgr)^(Calendario!FB$19-1)</f>
        <v>45</v>
      </c>
      <c r="FC102" s="53" t="n">
        <f aca="false">e_INSg*(1+e_INSvar)*(1+e_INSgr)^(Calendario!FC$19-1)</f>
        <v>45</v>
      </c>
      <c r="FD102" s="53" t="n">
        <f aca="false">e_INSg*(1+e_INSvar)*(1+e_INSgr)^(Calendario!FD$19-1)</f>
        <v>45</v>
      </c>
      <c r="FE102" s="53" t="n">
        <f aca="false">e_INSg*(1+e_INSvar)*(1+e_INSgr)^(Calendario!FE$19-1)</f>
        <v>45</v>
      </c>
      <c r="FF102" s="53" t="n">
        <f aca="false">e_INSg*(1+e_INSvar)*(1+e_INSgr)^(Calendario!FF$19-1)</f>
        <v>45</v>
      </c>
    </row>
    <row r="103" customFormat="false" ht="15" hidden="false" customHeight="false" outlineLevel="0" collapsed="false">
      <c r="A103" s="2" t="s">
        <v>1058</v>
      </c>
      <c r="B103" s="8" t="s">
        <v>540</v>
      </c>
      <c r="C103" s="8" t="s">
        <v>263</v>
      </c>
      <c r="F103" s="53" t="n">
        <f aca="false">e_INSc*(1+e_INSvar)*(1+e_INSgr)^(Calendario!F$19-1)</f>
        <v>4.851</v>
      </c>
      <c r="G103" s="53" t="n">
        <f aca="false">e_INSc*(1+e_INSvar)*(1+e_INSgr)^(Calendario!G$19-1)</f>
        <v>4.851</v>
      </c>
      <c r="H103" s="53" t="n">
        <f aca="false">e_INSc*(1+e_INSvar)*(1+e_INSgr)^(Calendario!H$19-1)</f>
        <v>4.851</v>
      </c>
      <c r="I103" s="53" t="n">
        <f aca="false">e_INSc*(1+e_INSvar)*(1+e_INSgr)^(Calendario!I$19-1)</f>
        <v>4.851</v>
      </c>
      <c r="J103" s="53" t="n">
        <f aca="false">e_INSc*(1+e_INSvar)*(1+e_INSgr)^(Calendario!J$19-1)</f>
        <v>4.851</v>
      </c>
      <c r="K103" s="53" t="n">
        <f aca="false">e_INSc*(1+e_INSvar)*(1+e_INSgr)^(Calendario!K$19-1)</f>
        <v>4.851</v>
      </c>
      <c r="L103" s="53" t="n">
        <f aca="false">e_INSc*(1+e_INSvar)*(1+e_INSgr)^(Calendario!L$19-1)</f>
        <v>4.851</v>
      </c>
      <c r="M103" s="53" t="n">
        <f aca="false">e_INSc*(1+e_INSvar)*(1+e_INSgr)^(Calendario!M$19-1)</f>
        <v>4.851</v>
      </c>
      <c r="N103" s="53" t="n">
        <f aca="false">e_INSc*(1+e_INSvar)*(1+e_INSgr)^(Calendario!N$19-1)</f>
        <v>4.851</v>
      </c>
      <c r="O103" s="53" t="n">
        <f aca="false">e_INSc*(1+e_INSvar)*(1+e_INSgr)^(Calendario!O$19-1)</f>
        <v>4.851</v>
      </c>
      <c r="P103" s="53" t="n">
        <f aca="false">e_INSc*(1+e_INSvar)*(1+e_INSgr)^(Calendario!P$19-1)</f>
        <v>4.851</v>
      </c>
      <c r="Q103" s="53" t="n">
        <f aca="false">e_INSc*(1+e_INSvar)*(1+e_INSgr)^(Calendario!Q$19-1)</f>
        <v>4.851</v>
      </c>
      <c r="R103" s="53" t="n">
        <f aca="false">e_INSc*(1+e_INSvar)*(1+e_INSgr)^(Calendario!R$19-1)</f>
        <v>4.851</v>
      </c>
      <c r="S103" s="53" t="n">
        <f aca="false">e_INSc*(1+e_INSvar)*(1+e_INSgr)^(Calendario!S$19-1)</f>
        <v>4.851</v>
      </c>
      <c r="T103" s="53" t="n">
        <f aca="false">e_INSc*(1+e_INSvar)*(1+e_INSgr)^(Calendario!T$19-1)</f>
        <v>4.851</v>
      </c>
      <c r="U103" s="53" t="n">
        <f aca="false">e_INSc*(1+e_INSvar)*(1+e_INSgr)^(Calendario!U$19-1)</f>
        <v>4.851</v>
      </c>
      <c r="V103" s="53" t="n">
        <f aca="false">e_INSc*(1+e_INSvar)*(1+e_INSgr)^(Calendario!V$19-1)</f>
        <v>4.851</v>
      </c>
      <c r="W103" s="53" t="n">
        <f aca="false">e_INSc*(1+e_INSvar)*(1+e_INSgr)^(Calendario!W$19-1)</f>
        <v>4.851</v>
      </c>
      <c r="X103" s="53" t="n">
        <f aca="false">e_INSc*(1+e_INSvar)*(1+e_INSgr)^(Calendario!X$19-1)</f>
        <v>4.851</v>
      </c>
      <c r="Y103" s="53" t="n">
        <f aca="false">e_INSc*(1+e_INSvar)*(1+e_INSgr)^(Calendario!Y$19-1)</f>
        <v>4.851</v>
      </c>
      <c r="Z103" s="53" t="n">
        <f aca="false">e_INSc*(1+e_INSvar)*(1+e_INSgr)^(Calendario!Z$19-1)</f>
        <v>4.851</v>
      </c>
      <c r="AA103" s="53" t="n">
        <f aca="false">e_INSc*(1+e_INSvar)*(1+e_INSgr)^(Calendario!AA$19-1)</f>
        <v>4.851</v>
      </c>
      <c r="AB103" s="53" t="n">
        <f aca="false">e_INSc*(1+e_INSvar)*(1+e_INSgr)^(Calendario!AB$19-1)</f>
        <v>4.851</v>
      </c>
      <c r="AC103" s="53" t="n">
        <f aca="false">e_INSc*(1+e_INSvar)*(1+e_INSgr)^(Calendario!AC$19-1)</f>
        <v>4.851</v>
      </c>
      <c r="AD103" s="53" t="n">
        <f aca="false">e_INSc*(1+e_INSvar)*(1+e_INSgr)^(Calendario!AD$19-1)</f>
        <v>4.851</v>
      </c>
      <c r="AE103" s="53" t="n">
        <f aca="false">e_INSc*(1+e_INSvar)*(1+e_INSgr)^(Calendario!AE$19-1)</f>
        <v>4.851</v>
      </c>
      <c r="AF103" s="53" t="n">
        <f aca="false">e_INSc*(1+e_INSvar)*(1+e_INSgr)^(Calendario!AF$19-1)</f>
        <v>4.851</v>
      </c>
      <c r="AG103" s="53" t="n">
        <f aca="false">e_INSc*(1+e_INSvar)*(1+e_INSgr)^(Calendario!AG$19-1)</f>
        <v>4.851</v>
      </c>
      <c r="AH103" s="53" t="n">
        <f aca="false">e_INSc*(1+e_INSvar)*(1+e_INSgr)^(Calendario!AH$19-1)</f>
        <v>4.851</v>
      </c>
      <c r="AI103" s="53" t="n">
        <f aca="false">e_INSc*(1+e_INSvar)*(1+e_INSgr)^(Calendario!AI$19-1)</f>
        <v>4.851</v>
      </c>
      <c r="AJ103" s="53" t="n">
        <f aca="false">e_INSc*(1+e_INSvar)*(1+e_INSgr)^(Calendario!AJ$19-1)</f>
        <v>4.851</v>
      </c>
      <c r="AK103" s="53" t="n">
        <f aca="false">e_INSc*(1+e_INSvar)*(1+e_INSgr)^(Calendario!AK$19-1)</f>
        <v>4.851</v>
      </c>
      <c r="AL103" s="53" t="n">
        <f aca="false">e_INSc*(1+e_INSvar)*(1+e_INSgr)^(Calendario!AL$19-1)</f>
        <v>4.851</v>
      </c>
      <c r="AM103" s="53" t="n">
        <f aca="false">e_INSc*(1+e_INSvar)*(1+e_INSgr)^(Calendario!AM$19-1)</f>
        <v>4.851</v>
      </c>
      <c r="AN103" s="53" t="n">
        <f aca="false">e_INSc*(1+e_INSvar)*(1+e_INSgr)^(Calendario!AN$19-1)</f>
        <v>4.851</v>
      </c>
      <c r="AO103" s="53" t="n">
        <f aca="false">e_INSc*(1+e_INSvar)*(1+e_INSgr)^(Calendario!AO$19-1)</f>
        <v>4.851</v>
      </c>
      <c r="AP103" s="53" t="n">
        <f aca="false">e_INSc*(1+e_INSvar)*(1+e_INSgr)^(Calendario!AP$19-1)</f>
        <v>4.851</v>
      </c>
      <c r="AQ103" s="53" t="n">
        <f aca="false">e_INSc*(1+e_INSvar)*(1+e_INSgr)^(Calendario!AQ$19-1)</f>
        <v>4.851</v>
      </c>
      <c r="AR103" s="53" t="n">
        <f aca="false">e_INSc*(1+e_INSvar)*(1+e_INSgr)^(Calendario!AR$19-1)</f>
        <v>4.851</v>
      </c>
      <c r="AS103" s="53" t="n">
        <f aca="false">e_INSc*(1+e_INSvar)*(1+e_INSgr)^(Calendario!AS$19-1)</f>
        <v>4.851</v>
      </c>
      <c r="AT103" s="53" t="n">
        <f aca="false">e_INSc*(1+e_INSvar)*(1+e_INSgr)^(Calendario!AT$19-1)</f>
        <v>4.851</v>
      </c>
      <c r="AU103" s="53" t="n">
        <f aca="false">e_INSc*(1+e_INSvar)*(1+e_INSgr)^(Calendario!AU$19-1)</f>
        <v>4.851</v>
      </c>
      <c r="AV103" s="53" t="n">
        <f aca="false">e_INSc*(1+e_INSvar)*(1+e_INSgr)^(Calendario!AV$19-1)</f>
        <v>4.851</v>
      </c>
      <c r="AW103" s="53" t="n">
        <f aca="false">e_INSc*(1+e_INSvar)*(1+e_INSgr)^(Calendario!AW$19-1)</f>
        <v>4.851</v>
      </c>
      <c r="AX103" s="53" t="n">
        <f aca="false">e_INSc*(1+e_INSvar)*(1+e_INSgr)^(Calendario!AX$19-1)</f>
        <v>4.851</v>
      </c>
      <c r="AY103" s="53" t="n">
        <f aca="false">e_INSc*(1+e_INSvar)*(1+e_INSgr)^(Calendario!AY$19-1)</f>
        <v>4.851</v>
      </c>
      <c r="AZ103" s="53" t="n">
        <f aca="false">e_INSc*(1+e_INSvar)*(1+e_INSgr)^(Calendario!AZ$19-1)</f>
        <v>4.851</v>
      </c>
      <c r="BA103" s="53" t="n">
        <f aca="false">e_INSc*(1+e_INSvar)*(1+e_INSgr)^(Calendario!BA$19-1)</f>
        <v>4.851</v>
      </c>
      <c r="BB103" s="53" t="n">
        <f aca="false">e_INSc*(1+e_INSvar)*(1+e_INSgr)^(Calendario!BB$19-1)</f>
        <v>4.851</v>
      </c>
      <c r="BC103" s="53" t="n">
        <f aca="false">e_INSc*(1+e_INSvar)*(1+e_INSgr)^(Calendario!BC$19-1)</f>
        <v>4.851</v>
      </c>
      <c r="BD103" s="53" t="n">
        <f aca="false">e_INSc*(1+e_INSvar)*(1+e_INSgr)^(Calendario!BD$19-1)</f>
        <v>4.851</v>
      </c>
      <c r="BE103" s="53" t="n">
        <f aca="false">e_INSc*(1+e_INSvar)*(1+e_INSgr)^(Calendario!BE$19-1)</f>
        <v>4.851</v>
      </c>
      <c r="BF103" s="53" t="n">
        <f aca="false">e_INSc*(1+e_INSvar)*(1+e_INSgr)^(Calendario!BF$19-1)</f>
        <v>4.851</v>
      </c>
      <c r="BG103" s="53" t="n">
        <f aca="false">e_INSc*(1+e_INSvar)*(1+e_INSgr)^(Calendario!BG$19-1)</f>
        <v>4.851</v>
      </c>
      <c r="BH103" s="53" t="n">
        <f aca="false">e_INSc*(1+e_INSvar)*(1+e_INSgr)^(Calendario!BH$19-1)</f>
        <v>4.851</v>
      </c>
      <c r="BI103" s="53" t="n">
        <f aca="false">e_INSc*(1+e_INSvar)*(1+e_INSgr)^(Calendario!BI$19-1)</f>
        <v>4.851</v>
      </c>
      <c r="BJ103" s="53" t="n">
        <f aca="false">e_INSc*(1+e_INSvar)*(1+e_INSgr)^(Calendario!BJ$19-1)</f>
        <v>4.851</v>
      </c>
      <c r="BK103" s="53" t="n">
        <f aca="false">e_INSc*(1+e_INSvar)*(1+e_INSgr)^(Calendario!BK$19-1)</f>
        <v>4.851</v>
      </c>
      <c r="BL103" s="53" t="n">
        <f aca="false">e_INSc*(1+e_INSvar)*(1+e_INSgr)^(Calendario!BL$19-1)</f>
        <v>4.851</v>
      </c>
      <c r="BM103" s="53" t="n">
        <f aca="false">e_INSc*(1+e_INSvar)*(1+e_INSgr)^(Calendario!BM$19-1)</f>
        <v>4.851</v>
      </c>
      <c r="BN103" s="53" t="n">
        <f aca="false">e_INSc*(1+e_INSvar)*(1+e_INSgr)^(Calendario!BN$19-1)</f>
        <v>4.851</v>
      </c>
      <c r="BO103" s="53" t="n">
        <f aca="false">e_INSc*(1+e_INSvar)*(1+e_INSgr)^(Calendario!BO$19-1)</f>
        <v>4.851</v>
      </c>
      <c r="BP103" s="53" t="n">
        <f aca="false">e_INSc*(1+e_INSvar)*(1+e_INSgr)^(Calendario!BP$19-1)</f>
        <v>4.851</v>
      </c>
      <c r="BQ103" s="53" t="n">
        <f aca="false">e_INSc*(1+e_INSvar)*(1+e_INSgr)^(Calendario!BQ$19-1)</f>
        <v>4.851</v>
      </c>
      <c r="BR103" s="53" t="n">
        <f aca="false">e_INSc*(1+e_INSvar)*(1+e_INSgr)^(Calendario!BR$19-1)</f>
        <v>4.851</v>
      </c>
      <c r="BS103" s="53" t="n">
        <f aca="false">e_INSc*(1+e_INSvar)*(1+e_INSgr)^(Calendario!BS$19-1)</f>
        <v>4.851</v>
      </c>
      <c r="BT103" s="53" t="n">
        <f aca="false">e_INSc*(1+e_INSvar)*(1+e_INSgr)^(Calendario!BT$19-1)</f>
        <v>4.851</v>
      </c>
      <c r="BU103" s="53" t="n">
        <f aca="false">e_INSc*(1+e_INSvar)*(1+e_INSgr)^(Calendario!BU$19-1)</f>
        <v>4.851</v>
      </c>
      <c r="BV103" s="53" t="n">
        <f aca="false">e_INSc*(1+e_INSvar)*(1+e_INSgr)^(Calendario!BV$19-1)</f>
        <v>4.851</v>
      </c>
      <c r="BW103" s="53" t="n">
        <f aca="false">e_INSc*(1+e_INSvar)*(1+e_INSgr)^(Calendario!BW$19-1)</f>
        <v>4.851</v>
      </c>
      <c r="BX103" s="53" t="n">
        <f aca="false">e_INSc*(1+e_INSvar)*(1+e_INSgr)^(Calendario!BX$19-1)</f>
        <v>4.851</v>
      </c>
      <c r="BY103" s="53" t="n">
        <f aca="false">e_INSc*(1+e_INSvar)*(1+e_INSgr)^(Calendario!BY$19-1)</f>
        <v>4.851</v>
      </c>
      <c r="BZ103" s="53" t="n">
        <f aca="false">e_INSc*(1+e_INSvar)*(1+e_INSgr)^(Calendario!BZ$19-1)</f>
        <v>4.851</v>
      </c>
      <c r="CA103" s="53" t="n">
        <f aca="false">e_INSc*(1+e_INSvar)*(1+e_INSgr)^(Calendario!CA$19-1)</f>
        <v>4.851</v>
      </c>
      <c r="CB103" s="53" t="n">
        <f aca="false">e_INSc*(1+e_INSvar)*(1+e_INSgr)^(Calendario!CB$19-1)</f>
        <v>4.851</v>
      </c>
      <c r="CC103" s="53" t="n">
        <f aca="false">e_INSc*(1+e_INSvar)*(1+e_INSgr)^(Calendario!CC$19-1)</f>
        <v>4.851</v>
      </c>
      <c r="CD103" s="53" t="n">
        <f aca="false">e_INSc*(1+e_INSvar)*(1+e_INSgr)^(Calendario!CD$19-1)</f>
        <v>4.851</v>
      </c>
      <c r="CE103" s="53" t="n">
        <f aca="false">e_INSc*(1+e_INSvar)*(1+e_INSgr)^(Calendario!CE$19-1)</f>
        <v>4.851</v>
      </c>
      <c r="CF103" s="53" t="n">
        <f aca="false">e_INSc*(1+e_INSvar)*(1+e_INSgr)^(Calendario!CF$19-1)</f>
        <v>4.851</v>
      </c>
      <c r="CG103" s="53" t="n">
        <f aca="false">e_INSc*(1+e_INSvar)*(1+e_INSgr)^(Calendario!CG$19-1)</f>
        <v>4.851</v>
      </c>
      <c r="CH103" s="53" t="n">
        <f aca="false">e_INSc*(1+e_INSvar)*(1+e_INSgr)^(Calendario!CH$19-1)</f>
        <v>4.851</v>
      </c>
      <c r="CI103" s="53" t="n">
        <f aca="false">e_INSc*(1+e_INSvar)*(1+e_INSgr)^(Calendario!CI$19-1)</f>
        <v>4.851</v>
      </c>
      <c r="CJ103" s="53" t="n">
        <f aca="false">e_INSc*(1+e_INSvar)*(1+e_INSgr)^(Calendario!CJ$19-1)</f>
        <v>4.851</v>
      </c>
      <c r="CK103" s="53" t="n">
        <f aca="false">e_INSc*(1+e_INSvar)*(1+e_INSgr)^(Calendario!CK$19-1)</f>
        <v>4.851</v>
      </c>
      <c r="CL103" s="53" t="n">
        <f aca="false">e_INSc*(1+e_INSvar)*(1+e_INSgr)^(Calendario!CL$19-1)</f>
        <v>4.851</v>
      </c>
      <c r="CM103" s="53" t="n">
        <f aca="false">e_INSc*(1+e_INSvar)*(1+e_INSgr)^(Calendario!CM$19-1)</f>
        <v>4.851</v>
      </c>
      <c r="CN103" s="53" t="n">
        <f aca="false">e_INSc*(1+e_INSvar)*(1+e_INSgr)^(Calendario!CN$19-1)</f>
        <v>4.851</v>
      </c>
      <c r="CO103" s="53" t="n">
        <f aca="false">e_INSc*(1+e_INSvar)*(1+e_INSgr)^(Calendario!CO$19-1)</f>
        <v>4.851</v>
      </c>
      <c r="CP103" s="53" t="n">
        <f aca="false">e_INSc*(1+e_INSvar)*(1+e_INSgr)^(Calendario!CP$19-1)</f>
        <v>4.851</v>
      </c>
      <c r="CQ103" s="53" t="n">
        <f aca="false">e_INSc*(1+e_INSvar)*(1+e_INSgr)^(Calendario!CQ$19-1)</f>
        <v>4.851</v>
      </c>
      <c r="CR103" s="53" t="n">
        <f aca="false">e_INSc*(1+e_INSvar)*(1+e_INSgr)^(Calendario!CR$19-1)</f>
        <v>4.851</v>
      </c>
      <c r="CS103" s="53" t="n">
        <f aca="false">e_INSc*(1+e_INSvar)*(1+e_INSgr)^(Calendario!CS$19-1)</f>
        <v>4.851</v>
      </c>
      <c r="CT103" s="53" t="n">
        <f aca="false">e_INSc*(1+e_INSvar)*(1+e_INSgr)^(Calendario!CT$19-1)</f>
        <v>4.851</v>
      </c>
      <c r="CU103" s="53" t="n">
        <f aca="false">e_INSc*(1+e_INSvar)*(1+e_INSgr)^(Calendario!CU$19-1)</f>
        <v>4.851</v>
      </c>
      <c r="CV103" s="53" t="n">
        <f aca="false">e_INSc*(1+e_INSvar)*(1+e_INSgr)^(Calendario!CV$19-1)</f>
        <v>4.851</v>
      </c>
      <c r="CW103" s="53" t="n">
        <f aca="false">e_INSc*(1+e_INSvar)*(1+e_INSgr)^(Calendario!CW$19-1)</f>
        <v>4.851</v>
      </c>
      <c r="CX103" s="53" t="n">
        <f aca="false">e_INSc*(1+e_INSvar)*(1+e_INSgr)^(Calendario!CX$19-1)</f>
        <v>4.851</v>
      </c>
      <c r="CY103" s="53" t="n">
        <f aca="false">e_INSc*(1+e_INSvar)*(1+e_INSgr)^(Calendario!CY$19-1)</f>
        <v>4.851</v>
      </c>
      <c r="CZ103" s="53" t="n">
        <f aca="false">e_INSc*(1+e_INSvar)*(1+e_INSgr)^(Calendario!CZ$19-1)</f>
        <v>4.851</v>
      </c>
      <c r="DA103" s="53" t="n">
        <f aca="false">e_INSc*(1+e_INSvar)*(1+e_INSgr)^(Calendario!DA$19-1)</f>
        <v>4.851</v>
      </c>
      <c r="DB103" s="53" t="n">
        <f aca="false">e_INSc*(1+e_INSvar)*(1+e_INSgr)^(Calendario!DB$19-1)</f>
        <v>4.851</v>
      </c>
      <c r="DC103" s="53" t="n">
        <f aca="false">e_INSc*(1+e_INSvar)*(1+e_INSgr)^(Calendario!DC$19-1)</f>
        <v>4.851</v>
      </c>
      <c r="DD103" s="53" t="n">
        <f aca="false">e_INSc*(1+e_INSvar)*(1+e_INSgr)^(Calendario!DD$19-1)</f>
        <v>4.851</v>
      </c>
      <c r="DE103" s="53" t="n">
        <f aca="false">e_INSc*(1+e_INSvar)*(1+e_INSgr)^(Calendario!DE$19-1)</f>
        <v>4.851</v>
      </c>
      <c r="DF103" s="53" t="n">
        <f aca="false">e_INSc*(1+e_INSvar)*(1+e_INSgr)^(Calendario!DF$19-1)</f>
        <v>4.851</v>
      </c>
      <c r="DG103" s="53" t="n">
        <f aca="false">e_INSc*(1+e_INSvar)*(1+e_INSgr)^(Calendario!DG$19-1)</f>
        <v>4.851</v>
      </c>
      <c r="DH103" s="53" t="n">
        <f aca="false">e_INSc*(1+e_INSvar)*(1+e_INSgr)^(Calendario!DH$19-1)</f>
        <v>4.851</v>
      </c>
      <c r="DI103" s="53" t="n">
        <f aca="false">e_INSc*(1+e_INSvar)*(1+e_INSgr)^(Calendario!DI$19-1)</f>
        <v>4.851</v>
      </c>
      <c r="DJ103" s="53" t="n">
        <f aca="false">e_INSc*(1+e_INSvar)*(1+e_INSgr)^(Calendario!DJ$19-1)</f>
        <v>4.851</v>
      </c>
      <c r="DK103" s="53" t="n">
        <f aca="false">e_INSc*(1+e_INSvar)*(1+e_INSgr)^(Calendario!DK$19-1)</f>
        <v>4.851</v>
      </c>
      <c r="DL103" s="53" t="n">
        <f aca="false">e_INSc*(1+e_INSvar)*(1+e_INSgr)^(Calendario!DL$19-1)</f>
        <v>4.851</v>
      </c>
      <c r="DM103" s="53" t="n">
        <f aca="false">e_INSc*(1+e_INSvar)*(1+e_INSgr)^(Calendario!DM$19-1)</f>
        <v>4.851</v>
      </c>
      <c r="DN103" s="53" t="n">
        <f aca="false">e_INSc*(1+e_INSvar)*(1+e_INSgr)^(Calendario!DN$19-1)</f>
        <v>4.851</v>
      </c>
      <c r="DO103" s="53" t="n">
        <f aca="false">e_INSc*(1+e_INSvar)*(1+e_INSgr)^(Calendario!DO$19-1)</f>
        <v>4.851</v>
      </c>
      <c r="DP103" s="53" t="n">
        <f aca="false">e_INSc*(1+e_INSvar)*(1+e_INSgr)^(Calendario!DP$19-1)</f>
        <v>4.851</v>
      </c>
      <c r="DQ103" s="53" t="n">
        <f aca="false">e_INSc*(1+e_INSvar)*(1+e_INSgr)^(Calendario!DQ$19-1)</f>
        <v>4.851</v>
      </c>
      <c r="DR103" s="53" t="n">
        <f aca="false">e_INSc*(1+e_INSvar)*(1+e_INSgr)^(Calendario!DR$19-1)</f>
        <v>4.851</v>
      </c>
      <c r="DS103" s="53" t="n">
        <f aca="false">e_INSc*(1+e_INSvar)*(1+e_INSgr)^(Calendario!DS$19-1)</f>
        <v>4.851</v>
      </c>
      <c r="DT103" s="53" t="n">
        <f aca="false">e_INSc*(1+e_INSvar)*(1+e_INSgr)^(Calendario!DT$19-1)</f>
        <v>4.851</v>
      </c>
      <c r="DU103" s="53" t="n">
        <f aca="false">e_INSc*(1+e_INSvar)*(1+e_INSgr)^(Calendario!DU$19-1)</f>
        <v>4.851</v>
      </c>
      <c r="DV103" s="53" t="n">
        <f aca="false">e_INSc*(1+e_INSvar)*(1+e_INSgr)^(Calendario!DV$19-1)</f>
        <v>4.851</v>
      </c>
      <c r="DW103" s="53" t="n">
        <f aca="false">e_INSc*(1+e_INSvar)*(1+e_INSgr)^(Calendario!DW$19-1)</f>
        <v>4.851</v>
      </c>
      <c r="DX103" s="53" t="n">
        <f aca="false">e_INSc*(1+e_INSvar)*(1+e_INSgr)^(Calendario!DX$19-1)</f>
        <v>4.851</v>
      </c>
      <c r="DY103" s="53" t="n">
        <f aca="false">e_INSc*(1+e_INSvar)*(1+e_INSgr)^(Calendario!DY$19-1)</f>
        <v>4.851</v>
      </c>
      <c r="DZ103" s="53" t="n">
        <f aca="false">e_INSc*(1+e_INSvar)*(1+e_INSgr)^(Calendario!DZ$19-1)</f>
        <v>4.851</v>
      </c>
      <c r="EA103" s="53" t="n">
        <f aca="false">e_INSc*(1+e_INSvar)*(1+e_INSgr)^(Calendario!EA$19-1)</f>
        <v>4.851</v>
      </c>
      <c r="EB103" s="53" t="n">
        <f aca="false">e_INSc*(1+e_INSvar)*(1+e_INSgr)^(Calendario!EB$19-1)</f>
        <v>4.851</v>
      </c>
      <c r="EC103" s="53" t="n">
        <f aca="false">e_INSc*(1+e_INSvar)*(1+e_INSgr)^(Calendario!EC$19-1)</f>
        <v>4.851</v>
      </c>
      <c r="ED103" s="53" t="n">
        <f aca="false">e_INSc*(1+e_INSvar)*(1+e_INSgr)^(Calendario!ED$19-1)</f>
        <v>4.851</v>
      </c>
      <c r="EE103" s="53" t="n">
        <f aca="false">e_INSc*(1+e_INSvar)*(1+e_INSgr)^(Calendario!EE$19-1)</f>
        <v>4.851</v>
      </c>
      <c r="EF103" s="53" t="n">
        <f aca="false">e_INSc*(1+e_INSvar)*(1+e_INSgr)^(Calendario!EF$19-1)</f>
        <v>4.851</v>
      </c>
      <c r="EG103" s="53" t="n">
        <f aca="false">e_INSc*(1+e_INSvar)*(1+e_INSgr)^(Calendario!EG$19-1)</f>
        <v>4.851</v>
      </c>
      <c r="EH103" s="53" t="n">
        <f aca="false">e_INSc*(1+e_INSvar)*(1+e_INSgr)^(Calendario!EH$19-1)</f>
        <v>4.851</v>
      </c>
      <c r="EI103" s="53" t="n">
        <f aca="false">e_INSc*(1+e_INSvar)*(1+e_INSgr)^(Calendario!EI$19-1)</f>
        <v>4.851</v>
      </c>
      <c r="EJ103" s="53" t="n">
        <f aca="false">e_INSc*(1+e_INSvar)*(1+e_INSgr)^(Calendario!EJ$19-1)</f>
        <v>4.851</v>
      </c>
      <c r="EK103" s="53" t="n">
        <f aca="false">e_INSc*(1+e_INSvar)*(1+e_INSgr)^(Calendario!EK$19-1)</f>
        <v>4.851</v>
      </c>
      <c r="EL103" s="53" t="n">
        <f aca="false">e_INSc*(1+e_INSvar)*(1+e_INSgr)^(Calendario!EL$19-1)</f>
        <v>4.851</v>
      </c>
      <c r="EM103" s="53" t="n">
        <f aca="false">e_INSc*(1+e_INSvar)*(1+e_INSgr)^(Calendario!EM$19-1)</f>
        <v>4.851</v>
      </c>
      <c r="EN103" s="53" t="n">
        <f aca="false">e_INSc*(1+e_INSvar)*(1+e_INSgr)^(Calendario!EN$19-1)</f>
        <v>4.851</v>
      </c>
      <c r="EO103" s="53" t="n">
        <f aca="false">e_INSc*(1+e_INSvar)*(1+e_INSgr)^(Calendario!EO$19-1)</f>
        <v>4.851</v>
      </c>
      <c r="EP103" s="53" t="n">
        <f aca="false">e_INSc*(1+e_INSvar)*(1+e_INSgr)^(Calendario!EP$19-1)</f>
        <v>4.851</v>
      </c>
      <c r="EQ103" s="53" t="n">
        <f aca="false">e_INSc*(1+e_INSvar)*(1+e_INSgr)^(Calendario!EQ$19-1)</f>
        <v>4.851</v>
      </c>
      <c r="ER103" s="53" t="n">
        <f aca="false">e_INSc*(1+e_INSvar)*(1+e_INSgr)^(Calendario!ER$19-1)</f>
        <v>4.851</v>
      </c>
      <c r="ES103" s="53" t="n">
        <f aca="false">e_INSc*(1+e_INSvar)*(1+e_INSgr)^(Calendario!ES$19-1)</f>
        <v>4.851</v>
      </c>
      <c r="ET103" s="53" t="n">
        <f aca="false">e_INSc*(1+e_INSvar)*(1+e_INSgr)^(Calendario!ET$19-1)</f>
        <v>4.851</v>
      </c>
      <c r="EU103" s="53" t="n">
        <f aca="false">e_INSc*(1+e_INSvar)*(1+e_INSgr)^(Calendario!EU$19-1)</f>
        <v>4.851</v>
      </c>
      <c r="EV103" s="53" t="n">
        <f aca="false">e_INSc*(1+e_INSvar)*(1+e_INSgr)^(Calendario!EV$19-1)</f>
        <v>4.851</v>
      </c>
      <c r="EW103" s="53" t="n">
        <f aca="false">e_INSc*(1+e_INSvar)*(1+e_INSgr)^(Calendario!EW$19-1)</f>
        <v>4.851</v>
      </c>
      <c r="EX103" s="53" t="n">
        <f aca="false">e_INSc*(1+e_INSvar)*(1+e_INSgr)^(Calendario!EX$19-1)</f>
        <v>4.851</v>
      </c>
      <c r="EY103" s="53" t="n">
        <f aca="false">e_INSc*(1+e_INSvar)*(1+e_INSgr)^(Calendario!EY$19-1)</f>
        <v>4.851</v>
      </c>
      <c r="EZ103" s="53" t="n">
        <f aca="false">e_INSc*(1+e_INSvar)*(1+e_INSgr)^(Calendario!EZ$19-1)</f>
        <v>4.851</v>
      </c>
      <c r="FA103" s="53" t="n">
        <f aca="false">e_INSc*(1+e_INSvar)*(1+e_INSgr)^(Calendario!FA$19-1)</f>
        <v>4.851</v>
      </c>
      <c r="FB103" s="53" t="n">
        <f aca="false">e_INSc*(1+e_INSvar)*(1+e_INSgr)^(Calendario!FB$19-1)</f>
        <v>4.851</v>
      </c>
      <c r="FC103" s="53" t="n">
        <f aca="false">e_INSc*(1+e_INSvar)*(1+e_INSgr)^(Calendario!FC$19-1)</f>
        <v>4.851</v>
      </c>
      <c r="FD103" s="53" t="n">
        <f aca="false">e_INSc*(1+e_INSvar)*(1+e_INSgr)^(Calendario!FD$19-1)</f>
        <v>4.851</v>
      </c>
      <c r="FE103" s="53" t="n">
        <f aca="false">e_INSc*(1+e_INSvar)*(1+e_INSgr)^(Calendario!FE$19-1)</f>
        <v>4.851</v>
      </c>
      <c r="FF103" s="53" t="n">
        <f aca="false">e_INSc*(1+e_INSvar)*(1+e_INSgr)^(Calendario!FF$19-1)</f>
        <v>4.851</v>
      </c>
    </row>
    <row r="104" customFormat="false" ht="15" hidden="false" customHeight="false" outlineLevel="0" collapsed="false">
      <c r="A104" s="2" t="s">
        <v>1059</v>
      </c>
      <c r="B104" s="8" t="s">
        <v>1060</v>
      </c>
      <c r="C104" s="8" t="s">
        <v>263</v>
      </c>
      <c r="F104" s="53" t="n">
        <f aca="false">e_CONg*(1+e_INSvar)*(1+e_INSgr)^(Calendario!F$19-1)</f>
        <v>4.70933333333333</v>
      </c>
      <c r="G104" s="53" t="n">
        <f aca="false">e_CONg*(1+e_INSvar)*(1+e_INSgr)^(Calendario!G$19-1)</f>
        <v>4.70933333333333</v>
      </c>
      <c r="H104" s="53" t="n">
        <f aca="false">e_CONg*(1+e_INSvar)*(1+e_INSgr)^(Calendario!H$19-1)</f>
        <v>4.70933333333333</v>
      </c>
      <c r="I104" s="53" t="n">
        <f aca="false">e_CONg*(1+e_INSvar)*(1+e_INSgr)^(Calendario!I$19-1)</f>
        <v>4.70933333333333</v>
      </c>
      <c r="J104" s="53" t="n">
        <f aca="false">e_CONg*(1+e_INSvar)*(1+e_INSgr)^(Calendario!J$19-1)</f>
        <v>4.70933333333333</v>
      </c>
      <c r="K104" s="53" t="n">
        <f aca="false">e_CONg*(1+e_INSvar)*(1+e_INSgr)^(Calendario!K$19-1)</f>
        <v>4.70933333333333</v>
      </c>
      <c r="L104" s="53" t="n">
        <f aca="false">e_CONg*(1+e_INSvar)*(1+e_INSgr)^(Calendario!L$19-1)</f>
        <v>4.70933333333333</v>
      </c>
      <c r="M104" s="53" t="n">
        <f aca="false">e_CONg*(1+e_INSvar)*(1+e_INSgr)^(Calendario!M$19-1)</f>
        <v>4.70933333333333</v>
      </c>
      <c r="N104" s="53" t="n">
        <f aca="false">e_CONg*(1+e_INSvar)*(1+e_INSgr)^(Calendario!N$19-1)</f>
        <v>4.70933333333333</v>
      </c>
      <c r="O104" s="53" t="n">
        <f aca="false">e_CONg*(1+e_INSvar)*(1+e_INSgr)^(Calendario!O$19-1)</f>
        <v>4.70933333333333</v>
      </c>
      <c r="P104" s="53" t="n">
        <f aca="false">e_CONg*(1+e_INSvar)*(1+e_INSgr)^(Calendario!P$19-1)</f>
        <v>4.70933333333333</v>
      </c>
      <c r="Q104" s="53" t="n">
        <f aca="false">e_CONg*(1+e_INSvar)*(1+e_INSgr)^(Calendario!Q$19-1)</f>
        <v>4.70933333333333</v>
      </c>
      <c r="R104" s="53" t="n">
        <f aca="false">e_CONg*(1+e_INSvar)*(1+e_INSgr)^(Calendario!R$19-1)</f>
        <v>4.70933333333333</v>
      </c>
      <c r="S104" s="53" t="n">
        <f aca="false">e_CONg*(1+e_INSvar)*(1+e_INSgr)^(Calendario!S$19-1)</f>
        <v>4.70933333333333</v>
      </c>
      <c r="T104" s="53" t="n">
        <f aca="false">e_CONg*(1+e_INSvar)*(1+e_INSgr)^(Calendario!T$19-1)</f>
        <v>4.70933333333333</v>
      </c>
      <c r="U104" s="53" t="n">
        <f aca="false">e_CONg*(1+e_INSvar)*(1+e_INSgr)^(Calendario!U$19-1)</f>
        <v>4.70933333333333</v>
      </c>
      <c r="V104" s="53" t="n">
        <f aca="false">e_CONg*(1+e_INSvar)*(1+e_INSgr)^(Calendario!V$19-1)</f>
        <v>4.70933333333333</v>
      </c>
      <c r="W104" s="53" t="n">
        <f aca="false">e_CONg*(1+e_INSvar)*(1+e_INSgr)^(Calendario!W$19-1)</f>
        <v>4.70933333333333</v>
      </c>
      <c r="X104" s="53" t="n">
        <f aca="false">e_CONg*(1+e_INSvar)*(1+e_INSgr)^(Calendario!X$19-1)</f>
        <v>4.70933333333333</v>
      </c>
      <c r="Y104" s="53" t="n">
        <f aca="false">e_CONg*(1+e_INSvar)*(1+e_INSgr)^(Calendario!Y$19-1)</f>
        <v>4.70933333333333</v>
      </c>
      <c r="Z104" s="53" t="n">
        <f aca="false">e_CONg*(1+e_INSvar)*(1+e_INSgr)^(Calendario!Z$19-1)</f>
        <v>4.70933333333333</v>
      </c>
      <c r="AA104" s="53" t="n">
        <f aca="false">e_CONg*(1+e_INSvar)*(1+e_INSgr)^(Calendario!AA$19-1)</f>
        <v>4.70933333333333</v>
      </c>
      <c r="AB104" s="53" t="n">
        <f aca="false">e_CONg*(1+e_INSvar)*(1+e_INSgr)^(Calendario!AB$19-1)</f>
        <v>4.70933333333333</v>
      </c>
      <c r="AC104" s="53" t="n">
        <f aca="false">e_CONg*(1+e_INSvar)*(1+e_INSgr)^(Calendario!AC$19-1)</f>
        <v>4.70933333333333</v>
      </c>
      <c r="AD104" s="53" t="n">
        <f aca="false">e_CONg*(1+e_INSvar)*(1+e_INSgr)^(Calendario!AD$19-1)</f>
        <v>4.70933333333333</v>
      </c>
      <c r="AE104" s="53" t="n">
        <f aca="false">e_CONg*(1+e_INSvar)*(1+e_INSgr)^(Calendario!AE$19-1)</f>
        <v>4.70933333333333</v>
      </c>
      <c r="AF104" s="53" t="n">
        <f aca="false">e_CONg*(1+e_INSvar)*(1+e_INSgr)^(Calendario!AF$19-1)</f>
        <v>4.70933333333333</v>
      </c>
      <c r="AG104" s="53" t="n">
        <f aca="false">e_CONg*(1+e_INSvar)*(1+e_INSgr)^(Calendario!AG$19-1)</f>
        <v>4.70933333333333</v>
      </c>
      <c r="AH104" s="53" t="n">
        <f aca="false">e_CONg*(1+e_INSvar)*(1+e_INSgr)^(Calendario!AH$19-1)</f>
        <v>4.70933333333333</v>
      </c>
      <c r="AI104" s="53" t="n">
        <f aca="false">e_CONg*(1+e_INSvar)*(1+e_INSgr)^(Calendario!AI$19-1)</f>
        <v>4.70933333333333</v>
      </c>
      <c r="AJ104" s="53" t="n">
        <f aca="false">e_CONg*(1+e_INSvar)*(1+e_INSgr)^(Calendario!AJ$19-1)</f>
        <v>4.70933333333333</v>
      </c>
      <c r="AK104" s="53" t="n">
        <f aca="false">e_CONg*(1+e_INSvar)*(1+e_INSgr)^(Calendario!AK$19-1)</f>
        <v>4.70933333333333</v>
      </c>
      <c r="AL104" s="53" t="n">
        <f aca="false">e_CONg*(1+e_INSvar)*(1+e_INSgr)^(Calendario!AL$19-1)</f>
        <v>4.70933333333333</v>
      </c>
      <c r="AM104" s="53" t="n">
        <f aca="false">e_CONg*(1+e_INSvar)*(1+e_INSgr)^(Calendario!AM$19-1)</f>
        <v>4.70933333333333</v>
      </c>
      <c r="AN104" s="53" t="n">
        <f aca="false">e_CONg*(1+e_INSvar)*(1+e_INSgr)^(Calendario!AN$19-1)</f>
        <v>4.70933333333333</v>
      </c>
      <c r="AO104" s="53" t="n">
        <f aca="false">e_CONg*(1+e_INSvar)*(1+e_INSgr)^(Calendario!AO$19-1)</f>
        <v>4.70933333333333</v>
      </c>
      <c r="AP104" s="53" t="n">
        <f aca="false">e_CONg*(1+e_INSvar)*(1+e_INSgr)^(Calendario!AP$19-1)</f>
        <v>4.70933333333333</v>
      </c>
      <c r="AQ104" s="53" t="n">
        <f aca="false">e_CONg*(1+e_INSvar)*(1+e_INSgr)^(Calendario!AQ$19-1)</f>
        <v>4.70933333333333</v>
      </c>
      <c r="AR104" s="53" t="n">
        <f aca="false">e_CONg*(1+e_INSvar)*(1+e_INSgr)^(Calendario!AR$19-1)</f>
        <v>4.70933333333333</v>
      </c>
      <c r="AS104" s="53" t="n">
        <f aca="false">e_CONg*(1+e_INSvar)*(1+e_INSgr)^(Calendario!AS$19-1)</f>
        <v>4.70933333333333</v>
      </c>
      <c r="AT104" s="53" t="n">
        <f aca="false">e_CONg*(1+e_INSvar)*(1+e_INSgr)^(Calendario!AT$19-1)</f>
        <v>4.70933333333333</v>
      </c>
      <c r="AU104" s="53" t="n">
        <f aca="false">e_CONg*(1+e_INSvar)*(1+e_INSgr)^(Calendario!AU$19-1)</f>
        <v>4.70933333333333</v>
      </c>
      <c r="AV104" s="53" t="n">
        <f aca="false">e_CONg*(1+e_INSvar)*(1+e_INSgr)^(Calendario!AV$19-1)</f>
        <v>4.70933333333333</v>
      </c>
      <c r="AW104" s="53" t="n">
        <f aca="false">e_CONg*(1+e_INSvar)*(1+e_INSgr)^(Calendario!AW$19-1)</f>
        <v>4.70933333333333</v>
      </c>
      <c r="AX104" s="53" t="n">
        <f aca="false">e_CONg*(1+e_INSvar)*(1+e_INSgr)^(Calendario!AX$19-1)</f>
        <v>4.70933333333333</v>
      </c>
      <c r="AY104" s="53" t="n">
        <f aca="false">e_CONg*(1+e_INSvar)*(1+e_INSgr)^(Calendario!AY$19-1)</f>
        <v>4.70933333333333</v>
      </c>
      <c r="AZ104" s="53" t="n">
        <f aca="false">e_CONg*(1+e_INSvar)*(1+e_INSgr)^(Calendario!AZ$19-1)</f>
        <v>4.70933333333333</v>
      </c>
      <c r="BA104" s="53" t="n">
        <f aca="false">e_CONg*(1+e_INSvar)*(1+e_INSgr)^(Calendario!BA$19-1)</f>
        <v>4.70933333333333</v>
      </c>
      <c r="BB104" s="53" t="n">
        <f aca="false">e_CONg*(1+e_INSvar)*(1+e_INSgr)^(Calendario!BB$19-1)</f>
        <v>4.70933333333333</v>
      </c>
      <c r="BC104" s="53" t="n">
        <f aca="false">e_CONg*(1+e_INSvar)*(1+e_INSgr)^(Calendario!BC$19-1)</f>
        <v>4.70933333333333</v>
      </c>
      <c r="BD104" s="53" t="n">
        <f aca="false">e_CONg*(1+e_INSvar)*(1+e_INSgr)^(Calendario!BD$19-1)</f>
        <v>4.70933333333333</v>
      </c>
      <c r="BE104" s="53" t="n">
        <f aca="false">e_CONg*(1+e_INSvar)*(1+e_INSgr)^(Calendario!BE$19-1)</f>
        <v>4.70933333333333</v>
      </c>
      <c r="BF104" s="53" t="n">
        <f aca="false">e_CONg*(1+e_INSvar)*(1+e_INSgr)^(Calendario!BF$19-1)</f>
        <v>4.70933333333333</v>
      </c>
      <c r="BG104" s="53" t="n">
        <f aca="false">e_CONg*(1+e_INSvar)*(1+e_INSgr)^(Calendario!BG$19-1)</f>
        <v>4.70933333333333</v>
      </c>
      <c r="BH104" s="53" t="n">
        <f aca="false">e_CONg*(1+e_INSvar)*(1+e_INSgr)^(Calendario!BH$19-1)</f>
        <v>4.70933333333333</v>
      </c>
      <c r="BI104" s="53" t="n">
        <f aca="false">e_CONg*(1+e_INSvar)*(1+e_INSgr)^(Calendario!BI$19-1)</f>
        <v>4.70933333333333</v>
      </c>
      <c r="BJ104" s="53" t="n">
        <f aca="false">e_CONg*(1+e_INSvar)*(1+e_INSgr)^(Calendario!BJ$19-1)</f>
        <v>4.70933333333333</v>
      </c>
      <c r="BK104" s="53" t="n">
        <f aca="false">e_CONg*(1+e_INSvar)*(1+e_INSgr)^(Calendario!BK$19-1)</f>
        <v>4.70933333333333</v>
      </c>
      <c r="BL104" s="53" t="n">
        <f aca="false">e_CONg*(1+e_INSvar)*(1+e_INSgr)^(Calendario!BL$19-1)</f>
        <v>4.70933333333333</v>
      </c>
      <c r="BM104" s="53" t="n">
        <f aca="false">e_CONg*(1+e_INSvar)*(1+e_INSgr)^(Calendario!BM$19-1)</f>
        <v>4.70933333333333</v>
      </c>
      <c r="BN104" s="53" t="n">
        <f aca="false">e_CONg*(1+e_INSvar)*(1+e_INSgr)^(Calendario!BN$19-1)</f>
        <v>4.70933333333333</v>
      </c>
      <c r="BO104" s="53" t="n">
        <f aca="false">e_CONg*(1+e_INSvar)*(1+e_INSgr)^(Calendario!BO$19-1)</f>
        <v>4.70933333333333</v>
      </c>
      <c r="BP104" s="53" t="n">
        <f aca="false">e_CONg*(1+e_INSvar)*(1+e_INSgr)^(Calendario!BP$19-1)</f>
        <v>4.70933333333333</v>
      </c>
      <c r="BQ104" s="53" t="n">
        <f aca="false">e_CONg*(1+e_INSvar)*(1+e_INSgr)^(Calendario!BQ$19-1)</f>
        <v>4.70933333333333</v>
      </c>
      <c r="BR104" s="53" t="n">
        <f aca="false">e_CONg*(1+e_INSvar)*(1+e_INSgr)^(Calendario!BR$19-1)</f>
        <v>4.70933333333333</v>
      </c>
      <c r="BS104" s="53" t="n">
        <f aca="false">e_CONg*(1+e_INSvar)*(1+e_INSgr)^(Calendario!BS$19-1)</f>
        <v>4.70933333333333</v>
      </c>
      <c r="BT104" s="53" t="n">
        <f aca="false">e_CONg*(1+e_INSvar)*(1+e_INSgr)^(Calendario!BT$19-1)</f>
        <v>4.70933333333333</v>
      </c>
      <c r="BU104" s="53" t="n">
        <f aca="false">e_CONg*(1+e_INSvar)*(1+e_INSgr)^(Calendario!BU$19-1)</f>
        <v>4.70933333333333</v>
      </c>
      <c r="BV104" s="53" t="n">
        <f aca="false">e_CONg*(1+e_INSvar)*(1+e_INSgr)^(Calendario!BV$19-1)</f>
        <v>4.70933333333333</v>
      </c>
      <c r="BW104" s="53" t="n">
        <f aca="false">e_CONg*(1+e_INSvar)*(1+e_INSgr)^(Calendario!BW$19-1)</f>
        <v>4.70933333333333</v>
      </c>
      <c r="BX104" s="53" t="n">
        <f aca="false">e_CONg*(1+e_INSvar)*(1+e_INSgr)^(Calendario!BX$19-1)</f>
        <v>4.70933333333333</v>
      </c>
      <c r="BY104" s="53" t="n">
        <f aca="false">e_CONg*(1+e_INSvar)*(1+e_INSgr)^(Calendario!BY$19-1)</f>
        <v>4.70933333333333</v>
      </c>
      <c r="BZ104" s="53" t="n">
        <f aca="false">e_CONg*(1+e_INSvar)*(1+e_INSgr)^(Calendario!BZ$19-1)</f>
        <v>4.70933333333333</v>
      </c>
      <c r="CA104" s="53" t="n">
        <f aca="false">e_CONg*(1+e_INSvar)*(1+e_INSgr)^(Calendario!CA$19-1)</f>
        <v>4.70933333333333</v>
      </c>
      <c r="CB104" s="53" t="n">
        <f aca="false">e_CONg*(1+e_INSvar)*(1+e_INSgr)^(Calendario!CB$19-1)</f>
        <v>4.70933333333333</v>
      </c>
      <c r="CC104" s="53" t="n">
        <f aca="false">e_CONg*(1+e_INSvar)*(1+e_INSgr)^(Calendario!CC$19-1)</f>
        <v>4.70933333333333</v>
      </c>
      <c r="CD104" s="53" t="n">
        <f aca="false">e_CONg*(1+e_INSvar)*(1+e_INSgr)^(Calendario!CD$19-1)</f>
        <v>4.70933333333333</v>
      </c>
      <c r="CE104" s="53" t="n">
        <f aca="false">e_CONg*(1+e_INSvar)*(1+e_INSgr)^(Calendario!CE$19-1)</f>
        <v>4.70933333333333</v>
      </c>
      <c r="CF104" s="53" t="n">
        <f aca="false">e_CONg*(1+e_INSvar)*(1+e_INSgr)^(Calendario!CF$19-1)</f>
        <v>4.70933333333333</v>
      </c>
      <c r="CG104" s="53" t="n">
        <f aca="false">e_CONg*(1+e_INSvar)*(1+e_INSgr)^(Calendario!CG$19-1)</f>
        <v>4.70933333333333</v>
      </c>
      <c r="CH104" s="53" t="n">
        <f aca="false">e_CONg*(1+e_INSvar)*(1+e_INSgr)^(Calendario!CH$19-1)</f>
        <v>4.70933333333333</v>
      </c>
      <c r="CI104" s="53" t="n">
        <f aca="false">e_CONg*(1+e_INSvar)*(1+e_INSgr)^(Calendario!CI$19-1)</f>
        <v>4.70933333333333</v>
      </c>
      <c r="CJ104" s="53" t="n">
        <f aca="false">e_CONg*(1+e_INSvar)*(1+e_INSgr)^(Calendario!CJ$19-1)</f>
        <v>4.70933333333333</v>
      </c>
      <c r="CK104" s="53" t="n">
        <f aca="false">e_CONg*(1+e_INSvar)*(1+e_INSgr)^(Calendario!CK$19-1)</f>
        <v>4.70933333333333</v>
      </c>
      <c r="CL104" s="53" t="n">
        <f aca="false">e_CONg*(1+e_INSvar)*(1+e_INSgr)^(Calendario!CL$19-1)</f>
        <v>4.70933333333333</v>
      </c>
      <c r="CM104" s="53" t="n">
        <f aca="false">e_CONg*(1+e_INSvar)*(1+e_INSgr)^(Calendario!CM$19-1)</f>
        <v>4.70933333333333</v>
      </c>
      <c r="CN104" s="53" t="n">
        <f aca="false">e_CONg*(1+e_INSvar)*(1+e_INSgr)^(Calendario!CN$19-1)</f>
        <v>4.70933333333333</v>
      </c>
      <c r="CO104" s="53" t="n">
        <f aca="false">e_CONg*(1+e_INSvar)*(1+e_INSgr)^(Calendario!CO$19-1)</f>
        <v>4.70933333333333</v>
      </c>
      <c r="CP104" s="53" t="n">
        <f aca="false">e_CONg*(1+e_INSvar)*(1+e_INSgr)^(Calendario!CP$19-1)</f>
        <v>4.70933333333333</v>
      </c>
      <c r="CQ104" s="53" t="n">
        <f aca="false">e_CONg*(1+e_INSvar)*(1+e_INSgr)^(Calendario!CQ$19-1)</f>
        <v>4.70933333333333</v>
      </c>
      <c r="CR104" s="53" t="n">
        <f aca="false">e_CONg*(1+e_INSvar)*(1+e_INSgr)^(Calendario!CR$19-1)</f>
        <v>4.70933333333333</v>
      </c>
      <c r="CS104" s="53" t="n">
        <f aca="false">e_CONg*(1+e_INSvar)*(1+e_INSgr)^(Calendario!CS$19-1)</f>
        <v>4.70933333333333</v>
      </c>
      <c r="CT104" s="53" t="n">
        <f aca="false">e_CONg*(1+e_INSvar)*(1+e_INSgr)^(Calendario!CT$19-1)</f>
        <v>4.70933333333333</v>
      </c>
      <c r="CU104" s="53" t="n">
        <f aca="false">e_CONg*(1+e_INSvar)*(1+e_INSgr)^(Calendario!CU$19-1)</f>
        <v>4.70933333333333</v>
      </c>
      <c r="CV104" s="53" t="n">
        <f aca="false">e_CONg*(1+e_INSvar)*(1+e_INSgr)^(Calendario!CV$19-1)</f>
        <v>4.70933333333333</v>
      </c>
      <c r="CW104" s="53" t="n">
        <f aca="false">e_CONg*(1+e_INSvar)*(1+e_INSgr)^(Calendario!CW$19-1)</f>
        <v>4.70933333333333</v>
      </c>
      <c r="CX104" s="53" t="n">
        <f aca="false">e_CONg*(1+e_INSvar)*(1+e_INSgr)^(Calendario!CX$19-1)</f>
        <v>4.70933333333333</v>
      </c>
      <c r="CY104" s="53" t="n">
        <f aca="false">e_CONg*(1+e_INSvar)*(1+e_INSgr)^(Calendario!CY$19-1)</f>
        <v>4.70933333333333</v>
      </c>
      <c r="CZ104" s="53" t="n">
        <f aca="false">e_CONg*(1+e_INSvar)*(1+e_INSgr)^(Calendario!CZ$19-1)</f>
        <v>4.70933333333333</v>
      </c>
      <c r="DA104" s="53" t="n">
        <f aca="false">e_CONg*(1+e_INSvar)*(1+e_INSgr)^(Calendario!DA$19-1)</f>
        <v>4.70933333333333</v>
      </c>
      <c r="DB104" s="53" t="n">
        <f aca="false">e_CONg*(1+e_INSvar)*(1+e_INSgr)^(Calendario!DB$19-1)</f>
        <v>4.70933333333333</v>
      </c>
      <c r="DC104" s="53" t="n">
        <f aca="false">e_CONg*(1+e_INSvar)*(1+e_INSgr)^(Calendario!DC$19-1)</f>
        <v>4.70933333333333</v>
      </c>
      <c r="DD104" s="53" t="n">
        <f aca="false">e_CONg*(1+e_INSvar)*(1+e_INSgr)^(Calendario!DD$19-1)</f>
        <v>4.70933333333333</v>
      </c>
      <c r="DE104" s="53" t="n">
        <f aca="false">e_CONg*(1+e_INSvar)*(1+e_INSgr)^(Calendario!DE$19-1)</f>
        <v>4.70933333333333</v>
      </c>
      <c r="DF104" s="53" t="n">
        <f aca="false">e_CONg*(1+e_INSvar)*(1+e_INSgr)^(Calendario!DF$19-1)</f>
        <v>4.70933333333333</v>
      </c>
      <c r="DG104" s="53" t="n">
        <f aca="false">e_CONg*(1+e_INSvar)*(1+e_INSgr)^(Calendario!DG$19-1)</f>
        <v>4.70933333333333</v>
      </c>
      <c r="DH104" s="53" t="n">
        <f aca="false">e_CONg*(1+e_INSvar)*(1+e_INSgr)^(Calendario!DH$19-1)</f>
        <v>4.70933333333333</v>
      </c>
      <c r="DI104" s="53" t="n">
        <f aca="false">e_CONg*(1+e_INSvar)*(1+e_INSgr)^(Calendario!DI$19-1)</f>
        <v>4.70933333333333</v>
      </c>
      <c r="DJ104" s="53" t="n">
        <f aca="false">e_CONg*(1+e_INSvar)*(1+e_INSgr)^(Calendario!DJ$19-1)</f>
        <v>4.70933333333333</v>
      </c>
      <c r="DK104" s="53" t="n">
        <f aca="false">e_CONg*(1+e_INSvar)*(1+e_INSgr)^(Calendario!DK$19-1)</f>
        <v>4.70933333333333</v>
      </c>
      <c r="DL104" s="53" t="n">
        <f aca="false">e_CONg*(1+e_INSvar)*(1+e_INSgr)^(Calendario!DL$19-1)</f>
        <v>4.70933333333333</v>
      </c>
      <c r="DM104" s="53" t="n">
        <f aca="false">e_CONg*(1+e_INSvar)*(1+e_INSgr)^(Calendario!DM$19-1)</f>
        <v>4.70933333333333</v>
      </c>
      <c r="DN104" s="53" t="n">
        <f aca="false">e_CONg*(1+e_INSvar)*(1+e_INSgr)^(Calendario!DN$19-1)</f>
        <v>4.70933333333333</v>
      </c>
      <c r="DO104" s="53" t="n">
        <f aca="false">e_CONg*(1+e_INSvar)*(1+e_INSgr)^(Calendario!DO$19-1)</f>
        <v>4.70933333333333</v>
      </c>
      <c r="DP104" s="53" t="n">
        <f aca="false">e_CONg*(1+e_INSvar)*(1+e_INSgr)^(Calendario!DP$19-1)</f>
        <v>4.70933333333333</v>
      </c>
      <c r="DQ104" s="53" t="n">
        <f aca="false">e_CONg*(1+e_INSvar)*(1+e_INSgr)^(Calendario!DQ$19-1)</f>
        <v>4.70933333333333</v>
      </c>
      <c r="DR104" s="53" t="n">
        <f aca="false">e_CONg*(1+e_INSvar)*(1+e_INSgr)^(Calendario!DR$19-1)</f>
        <v>4.70933333333333</v>
      </c>
      <c r="DS104" s="53" t="n">
        <f aca="false">e_CONg*(1+e_INSvar)*(1+e_INSgr)^(Calendario!DS$19-1)</f>
        <v>4.70933333333333</v>
      </c>
      <c r="DT104" s="53" t="n">
        <f aca="false">e_CONg*(1+e_INSvar)*(1+e_INSgr)^(Calendario!DT$19-1)</f>
        <v>4.70933333333333</v>
      </c>
      <c r="DU104" s="53" t="n">
        <f aca="false">e_CONg*(1+e_INSvar)*(1+e_INSgr)^(Calendario!DU$19-1)</f>
        <v>4.70933333333333</v>
      </c>
      <c r="DV104" s="53" t="n">
        <f aca="false">e_CONg*(1+e_INSvar)*(1+e_INSgr)^(Calendario!DV$19-1)</f>
        <v>4.70933333333333</v>
      </c>
      <c r="DW104" s="53" t="n">
        <f aca="false">e_CONg*(1+e_INSvar)*(1+e_INSgr)^(Calendario!DW$19-1)</f>
        <v>4.70933333333333</v>
      </c>
      <c r="DX104" s="53" t="n">
        <f aca="false">e_CONg*(1+e_INSvar)*(1+e_INSgr)^(Calendario!DX$19-1)</f>
        <v>4.70933333333333</v>
      </c>
      <c r="DY104" s="53" t="n">
        <f aca="false">e_CONg*(1+e_INSvar)*(1+e_INSgr)^(Calendario!DY$19-1)</f>
        <v>4.70933333333333</v>
      </c>
      <c r="DZ104" s="53" t="n">
        <f aca="false">e_CONg*(1+e_INSvar)*(1+e_INSgr)^(Calendario!DZ$19-1)</f>
        <v>4.70933333333333</v>
      </c>
      <c r="EA104" s="53" t="n">
        <f aca="false">e_CONg*(1+e_INSvar)*(1+e_INSgr)^(Calendario!EA$19-1)</f>
        <v>4.70933333333333</v>
      </c>
      <c r="EB104" s="53" t="n">
        <f aca="false">e_CONg*(1+e_INSvar)*(1+e_INSgr)^(Calendario!EB$19-1)</f>
        <v>4.70933333333333</v>
      </c>
      <c r="EC104" s="53" t="n">
        <f aca="false">e_CONg*(1+e_INSvar)*(1+e_INSgr)^(Calendario!EC$19-1)</f>
        <v>4.70933333333333</v>
      </c>
      <c r="ED104" s="53" t="n">
        <f aca="false">e_CONg*(1+e_INSvar)*(1+e_INSgr)^(Calendario!ED$19-1)</f>
        <v>4.70933333333333</v>
      </c>
      <c r="EE104" s="53" t="n">
        <f aca="false">e_CONg*(1+e_INSvar)*(1+e_INSgr)^(Calendario!EE$19-1)</f>
        <v>4.70933333333333</v>
      </c>
      <c r="EF104" s="53" t="n">
        <f aca="false">e_CONg*(1+e_INSvar)*(1+e_INSgr)^(Calendario!EF$19-1)</f>
        <v>4.70933333333333</v>
      </c>
      <c r="EG104" s="53" t="n">
        <f aca="false">e_CONg*(1+e_INSvar)*(1+e_INSgr)^(Calendario!EG$19-1)</f>
        <v>4.70933333333333</v>
      </c>
      <c r="EH104" s="53" t="n">
        <f aca="false">e_CONg*(1+e_INSvar)*(1+e_INSgr)^(Calendario!EH$19-1)</f>
        <v>4.70933333333333</v>
      </c>
      <c r="EI104" s="53" t="n">
        <f aca="false">e_CONg*(1+e_INSvar)*(1+e_INSgr)^(Calendario!EI$19-1)</f>
        <v>4.70933333333333</v>
      </c>
      <c r="EJ104" s="53" t="n">
        <f aca="false">e_CONg*(1+e_INSvar)*(1+e_INSgr)^(Calendario!EJ$19-1)</f>
        <v>4.70933333333333</v>
      </c>
      <c r="EK104" s="53" t="n">
        <f aca="false">e_CONg*(1+e_INSvar)*(1+e_INSgr)^(Calendario!EK$19-1)</f>
        <v>4.70933333333333</v>
      </c>
      <c r="EL104" s="53" t="n">
        <f aca="false">e_CONg*(1+e_INSvar)*(1+e_INSgr)^(Calendario!EL$19-1)</f>
        <v>4.70933333333333</v>
      </c>
      <c r="EM104" s="53" t="n">
        <f aca="false">e_CONg*(1+e_INSvar)*(1+e_INSgr)^(Calendario!EM$19-1)</f>
        <v>4.70933333333333</v>
      </c>
      <c r="EN104" s="53" t="n">
        <f aca="false">e_CONg*(1+e_INSvar)*(1+e_INSgr)^(Calendario!EN$19-1)</f>
        <v>4.70933333333333</v>
      </c>
      <c r="EO104" s="53" t="n">
        <f aca="false">e_CONg*(1+e_INSvar)*(1+e_INSgr)^(Calendario!EO$19-1)</f>
        <v>4.70933333333333</v>
      </c>
      <c r="EP104" s="53" t="n">
        <f aca="false">e_CONg*(1+e_INSvar)*(1+e_INSgr)^(Calendario!EP$19-1)</f>
        <v>4.70933333333333</v>
      </c>
      <c r="EQ104" s="53" t="n">
        <f aca="false">e_CONg*(1+e_INSvar)*(1+e_INSgr)^(Calendario!EQ$19-1)</f>
        <v>4.70933333333333</v>
      </c>
      <c r="ER104" s="53" t="n">
        <f aca="false">e_CONg*(1+e_INSvar)*(1+e_INSgr)^(Calendario!ER$19-1)</f>
        <v>4.70933333333333</v>
      </c>
      <c r="ES104" s="53" t="n">
        <f aca="false">e_CONg*(1+e_INSvar)*(1+e_INSgr)^(Calendario!ES$19-1)</f>
        <v>4.70933333333333</v>
      </c>
      <c r="ET104" s="53" t="n">
        <f aca="false">e_CONg*(1+e_INSvar)*(1+e_INSgr)^(Calendario!ET$19-1)</f>
        <v>4.70933333333333</v>
      </c>
      <c r="EU104" s="53" t="n">
        <f aca="false">e_CONg*(1+e_INSvar)*(1+e_INSgr)^(Calendario!EU$19-1)</f>
        <v>4.70933333333333</v>
      </c>
      <c r="EV104" s="53" t="n">
        <f aca="false">e_CONg*(1+e_INSvar)*(1+e_INSgr)^(Calendario!EV$19-1)</f>
        <v>4.70933333333333</v>
      </c>
      <c r="EW104" s="53" t="n">
        <f aca="false">e_CONg*(1+e_INSvar)*(1+e_INSgr)^(Calendario!EW$19-1)</f>
        <v>4.70933333333333</v>
      </c>
      <c r="EX104" s="53" t="n">
        <f aca="false">e_CONg*(1+e_INSvar)*(1+e_INSgr)^(Calendario!EX$19-1)</f>
        <v>4.70933333333333</v>
      </c>
      <c r="EY104" s="53" t="n">
        <f aca="false">e_CONg*(1+e_INSvar)*(1+e_INSgr)^(Calendario!EY$19-1)</f>
        <v>4.70933333333333</v>
      </c>
      <c r="EZ104" s="53" t="n">
        <f aca="false">e_CONg*(1+e_INSvar)*(1+e_INSgr)^(Calendario!EZ$19-1)</f>
        <v>4.70933333333333</v>
      </c>
      <c r="FA104" s="53" t="n">
        <f aca="false">e_CONg*(1+e_INSvar)*(1+e_INSgr)^(Calendario!FA$19-1)</f>
        <v>4.70933333333333</v>
      </c>
      <c r="FB104" s="53" t="n">
        <f aca="false">e_CONg*(1+e_INSvar)*(1+e_INSgr)^(Calendario!FB$19-1)</f>
        <v>4.70933333333333</v>
      </c>
      <c r="FC104" s="53" t="n">
        <f aca="false">e_CONg*(1+e_INSvar)*(1+e_INSgr)^(Calendario!FC$19-1)</f>
        <v>4.70933333333333</v>
      </c>
      <c r="FD104" s="53" t="n">
        <f aca="false">e_CONg*(1+e_INSvar)*(1+e_INSgr)^(Calendario!FD$19-1)</f>
        <v>4.70933333333333</v>
      </c>
      <c r="FE104" s="53" t="n">
        <f aca="false">e_CONg*(1+e_INSvar)*(1+e_INSgr)^(Calendario!FE$19-1)</f>
        <v>4.70933333333333</v>
      </c>
      <c r="FF104" s="53" t="n">
        <f aca="false">e_CONg*(1+e_INSvar)*(1+e_INSgr)^(Calendario!FF$19-1)</f>
        <v>4.70933333333333</v>
      </c>
    </row>
    <row r="105" customFormat="false" ht="15" hidden="false" customHeight="false" outlineLevel="0" collapsed="false">
      <c r="A105" s="2" t="s">
        <v>1061</v>
      </c>
      <c r="B105" s="8" t="s">
        <v>546</v>
      </c>
      <c r="C105" s="8" t="s">
        <v>263</v>
      </c>
      <c r="F105" s="53" t="n">
        <f aca="false">e_CONc*(1+e_INSvar)*(1+e_INSgr)^(Calendario!F$19-1)</f>
        <v>0.65</v>
      </c>
      <c r="G105" s="53" t="n">
        <f aca="false">e_CONc*(1+e_INSvar)*(1+e_INSgr)^(Calendario!G$19-1)</f>
        <v>0.65</v>
      </c>
      <c r="H105" s="53" t="n">
        <f aca="false">e_CONc*(1+e_INSvar)*(1+e_INSgr)^(Calendario!H$19-1)</f>
        <v>0.65</v>
      </c>
      <c r="I105" s="53" t="n">
        <f aca="false">e_CONc*(1+e_INSvar)*(1+e_INSgr)^(Calendario!I$19-1)</f>
        <v>0.65</v>
      </c>
      <c r="J105" s="53" t="n">
        <f aca="false">e_CONc*(1+e_INSvar)*(1+e_INSgr)^(Calendario!J$19-1)</f>
        <v>0.65</v>
      </c>
      <c r="K105" s="53" t="n">
        <f aca="false">e_CONc*(1+e_INSvar)*(1+e_INSgr)^(Calendario!K$19-1)</f>
        <v>0.65</v>
      </c>
      <c r="L105" s="53" t="n">
        <f aca="false">e_CONc*(1+e_INSvar)*(1+e_INSgr)^(Calendario!L$19-1)</f>
        <v>0.65</v>
      </c>
      <c r="M105" s="53" t="n">
        <f aca="false">e_CONc*(1+e_INSvar)*(1+e_INSgr)^(Calendario!M$19-1)</f>
        <v>0.65</v>
      </c>
      <c r="N105" s="53" t="n">
        <f aca="false">e_CONc*(1+e_INSvar)*(1+e_INSgr)^(Calendario!N$19-1)</f>
        <v>0.65</v>
      </c>
      <c r="O105" s="53" t="n">
        <f aca="false">e_CONc*(1+e_INSvar)*(1+e_INSgr)^(Calendario!O$19-1)</f>
        <v>0.65</v>
      </c>
      <c r="P105" s="53" t="n">
        <f aca="false">e_CONc*(1+e_INSvar)*(1+e_INSgr)^(Calendario!P$19-1)</f>
        <v>0.65</v>
      </c>
      <c r="Q105" s="53" t="n">
        <f aca="false">e_CONc*(1+e_INSvar)*(1+e_INSgr)^(Calendario!Q$19-1)</f>
        <v>0.65</v>
      </c>
      <c r="R105" s="53" t="n">
        <f aca="false">e_CONc*(1+e_INSvar)*(1+e_INSgr)^(Calendario!R$19-1)</f>
        <v>0.65</v>
      </c>
      <c r="S105" s="53" t="n">
        <f aca="false">e_CONc*(1+e_INSvar)*(1+e_INSgr)^(Calendario!S$19-1)</f>
        <v>0.65</v>
      </c>
      <c r="T105" s="53" t="n">
        <f aca="false">e_CONc*(1+e_INSvar)*(1+e_INSgr)^(Calendario!T$19-1)</f>
        <v>0.65</v>
      </c>
      <c r="U105" s="53" t="n">
        <f aca="false">e_CONc*(1+e_INSvar)*(1+e_INSgr)^(Calendario!U$19-1)</f>
        <v>0.65</v>
      </c>
      <c r="V105" s="53" t="n">
        <f aca="false">e_CONc*(1+e_INSvar)*(1+e_INSgr)^(Calendario!V$19-1)</f>
        <v>0.65</v>
      </c>
      <c r="W105" s="53" t="n">
        <f aca="false">e_CONc*(1+e_INSvar)*(1+e_INSgr)^(Calendario!W$19-1)</f>
        <v>0.65</v>
      </c>
      <c r="X105" s="53" t="n">
        <f aca="false">e_CONc*(1+e_INSvar)*(1+e_INSgr)^(Calendario!X$19-1)</f>
        <v>0.65</v>
      </c>
      <c r="Y105" s="53" t="n">
        <f aca="false">e_CONc*(1+e_INSvar)*(1+e_INSgr)^(Calendario!Y$19-1)</f>
        <v>0.65</v>
      </c>
      <c r="Z105" s="53" t="n">
        <f aca="false">e_CONc*(1+e_INSvar)*(1+e_INSgr)^(Calendario!Z$19-1)</f>
        <v>0.65</v>
      </c>
      <c r="AA105" s="53" t="n">
        <f aca="false">e_CONc*(1+e_INSvar)*(1+e_INSgr)^(Calendario!AA$19-1)</f>
        <v>0.65</v>
      </c>
      <c r="AB105" s="53" t="n">
        <f aca="false">e_CONc*(1+e_INSvar)*(1+e_INSgr)^(Calendario!AB$19-1)</f>
        <v>0.65</v>
      </c>
      <c r="AC105" s="53" t="n">
        <f aca="false">e_CONc*(1+e_INSvar)*(1+e_INSgr)^(Calendario!AC$19-1)</f>
        <v>0.65</v>
      </c>
      <c r="AD105" s="53" t="n">
        <f aca="false">e_CONc*(1+e_INSvar)*(1+e_INSgr)^(Calendario!AD$19-1)</f>
        <v>0.65</v>
      </c>
      <c r="AE105" s="53" t="n">
        <f aca="false">e_CONc*(1+e_INSvar)*(1+e_INSgr)^(Calendario!AE$19-1)</f>
        <v>0.65</v>
      </c>
      <c r="AF105" s="53" t="n">
        <f aca="false">e_CONc*(1+e_INSvar)*(1+e_INSgr)^(Calendario!AF$19-1)</f>
        <v>0.65</v>
      </c>
      <c r="AG105" s="53" t="n">
        <f aca="false">e_CONc*(1+e_INSvar)*(1+e_INSgr)^(Calendario!AG$19-1)</f>
        <v>0.65</v>
      </c>
      <c r="AH105" s="53" t="n">
        <f aca="false">e_CONc*(1+e_INSvar)*(1+e_INSgr)^(Calendario!AH$19-1)</f>
        <v>0.65</v>
      </c>
      <c r="AI105" s="53" t="n">
        <f aca="false">e_CONc*(1+e_INSvar)*(1+e_INSgr)^(Calendario!AI$19-1)</f>
        <v>0.65</v>
      </c>
      <c r="AJ105" s="53" t="n">
        <f aca="false">e_CONc*(1+e_INSvar)*(1+e_INSgr)^(Calendario!AJ$19-1)</f>
        <v>0.65</v>
      </c>
      <c r="AK105" s="53" t="n">
        <f aca="false">e_CONc*(1+e_INSvar)*(1+e_INSgr)^(Calendario!AK$19-1)</f>
        <v>0.65</v>
      </c>
      <c r="AL105" s="53" t="n">
        <f aca="false">e_CONc*(1+e_INSvar)*(1+e_INSgr)^(Calendario!AL$19-1)</f>
        <v>0.65</v>
      </c>
      <c r="AM105" s="53" t="n">
        <f aca="false">e_CONc*(1+e_INSvar)*(1+e_INSgr)^(Calendario!AM$19-1)</f>
        <v>0.65</v>
      </c>
      <c r="AN105" s="53" t="n">
        <f aca="false">e_CONc*(1+e_INSvar)*(1+e_INSgr)^(Calendario!AN$19-1)</f>
        <v>0.65</v>
      </c>
      <c r="AO105" s="53" t="n">
        <f aca="false">e_CONc*(1+e_INSvar)*(1+e_INSgr)^(Calendario!AO$19-1)</f>
        <v>0.65</v>
      </c>
      <c r="AP105" s="53" t="n">
        <f aca="false">e_CONc*(1+e_INSvar)*(1+e_INSgr)^(Calendario!AP$19-1)</f>
        <v>0.65</v>
      </c>
      <c r="AQ105" s="53" t="n">
        <f aca="false">e_CONc*(1+e_INSvar)*(1+e_INSgr)^(Calendario!AQ$19-1)</f>
        <v>0.65</v>
      </c>
      <c r="AR105" s="53" t="n">
        <f aca="false">e_CONc*(1+e_INSvar)*(1+e_INSgr)^(Calendario!AR$19-1)</f>
        <v>0.65</v>
      </c>
      <c r="AS105" s="53" t="n">
        <f aca="false">e_CONc*(1+e_INSvar)*(1+e_INSgr)^(Calendario!AS$19-1)</f>
        <v>0.65</v>
      </c>
      <c r="AT105" s="53" t="n">
        <f aca="false">e_CONc*(1+e_INSvar)*(1+e_INSgr)^(Calendario!AT$19-1)</f>
        <v>0.65</v>
      </c>
      <c r="AU105" s="53" t="n">
        <f aca="false">e_CONc*(1+e_INSvar)*(1+e_INSgr)^(Calendario!AU$19-1)</f>
        <v>0.65</v>
      </c>
      <c r="AV105" s="53" t="n">
        <f aca="false">e_CONc*(1+e_INSvar)*(1+e_INSgr)^(Calendario!AV$19-1)</f>
        <v>0.65</v>
      </c>
      <c r="AW105" s="53" t="n">
        <f aca="false">e_CONc*(1+e_INSvar)*(1+e_INSgr)^(Calendario!AW$19-1)</f>
        <v>0.65</v>
      </c>
      <c r="AX105" s="53" t="n">
        <f aca="false">e_CONc*(1+e_INSvar)*(1+e_INSgr)^(Calendario!AX$19-1)</f>
        <v>0.65</v>
      </c>
      <c r="AY105" s="53" t="n">
        <f aca="false">e_CONc*(1+e_INSvar)*(1+e_INSgr)^(Calendario!AY$19-1)</f>
        <v>0.65</v>
      </c>
      <c r="AZ105" s="53" t="n">
        <f aca="false">e_CONc*(1+e_INSvar)*(1+e_INSgr)^(Calendario!AZ$19-1)</f>
        <v>0.65</v>
      </c>
      <c r="BA105" s="53" t="n">
        <f aca="false">e_CONc*(1+e_INSvar)*(1+e_INSgr)^(Calendario!BA$19-1)</f>
        <v>0.65</v>
      </c>
      <c r="BB105" s="53" t="n">
        <f aca="false">e_CONc*(1+e_INSvar)*(1+e_INSgr)^(Calendario!BB$19-1)</f>
        <v>0.65</v>
      </c>
      <c r="BC105" s="53" t="n">
        <f aca="false">e_CONc*(1+e_INSvar)*(1+e_INSgr)^(Calendario!BC$19-1)</f>
        <v>0.65</v>
      </c>
      <c r="BD105" s="53" t="n">
        <f aca="false">e_CONc*(1+e_INSvar)*(1+e_INSgr)^(Calendario!BD$19-1)</f>
        <v>0.65</v>
      </c>
      <c r="BE105" s="53" t="n">
        <f aca="false">e_CONc*(1+e_INSvar)*(1+e_INSgr)^(Calendario!BE$19-1)</f>
        <v>0.65</v>
      </c>
      <c r="BF105" s="53" t="n">
        <f aca="false">e_CONc*(1+e_INSvar)*(1+e_INSgr)^(Calendario!BF$19-1)</f>
        <v>0.65</v>
      </c>
      <c r="BG105" s="53" t="n">
        <f aca="false">e_CONc*(1+e_INSvar)*(1+e_INSgr)^(Calendario!BG$19-1)</f>
        <v>0.65</v>
      </c>
      <c r="BH105" s="53" t="n">
        <f aca="false">e_CONc*(1+e_INSvar)*(1+e_INSgr)^(Calendario!BH$19-1)</f>
        <v>0.65</v>
      </c>
      <c r="BI105" s="53" t="n">
        <f aca="false">e_CONc*(1+e_INSvar)*(1+e_INSgr)^(Calendario!BI$19-1)</f>
        <v>0.65</v>
      </c>
      <c r="BJ105" s="53" t="n">
        <f aca="false">e_CONc*(1+e_INSvar)*(1+e_INSgr)^(Calendario!BJ$19-1)</f>
        <v>0.65</v>
      </c>
      <c r="BK105" s="53" t="n">
        <f aca="false">e_CONc*(1+e_INSvar)*(1+e_INSgr)^(Calendario!BK$19-1)</f>
        <v>0.65</v>
      </c>
      <c r="BL105" s="53" t="n">
        <f aca="false">e_CONc*(1+e_INSvar)*(1+e_INSgr)^(Calendario!BL$19-1)</f>
        <v>0.65</v>
      </c>
      <c r="BM105" s="53" t="n">
        <f aca="false">e_CONc*(1+e_INSvar)*(1+e_INSgr)^(Calendario!BM$19-1)</f>
        <v>0.65</v>
      </c>
      <c r="BN105" s="53" t="n">
        <f aca="false">e_CONc*(1+e_INSvar)*(1+e_INSgr)^(Calendario!BN$19-1)</f>
        <v>0.65</v>
      </c>
      <c r="BO105" s="53" t="n">
        <f aca="false">e_CONc*(1+e_INSvar)*(1+e_INSgr)^(Calendario!BO$19-1)</f>
        <v>0.65</v>
      </c>
      <c r="BP105" s="53" t="n">
        <f aca="false">e_CONc*(1+e_INSvar)*(1+e_INSgr)^(Calendario!BP$19-1)</f>
        <v>0.65</v>
      </c>
      <c r="BQ105" s="53" t="n">
        <f aca="false">e_CONc*(1+e_INSvar)*(1+e_INSgr)^(Calendario!BQ$19-1)</f>
        <v>0.65</v>
      </c>
      <c r="BR105" s="53" t="n">
        <f aca="false">e_CONc*(1+e_INSvar)*(1+e_INSgr)^(Calendario!BR$19-1)</f>
        <v>0.65</v>
      </c>
      <c r="BS105" s="53" t="n">
        <f aca="false">e_CONc*(1+e_INSvar)*(1+e_INSgr)^(Calendario!BS$19-1)</f>
        <v>0.65</v>
      </c>
      <c r="BT105" s="53" t="n">
        <f aca="false">e_CONc*(1+e_INSvar)*(1+e_INSgr)^(Calendario!BT$19-1)</f>
        <v>0.65</v>
      </c>
      <c r="BU105" s="53" t="n">
        <f aca="false">e_CONc*(1+e_INSvar)*(1+e_INSgr)^(Calendario!BU$19-1)</f>
        <v>0.65</v>
      </c>
      <c r="BV105" s="53" t="n">
        <f aca="false">e_CONc*(1+e_INSvar)*(1+e_INSgr)^(Calendario!BV$19-1)</f>
        <v>0.65</v>
      </c>
      <c r="BW105" s="53" t="n">
        <f aca="false">e_CONc*(1+e_INSvar)*(1+e_INSgr)^(Calendario!BW$19-1)</f>
        <v>0.65</v>
      </c>
      <c r="BX105" s="53" t="n">
        <f aca="false">e_CONc*(1+e_INSvar)*(1+e_INSgr)^(Calendario!BX$19-1)</f>
        <v>0.65</v>
      </c>
      <c r="BY105" s="53" t="n">
        <f aca="false">e_CONc*(1+e_INSvar)*(1+e_INSgr)^(Calendario!BY$19-1)</f>
        <v>0.65</v>
      </c>
      <c r="BZ105" s="53" t="n">
        <f aca="false">e_CONc*(1+e_INSvar)*(1+e_INSgr)^(Calendario!BZ$19-1)</f>
        <v>0.65</v>
      </c>
      <c r="CA105" s="53" t="n">
        <f aca="false">e_CONc*(1+e_INSvar)*(1+e_INSgr)^(Calendario!CA$19-1)</f>
        <v>0.65</v>
      </c>
      <c r="CB105" s="53" t="n">
        <f aca="false">e_CONc*(1+e_INSvar)*(1+e_INSgr)^(Calendario!CB$19-1)</f>
        <v>0.65</v>
      </c>
      <c r="CC105" s="53" t="n">
        <f aca="false">e_CONc*(1+e_INSvar)*(1+e_INSgr)^(Calendario!CC$19-1)</f>
        <v>0.65</v>
      </c>
      <c r="CD105" s="53" t="n">
        <f aca="false">e_CONc*(1+e_INSvar)*(1+e_INSgr)^(Calendario!CD$19-1)</f>
        <v>0.65</v>
      </c>
      <c r="CE105" s="53" t="n">
        <f aca="false">e_CONc*(1+e_INSvar)*(1+e_INSgr)^(Calendario!CE$19-1)</f>
        <v>0.65</v>
      </c>
      <c r="CF105" s="53" t="n">
        <f aca="false">e_CONc*(1+e_INSvar)*(1+e_INSgr)^(Calendario!CF$19-1)</f>
        <v>0.65</v>
      </c>
      <c r="CG105" s="53" t="n">
        <f aca="false">e_CONc*(1+e_INSvar)*(1+e_INSgr)^(Calendario!CG$19-1)</f>
        <v>0.65</v>
      </c>
      <c r="CH105" s="53" t="n">
        <f aca="false">e_CONc*(1+e_INSvar)*(1+e_INSgr)^(Calendario!CH$19-1)</f>
        <v>0.65</v>
      </c>
      <c r="CI105" s="53" t="n">
        <f aca="false">e_CONc*(1+e_INSvar)*(1+e_INSgr)^(Calendario!CI$19-1)</f>
        <v>0.65</v>
      </c>
      <c r="CJ105" s="53" t="n">
        <f aca="false">e_CONc*(1+e_INSvar)*(1+e_INSgr)^(Calendario!CJ$19-1)</f>
        <v>0.65</v>
      </c>
      <c r="CK105" s="53" t="n">
        <f aca="false">e_CONc*(1+e_INSvar)*(1+e_INSgr)^(Calendario!CK$19-1)</f>
        <v>0.65</v>
      </c>
      <c r="CL105" s="53" t="n">
        <f aca="false">e_CONc*(1+e_INSvar)*(1+e_INSgr)^(Calendario!CL$19-1)</f>
        <v>0.65</v>
      </c>
      <c r="CM105" s="53" t="n">
        <f aca="false">e_CONc*(1+e_INSvar)*(1+e_INSgr)^(Calendario!CM$19-1)</f>
        <v>0.65</v>
      </c>
      <c r="CN105" s="53" t="n">
        <f aca="false">e_CONc*(1+e_INSvar)*(1+e_INSgr)^(Calendario!CN$19-1)</f>
        <v>0.65</v>
      </c>
      <c r="CO105" s="53" t="n">
        <f aca="false">e_CONc*(1+e_INSvar)*(1+e_INSgr)^(Calendario!CO$19-1)</f>
        <v>0.65</v>
      </c>
      <c r="CP105" s="53" t="n">
        <f aca="false">e_CONc*(1+e_INSvar)*(1+e_INSgr)^(Calendario!CP$19-1)</f>
        <v>0.65</v>
      </c>
      <c r="CQ105" s="53" t="n">
        <f aca="false">e_CONc*(1+e_INSvar)*(1+e_INSgr)^(Calendario!CQ$19-1)</f>
        <v>0.65</v>
      </c>
      <c r="CR105" s="53" t="n">
        <f aca="false">e_CONc*(1+e_INSvar)*(1+e_INSgr)^(Calendario!CR$19-1)</f>
        <v>0.65</v>
      </c>
      <c r="CS105" s="53" t="n">
        <f aca="false">e_CONc*(1+e_INSvar)*(1+e_INSgr)^(Calendario!CS$19-1)</f>
        <v>0.65</v>
      </c>
      <c r="CT105" s="53" t="n">
        <f aca="false">e_CONc*(1+e_INSvar)*(1+e_INSgr)^(Calendario!CT$19-1)</f>
        <v>0.65</v>
      </c>
      <c r="CU105" s="53" t="n">
        <f aca="false">e_CONc*(1+e_INSvar)*(1+e_INSgr)^(Calendario!CU$19-1)</f>
        <v>0.65</v>
      </c>
      <c r="CV105" s="53" t="n">
        <f aca="false">e_CONc*(1+e_INSvar)*(1+e_INSgr)^(Calendario!CV$19-1)</f>
        <v>0.65</v>
      </c>
      <c r="CW105" s="53" t="n">
        <f aca="false">e_CONc*(1+e_INSvar)*(1+e_INSgr)^(Calendario!CW$19-1)</f>
        <v>0.65</v>
      </c>
      <c r="CX105" s="53" t="n">
        <f aca="false">e_CONc*(1+e_INSvar)*(1+e_INSgr)^(Calendario!CX$19-1)</f>
        <v>0.65</v>
      </c>
      <c r="CY105" s="53" t="n">
        <f aca="false">e_CONc*(1+e_INSvar)*(1+e_INSgr)^(Calendario!CY$19-1)</f>
        <v>0.65</v>
      </c>
      <c r="CZ105" s="53" t="n">
        <f aca="false">e_CONc*(1+e_INSvar)*(1+e_INSgr)^(Calendario!CZ$19-1)</f>
        <v>0.65</v>
      </c>
      <c r="DA105" s="53" t="n">
        <f aca="false">e_CONc*(1+e_INSvar)*(1+e_INSgr)^(Calendario!DA$19-1)</f>
        <v>0.65</v>
      </c>
      <c r="DB105" s="53" t="n">
        <f aca="false">e_CONc*(1+e_INSvar)*(1+e_INSgr)^(Calendario!DB$19-1)</f>
        <v>0.65</v>
      </c>
      <c r="DC105" s="53" t="n">
        <f aca="false">e_CONc*(1+e_INSvar)*(1+e_INSgr)^(Calendario!DC$19-1)</f>
        <v>0.65</v>
      </c>
      <c r="DD105" s="53" t="n">
        <f aca="false">e_CONc*(1+e_INSvar)*(1+e_INSgr)^(Calendario!DD$19-1)</f>
        <v>0.65</v>
      </c>
      <c r="DE105" s="53" t="n">
        <f aca="false">e_CONc*(1+e_INSvar)*(1+e_INSgr)^(Calendario!DE$19-1)</f>
        <v>0.65</v>
      </c>
      <c r="DF105" s="53" t="n">
        <f aca="false">e_CONc*(1+e_INSvar)*(1+e_INSgr)^(Calendario!DF$19-1)</f>
        <v>0.65</v>
      </c>
      <c r="DG105" s="53" t="n">
        <f aca="false">e_CONc*(1+e_INSvar)*(1+e_INSgr)^(Calendario!DG$19-1)</f>
        <v>0.65</v>
      </c>
      <c r="DH105" s="53" t="n">
        <f aca="false">e_CONc*(1+e_INSvar)*(1+e_INSgr)^(Calendario!DH$19-1)</f>
        <v>0.65</v>
      </c>
      <c r="DI105" s="53" t="n">
        <f aca="false">e_CONc*(1+e_INSvar)*(1+e_INSgr)^(Calendario!DI$19-1)</f>
        <v>0.65</v>
      </c>
      <c r="DJ105" s="53" t="n">
        <f aca="false">e_CONc*(1+e_INSvar)*(1+e_INSgr)^(Calendario!DJ$19-1)</f>
        <v>0.65</v>
      </c>
      <c r="DK105" s="53" t="n">
        <f aca="false">e_CONc*(1+e_INSvar)*(1+e_INSgr)^(Calendario!DK$19-1)</f>
        <v>0.65</v>
      </c>
      <c r="DL105" s="53" t="n">
        <f aca="false">e_CONc*(1+e_INSvar)*(1+e_INSgr)^(Calendario!DL$19-1)</f>
        <v>0.65</v>
      </c>
      <c r="DM105" s="53" t="n">
        <f aca="false">e_CONc*(1+e_INSvar)*(1+e_INSgr)^(Calendario!DM$19-1)</f>
        <v>0.65</v>
      </c>
      <c r="DN105" s="53" t="n">
        <f aca="false">e_CONc*(1+e_INSvar)*(1+e_INSgr)^(Calendario!DN$19-1)</f>
        <v>0.65</v>
      </c>
      <c r="DO105" s="53" t="n">
        <f aca="false">e_CONc*(1+e_INSvar)*(1+e_INSgr)^(Calendario!DO$19-1)</f>
        <v>0.65</v>
      </c>
      <c r="DP105" s="53" t="n">
        <f aca="false">e_CONc*(1+e_INSvar)*(1+e_INSgr)^(Calendario!DP$19-1)</f>
        <v>0.65</v>
      </c>
      <c r="DQ105" s="53" t="n">
        <f aca="false">e_CONc*(1+e_INSvar)*(1+e_INSgr)^(Calendario!DQ$19-1)</f>
        <v>0.65</v>
      </c>
      <c r="DR105" s="53" t="n">
        <f aca="false">e_CONc*(1+e_INSvar)*(1+e_INSgr)^(Calendario!DR$19-1)</f>
        <v>0.65</v>
      </c>
      <c r="DS105" s="53" t="n">
        <f aca="false">e_CONc*(1+e_INSvar)*(1+e_INSgr)^(Calendario!DS$19-1)</f>
        <v>0.65</v>
      </c>
      <c r="DT105" s="53" t="n">
        <f aca="false">e_CONc*(1+e_INSvar)*(1+e_INSgr)^(Calendario!DT$19-1)</f>
        <v>0.65</v>
      </c>
      <c r="DU105" s="53" t="n">
        <f aca="false">e_CONc*(1+e_INSvar)*(1+e_INSgr)^(Calendario!DU$19-1)</f>
        <v>0.65</v>
      </c>
      <c r="DV105" s="53" t="n">
        <f aca="false">e_CONc*(1+e_INSvar)*(1+e_INSgr)^(Calendario!DV$19-1)</f>
        <v>0.65</v>
      </c>
      <c r="DW105" s="53" t="n">
        <f aca="false">e_CONc*(1+e_INSvar)*(1+e_INSgr)^(Calendario!DW$19-1)</f>
        <v>0.65</v>
      </c>
      <c r="DX105" s="53" t="n">
        <f aca="false">e_CONc*(1+e_INSvar)*(1+e_INSgr)^(Calendario!DX$19-1)</f>
        <v>0.65</v>
      </c>
      <c r="DY105" s="53" t="n">
        <f aca="false">e_CONc*(1+e_INSvar)*(1+e_INSgr)^(Calendario!DY$19-1)</f>
        <v>0.65</v>
      </c>
      <c r="DZ105" s="53" t="n">
        <f aca="false">e_CONc*(1+e_INSvar)*(1+e_INSgr)^(Calendario!DZ$19-1)</f>
        <v>0.65</v>
      </c>
      <c r="EA105" s="53" t="n">
        <f aca="false">e_CONc*(1+e_INSvar)*(1+e_INSgr)^(Calendario!EA$19-1)</f>
        <v>0.65</v>
      </c>
      <c r="EB105" s="53" t="n">
        <f aca="false">e_CONc*(1+e_INSvar)*(1+e_INSgr)^(Calendario!EB$19-1)</f>
        <v>0.65</v>
      </c>
      <c r="EC105" s="53" t="n">
        <f aca="false">e_CONc*(1+e_INSvar)*(1+e_INSgr)^(Calendario!EC$19-1)</f>
        <v>0.65</v>
      </c>
      <c r="ED105" s="53" t="n">
        <f aca="false">e_CONc*(1+e_INSvar)*(1+e_INSgr)^(Calendario!ED$19-1)</f>
        <v>0.65</v>
      </c>
      <c r="EE105" s="53" t="n">
        <f aca="false">e_CONc*(1+e_INSvar)*(1+e_INSgr)^(Calendario!EE$19-1)</f>
        <v>0.65</v>
      </c>
      <c r="EF105" s="53" t="n">
        <f aca="false">e_CONc*(1+e_INSvar)*(1+e_INSgr)^(Calendario!EF$19-1)</f>
        <v>0.65</v>
      </c>
      <c r="EG105" s="53" t="n">
        <f aca="false">e_CONc*(1+e_INSvar)*(1+e_INSgr)^(Calendario!EG$19-1)</f>
        <v>0.65</v>
      </c>
      <c r="EH105" s="53" t="n">
        <f aca="false">e_CONc*(1+e_INSvar)*(1+e_INSgr)^(Calendario!EH$19-1)</f>
        <v>0.65</v>
      </c>
      <c r="EI105" s="53" t="n">
        <f aca="false">e_CONc*(1+e_INSvar)*(1+e_INSgr)^(Calendario!EI$19-1)</f>
        <v>0.65</v>
      </c>
      <c r="EJ105" s="53" t="n">
        <f aca="false">e_CONc*(1+e_INSvar)*(1+e_INSgr)^(Calendario!EJ$19-1)</f>
        <v>0.65</v>
      </c>
      <c r="EK105" s="53" t="n">
        <f aca="false">e_CONc*(1+e_INSvar)*(1+e_INSgr)^(Calendario!EK$19-1)</f>
        <v>0.65</v>
      </c>
      <c r="EL105" s="53" t="n">
        <f aca="false">e_CONc*(1+e_INSvar)*(1+e_INSgr)^(Calendario!EL$19-1)</f>
        <v>0.65</v>
      </c>
      <c r="EM105" s="53" t="n">
        <f aca="false">e_CONc*(1+e_INSvar)*(1+e_INSgr)^(Calendario!EM$19-1)</f>
        <v>0.65</v>
      </c>
      <c r="EN105" s="53" t="n">
        <f aca="false">e_CONc*(1+e_INSvar)*(1+e_INSgr)^(Calendario!EN$19-1)</f>
        <v>0.65</v>
      </c>
      <c r="EO105" s="53" t="n">
        <f aca="false">e_CONc*(1+e_INSvar)*(1+e_INSgr)^(Calendario!EO$19-1)</f>
        <v>0.65</v>
      </c>
      <c r="EP105" s="53" t="n">
        <f aca="false">e_CONc*(1+e_INSvar)*(1+e_INSgr)^(Calendario!EP$19-1)</f>
        <v>0.65</v>
      </c>
      <c r="EQ105" s="53" t="n">
        <f aca="false">e_CONc*(1+e_INSvar)*(1+e_INSgr)^(Calendario!EQ$19-1)</f>
        <v>0.65</v>
      </c>
      <c r="ER105" s="53" t="n">
        <f aca="false">e_CONc*(1+e_INSvar)*(1+e_INSgr)^(Calendario!ER$19-1)</f>
        <v>0.65</v>
      </c>
      <c r="ES105" s="53" t="n">
        <f aca="false">e_CONc*(1+e_INSvar)*(1+e_INSgr)^(Calendario!ES$19-1)</f>
        <v>0.65</v>
      </c>
      <c r="ET105" s="53" t="n">
        <f aca="false">e_CONc*(1+e_INSvar)*(1+e_INSgr)^(Calendario!ET$19-1)</f>
        <v>0.65</v>
      </c>
      <c r="EU105" s="53" t="n">
        <f aca="false">e_CONc*(1+e_INSvar)*(1+e_INSgr)^(Calendario!EU$19-1)</f>
        <v>0.65</v>
      </c>
      <c r="EV105" s="53" t="n">
        <f aca="false">e_CONc*(1+e_INSvar)*(1+e_INSgr)^(Calendario!EV$19-1)</f>
        <v>0.65</v>
      </c>
      <c r="EW105" s="53" t="n">
        <f aca="false">e_CONc*(1+e_INSvar)*(1+e_INSgr)^(Calendario!EW$19-1)</f>
        <v>0.65</v>
      </c>
      <c r="EX105" s="53" t="n">
        <f aca="false">e_CONc*(1+e_INSvar)*(1+e_INSgr)^(Calendario!EX$19-1)</f>
        <v>0.65</v>
      </c>
      <c r="EY105" s="53" t="n">
        <f aca="false">e_CONc*(1+e_INSvar)*(1+e_INSgr)^(Calendario!EY$19-1)</f>
        <v>0.65</v>
      </c>
      <c r="EZ105" s="53" t="n">
        <f aca="false">e_CONc*(1+e_INSvar)*(1+e_INSgr)^(Calendario!EZ$19-1)</f>
        <v>0.65</v>
      </c>
      <c r="FA105" s="53" t="n">
        <f aca="false">e_CONc*(1+e_INSvar)*(1+e_INSgr)^(Calendario!FA$19-1)</f>
        <v>0.65</v>
      </c>
      <c r="FB105" s="53" t="n">
        <f aca="false">e_CONc*(1+e_INSvar)*(1+e_INSgr)^(Calendario!FB$19-1)</f>
        <v>0.65</v>
      </c>
      <c r="FC105" s="53" t="n">
        <f aca="false">e_CONc*(1+e_INSvar)*(1+e_INSgr)^(Calendario!FC$19-1)</f>
        <v>0.65</v>
      </c>
      <c r="FD105" s="53" t="n">
        <f aca="false">e_CONc*(1+e_INSvar)*(1+e_INSgr)^(Calendario!FD$19-1)</f>
        <v>0.65</v>
      </c>
      <c r="FE105" s="53" t="n">
        <f aca="false">e_CONc*(1+e_INSvar)*(1+e_INSgr)^(Calendario!FE$19-1)</f>
        <v>0.65</v>
      </c>
      <c r="FF105" s="53" t="n">
        <f aca="false">e_CONc*(1+e_INSvar)*(1+e_INSgr)^(Calendario!FF$19-1)</f>
        <v>0.65</v>
      </c>
    </row>
    <row r="106" customFormat="false" ht="15" hidden="false" customHeight="false" outlineLevel="0" collapsed="false">
      <c r="A106" s="2" t="s">
        <v>1062</v>
      </c>
      <c r="B106" s="8" t="s">
        <v>1063</v>
      </c>
      <c r="C106" s="8" t="s">
        <v>263</v>
      </c>
      <c r="F106" s="53" t="n">
        <f aca="false">e_FLEg*(1+e_FLEvar)</f>
        <v>23.2</v>
      </c>
      <c r="G106" s="53" t="n">
        <f aca="false">e_FLEg*(1+e_FLEvar)</f>
        <v>23.2</v>
      </c>
      <c r="H106" s="53" t="n">
        <f aca="false">e_FLEg*(1+e_FLEvar)</f>
        <v>23.2</v>
      </c>
      <c r="I106" s="53" t="n">
        <f aca="false">e_FLEg*(1+e_FLEvar)</f>
        <v>23.2</v>
      </c>
      <c r="J106" s="53" t="n">
        <f aca="false">e_FLEg*(1+e_FLEvar)</f>
        <v>23.2</v>
      </c>
      <c r="K106" s="53" t="n">
        <f aca="false">e_FLEg*(1+e_FLEvar)</f>
        <v>23.2</v>
      </c>
      <c r="L106" s="53" t="n">
        <f aca="false">e_FLEg*(1+e_FLEvar)</f>
        <v>23.2</v>
      </c>
      <c r="M106" s="53" t="n">
        <f aca="false">e_FLEg*(1+e_FLEvar)</f>
        <v>23.2</v>
      </c>
      <c r="N106" s="53" t="n">
        <f aca="false">e_FLEg*(1+e_FLEvar)</f>
        <v>23.2</v>
      </c>
      <c r="O106" s="53" t="n">
        <f aca="false">e_FLEg*(1+e_FLEvar)</f>
        <v>23.2</v>
      </c>
      <c r="P106" s="53" t="n">
        <f aca="false">e_FLEg*(1+e_FLEvar)</f>
        <v>23.2</v>
      </c>
      <c r="Q106" s="53" t="n">
        <f aca="false">e_FLEg*(1+e_FLEvar)</f>
        <v>23.2</v>
      </c>
      <c r="R106" s="53" t="n">
        <f aca="false">e_FLEg*(1+e_FLEvar)</f>
        <v>23.2</v>
      </c>
      <c r="S106" s="53" t="n">
        <f aca="false">e_FLEg*(1+e_FLEvar)</f>
        <v>23.2</v>
      </c>
      <c r="T106" s="53" t="n">
        <f aca="false">e_FLEg*(1+e_FLEvar)</f>
        <v>23.2</v>
      </c>
      <c r="U106" s="53" t="n">
        <f aca="false">e_FLEg*(1+e_FLEvar)</f>
        <v>23.2</v>
      </c>
      <c r="V106" s="53" t="n">
        <f aca="false">e_FLEg*(1+e_FLEvar)</f>
        <v>23.2</v>
      </c>
      <c r="W106" s="53" t="n">
        <f aca="false">e_FLEg*(1+e_FLEvar)</f>
        <v>23.2</v>
      </c>
      <c r="X106" s="53" t="n">
        <f aca="false">e_FLEg*(1+e_FLEvar)</f>
        <v>23.2</v>
      </c>
      <c r="Y106" s="53" t="n">
        <f aca="false">e_FLEg*(1+e_FLEvar)</f>
        <v>23.2</v>
      </c>
      <c r="Z106" s="53" t="n">
        <f aca="false">e_FLEg*(1+e_FLEvar)</f>
        <v>23.2</v>
      </c>
      <c r="AA106" s="53" t="n">
        <f aca="false">e_FLEg*(1+e_FLEvar)</f>
        <v>23.2</v>
      </c>
      <c r="AB106" s="53" t="n">
        <f aca="false">e_FLEg*(1+e_FLEvar)</f>
        <v>23.2</v>
      </c>
      <c r="AC106" s="53" t="n">
        <f aca="false">e_FLEg*(1+e_FLEvar)</f>
        <v>23.2</v>
      </c>
      <c r="AD106" s="53" t="n">
        <f aca="false">e_FLEg*(1+e_FLEvar)</f>
        <v>23.2</v>
      </c>
      <c r="AE106" s="53" t="n">
        <f aca="false">e_FLEg*(1+e_FLEvar)</f>
        <v>23.2</v>
      </c>
      <c r="AF106" s="53" t="n">
        <f aca="false">e_FLEg*(1+e_FLEvar)</f>
        <v>23.2</v>
      </c>
      <c r="AG106" s="53" t="n">
        <f aca="false">e_FLEg*(1+e_FLEvar)</f>
        <v>23.2</v>
      </c>
      <c r="AH106" s="53" t="n">
        <f aca="false">e_FLEg*(1+e_FLEvar)</f>
        <v>23.2</v>
      </c>
      <c r="AI106" s="53" t="n">
        <f aca="false">e_FLEg*(1+e_FLEvar)</f>
        <v>23.2</v>
      </c>
      <c r="AJ106" s="53" t="n">
        <f aca="false">e_FLEg*(1+e_FLEvar)</f>
        <v>23.2</v>
      </c>
      <c r="AK106" s="53" t="n">
        <f aca="false">e_FLEg*(1+e_FLEvar)</f>
        <v>23.2</v>
      </c>
      <c r="AL106" s="53" t="n">
        <f aca="false">e_FLEg*(1+e_FLEvar)</f>
        <v>23.2</v>
      </c>
      <c r="AM106" s="53" t="n">
        <f aca="false">e_FLEg*(1+e_FLEvar)</f>
        <v>23.2</v>
      </c>
      <c r="AN106" s="53" t="n">
        <f aca="false">e_FLEg*(1+e_FLEvar)</f>
        <v>23.2</v>
      </c>
      <c r="AO106" s="53" t="n">
        <f aca="false">e_FLEg*(1+e_FLEvar)</f>
        <v>23.2</v>
      </c>
      <c r="AP106" s="53" t="n">
        <f aca="false">e_FLEg*(1+e_FLEvar)</f>
        <v>23.2</v>
      </c>
      <c r="AQ106" s="53" t="n">
        <f aca="false">e_FLEg*(1+e_FLEvar)</f>
        <v>23.2</v>
      </c>
      <c r="AR106" s="53" t="n">
        <f aca="false">e_FLEg*(1+e_FLEvar)</f>
        <v>23.2</v>
      </c>
      <c r="AS106" s="53" t="n">
        <f aca="false">e_FLEg*(1+e_FLEvar)</f>
        <v>23.2</v>
      </c>
      <c r="AT106" s="53" t="n">
        <f aca="false">e_FLEg*(1+e_FLEvar)</f>
        <v>23.2</v>
      </c>
      <c r="AU106" s="53" t="n">
        <f aca="false">e_FLEg*(1+e_FLEvar)</f>
        <v>23.2</v>
      </c>
      <c r="AV106" s="53" t="n">
        <f aca="false">e_FLEg*(1+e_FLEvar)</f>
        <v>23.2</v>
      </c>
      <c r="AW106" s="53" t="n">
        <f aca="false">e_FLEg*(1+e_FLEvar)</f>
        <v>23.2</v>
      </c>
      <c r="AX106" s="53" t="n">
        <f aca="false">e_FLEg*(1+e_FLEvar)</f>
        <v>23.2</v>
      </c>
      <c r="AY106" s="53" t="n">
        <f aca="false">e_FLEg*(1+e_FLEvar)</f>
        <v>23.2</v>
      </c>
      <c r="AZ106" s="53" t="n">
        <f aca="false">e_FLEg*(1+e_FLEvar)</f>
        <v>23.2</v>
      </c>
      <c r="BA106" s="53" t="n">
        <f aca="false">e_FLEg*(1+e_FLEvar)</f>
        <v>23.2</v>
      </c>
      <c r="BB106" s="53" t="n">
        <f aca="false">e_FLEg*(1+e_FLEvar)</f>
        <v>23.2</v>
      </c>
      <c r="BC106" s="53" t="n">
        <f aca="false">e_FLEg*(1+e_FLEvar)</f>
        <v>23.2</v>
      </c>
      <c r="BD106" s="53" t="n">
        <f aca="false">e_FLEg*(1+e_FLEvar)</f>
        <v>23.2</v>
      </c>
      <c r="BE106" s="53" t="n">
        <f aca="false">e_FLEg*(1+e_FLEvar)</f>
        <v>23.2</v>
      </c>
      <c r="BF106" s="53" t="n">
        <f aca="false">e_FLEg*(1+e_FLEvar)</f>
        <v>23.2</v>
      </c>
      <c r="BG106" s="53" t="n">
        <f aca="false">e_FLEg*(1+e_FLEvar)</f>
        <v>23.2</v>
      </c>
      <c r="BH106" s="53" t="n">
        <f aca="false">e_FLEg*(1+e_FLEvar)</f>
        <v>23.2</v>
      </c>
      <c r="BI106" s="53" t="n">
        <f aca="false">e_FLEg*(1+e_FLEvar)</f>
        <v>23.2</v>
      </c>
      <c r="BJ106" s="53" t="n">
        <f aca="false">e_FLEg*(1+e_FLEvar)</f>
        <v>23.2</v>
      </c>
      <c r="BK106" s="53" t="n">
        <f aca="false">e_FLEg*(1+e_FLEvar)</f>
        <v>23.2</v>
      </c>
      <c r="BL106" s="53" t="n">
        <f aca="false">e_FLEg*(1+e_FLEvar)</f>
        <v>23.2</v>
      </c>
      <c r="BM106" s="53" t="n">
        <f aca="false">e_FLEg*(1+e_FLEvar)</f>
        <v>23.2</v>
      </c>
      <c r="BN106" s="53" t="n">
        <f aca="false">e_FLEg*(1+e_FLEvar)</f>
        <v>23.2</v>
      </c>
      <c r="BO106" s="53" t="n">
        <f aca="false">e_FLEg*(1+e_FLEvar)</f>
        <v>23.2</v>
      </c>
      <c r="BP106" s="53" t="n">
        <f aca="false">e_FLEg*(1+e_FLEvar)</f>
        <v>23.2</v>
      </c>
      <c r="BQ106" s="53" t="n">
        <f aca="false">e_FLEg*(1+e_FLEvar)</f>
        <v>23.2</v>
      </c>
      <c r="BR106" s="53" t="n">
        <f aca="false">e_FLEg*(1+e_FLEvar)</f>
        <v>23.2</v>
      </c>
      <c r="BS106" s="53" t="n">
        <f aca="false">e_FLEg*(1+e_FLEvar)</f>
        <v>23.2</v>
      </c>
      <c r="BT106" s="53" t="n">
        <f aca="false">e_FLEg*(1+e_FLEvar)</f>
        <v>23.2</v>
      </c>
      <c r="BU106" s="53" t="n">
        <f aca="false">e_FLEg*(1+e_FLEvar)</f>
        <v>23.2</v>
      </c>
      <c r="BV106" s="53" t="n">
        <f aca="false">e_FLEg*(1+e_FLEvar)</f>
        <v>23.2</v>
      </c>
      <c r="BW106" s="53" t="n">
        <f aca="false">e_FLEg*(1+e_FLEvar)</f>
        <v>23.2</v>
      </c>
      <c r="BX106" s="53" t="n">
        <f aca="false">e_FLEg*(1+e_FLEvar)</f>
        <v>23.2</v>
      </c>
      <c r="BY106" s="53" t="n">
        <f aca="false">e_FLEg*(1+e_FLEvar)</f>
        <v>23.2</v>
      </c>
      <c r="BZ106" s="53" t="n">
        <f aca="false">e_FLEg*(1+e_FLEvar)</f>
        <v>23.2</v>
      </c>
      <c r="CA106" s="53" t="n">
        <f aca="false">e_FLEg*(1+e_FLEvar)</f>
        <v>23.2</v>
      </c>
      <c r="CB106" s="53" t="n">
        <f aca="false">e_FLEg*(1+e_FLEvar)</f>
        <v>23.2</v>
      </c>
      <c r="CC106" s="53" t="n">
        <f aca="false">e_FLEg*(1+e_FLEvar)</f>
        <v>23.2</v>
      </c>
      <c r="CD106" s="53" t="n">
        <f aca="false">e_FLEg*(1+e_FLEvar)</f>
        <v>23.2</v>
      </c>
      <c r="CE106" s="53" t="n">
        <f aca="false">e_FLEg*(1+e_FLEvar)</f>
        <v>23.2</v>
      </c>
      <c r="CF106" s="53" t="n">
        <f aca="false">e_FLEg*(1+e_FLEvar)</f>
        <v>23.2</v>
      </c>
      <c r="CG106" s="53" t="n">
        <f aca="false">e_FLEg*(1+e_FLEvar)</f>
        <v>23.2</v>
      </c>
      <c r="CH106" s="53" t="n">
        <f aca="false">e_FLEg*(1+e_FLEvar)</f>
        <v>23.2</v>
      </c>
      <c r="CI106" s="53" t="n">
        <f aca="false">e_FLEg*(1+e_FLEvar)</f>
        <v>23.2</v>
      </c>
      <c r="CJ106" s="53" t="n">
        <f aca="false">e_FLEg*(1+e_FLEvar)</f>
        <v>23.2</v>
      </c>
      <c r="CK106" s="53" t="n">
        <f aca="false">e_FLEg*(1+e_FLEvar)</f>
        <v>23.2</v>
      </c>
      <c r="CL106" s="53" t="n">
        <f aca="false">e_FLEg*(1+e_FLEvar)</f>
        <v>23.2</v>
      </c>
      <c r="CM106" s="53" t="n">
        <f aca="false">e_FLEg*(1+e_FLEvar)</f>
        <v>23.2</v>
      </c>
      <c r="CN106" s="53" t="n">
        <f aca="false">e_FLEg*(1+e_FLEvar)</f>
        <v>23.2</v>
      </c>
      <c r="CO106" s="53" t="n">
        <f aca="false">e_FLEg*(1+e_FLEvar)</f>
        <v>23.2</v>
      </c>
      <c r="CP106" s="53" t="n">
        <f aca="false">e_FLEg*(1+e_FLEvar)</f>
        <v>23.2</v>
      </c>
      <c r="CQ106" s="53" t="n">
        <f aca="false">e_FLEg*(1+e_FLEvar)</f>
        <v>23.2</v>
      </c>
      <c r="CR106" s="53" t="n">
        <f aca="false">e_FLEg*(1+e_FLEvar)</f>
        <v>23.2</v>
      </c>
      <c r="CS106" s="53" t="n">
        <f aca="false">e_FLEg*(1+e_FLEvar)</f>
        <v>23.2</v>
      </c>
      <c r="CT106" s="53" t="n">
        <f aca="false">e_FLEg*(1+e_FLEvar)</f>
        <v>23.2</v>
      </c>
      <c r="CU106" s="53" t="n">
        <f aca="false">e_FLEg*(1+e_FLEvar)</f>
        <v>23.2</v>
      </c>
      <c r="CV106" s="53" t="n">
        <f aca="false">e_FLEg*(1+e_FLEvar)</f>
        <v>23.2</v>
      </c>
      <c r="CW106" s="53" t="n">
        <f aca="false">e_FLEg*(1+e_FLEvar)</f>
        <v>23.2</v>
      </c>
      <c r="CX106" s="53" t="n">
        <f aca="false">e_FLEg*(1+e_FLEvar)</f>
        <v>23.2</v>
      </c>
      <c r="CY106" s="53" t="n">
        <f aca="false">e_FLEg*(1+e_FLEvar)</f>
        <v>23.2</v>
      </c>
      <c r="CZ106" s="53" t="n">
        <f aca="false">e_FLEg*(1+e_FLEvar)</f>
        <v>23.2</v>
      </c>
      <c r="DA106" s="53" t="n">
        <f aca="false">e_FLEg*(1+e_FLEvar)</f>
        <v>23.2</v>
      </c>
      <c r="DB106" s="53" t="n">
        <f aca="false">e_FLEg*(1+e_FLEvar)</f>
        <v>23.2</v>
      </c>
      <c r="DC106" s="53" t="n">
        <f aca="false">e_FLEg*(1+e_FLEvar)</f>
        <v>23.2</v>
      </c>
      <c r="DD106" s="53" t="n">
        <f aca="false">e_FLEg*(1+e_FLEvar)</f>
        <v>23.2</v>
      </c>
      <c r="DE106" s="53" t="n">
        <f aca="false">e_FLEg*(1+e_FLEvar)</f>
        <v>23.2</v>
      </c>
      <c r="DF106" s="53" t="n">
        <f aca="false">e_FLEg*(1+e_FLEvar)</f>
        <v>23.2</v>
      </c>
      <c r="DG106" s="53" t="n">
        <f aca="false">e_FLEg*(1+e_FLEvar)</f>
        <v>23.2</v>
      </c>
      <c r="DH106" s="53" t="n">
        <f aca="false">e_FLEg*(1+e_FLEvar)</f>
        <v>23.2</v>
      </c>
      <c r="DI106" s="53" t="n">
        <f aca="false">e_FLEg*(1+e_FLEvar)</f>
        <v>23.2</v>
      </c>
      <c r="DJ106" s="53" t="n">
        <f aca="false">e_FLEg*(1+e_FLEvar)</f>
        <v>23.2</v>
      </c>
      <c r="DK106" s="53" t="n">
        <f aca="false">e_FLEg*(1+e_FLEvar)</f>
        <v>23.2</v>
      </c>
      <c r="DL106" s="53" t="n">
        <f aca="false">e_FLEg*(1+e_FLEvar)</f>
        <v>23.2</v>
      </c>
      <c r="DM106" s="53" t="n">
        <f aca="false">e_FLEg*(1+e_FLEvar)</f>
        <v>23.2</v>
      </c>
      <c r="DN106" s="53" t="n">
        <f aca="false">e_FLEg*(1+e_FLEvar)</f>
        <v>23.2</v>
      </c>
      <c r="DO106" s="53" t="n">
        <f aca="false">e_FLEg*(1+e_FLEvar)</f>
        <v>23.2</v>
      </c>
      <c r="DP106" s="53" t="n">
        <f aca="false">e_FLEg*(1+e_FLEvar)</f>
        <v>23.2</v>
      </c>
      <c r="DQ106" s="53" t="n">
        <f aca="false">e_FLEg*(1+e_FLEvar)</f>
        <v>23.2</v>
      </c>
      <c r="DR106" s="53" t="n">
        <f aca="false">e_FLEg*(1+e_FLEvar)</f>
        <v>23.2</v>
      </c>
      <c r="DS106" s="53" t="n">
        <f aca="false">e_FLEg*(1+e_FLEvar)</f>
        <v>23.2</v>
      </c>
      <c r="DT106" s="53" t="n">
        <f aca="false">e_FLEg*(1+e_FLEvar)</f>
        <v>23.2</v>
      </c>
      <c r="DU106" s="53" t="n">
        <f aca="false">e_FLEg*(1+e_FLEvar)</f>
        <v>23.2</v>
      </c>
      <c r="DV106" s="53" t="n">
        <f aca="false">e_FLEg*(1+e_FLEvar)</f>
        <v>23.2</v>
      </c>
      <c r="DW106" s="53" t="n">
        <f aca="false">e_FLEg*(1+e_FLEvar)</f>
        <v>23.2</v>
      </c>
      <c r="DX106" s="53" t="n">
        <f aca="false">e_FLEg*(1+e_FLEvar)</f>
        <v>23.2</v>
      </c>
      <c r="DY106" s="53" t="n">
        <f aca="false">e_FLEg*(1+e_FLEvar)</f>
        <v>23.2</v>
      </c>
      <c r="DZ106" s="53" t="n">
        <f aca="false">e_FLEg*(1+e_FLEvar)</f>
        <v>23.2</v>
      </c>
      <c r="EA106" s="53" t="n">
        <f aca="false">e_FLEg*(1+e_FLEvar)</f>
        <v>23.2</v>
      </c>
      <c r="EB106" s="53" t="n">
        <f aca="false">e_FLEg*(1+e_FLEvar)</f>
        <v>23.2</v>
      </c>
      <c r="EC106" s="53" t="n">
        <f aca="false">e_FLEg*(1+e_FLEvar)</f>
        <v>23.2</v>
      </c>
      <c r="ED106" s="53" t="n">
        <f aca="false">e_FLEg*(1+e_FLEvar)</f>
        <v>23.2</v>
      </c>
      <c r="EE106" s="53" t="n">
        <f aca="false">e_FLEg*(1+e_FLEvar)</f>
        <v>23.2</v>
      </c>
      <c r="EF106" s="53" t="n">
        <f aca="false">e_FLEg*(1+e_FLEvar)</f>
        <v>23.2</v>
      </c>
      <c r="EG106" s="53" t="n">
        <f aca="false">e_FLEg*(1+e_FLEvar)</f>
        <v>23.2</v>
      </c>
      <c r="EH106" s="53" t="n">
        <f aca="false">e_FLEg*(1+e_FLEvar)</f>
        <v>23.2</v>
      </c>
      <c r="EI106" s="53" t="n">
        <f aca="false">e_FLEg*(1+e_FLEvar)</f>
        <v>23.2</v>
      </c>
      <c r="EJ106" s="53" t="n">
        <f aca="false">e_FLEg*(1+e_FLEvar)</f>
        <v>23.2</v>
      </c>
      <c r="EK106" s="53" t="n">
        <f aca="false">e_FLEg*(1+e_FLEvar)</f>
        <v>23.2</v>
      </c>
      <c r="EL106" s="53" t="n">
        <f aca="false">e_FLEg*(1+e_FLEvar)</f>
        <v>23.2</v>
      </c>
      <c r="EM106" s="53" t="n">
        <f aca="false">e_FLEg*(1+e_FLEvar)</f>
        <v>23.2</v>
      </c>
      <c r="EN106" s="53" t="n">
        <f aca="false">e_FLEg*(1+e_FLEvar)</f>
        <v>23.2</v>
      </c>
      <c r="EO106" s="53" t="n">
        <f aca="false">e_FLEg*(1+e_FLEvar)</f>
        <v>23.2</v>
      </c>
      <c r="EP106" s="53" t="n">
        <f aca="false">e_FLEg*(1+e_FLEvar)</f>
        <v>23.2</v>
      </c>
      <c r="EQ106" s="53" t="n">
        <f aca="false">e_FLEg*(1+e_FLEvar)</f>
        <v>23.2</v>
      </c>
      <c r="ER106" s="53" t="n">
        <f aca="false">e_FLEg*(1+e_FLEvar)</f>
        <v>23.2</v>
      </c>
      <c r="ES106" s="53" t="n">
        <f aca="false">e_FLEg*(1+e_FLEvar)</f>
        <v>23.2</v>
      </c>
      <c r="ET106" s="53" t="n">
        <f aca="false">e_FLEg*(1+e_FLEvar)</f>
        <v>23.2</v>
      </c>
      <c r="EU106" s="53" t="n">
        <f aca="false">e_FLEg*(1+e_FLEvar)</f>
        <v>23.2</v>
      </c>
      <c r="EV106" s="53" t="n">
        <f aca="false">e_FLEg*(1+e_FLEvar)</f>
        <v>23.2</v>
      </c>
      <c r="EW106" s="53" t="n">
        <f aca="false">e_FLEg*(1+e_FLEvar)</f>
        <v>23.2</v>
      </c>
      <c r="EX106" s="53" t="n">
        <f aca="false">e_FLEg*(1+e_FLEvar)</f>
        <v>23.2</v>
      </c>
      <c r="EY106" s="53" t="n">
        <f aca="false">e_FLEg*(1+e_FLEvar)</f>
        <v>23.2</v>
      </c>
      <c r="EZ106" s="53" t="n">
        <f aca="false">e_FLEg*(1+e_FLEvar)</f>
        <v>23.2</v>
      </c>
      <c r="FA106" s="53" t="n">
        <f aca="false">e_FLEg*(1+e_FLEvar)</f>
        <v>23.2</v>
      </c>
      <c r="FB106" s="53" t="n">
        <f aca="false">e_FLEg*(1+e_FLEvar)</f>
        <v>23.2</v>
      </c>
      <c r="FC106" s="53" t="n">
        <f aca="false">e_FLEg*(1+e_FLEvar)</f>
        <v>23.2</v>
      </c>
      <c r="FD106" s="53" t="n">
        <f aca="false">e_FLEg*(1+e_FLEvar)</f>
        <v>23.2</v>
      </c>
      <c r="FE106" s="53" t="n">
        <f aca="false">e_FLEg*(1+e_FLEvar)</f>
        <v>23.2</v>
      </c>
      <c r="FF106" s="53" t="n">
        <f aca="false">e_FLEg*(1+e_FLEvar)</f>
        <v>23.2</v>
      </c>
    </row>
    <row r="107" customFormat="false" ht="15" hidden="false" customHeight="false" outlineLevel="0" collapsed="false">
      <c r="A107" s="2" t="s">
        <v>1064</v>
      </c>
      <c r="B107" s="8" t="s">
        <v>1065</v>
      </c>
      <c r="C107" s="8" t="s">
        <v>263</v>
      </c>
      <c r="F107" s="53" t="n">
        <f aca="false">e_FLEc*(1+e_FLEvar)</f>
        <v>2.08</v>
      </c>
      <c r="G107" s="53" t="n">
        <f aca="false">e_FLEc*(1+e_FLEvar)</f>
        <v>2.08</v>
      </c>
      <c r="H107" s="53" t="n">
        <f aca="false">e_FLEc*(1+e_FLEvar)</f>
        <v>2.08</v>
      </c>
      <c r="I107" s="53" t="n">
        <f aca="false">e_FLEc*(1+e_FLEvar)</f>
        <v>2.08</v>
      </c>
      <c r="J107" s="53" t="n">
        <f aca="false">e_FLEc*(1+e_FLEvar)</f>
        <v>2.08</v>
      </c>
      <c r="K107" s="53" t="n">
        <f aca="false">e_FLEc*(1+e_FLEvar)</f>
        <v>2.08</v>
      </c>
      <c r="L107" s="53" t="n">
        <f aca="false">e_FLEc*(1+e_FLEvar)</f>
        <v>2.08</v>
      </c>
      <c r="M107" s="53" t="n">
        <f aca="false">e_FLEc*(1+e_FLEvar)</f>
        <v>2.08</v>
      </c>
      <c r="N107" s="53" t="n">
        <f aca="false">e_FLEc*(1+e_FLEvar)</f>
        <v>2.08</v>
      </c>
      <c r="O107" s="53" t="n">
        <f aca="false">e_FLEc*(1+e_FLEvar)</f>
        <v>2.08</v>
      </c>
      <c r="P107" s="53" t="n">
        <f aca="false">e_FLEc*(1+e_FLEvar)</f>
        <v>2.08</v>
      </c>
      <c r="Q107" s="53" t="n">
        <f aca="false">e_FLEc*(1+e_FLEvar)</f>
        <v>2.08</v>
      </c>
      <c r="R107" s="53" t="n">
        <f aca="false">e_FLEc*(1+e_FLEvar)</f>
        <v>2.08</v>
      </c>
      <c r="S107" s="53" t="n">
        <f aca="false">e_FLEc*(1+e_FLEvar)</f>
        <v>2.08</v>
      </c>
      <c r="T107" s="53" t="n">
        <f aca="false">e_FLEc*(1+e_FLEvar)</f>
        <v>2.08</v>
      </c>
      <c r="U107" s="53" t="n">
        <f aca="false">e_FLEc*(1+e_FLEvar)</f>
        <v>2.08</v>
      </c>
      <c r="V107" s="53" t="n">
        <f aca="false">e_FLEc*(1+e_FLEvar)</f>
        <v>2.08</v>
      </c>
      <c r="W107" s="53" t="n">
        <f aca="false">e_FLEc*(1+e_FLEvar)</f>
        <v>2.08</v>
      </c>
      <c r="X107" s="53" t="n">
        <f aca="false">e_FLEc*(1+e_FLEvar)</f>
        <v>2.08</v>
      </c>
      <c r="Y107" s="53" t="n">
        <f aca="false">e_FLEc*(1+e_FLEvar)</f>
        <v>2.08</v>
      </c>
      <c r="Z107" s="53" t="n">
        <f aca="false">e_FLEc*(1+e_FLEvar)</f>
        <v>2.08</v>
      </c>
      <c r="AA107" s="53" t="n">
        <f aca="false">e_FLEc*(1+e_FLEvar)</f>
        <v>2.08</v>
      </c>
      <c r="AB107" s="53" t="n">
        <f aca="false">e_FLEc*(1+e_FLEvar)</f>
        <v>2.08</v>
      </c>
      <c r="AC107" s="53" t="n">
        <f aca="false">e_FLEc*(1+e_FLEvar)</f>
        <v>2.08</v>
      </c>
      <c r="AD107" s="53" t="n">
        <f aca="false">e_FLEc*(1+e_FLEvar)</f>
        <v>2.08</v>
      </c>
      <c r="AE107" s="53" t="n">
        <f aca="false">e_FLEc*(1+e_FLEvar)</f>
        <v>2.08</v>
      </c>
      <c r="AF107" s="53" t="n">
        <f aca="false">e_FLEc*(1+e_FLEvar)</f>
        <v>2.08</v>
      </c>
      <c r="AG107" s="53" t="n">
        <f aca="false">e_FLEc*(1+e_FLEvar)</f>
        <v>2.08</v>
      </c>
      <c r="AH107" s="53" t="n">
        <f aca="false">e_FLEc*(1+e_FLEvar)</f>
        <v>2.08</v>
      </c>
      <c r="AI107" s="53" t="n">
        <f aca="false">e_FLEc*(1+e_FLEvar)</f>
        <v>2.08</v>
      </c>
      <c r="AJ107" s="53" t="n">
        <f aca="false">e_FLEc*(1+e_FLEvar)</f>
        <v>2.08</v>
      </c>
      <c r="AK107" s="53" t="n">
        <f aca="false">e_FLEc*(1+e_FLEvar)</f>
        <v>2.08</v>
      </c>
      <c r="AL107" s="53" t="n">
        <f aca="false">e_FLEc*(1+e_FLEvar)</f>
        <v>2.08</v>
      </c>
      <c r="AM107" s="53" t="n">
        <f aca="false">e_FLEc*(1+e_FLEvar)</f>
        <v>2.08</v>
      </c>
      <c r="AN107" s="53" t="n">
        <f aca="false">e_FLEc*(1+e_FLEvar)</f>
        <v>2.08</v>
      </c>
      <c r="AO107" s="53" t="n">
        <f aca="false">e_FLEc*(1+e_FLEvar)</f>
        <v>2.08</v>
      </c>
      <c r="AP107" s="53" t="n">
        <f aca="false">e_FLEc*(1+e_FLEvar)</f>
        <v>2.08</v>
      </c>
      <c r="AQ107" s="53" t="n">
        <f aca="false">e_FLEc*(1+e_FLEvar)</f>
        <v>2.08</v>
      </c>
      <c r="AR107" s="53" t="n">
        <f aca="false">e_FLEc*(1+e_FLEvar)</f>
        <v>2.08</v>
      </c>
      <c r="AS107" s="53" t="n">
        <f aca="false">e_FLEc*(1+e_FLEvar)</f>
        <v>2.08</v>
      </c>
      <c r="AT107" s="53" t="n">
        <f aca="false">e_FLEc*(1+e_FLEvar)</f>
        <v>2.08</v>
      </c>
      <c r="AU107" s="53" t="n">
        <f aca="false">e_FLEc*(1+e_FLEvar)</f>
        <v>2.08</v>
      </c>
      <c r="AV107" s="53" t="n">
        <f aca="false">e_FLEc*(1+e_FLEvar)</f>
        <v>2.08</v>
      </c>
      <c r="AW107" s="53" t="n">
        <f aca="false">e_FLEc*(1+e_FLEvar)</f>
        <v>2.08</v>
      </c>
      <c r="AX107" s="53" t="n">
        <f aca="false">e_FLEc*(1+e_FLEvar)</f>
        <v>2.08</v>
      </c>
      <c r="AY107" s="53" t="n">
        <f aca="false">e_FLEc*(1+e_FLEvar)</f>
        <v>2.08</v>
      </c>
      <c r="AZ107" s="53" t="n">
        <f aca="false">e_FLEc*(1+e_FLEvar)</f>
        <v>2.08</v>
      </c>
      <c r="BA107" s="53" t="n">
        <f aca="false">e_FLEc*(1+e_FLEvar)</f>
        <v>2.08</v>
      </c>
      <c r="BB107" s="53" t="n">
        <f aca="false">e_FLEc*(1+e_FLEvar)</f>
        <v>2.08</v>
      </c>
      <c r="BC107" s="53" t="n">
        <f aca="false">e_FLEc*(1+e_FLEvar)</f>
        <v>2.08</v>
      </c>
      <c r="BD107" s="53" t="n">
        <f aca="false">e_FLEc*(1+e_FLEvar)</f>
        <v>2.08</v>
      </c>
      <c r="BE107" s="53" t="n">
        <f aca="false">e_FLEc*(1+e_FLEvar)</f>
        <v>2.08</v>
      </c>
      <c r="BF107" s="53" t="n">
        <f aca="false">e_FLEc*(1+e_FLEvar)</f>
        <v>2.08</v>
      </c>
      <c r="BG107" s="53" t="n">
        <f aca="false">e_FLEc*(1+e_FLEvar)</f>
        <v>2.08</v>
      </c>
      <c r="BH107" s="53" t="n">
        <f aca="false">e_FLEc*(1+e_FLEvar)</f>
        <v>2.08</v>
      </c>
      <c r="BI107" s="53" t="n">
        <f aca="false">e_FLEc*(1+e_FLEvar)</f>
        <v>2.08</v>
      </c>
      <c r="BJ107" s="53" t="n">
        <f aca="false">e_FLEc*(1+e_FLEvar)</f>
        <v>2.08</v>
      </c>
      <c r="BK107" s="53" t="n">
        <f aca="false">e_FLEc*(1+e_FLEvar)</f>
        <v>2.08</v>
      </c>
      <c r="BL107" s="53" t="n">
        <f aca="false">e_FLEc*(1+e_FLEvar)</f>
        <v>2.08</v>
      </c>
      <c r="BM107" s="53" t="n">
        <f aca="false">e_FLEc*(1+e_FLEvar)</f>
        <v>2.08</v>
      </c>
      <c r="BN107" s="53" t="n">
        <f aca="false">e_FLEc*(1+e_FLEvar)</f>
        <v>2.08</v>
      </c>
      <c r="BO107" s="53" t="n">
        <f aca="false">e_FLEc*(1+e_FLEvar)</f>
        <v>2.08</v>
      </c>
      <c r="BP107" s="53" t="n">
        <f aca="false">e_FLEc*(1+e_FLEvar)</f>
        <v>2.08</v>
      </c>
      <c r="BQ107" s="53" t="n">
        <f aca="false">e_FLEc*(1+e_FLEvar)</f>
        <v>2.08</v>
      </c>
      <c r="BR107" s="53" t="n">
        <f aca="false">e_FLEc*(1+e_FLEvar)</f>
        <v>2.08</v>
      </c>
      <c r="BS107" s="53" t="n">
        <f aca="false">e_FLEc*(1+e_FLEvar)</f>
        <v>2.08</v>
      </c>
      <c r="BT107" s="53" t="n">
        <f aca="false">e_FLEc*(1+e_FLEvar)</f>
        <v>2.08</v>
      </c>
      <c r="BU107" s="53" t="n">
        <f aca="false">e_FLEc*(1+e_FLEvar)</f>
        <v>2.08</v>
      </c>
      <c r="BV107" s="53" t="n">
        <f aca="false">e_FLEc*(1+e_FLEvar)</f>
        <v>2.08</v>
      </c>
      <c r="BW107" s="53" t="n">
        <f aca="false">e_FLEc*(1+e_FLEvar)</f>
        <v>2.08</v>
      </c>
      <c r="BX107" s="53" t="n">
        <f aca="false">e_FLEc*(1+e_FLEvar)</f>
        <v>2.08</v>
      </c>
      <c r="BY107" s="53" t="n">
        <f aca="false">e_FLEc*(1+e_FLEvar)</f>
        <v>2.08</v>
      </c>
      <c r="BZ107" s="53" t="n">
        <f aca="false">e_FLEc*(1+e_FLEvar)</f>
        <v>2.08</v>
      </c>
      <c r="CA107" s="53" t="n">
        <f aca="false">e_FLEc*(1+e_FLEvar)</f>
        <v>2.08</v>
      </c>
      <c r="CB107" s="53" t="n">
        <f aca="false">e_FLEc*(1+e_FLEvar)</f>
        <v>2.08</v>
      </c>
      <c r="CC107" s="53" t="n">
        <f aca="false">e_FLEc*(1+e_FLEvar)</f>
        <v>2.08</v>
      </c>
      <c r="CD107" s="53" t="n">
        <f aca="false">e_FLEc*(1+e_FLEvar)</f>
        <v>2.08</v>
      </c>
      <c r="CE107" s="53" t="n">
        <f aca="false">e_FLEc*(1+e_FLEvar)</f>
        <v>2.08</v>
      </c>
      <c r="CF107" s="53" t="n">
        <f aca="false">e_FLEc*(1+e_FLEvar)</f>
        <v>2.08</v>
      </c>
      <c r="CG107" s="53" t="n">
        <f aca="false">e_FLEc*(1+e_FLEvar)</f>
        <v>2.08</v>
      </c>
      <c r="CH107" s="53" t="n">
        <f aca="false">e_FLEc*(1+e_FLEvar)</f>
        <v>2.08</v>
      </c>
      <c r="CI107" s="53" t="n">
        <f aca="false">e_FLEc*(1+e_FLEvar)</f>
        <v>2.08</v>
      </c>
      <c r="CJ107" s="53" t="n">
        <f aca="false">e_FLEc*(1+e_FLEvar)</f>
        <v>2.08</v>
      </c>
      <c r="CK107" s="53" t="n">
        <f aca="false">e_FLEc*(1+e_FLEvar)</f>
        <v>2.08</v>
      </c>
      <c r="CL107" s="53" t="n">
        <f aca="false">e_FLEc*(1+e_FLEvar)</f>
        <v>2.08</v>
      </c>
      <c r="CM107" s="53" t="n">
        <f aca="false">e_FLEc*(1+e_FLEvar)</f>
        <v>2.08</v>
      </c>
      <c r="CN107" s="53" t="n">
        <f aca="false">e_FLEc*(1+e_FLEvar)</f>
        <v>2.08</v>
      </c>
      <c r="CO107" s="53" t="n">
        <f aca="false">e_FLEc*(1+e_FLEvar)</f>
        <v>2.08</v>
      </c>
      <c r="CP107" s="53" t="n">
        <f aca="false">e_FLEc*(1+e_FLEvar)</f>
        <v>2.08</v>
      </c>
      <c r="CQ107" s="53" t="n">
        <f aca="false">e_FLEc*(1+e_FLEvar)</f>
        <v>2.08</v>
      </c>
      <c r="CR107" s="53" t="n">
        <f aca="false">e_FLEc*(1+e_FLEvar)</f>
        <v>2.08</v>
      </c>
      <c r="CS107" s="53" t="n">
        <f aca="false">e_FLEc*(1+e_FLEvar)</f>
        <v>2.08</v>
      </c>
      <c r="CT107" s="53" t="n">
        <f aca="false">e_FLEc*(1+e_FLEvar)</f>
        <v>2.08</v>
      </c>
      <c r="CU107" s="53" t="n">
        <f aca="false">e_FLEc*(1+e_FLEvar)</f>
        <v>2.08</v>
      </c>
      <c r="CV107" s="53" t="n">
        <f aca="false">e_FLEc*(1+e_FLEvar)</f>
        <v>2.08</v>
      </c>
      <c r="CW107" s="53" t="n">
        <f aca="false">e_FLEc*(1+e_FLEvar)</f>
        <v>2.08</v>
      </c>
      <c r="CX107" s="53" t="n">
        <f aca="false">e_FLEc*(1+e_FLEvar)</f>
        <v>2.08</v>
      </c>
      <c r="CY107" s="53" t="n">
        <f aca="false">e_FLEc*(1+e_FLEvar)</f>
        <v>2.08</v>
      </c>
      <c r="CZ107" s="53" t="n">
        <f aca="false">e_FLEc*(1+e_FLEvar)</f>
        <v>2.08</v>
      </c>
      <c r="DA107" s="53" t="n">
        <f aca="false">e_FLEc*(1+e_FLEvar)</f>
        <v>2.08</v>
      </c>
      <c r="DB107" s="53" t="n">
        <f aca="false">e_FLEc*(1+e_FLEvar)</f>
        <v>2.08</v>
      </c>
      <c r="DC107" s="53" t="n">
        <f aca="false">e_FLEc*(1+e_FLEvar)</f>
        <v>2.08</v>
      </c>
      <c r="DD107" s="53" t="n">
        <f aca="false">e_FLEc*(1+e_FLEvar)</f>
        <v>2.08</v>
      </c>
      <c r="DE107" s="53" t="n">
        <f aca="false">e_FLEc*(1+e_FLEvar)</f>
        <v>2.08</v>
      </c>
      <c r="DF107" s="53" t="n">
        <f aca="false">e_FLEc*(1+e_FLEvar)</f>
        <v>2.08</v>
      </c>
      <c r="DG107" s="53" t="n">
        <f aca="false">e_FLEc*(1+e_FLEvar)</f>
        <v>2.08</v>
      </c>
      <c r="DH107" s="53" t="n">
        <f aca="false">e_FLEc*(1+e_FLEvar)</f>
        <v>2.08</v>
      </c>
      <c r="DI107" s="53" t="n">
        <f aca="false">e_FLEc*(1+e_FLEvar)</f>
        <v>2.08</v>
      </c>
      <c r="DJ107" s="53" t="n">
        <f aca="false">e_FLEc*(1+e_FLEvar)</f>
        <v>2.08</v>
      </c>
      <c r="DK107" s="53" t="n">
        <f aca="false">e_FLEc*(1+e_FLEvar)</f>
        <v>2.08</v>
      </c>
      <c r="DL107" s="53" t="n">
        <f aca="false">e_FLEc*(1+e_FLEvar)</f>
        <v>2.08</v>
      </c>
      <c r="DM107" s="53" t="n">
        <f aca="false">e_FLEc*(1+e_FLEvar)</f>
        <v>2.08</v>
      </c>
      <c r="DN107" s="53" t="n">
        <f aca="false">e_FLEc*(1+e_FLEvar)</f>
        <v>2.08</v>
      </c>
      <c r="DO107" s="53" t="n">
        <f aca="false">e_FLEc*(1+e_FLEvar)</f>
        <v>2.08</v>
      </c>
      <c r="DP107" s="53" t="n">
        <f aca="false">e_FLEc*(1+e_FLEvar)</f>
        <v>2.08</v>
      </c>
      <c r="DQ107" s="53" t="n">
        <f aca="false">e_FLEc*(1+e_FLEvar)</f>
        <v>2.08</v>
      </c>
      <c r="DR107" s="53" t="n">
        <f aca="false">e_FLEc*(1+e_FLEvar)</f>
        <v>2.08</v>
      </c>
      <c r="DS107" s="53" t="n">
        <f aca="false">e_FLEc*(1+e_FLEvar)</f>
        <v>2.08</v>
      </c>
      <c r="DT107" s="53" t="n">
        <f aca="false">e_FLEc*(1+e_FLEvar)</f>
        <v>2.08</v>
      </c>
      <c r="DU107" s="53" t="n">
        <f aca="false">e_FLEc*(1+e_FLEvar)</f>
        <v>2.08</v>
      </c>
      <c r="DV107" s="53" t="n">
        <f aca="false">e_FLEc*(1+e_FLEvar)</f>
        <v>2.08</v>
      </c>
      <c r="DW107" s="53" t="n">
        <f aca="false">e_FLEc*(1+e_FLEvar)</f>
        <v>2.08</v>
      </c>
      <c r="DX107" s="53" t="n">
        <f aca="false">e_FLEc*(1+e_FLEvar)</f>
        <v>2.08</v>
      </c>
      <c r="DY107" s="53" t="n">
        <f aca="false">e_FLEc*(1+e_FLEvar)</f>
        <v>2.08</v>
      </c>
      <c r="DZ107" s="53" t="n">
        <f aca="false">e_FLEc*(1+e_FLEvar)</f>
        <v>2.08</v>
      </c>
      <c r="EA107" s="53" t="n">
        <f aca="false">e_FLEc*(1+e_FLEvar)</f>
        <v>2.08</v>
      </c>
      <c r="EB107" s="53" t="n">
        <f aca="false">e_FLEc*(1+e_FLEvar)</f>
        <v>2.08</v>
      </c>
      <c r="EC107" s="53" t="n">
        <f aca="false">e_FLEc*(1+e_FLEvar)</f>
        <v>2.08</v>
      </c>
      <c r="ED107" s="53" t="n">
        <f aca="false">e_FLEc*(1+e_FLEvar)</f>
        <v>2.08</v>
      </c>
      <c r="EE107" s="53" t="n">
        <f aca="false">e_FLEc*(1+e_FLEvar)</f>
        <v>2.08</v>
      </c>
      <c r="EF107" s="53" t="n">
        <f aca="false">e_FLEc*(1+e_FLEvar)</f>
        <v>2.08</v>
      </c>
      <c r="EG107" s="53" t="n">
        <f aca="false">e_FLEc*(1+e_FLEvar)</f>
        <v>2.08</v>
      </c>
      <c r="EH107" s="53" t="n">
        <f aca="false">e_FLEc*(1+e_FLEvar)</f>
        <v>2.08</v>
      </c>
      <c r="EI107" s="53" t="n">
        <f aca="false">e_FLEc*(1+e_FLEvar)</f>
        <v>2.08</v>
      </c>
      <c r="EJ107" s="53" t="n">
        <f aca="false">e_FLEc*(1+e_FLEvar)</f>
        <v>2.08</v>
      </c>
      <c r="EK107" s="53" t="n">
        <f aca="false">e_FLEc*(1+e_FLEvar)</f>
        <v>2.08</v>
      </c>
      <c r="EL107" s="53" t="n">
        <f aca="false">e_FLEc*(1+e_FLEvar)</f>
        <v>2.08</v>
      </c>
      <c r="EM107" s="53" t="n">
        <f aca="false">e_FLEc*(1+e_FLEvar)</f>
        <v>2.08</v>
      </c>
      <c r="EN107" s="53" t="n">
        <f aca="false">e_FLEc*(1+e_FLEvar)</f>
        <v>2.08</v>
      </c>
      <c r="EO107" s="53" t="n">
        <f aca="false">e_FLEc*(1+e_FLEvar)</f>
        <v>2.08</v>
      </c>
      <c r="EP107" s="53" t="n">
        <f aca="false">e_FLEc*(1+e_FLEvar)</f>
        <v>2.08</v>
      </c>
      <c r="EQ107" s="53" t="n">
        <f aca="false">e_FLEc*(1+e_FLEvar)</f>
        <v>2.08</v>
      </c>
      <c r="ER107" s="53" t="n">
        <f aca="false">e_FLEc*(1+e_FLEvar)</f>
        <v>2.08</v>
      </c>
      <c r="ES107" s="53" t="n">
        <f aca="false">e_FLEc*(1+e_FLEvar)</f>
        <v>2.08</v>
      </c>
      <c r="ET107" s="53" t="n">
        <f aca="false">e_FLEc*(1+e_FLEvar)</f>
        <v>2.08</v>
      </c>
      <c r="EU107" s="53" t="n">
        <f aca="false">e_FLEc*(1+e_FLEvar)</f>
        <v>2.08</v>
      </c>
      <c r="EV107" s="53" t="n">
        <f aca="false">e_FLEc*(1+e_FLEvar)</f>
        <v>2.08</v>
      </c>
      <c r="EW107" s="53" t="n">
        <f aca="false">e_FLEc*(1+e_FLEvar)</f>
        <v>2.08</v>
      </c>
      <c r="EX107" s="53" t="n">
        <f aca="false">e_FLEc*(1+e_FLEvar)</f>
        <v>2.08</v>
      </c>
      <c r="EY107" s="53" t="n">
        <f aca="false">e_FLEc*(1+e_FLEvar)</f>
        <v>2.08</v>
      </c>
      <c r="EZ107" s="53" t="n">
        <f aca="false">e_FLEc*(1+e_FLEvar)</f>
        <v>2.08</v>
      </c>
      <c r="FA107" s="53" t="n">
        <f aca="false">e_FLEc*(1+e_FLEvar)</f>
        <v>2.08</v>
      </c>
      <c r="FB107" s="53" t="n">
        <f aca="false">e_FLEc*(1+e_FLEvar)</f>
        <v>2.08</v>
      </c>
      <c r="FC107" s="53" t="n">
        <f aca="false">e_FLEc*(1+e_FLEvar)</f>
        <v>2.08</v>
      </c>
      <c r="FD107" s="53" t="n">
        <f aca="false">e_FLEc*(1+e_FLEvar)</f>
        <v>2.08</v>
      </c>
      <c r="FE107" s="53" t="n">
        <f aca="false">e_FLEc*(1+e_FLEvar)</f>
        <v>2.08</v>
      </c>
      <c r="FF107" s="53" t="n">
        <f aca="false">e_FLEc*(1+e_FLEvar)</f>
        <v>2.08</v>
      </c>
    </row>
    <row r="108" customFormat="false" ht="15" hidden="false" customHeight="false" outlineLevel="0" collapsed="false">
      <c r="A108" s="2" t="s">
        <v>1066</v>
      </c>
      <c r="B108" s="8" t="s">
        <v>1067</v>
      </c>
      <c r="C108" s="8" t="s">
        <v>201</v>
      </c>
      <c r="F108" s="48" t="n">
        <f aca="false">IF(p_Modalidad=2,1-p_PropCliente,1)</f>
        <v>1</v>
      </c>
      <c r="G108" s="48" t="n">
        <f aca="false">IF(p_Modalidad=2,1-p_PropCliente,1)</f>
        <v>1</v>
      </c>
      <c r="H108" s="48" t="n">
        <f aca="false">IF(p_Modalidad=2,1-p_PropCliente,1)</f>
        <v>1</v>
      </c>
      <c r="I108" s="48" t="n">
        <f aca="false">IF(p_Modalidad=2,1-p_PropCliente,1)</f>
        <v>1</v>
      </c>
      <c r="J108" s="48" t="n">
        <f aca="false">IF(p_Modalidad=2,1-p_PropCliente,1)</f>
        <v>1</v>
      </c>
      <c r="K108" s="48" t="n">
        <f aca="false">IF(p_Modalidad=2,1-p_PropCliente,1)</f>
        <v>1</v>
      </c>
      <c r="L108" s="48" t="n">
        <f aca="false">IF(p_Modalidad=2,1-p_PropCliente,1)</f>
        <v>1</v>
      </c>
      <c r="M108" s="48" t="n">
        <f aca="false">IF(p_Modalidad=2,1-p_PropCliente,1)</f>
        <v>1</v>
      </c>
      <c r="N108" s="48" t="n">
        <f aca="false">IF(p_Modalidad=2,1-p_PropCliente,1)</f>
        <v>1</v>
      </c>
      <c r="O108" s="48" t="n">
        <f aca="false">IF(p_Modalidad=2,1-p_PropCliente,1)</f>
        <v>1</v>
      </c>
      <c r="P108" s="48" t="n">
        <f aca="false">IF(p_Modalidad=2,1-p_PropCliente,1)</f>
        <v>1</v>
      </c>
      <c r="Q108" s="48" t="n">
        <f aca="false">IF(p_Modalidad=2,1-p_PropCliente,1)</f>
        <v>1</v>
      </c>
      <c r="R108" s="48" t="n">
        <f aca="false">IF(p_Modalidad=2,1-p_PropCliente,1)</f>
        <v>1</v>
      </c>
      <c r="S108" s="48" t="n">
        <f aca="false">IF(p_Modalidad=2,1-p_PropCliente,1)</f>
        <v>1</v>
      </c>
      <c r="T108" s="48" t="n">
        <f aca="false">IF(p_Modalidad=2,1-p_PropCliente,1)</f>
        <v>1</v>
      </c>
      <c r="U108" s="48" t="n">
        <f aca="false">IF(p_Modalidad=2,1-p_PropCliente,1)</f>
        <v>1</v>
      </c>
      <c r="V108" s="48" t="n">
        <f aca="false">IF(p_Modalidad=2,1-p_PropCliente,1)</f>
        <v>1</v>
      </c>
      <c r="W108" s="48" t="n">
        <f aca="false">IF(p_Modalidad=2,1-p_PropCliente,1)</f>
        <v>1</v>
      </c>
      <c r="X108" s="48" t="n">
        <f aca="false">IF(p_Modalidad=2,1-p_PropCliente,1)</f>
        <v>1</v>
      </c>
      <c r="Y108" s="48" t="n">
        <f aca="false">IF(p_Modalidad=2,1-p_PropCliente,1)</f>
        <v>1</v>
      </c>
      <c r="Z108" s="48" t="n">
        <f aca="false">IF(p_Modalidad=2,1-p_PropCliente,1)</f>
        <v>1</v>
      </c>
      <c r="AA108" s="48" t="n">
        <f aca="false">IF(p_Modalidad=2,1-p_PropCliente,1)</f>
        <v>1</v>
      </c>
      <c r="AB108" s="48" t="n">
        <f aca="false">IF(p_Modalidad=2,1-p_PropCliente,1)</f>
        <v>1</v>
      </c>
      <c r="AC108" s="48" t="n">
        <f aca="false">IF(p_Modalidad=2,1-p_PropCliente,1)</f>
        <v>1</v>
      </c>
      <c r="AD108" s="48" t="n">
        <f aca="false">IF(p_Modalidad=2,1-p_PropCliente,1)</f>
        <v>1</v>
      </c>
      <c r="AE108" s="48" t="n">
        <f aca="false">IF(p_Modalidad=2,1-p_PropCliente,1)</f>
        <v>1</v>
      </c>
      <c r="AF108" s="48" t="n">
        <f aca="false">IF(p_Modalidad=2,1-p_PropCliente,1)</f>
        <v>1</v>
      </c>
      <c r="AG108" s="48" t="n">
        <f aca="false">IF(p_Modalidad=2,1-p_PropCliente,1)</f>
        <v>1</v>
      </c>
      <c r="AH108" s="48" t="n">
        <f aca="false">IF(p_Modalidad=2,1-p_PropCliente,1)</f>
        <v>1</v>
      </c>
      <c r="AI108" s="48" t="n">
        <f aca="false">IF(p_Modalidad=2,1-p_PropCliente,1)</f>
        <v>1</v>
      </c>
      <c r="AJ108" s="48" t="n">
        <f aca="false">IF(p_Modalidad=2,1-p_PropCliente,1)</f>
        <v>1</v>
      </c>
      <c r="AK108" s="48" t="n">
        <f aca="false">IF(p_Modalidad=2,1-p_PropCliente,1)</f>
        <v>1</v>
      </c>
      <c r="AL108" s="48" t="n">
        <f aca="false">IF(p_Modalidad=2,1-p_PropCliente,1)</f>
        <v>1</v>
      </c>
      <c r="AM108" s="48" t="n">
        <f aca="false">IF(p_Modalidad=2,1-p_PropCliente,1)</f>
        <v>1</v>
      </c>
      <c r="AN108" s="48" t="n">
        <f aca="false">IF(p_Modalidad=2,1-p_PropCliente,1)</f>
        <v>1</v>
      </c>
      <c r="AO108" s="48" t="n">
        <f aca="false">IF(p_Modalidad=2,1-p_PropCliente,1)</f>
        <v>1</v>
      </c>
      <c r="AP108" s="48" t="n">
        <f aca="false">IF(p_Modalidad=2,1-p_PropCliente,1)</f>
        <v>1</v>
      </c>
      <c r="AQ108" s="48" t="n">
        <f aca="false">IF(p_Modalidad=2,1-p_PropCliente,1)</f>
        <v>1</v>
      </c>
      <c r="AR108" s="48" t="n">
        <f aca="false">IF(p_Modalidad=2,1-p_PropCliente,1)</f>
        <v>1</v>
      </c>
      <c r="AS108" s="48" t="n">
        <f aca="false">IF(p_Modalidad=2,1-p_PropCliente,1)</f>
        <v>1</v>
      </c>
      <c r="AT108" s="48" t="n">
        <f aca="false">IF(p_Modalidad=2,1-p_PropCliente,1)</f>
        <v>1</v>
      </c>
      <c r="AU108" s="48" t="n">
        <f aca="false">IF(p_Modalidad=2,1-p_PropCliente,1)</f>
        <v>1</v>
      </c>
      <c r="AV108" s="48" t="n">
        <f aca="false">IF(p_Modalidad=2,1-p_PropCliente,1)</f>
        <v>1</v>
      </c>
      <c r="AW108" s="48" t="n">
        <f aca="false">IF(p_Modalidad=2,1-p_PropCliente,1)</f>
        <v>1</v>
      </c>
      <c r="AX108" s="48" t="n">
        <f aca="false">IF(p_Modalidad=2,1-p_PropCliente,1)</f>
        <v>1</v>
      </c>
      <c r="AY108" s="48" t="n">
        <f aca="false">IF(p_Modalidad=2,1-p_PropCliente,1)</f>
        <v>1</v>
      </c>
      <c r="AZ108" s="48" t="n">
        <f aca="false">IF(p_Modalidad=2,1-p_PropCliente,1)</f>
        <v>1</v>
      </c>
      <c r="BA108" s="48" t="n">
        <f aca="false">IF(p_Modalidad=2,1-p_PropCliente,1)</f>
        <v>1</v>
      </c>
      <c r="BB108" s="48" t="n">
        <f aca="false">IF(p_Modalidad=2,1-p_PropCliente,1)</f>
        <v>1</v>
      </c>
      <c r="BC108" s="48" t="n">
        <f aca="false">IF(p_Modalidad=2,1-p_PropCliente,1)</f>
        <v>1</v>
      </c>
      <c r="BD108" s="48" t="n">
        <f aca="false">IF(p_Modalidad=2,1-p_PropCliente,1)</f>
        <v>1</v>
      </c>
      <c r="BE108" s="48" t="n">
        <f aca="false">IF(p_Modalidad=2,1-p_PropCliente,1)</f>
        <v>1</v>
      </c>
      <c r="BF108" s="48" t="n">
        <f aca="false">IF(p_Modalidad=2,1-p_PropCliente,1)</f>
        <v>1</v>
      </c>
      <c r="BG108" s="48" t="n">
        <f aca="false">IF(p_Modalidad=2,1-p_PropCliente,1)</f>
        <v>1</v>
      </c>
      <c r="BH108" s="48" t="n">
        <f aca="false">IF(p_Modalidad=2,1-p_PropCliente,1)</f>
        <v>1</v>
      </c>
      <c r="BI108" s="48" t="n">
        <f aca="false">IF(p_Modalidad=2,1-p_PropCliente,1)</f>
        <v>1</v>
      </c>
      <c r="BJ108" s="48" t="n">
        <f aca="false">IF(p_Modalidad=2,1-p_PropCliente,1)</f>
        <v>1</v>
      </c>
      <c r="BK108" s="48" t="n">
        <f aca="false">IF(p_Modalidad=2,1-p_PropCliente,1)</f>
        <v>1</v>
      </c>
      <c r="BL108" s="48" t="n">
        <f aca="false">IF(p_Modalidad=2,1-p_PropCliente,1)</f>
        <v>1</v>
      </c>
      <c r="BM108" s="48" t="n">
        <f aca="false">IF(p_Modalidad=2,1-p_PropCliente,1)</f>
        <v>1</v>
      </c>
      <c r="BN108" s="48" t="n">
        <f aca="false">IF(p_Modalidad=2,1-p_PropCliente,1)</f>
        <v>1</v>
      </c>
      <c r="BO108" s="48" t="n">
        <f aca="false">IF(p_Modalidad=2,1-p_PropCliente,1)</f>
        <v>1</v>
      </c>
      <c r="BP108" s="48" t="n">
        <f aca="false">IF(p_Modalidad=2,1-p_PropCliente,1)</f>
        <v>1</v>
      </c>
      <c r="BQ108" s="48" t="n">
        <f aca="false">IF(p_Modalidad=2,1-p_PropCliente,1)</f>
        <v>1</v>
      </c>
      <c r="BR108" s="48" t="n">
        <f aca="false">IF(p_Modalidad=2,1-p_PropCliente,1)</f>
        <v>1</v>
      </c>
      <c r="BS108" s="48" t="n">
        <f aca="false">IF(p_Modalidad=2,1-p_PropCliente,1)</f>
        <v>1</v>
      </c>
      <c r="BT108" s="48" t="n">
        <f aca="false">IF(p_Modalidad=2,1-p_PropCliente,1)</f>
        <v>1</v>
      </c>
      <c r="BU108" s="48" t="n">
        <f aca="false">IF(p_Modalidad=2,1-p_PropCliente,1)</f>
        <v>1</v>
      </c>
      <c r="BV108" s="48" t="n">
        <f aca="false">IF(p_Modalidad=2,1-p_PropCliente,1)</f>
        <v>1</v>
      </c>
      <c r="BW108" s="48" t="n">
        <f aca="false">IF(p_Modalidad=2,1-p_PropCliente,1)</f>
        <v>1</v>
      </c>
      <c r="BX108" s="48" t="n">
        <f aca="false">IF(p_Modalidad=2,1-p_PropCliente,1)</f>
        <v>1</v>
      </c>
      <c r="BY108" s="48" t="n">
        <f aca="false">IF(p_Modalidad=2,1-p_PropCliente,1)</f>
        <v>1</v>
      </c>
      <c r="BZ108" s="48" t="n">
        <f aca="false">IF(p_Modalidad=2,1-p_PropCliente,1)</f>
        <v>1</v>
      </c>
      <c r="CA108" s="48" t="n">
        <f aca="false">IF(p_Modalidad=2,1-p_PropCliente,1)</f>
        <v>1</v>
      </c>
      <c r="CB108" s="48" t="n">
        <f aca="false">IF(p_Modalidad=2,1-p_PropCliente,1)</f>
        <v>1</v>
      </c>
      <c r="CC108" s="48" t="n">
        <f aca="false">IF(p_Modalidad=2,1-p_PropCliente,1)</f>
        <v>1</v>
      </c>
      <c r="CD108" s="48" t="n">
        <f aca="false">IF(p_Modalidad=2,1-p_PropCliente,1)</f>
        <v>1</v>
      </c>
      <c r="CE108" s="48" t="n">
        <f aca="false">IF(p_Modalidad=2,1-p_PropCliente,1)</f>
        <v>1</v>
      </c>
      <c r="CF108" s="48" t="n">
        <f aca="false">IF(p_Modalidad=2,1-p_PropCliente,1)</f>
        <v>1</v>
      </c>
      <c r="CG108" s="48" t="n">
        <f aca="false">IF(p_Modalidad=2,1-p_PropCliente,1)</f>
        <v>1</v>
      </c>
      <c r="CH108" s="48" t="n">
        <f aca="false">IF(p_Modalidad=2,1-p_PropCliente,1)</f>
        <v>1</v>
      </c>
      <c r="CI108" s="48" t="n">
        <f aca="false">IF(p_Modalidad=2,1-p_PropCliente,1)</f>
        <v>1</v>
      </c>
      <c r="CJ108" s="48" t="n">
        <f aca="false">IF(p_Modalidad=2,1-p_PropCliente,1)</f>
        <v>1</v>
      </c>
      <c r="CK108" s="48" t="n">
        <f aca="false">IF(p_Modalidad=2,1-p_PropCliente,1)</f>
        <v>1</v>
      </c>
      <c r="CL108" s="48" t="n">
        <f aca="false">IF(p_Modalidad=2,1-p_PropCliente,1)</f>
        <v>1</v>
      </c>
      <c r="CM108" s="48" t="n">
        <f aca="false">IF(p_Modalidad=2,1-p_PropCliente,1)</f>
        <v>1</v>
      </c>
      <c r="CN108" s="48" t="n">
        <f aca="false">IF(p_Modalidad=2,1-p_PropCliente,1)</f>
        <v>1</v>
      </c>
      <c r="CO108" s="48" t="n">
        <f aca="false">IF(p_Modalidad=2,1-p_PropCliente,1)</f>
        <v>1</v>
      </c>
      <c r="CP108" s="48" t="n">
        <f aca="false">IF(p_Modalidad=2,1-p_PropCliente,1)</f>
        <v>1</v>
      </c>
      <c r="CQ108" s="48" t="n">
        <f aca="false">IF(p_Modalidad=2,1-p_PropCliente,1)</f>
        <v>1</v>
      </c>
      <c r="CR108" s="48" t="n">
        <f aca="false">IF(p_Modalidad=2,1-p_PropCliente,1)</f>
        <v>1</v>
      </c>
      <c r="CS108" s="48" t="n">
        <f aca="false">IF(p_Modalidad=2,1-p_PropCliente,1)</f>
        <v>1</v>
      </c>
      <c r="CT108" s="48" t="n">
        <f aca="false">IF(p_Modalidad=2,1-p_PropCliente,1)</f>
        <v>1</v>
      </c>
      <c r="CU108" s="48" t="n">
        <f aca="false">IF(p_Modalidad=2,1-p_PropCliente,1)</f>
        <v>1</v>
      </c>
      <c r="CV108" s="48" t="n">
        <f aca="false">IF(p_Modalidad=2,1-p_PropCliente,1)</f>
        <v>1</v>
      </c>
      <c r="CW108" s="48" t="n">
        <f aca="false">IF(p_Modalidad=2,1-p_PropCliente,1)</f>
        <v>1</v>
      </c>
      <c r="CX108" s="48" t="n">
        <f aca="false">IF(p_Modalidad=2,1-p_PropCliente,1)</f>
        <v>1</v>
      </c>
      <c r="CY108" s="48" t="n">
        <f aca="false">IF(p_Modalidad=2,1-p_PropCliente,1)</f>
        <v>1</v>
      </c>
      <c r="CZ108" s="48" t="n">
        <f aca="false">IF(p_Modalidad=2,1-p_PropCliente,1)</f>
        <v>1</v>
      </c>
      <c r="DA108" s="48" t="n">
        <f aca="false">IF(p_Modalidad=2,1-p_PropCliente,1)</f>
        <v>1</v>
      </c>
      <c r="DB108" s="48" t="n">
        <f aca="false">IF(p_Modalidad=2,1-p_PropCliente,1)</f>
        <v>1</v>
      </c>
      <c r="DC108" s="48" t="n">
        <f aca="false">IF(p_Modalidad=2,1-p_PropCliente,1)</f>
        <v>1</v>
      </c>
      <c r="DD108" s="48" t="n">
        <f aca="false">IF(p_Modalidad=2,1-p_PropCliente,1)</f>
        <v>1</v>
      </c>
      <c r="DE108" s="48" t="n">
        <f aca="false">IF(p_Modalidad=2,1-p_PropCliente,1)</f>
        <v>1</v>
      </c>
      <c r="DF108" s="48" t="n">
        <f aca="false">IF(p_Modalidad=2,1-p_PropCliente,1)</f>
        <v>1</v>
      </c>
      <c r="DG108" s="48" t="n">
        <f aca="false">IF(p_Modalidad=2,1-p_PropCliente,1)</f>
        <v>1</v>
      </c>
      <c r="DH108" s="48" t="n">
        <f aca="false">IF(p_Modalidad=2,1-p_PropCliente,1)</f>
        <v>1</v>
      </c>
      <c r="DI108" s="48" t="n">
        <f aca="false">IF(p_Modalidad=2,1-p_PropCliente,1)</f>
        <v>1</v>
      </c>
      <c r="DJ108" s="48" t="n">
        <f aca="false">IF(p_Modalidad=2,1-p_PropCliente,1)</f>
        <v>1</v>
      </c>
      <c r="DK108" s="48" t="n">
        <f aca="false">IF(p_Modalidad=2,1-p_PropCliente,1)</f>
        <v>1</v>
      </c>
      <c r="DL108" s="48" t="n">
        <f aca="false">IF(p_Modalidad=2,1-p_PropCliente,1)</f>
        <v>1</v>
      </c>
      <c r="DM108" s="48" t="n">
        <f aca="false">IF(p_Modalidad=2,1-p_PropCliente,1)</f>
        <v>1</v>
      </c>
      <c r="DN108" s="48" t="n">
        <f aca="false">IF(p_Modalidad=2,1-p_PropCliente,1)</f>
        <v>1</v>
      </c>
      <c r="DO108" s="48" t="n">
        <f aca="false">IF(p_Modalidad=2,1-p_PropCliente,1)</f>
        <v>1</v>
      </c>
      <c r="DP108" s="48" t="n">
        <f aca="false">IF(p_Modalidad=2,1-p_PropCliente,1)</f>
        <v>1</v>
      </c>
      <c r="DQ108" s="48" t="n">
        <f aca="false">IF(p_Modalidad=2,1-p_PropCliente,1)</f>
        <v>1</v>
      </c>
      <c r="DR108" s="48" t="n">
        <f aca="false">IF(p_Modalidad=2,1-p_PropCliente,1)</f>
        <v>1</v>
      </c>
      <c r="DS108" s="48" t="n">
        <f aca="false">IF(p_Modalidad=2,1-p_PropCliente,1)</f>
        <v>1</v>
      </c>
      <c r="DT108" s="48" t="n">
        <f aca="false">IF(p_Modalidad=2,1-p_PropCliente,1)</f>
        <v>1</v>
      </c>
      <c r="DU108" s="48" t="n">
        <f aca="false">IF(p_Modalidad=2,1-p_PropCliente,1)</f>
        <v>1</v>
      </c>
      <c r="DV108" s="48" t="n">
        <f aca="false">IF(p_Modalidad=2,1-p_PropCliente,1)</f>
        <v>1</v>
      </c>
      <c r="DW108" s="48" t="n">
        <f aca="false">IF(p_Modalidad=2,1-p_PropCliente,1)</f>
        <v>1</v>
      </c>
      <c r="DX108" s="48" t="n">
        <f aca="false">IF(p_Modalidad=2,1-p_PropCliente,1)</f>
        <v>1</v>
      </c>
      <c r="DY108" s="48" t="n">
        <f aca="false">IF(p_Modalidad=2,1-p_PropCliente,1)</f>
        <v>1</v>
      </c>
      <c r="DZ108" s="48" t="n">
        <f aca="false">IF(p_Modalidad=2,1-p_PropCliente,1)</f>
        <v>1</v>
      </c>
      <c r="EA108" s="48" t="n">
        <f aca="false">IF(p_Modalidad=2,1-p_PropCliente,1)</f>
        <v>1</v>
      </c>
      <c r="EB108" s="48" t="n">
        <f aca="false">IF(p_Modalidad=2,1-p_PropCliente,1)</f>
        <v>1</v>
      </c>
      <c r="EC108" s="48" t="n">
        <f aca="false">IF(p_Modalidad=2,1-p_PropCliente,1)</f>
        <v>1</v>
      </c>
      <c r="ED108" s="48" t="n">
        <f aca="false">IF(p_Modalidad=2,1-p_PropCliente,1)</f>
        <v>1</v>
      </c>
      <c r="EE108" s="48" t="n">
        <f aca="false">IF(p_Modalidad=2,1-p_PropCliente,1)</f>
        <v>1</v>
      </c>
      <c r="EF108" s="48" t="n">
        <f aca="false">IF(p_Modalidad=2,1-p_PropCliente,1)</f>
        <v>1</v>
      </c>
      <c r="EG108" s="48" t="n">
        <f aca="false">IF(p_Modalidad=2,1-p_PropCliente,1)</f>
        <v>1</v>
      </c>
      <c r="EH108" s="48" t="n">
        <f aca="false">IF(p_Modalidad=2,1-p_PropCliente,1)</f>
        <v>1</v>
      </c>
      <c r="EI108" s="48" t="n">
        <f aca="false">IF(p_Modalidad=2,1-p_PropCliente,1)</f>
        <v>1</v>
      </c>
      <c r="EJ108" s="48" t="n">
        <f aca="false">IF(p_Modalidad=2,1-p_PropCliente,1)</f>
        <v>1</v>
      </c>
      <c r="EK108" s="48" t="n">
        <f aca="false">IF(p_Modalidad=2,1-p_PropCliente,1)</f>
        <v>1</v>
      </c>
      <c r="EL108" s="48" t="n">
        <f aca="false">IF(p_Modalidad=2,1-p_PropCliente,1)</f>
        <v>1</v>
      </c>
      <c r="EM108" s="48" t="n">
        <f aca="false">IF(p_Modalidad=2,1-p_PropCliente,1)</f>
        <v>1</v>
      </c>
      <c r="EN108" s="48" t="n">
        <f aca="false">IF(p_Modalidad=2,1-p_PropCliente,1)</f>
        <v>1</v>
      </c>
      <c r="EO108" s="48" t="n">
        <f aca="false">IF(p_Modalidad=2,1-p_PropCliente,1)</f>
        <v>1</v>
      </c>
      <c r="EP108" s="48" t="n">
        <f aca="false">IF(p_Modalidad=2,1-p_PropCliente,1)</f>
        <v>1</v>
      </c>
      <c r="EQ108" s="48" t="n">
        <f aca="false">IF(p_Modalidad=2,1-p_PropCliente,1)</f>
        <v>1</v>
      </c>
      <c r="ER108" s="48" t="n">
        <f aca="false">IF(p_Modalidad=2,1-p_PropCliente,1)</f>
        <v>1</v>
      </c>
      <c r="ES108" s="48" t="n">
        <f aca="false">IF(p_Modalidad=2,1-p_PropCliente,1)</f>
        <v>1</v>
      </c>
      <c r="ET108" s="48" t="n">
        <f aca="false">IF(p_Modalidad=2,1-p_PropCliente,1)</f>
        <v>1</v>
      </c>
      <c r="EU108" s="48" t="n">
        <f aca="false">IF(p_Modalidad=2,1-p_PropCliente,1)</f>
        <v>1</v>
      </c>
      <c r="EV108" s="48" t="n">
        <f aca="false">IF(p_Modalidad=2,1-p_PropCliente,1)</f>
        <v>1</v>
      </c>
      <c r="EW108" s="48" t="n">
        <f aca="false">IF(p_Modalidad=2,1-p_PropCliente,1)</f>
        <v>1</v>
      </c>
      <c r="EX108" s="48" t="n">
        <f aca="false">IF(p_Modalidad=2,1-p_PropCliente,1)</f>
        <v>1</v>
      </c>
      <c r="EY108" s="48" t="n">
        <f aca="false">IF(p_Modalidad=2,1-p_PropCliente,1)</f>
        <v>1</v>
      </c>
      <c r="EZ108" s="48" t="n">
        <f aca="false">IF(p_Modalidad=2,1-p_PropCliente,1)</f>
        <v>1</v>
      </c>
      <c r="FA108" s="48" t="n">
        <f aca="false">IF(p_Modalidad=2,1-p_PropCliente,1)</f>
        <v>1</v>
      </c>
      <c r="FB108" s="48" t="n">
        <f aca="false">IF(p_Modalidad=2,1-p_PropCliente,1)</f>
        <v>1</v>
      </c>
      <c r="FC108" s="48" t="n">
        <f aca="false">IF(p_Modalidad=2,1-p_PropCliente,1)</f>
        <v>1</v>
      </c>
      <c r="FD108" s="48" t="n">
        <f aca="false">IF(p_Modalidad=2,1-p_PropCliente,1)</f>
        <v>1</v>
      </c>
      <c r="FE108" s="48" t="n">
        <f aca="false">IF(p_Modalidad=2,1-p_PropCliente,1)</f>
        <v>1</v>
      </c>
      <c r="FF108" s="48" t="n">
        <f aca="false">IF(p_Modalidad=2,1-p_PropCliente,1)</f>
        <v>1</v>
      </c>
    </row>
    <row r="109" customFormat="false" ht="15" hidden="false" customHeight="false" outlineLevel="0" collapsed="false">
      <c r="A109" s="4"/>
      <c r="B109" s="3" t="s">
        <v>1068</v>
      </c>
      <c r="C109" s="4"/>
      <c r="D109" s="4"/>
      <c r="E109" s="4"/>
    </row>
    <row r="110" customFormat="false" ht="15" hidden="false" customHeight="false" outlineLevel="0" collapsed="false">
      <c r="A110" s="2" t="s">
        <v>1069</v>
      </c>
      <c r="B110" s="8" t="s">
        <v>1070</v>
      </c>
      <c r="C110" s="8" t="s">
        <v>255</v>
      </c>
      <c r="E110" s="65" t="n">
        <f aca="false">SUM($F110:$FF110)</f>
        <v>25287032.0114229</v>
      </c>
      <c r="F110" s="13" t="n">
        <f aca="false">IF(F$69=1,SUMIFS(dr_USD,dr_Mes,0,dr_Cod,"MP",dr_Est,"&lt;&gt;Excluido"),(Produccion_Ventas!F$28*F$100+Produccion_Ventas!F$49*F$101)*F$108)</f>
        <v>0</v>
      </c>
      <c r="G110" s="13" t="n">
        <f aca="false">IF(G$69=1,SUMIFS(dr_USD,dr_Mes,1,dr_Cod,"MP",dr_Est,"&lt;&gt;Excluido"),(Produccion_Ventas!G$28*G$100+Produccion_Ventas!G$49*G$101)*G$108)</f>
        <v>167258.561643836</v>
      </c>
      <c r="H110" s="13" t="n">
        <f aca="false">IF(H$69=1,SUMIFS(dr_USD,dr_Mes,2,dr_Cod,"MP",dr_Est,"&lt;&gt;Excluido"),(Produccion_Ventas!H$28*H$100+Produccion_Ventas!H$49*H$101)*H$108)</f>
        <v>125875</v>
      </c>
      <c r="I110" s="13" t="n">
        <f aca="false">IF(I$69=1,SUMIFS(dr_USD,dr_Mes,3,dr_Cod,"MP",dr_Est,"&lt;&gt;Excluido"),(Produccion_Ventas!I$28*I$100+Produccion_Ventas!I$49*I$101)*I$108)</f>
        <v>125875</v>
      </c>
      <c r="J110" s="13" t="n">
        <f aca="false">IF(J$69=1,SUMIFS(dr_USD,dr_Mes,4,dr_Cod,"MP",dr_Est,"&lt;&gt;Excluido"),(Produccion_Ventas!J$28*J$100+Produccion_Ventas!J$49*J$101)*J$108)</f>
        <v>125875</v>
      </c>
      <c r="K110" s="13" t="n">
        <f aca="false">IF(K$69=1,SUMIFS(dr_USD,dr_Mes,5,dr_Cod,"MP",dr_Est,"&lt;&gt;Excluido"),(Produccion_Ventas!K$28*K$100+Produccion_Ventas!K$49*K$101)*K$108)</f>
        <v>125875</v>
      </c>
      <c r="L110" s="13" t="n">
        <f aca="false">IF(L$69=1,SUMIFS(dr_USD,dr_Mes,6,dr_Cod,"MP",dr_Est,"&lt;&gt;Excluido"),(Produccion_Ventas!L$28*L$100+Produccion_Ventas!L$49*L$101)*L$108)</f>
        <v>125875</v>
      </c>
      <c r="M110" s="13" t="n">
        <f aca="false">IF(M$69=1,SUMIFS(dr_USD,dr_Mes,7,dr_Cod,"MP",dr_Est,"&lt;&gt;Excluido"),(Produccion_Ventas!M$28*M$100+Produccion_Ventas!M$49*M$101)*M$108)</f>
        <v>125875</v>
      </c>
      <c r="N110" s="13" t="n">
        <f aca="false">IF(N$69=1,SUMIFS(dr_USD,dr_Mes,8,dr_Cod,"MP",dr_Est,"&lt;&gt;Excluido"),(Produccion_Ventas!N$28*N$100+Produccion_Ventas!N$49*N$101)*N$108)</f>
        <v>125875</v>
      </c>
      <c r="O110" s="13" t="n">
        <f aca="false">IF(O$69=1,SUMIFS(dr_USD,dr_Mes,9,dr_Cod,"MP",dr_Est,"&lt;&gt;Excluido"),(Produccion_Ventas!O$28*O$100+Produccion_Ventas!O$49*O$101)*O$108)</f>
        <v>125875</v>
      </c>
      <c r="P110" s="13" t="n">
        <f aca="false">IF(P$69=1,SUMIFS(dr_USD,dr_Mes,10,dr_Cod,"MP",dr_Est,"&lt;&gt;Excluido"),(Produccion_Ventas!P$28*P$100+Produccion_Ventas!P$49*P$101)*P$108)</f>
        <v>125875</v>
      </c>
      <c r="Q110" s="13" t="n">
        <f aca="false">IF(Q$69=1,SUMIFS(dr_USD,dr_Mes,11,dr_Cod,"MP",dr_Est,"&lt;&gt;Excluido"),(Produccion_Ventas!Q$28*Q$100+Produccion_Ventas!Q$49*Q$101)*Q$108)</f>
        <v>125875</v>
      </c>
      <c r="R110" s="13" t="n">
        <f aca="false">IF(R$69=1,SUMIFS(dr_USD,dr_Mes,12,dr_Cod,"MP",dr_Est,"&lt;&gt;Excluido"),(Produccion_Ventas!R$28*R$100+Produccion_Ventas!R$49*R$101)*R$108)</f>
        <v>136728.424657534</v>
      </c>
      <c r="S110" s="13" t="n">
        <f aca="false">IF(S$69=1,SUMIFS(dr_USD,dr_Mes,13,dr_Cod,"MP",dr_Est,"&lt;&gt;Excluido"),(Produccion_Ventas!S$28*S$100+Produccion_Ventas!S$49*S$101)*S$108)</f>
        <v>160476.375</v>
      </c>
      <c r="T110" s="13" t="n">
        <f aca="false">IF(T$69=1,SUMIFS(dr_USD,dr_Mes,14,dr_Cod,"MP",dr_Est,"&lt;&gt;Excluido"),(Produccion_Ventas!T$28*T$100+Produccion_Ventas!T$49*T$101)*T$108)</f>
        <v>160476.375</v>
      </c>
      <c r="U110" s="13" t="n">
        <f aca="false">IF(U$69=1,SUMIFS(dr_USD,dr_Mes,15,dr_Cod,"MP",dr_Est,"&lt;&gt;Excluido"),(Produccion_Ventas!U$28*U$100+Produccion_Ventas!U$49*U$101)*U$108)</f>
        <v>160476.375</v>
      </c>
      <c r="V110" s="13" t="n">
        <f aca="false">IF(V$69=1,SUMIFS(dr_USD,dr_Mes,16,dr_Cod,"MP",dr_Est,"&lt;&gt;Excluido"),(Produccion_Ventas!V$28*V$100+Produccion_Ventas!V$49*V$101)*V$108)</f>
        <v>160476.375</v>
      </c>
      <c r="W110" s="13" t="n">
        <f aca="false">IF(W$69=1,SUMIFS(dr_USD,dr_Mes,17,dr_Cod,"MP",dr_Est,"&lt;&gt;Excluido"),(Produccion_Ventas!W$28*W$100+Produccion_Ventas!W$49*W$101)*W$108)</f>
        <v>160476.375</v>
      </c>
      <c r="X110" s="13" t="n">
        <f aca="false">IF(X$69=1,SUMIFS(dr_USD,dr_Mes,18,dr_Cod,"MP",dr_Est,"&lt;&gt;Excluido"),(Produccion_Ventas!X$28*X$100+Produccion_Ventas!X$49*X$101)*X$108)</f>
        <v>160476.375</v>
      </c>
      <c r="Y110" s="13" t="n">
        <f aca="false">IF(Y$69=1,SUMIFS(dr_USD,dr_Mes,19,dr_Cod,"MP",dr_Est,"&lt;&gt;Excluido"),(Produccion_Ventas!Y$28*Y$100+Produccion_Ventas!Y$49*Y$101)*Y$108)</f>
        <v>160476.375</v>
      </c>
      <c r="Z110" s="13" t="n">
        <f aca="false">IF(Z$69=1,SUMIFS(dr_USD,dr_Mes,20,dr_Cod,"MP",dr_Est,"&lt;&gt;Excluido"),(Produccion_Ventas!Z$28*Z$100+Produccion_Ventas!Z$49*Z$101)*Z$108)</f>
        <v>160476.375</v>
      </c>
      <c r="AA110" s="13" t="n">
        <f aca="false">IF(AA$69=1,SUMIFS(dr_USD,dr_Mes,21,dr_Cod,"MP",dr_Est,"&lt;&gt;Excluido"),(Produccion_Ventas!AA$28*AA$100+Produccion_Ventas!AA$49*AA$101)*AA$108)</f>
        <v>160476.375</v>
      </c>
      <c r="AB110" s="13" t="n">
        <f aca="false">IF(AB$69=1,SUMIFS(dr_USD,dr_Mes,22,dr_Cod,"MP",dr_Est,"&lt;&gt;Excluido"),(Produccion_Ventas!AB$28*AB$100+Produccion_Ventas!AB$49*AB$101)*AB$108)</f>
        <v>160476.375</v>
      </c>
      <c r="AC110" s="13" t="n">
        <f aca="false">IF(AC$69=1,SUMIFS(dr_USD,dr_Mes,23,dr_Cod,"MP",dr_Est,"&lt;&gt;Excluido"),(Produccion_Ventas!AC$28*AC$100+Produccion_Ventas!AC$49*AC$101)*AC$108)</f>
        <v>160476.375</v>
      </c>
      <c r="AD110" s="13" t="n">
        <f aca="false">IF(AD$69=1,SUMIFS(dr_USD,dr_Mes,24,dr_Cod,"MP",dr_Est,"&lt;&gt;Excluido"),(Produccion_Ventas!AD$28*AD$100+Produccion_Ventas!AD$49*AD$101)*AD$108)</f>
        <v>171438.33390411</v>
      </c>
      <c r="AE110" s="13" t="n">
        <f aca="false">IF(AE$69=1,SUMIFS(dr_USD,dr_Mes,25,dr_Cod,"MP",dr_Est,"&lt;&gt;Excluido"),(Produccion_Ventas!AE$28*AE$100+Produccion_Ventas!AE$49*AE$101)*AE$108)</f>
        <v>195757.19</v>
      </c>
      <c r="AF110" s="13" t="n">
        <f aca="false">IF(AF$69=1,SUMIFS(dr_USD,dr_Mes,26,dr_Cod,"MP",dr_Est,"&lt;&gt;Excluido"),(Produccion_Ventas!AF$28*AF$100+Produccion_Ventas!AF$49*AF$101)*AF$108)</f>
        <v>195757.19</v>
      </c>
      <c r="AG110" s="13" t="n">
        <f aca="false">IF(AG$69=1,SUMIFS(dr_USD,dr_Mes,27,dr_Cod,"MP",dr_Est,"&lt;&gt;Excluido"),(Produccion_Ventas!AG$28*AG$100+Produccion_Ventas!AG$49*AG$101)*AG$108)</f>
        <v>195757.19</v>
      </c>
      <c r="AH110" s="13" t="n">
        <f aca="false">IF(AH$69=1,SUMIFS(dr_USD,dr_Mes,28,dr_Cod,"MP",dr_Est,"&lt;&gt;Excluido"),(Produccion_Ventas!AH$28*AH$100+Produccion_Ventas!AH$49*AH$101)*AH$108)</f>
        <v>195757.19</v>
      </c>
      <c r="AI110" s="13" t="n">
        <f aca="false">IF(AI$69=1,SUMIFS(dr_USD,dr_Mes,29,dr_Cod,"MP",dr_Est,"&lt;&gt;Excluido"),(Produccion_Ventas!AI$28*AI$100+Produccion_Ventas!AI$49*AI$101)*AI$108)</f>
        <v>195757.19</v>
      </c>
      <c r="AJ110" s="13" t="n">
        <f aca="false">IF(AJ$69=1,SUMIFS(dr_USD,dr_Mes,30,dr_Cod,"MP",dr_Est,"&lt;&gt;Excluido"),(Produccion_Ventas!AJ$28*AJ$100+Produccion_Ventas!AJ$49*AJ$101)*AJ$108)</f>
        <v>195757.19</v>
      </c>
      <c r="AK110" s="13" t="n">
        <f aca="false">IF(AK$69=1,SUMIFS(dr_USD,dr_Mes,31,dr_Cod,"MP",dr_Est,"&lt;&gt;Excluido"),(Produccion_Ventas!AK$28*AK$100+Produccion_Ventas!AK$49*AK$101)*AK$108)</f>
        <v>195757.19</v>
      </c>
      <c r="AL110" s="13" t="n">
        <f aca="false">IF(AL$69=1,SUMIFS(dr_USD,dr_Mes,32,dr_Cod,"MP",dr_Est,"&lt;&gt;Excluido"),(Produccion_Ventas!AL$28*AL$100+Produccion_Ventas!AL$49*AL$101)*AL$108)</f>
        <v>195757.19</v>
      </c>
      <c r="AM110" s="13" t="n">
        <f aca="false">IF(AM$69=1,SUMIFS(dr_USD,dr_Mes,33,dr_Cod,"MP",dr_Est,"&lt;&gt;Excluido"),(Produccion_Ventas!AM$28*AM$100+Produccion_Ventas!AM$49*AM$101)*AM$108)</f>
        <v>195757.19</v>
      </c>
      <c r="AN110" s="13" t="n">
        <f aca="false">IF(AN$69=1,SUMIFS(dr_USD,dr_Mes,34,dr_Cod,"MP",dr_Est,"&lt;&gt;Excluido"),(Produccion_Ventas!AN$28*AN$100+Produccion_Ventas!AN$49*AN$101)*AN$108)</f>
        <v>195757.19</v>
      </c>
      <c r="AO110" s="13" t="n">
        <f aca="false">IF(AO$69=1,SUMIFS(dr_USD,dr_Mes,35,dr_Cod,"MP",dr_Est,"&lt;&gt;Excluido"),(Produccion_Ventas!AO$28*AO$100+Produccion_Ventas!AO$49*AO$101)*AO$108)</f>
        <v>195757.19</v>
      </c>
      <c r="AP110" s="13" t="n">
        <f aca="false">IF(AP$69=1,SUMIFS(dr_USD,dr_Mes,36,dr_Cod,"MP",dr_Est,"&lt;&gt;Excluido"),(Produccion_Ventas!AP$28*AP$100+Produccion_Ventas!AP$49*AP$101)*AP$108)</f>
        <v>204757.825753425</v>
      </c>
      <c r="AQ110" s="13" t="n">
        <f aca="false">IF(AQ$69=1,SUMIFS(dr_USD,dr_Mes,37,dr_Cod,"MP",dr_Est,"&lt;&gt;Excluido"),(Produccion_Ventas!AQ$28*AQ$100+Produccion_Ventas!AQ$49*AQ$101)*AQ$108)</f>
        <v>225365.4649875</v>
      </c>
      <c r="AR110" s="13" t="n">
        <f aca="false">IF(AR$69=1,SUMIFS(dr_USD,dr_Mes,38,dr_Cod,"MP",dr_Est,"&lt;&gt;Excluido"),(Produccion_Ventas!AR$28*AR$100+Produccion_Ventas!AR$49*AR$101)*AR$108)</f>
        <v>225365.4649875</v>
      </c>
      <c r="AS110" s="13" t="n">
        <f aca="false">IF(AS$69=1,SUMIFS(dr_USD,dr_Mes,39,dr_Cod,"MP",dr_Est,"&lt;&gt;Excluido"),(Produccion_Ventas!AS$28*AS$100+Produccion_Ventas!AS$49*AS$101)*AS$108)</f>
        <v>225365.4649875</v>
      </c>
      <c r="AT110" s="13" t="n">
        <f aca="false">IF(AT$69=1,SUMIFS(dr_USD,dr_Mes,40,dr_Cod,"MP",dr_Est,"&lt;&gt;Excluido"),(Produccion_Ventas!AT$28*AT$100+Produccion_Ventas!AT$49*AT$101)*AT$108)</f>
        <v>225365.4649875</v>
      </c>
      <c r="AU110" s="13" t="n">
        <f aca="false">IF(AU$69=1,SUMIFS(dr_USD,dr_Mes,41,dr_Cod,"MP",dr_Est,"&lt;&gt;Excluido"),(Produccion_Ventas!AU$28*AU$100+Produccion_Ventas!AU$49*AU$101)*AU$108)</f>
        <v>225365.4649875</v>
      </c>
      <c r="AV110" s="13" t="n">
        <f aca="false">IF(AV$69=1,SUMIFS(dr_USD,dr_Mes,42,dr_Cod,"MP",dr_Est,"&lt;&gt;Excluido"),(Produccion_Ventas!AV$28*AV$100+Produccion_Ventas!AV$49*AV$101)*AV$108)</f>
        <v>225365.4649875</v>
      </c>
      <c r="AW110" s="13" t="n">
        <f aca="false">IF(AW$69=1,SUMIFS(dr_USD,dr_Mes,43,dr_Cod,"MP",dr_Est,"&lt;&gt;Excluido"),(Produccion_Ventas!AW$28*AW$100+Produccion_Ventas!AW$49*AW$101)*AW$108)</f>
        <v>225365.4649875</v>
      </c>
      <c r="AX110" s="13" t="n">
        <f aca="false">IF(AX$69=1,SUMIFS(dr_USD,dr_Mes,44,dr_Cod,"MP",dr_Est,"&lt;&gt;Excluido"),(Produccion_Ventas!AX$28*AX$100+Produccion_Ventas!AX$49*AX$101)*AX$108)</f>
        <v>225365.4649875</v>
      </c>
      <c r="AY110" s="13" t="n">
        <f aca="false">IF(AY$69=1,SUMIFS(dr_USD,dr_Mes,45,dr_Cod,"MP",dr_Est,"&lt;&gt;Excluido"),(Produccion_Ventas!AY$28*AY$100+Produccion_Ventas!AY$49*AY$101)*AY$108)</f>
        <v>225365.4649875</v>
      </c>
      <c r="AZ110" s="13" t="n">
        <f aca="false">IF(AZ$69=1,SUMIFS(dr_USD,dr_Mes,46,dr_Cod,"MP",dr_Est,"&lt;&gt;Excluido"),(Produccion_Ventas!AZ$28*AZ$100+Produccion_Ventas!AZ$49*AZ$101)*AZ$108)</f>
        <v>225365.4649875</v>
      </c>
      <c r="BA110" s="13" t="n">
        <f aca="false">IF(BA$69=1,SUMIFS(dr_USD,dr_Mes,47,dr_Cod,"MP",dr_Est,"&lt;&gt;Excluido"),(Produccion_Ventas!BA$28*BA$100+Produccion_Ventas!BA$49*BA$101)*BA$108)</f>
        <v>225365.4649875</v>
      </c>
      <c r="BB110" s="13" t="n">
        <f aca="false">IF(BB$69=1,SUMIFS(dr_USD,dr_Mes,48,dr_Cod,"MP",dr_Est,"&lt;&gt;Excluido"),(Produccion_Ventas!BB$28*BB$100+Produccion_Ventas!BB$49*BB$101)*BB$108)</f>
        <v>225365.4649875</v>
      </c>
      <c r="BC110" s="13" t="n">
        <f aca="false">IF(BC$69=1,SUMIFS(dr_USD,dr_Mes,49,dr_Cod,"MP",dr_Est,"&lt;&gt;Excluido"),(Produccion_Ventas!BC$28*BC$100+Produccion_Ventas!BC$49*BC$101)*BC$108)</f>
        <v>227619.119637375</v>
      </c>
      <c r="BD110" s="13" t="n">
        <f aca="false">IF(BD$69=1,SUMIFS(dr_USD,dr_Mes,50,dr_Cod,"MP",dr_Est,"&lt;&gt;Excluido"),(Produccion_Ventas!BD$28*BD$100+Produccion_Ventas!BD$49*BD$101)*BD$108)</f>
        <v>227619.119637375</v>
      </c>
      <c r="BE110" s="13" t="n">
        <f aca="false">IF(BE$69=1,SUMIFS(dr_USD,dr_Mes,51,dr_Cod,"MP",dr_Est,"&lt;&gt;Excluido"),(Produccion_Ventas!BE$28*BE$100+Produccion_Ventas!BE$49*BE$101)*BE$108)</f>
        <v>227619.119637375</v>
      </c>
      <c r="BF110" s="13" t="n">
        <f aca="false">IF(BF$69=1,SUMIFS(dr_USD,dr_Mes,52,dr_Cod,"MP",dr_Est,"&lt;&gt;Excluido"),(Produccion_Ventas!BF$28*BF$100+Produccion_Ventas!BF$49*BF$101)*BF$108)</f>
        <v>227619.119637375</v>
      </c>
      <c r="BG110" s="13" t="n">
        <f aca="false">IF(BG$69=1,SUMIFS(dr_USD,dr_Mes,53,dr_Cod,"MP",dr_Est,"&lt;&gt;Excluido"),(Produccion_Ventas!BG$28*BG$100+Produccion_Ventas!BG$49*BG$101)*BG$108)</f>
        <v>227619.119637375</v>
      </c>
      <c r="BH110" s="13" t="n">
        <f aca="false">IF(BH$69=1,SUMIFS(dr_USD,dr_Mes,54,dr_Cod,"MP",dr_Est,"&lt;&gt;Excluido"),(Produccion_Ventas!BH$28*BH$100+Produccion_Ventas!BH$49*BH$101)*BH$108)</f>
        <v>227619.119637375</v>
      </c>
      <c r="BI110" s="13" t="n">
        <f aca="false">IF(BI$69=1,SUMIFS(dr_USD,dr_Mes,55,dr_Cod,"MP",dr_Est,"&lt;&gt;Excluido"),(Produccion_Ventas!BI$28*BI$100+Produccion_Ventas!BI$49*BI$101)*BI$108)</f>
        <v>227619.119637375</v>
      </c>
      <c r="BJ110" s="13" t="n">
        <f aca="false">IF(BJ$69=1,SUMIFS(dr_USD,dr_Mes,56,dr_Cod,"MP",dr_Est,"&lt;&gt;Excluido"),(Produccion_Ventas!BJ$28*BJ$100+Produccion_Ventas!BJ$49*BJ$101)*BJ$108)</f>
        <v>227619.119637375</v>
      </c>
      <c r="BK110" s="13" t="n">
        <f aca="false">IF(BK$69=1,SUMIFS(dr_USD,dr_Mes,57,dr_Cod,"MP",dr_Est,"&lt;&gt;Excluido"),(Produccion_Ventas!BK$28*BK$100+Produccion_Ventas!BK$49*BK$101)*BK$108)</f>
        <v>227619.119637375</v>
      </c>
      <c r="BL110" s="13" t="n">
        <f aca="false">IF(BL$69=1,SUMIFS(dr_USD,dr_Mes,58,dr_Cod,"MP",dr_Est,"&lt;&gt;Excluido"),(Produccion_Ventas!BL$28*BL$100+Produccion_Ventas!BL$49*BL$101)*BL$108)</f>
        <v>227619.119637375</v>
      </c>
      <c r="BM110" s="13" t="n">
        <f aca="false">IF(BM$69=1,SUMIFS(dr_USD,dr_Mes,59,dr_Cod,"MP",dr_Est,"&lt;&gt;Excluido"),(Produccion_Ventas!BM$28*BM$100+Produccion_Ventas!BM$49*BM$101)*BM$108)</f>
        <v>227619.119637375</v>
      </c>
      <c r="BN110" s="13" t="n">
        <f aca="false">IF(BN$69=1,SUMIFS(dr_USD,dr_Mes,60,dr_Cod,"MP",dr_Est,"&lt;&gt;Excluido"),(Produccion_Ventas!BN$28*BN$100+Produccion_Ventas!BN$49*BN$101)*BN$108)</f>
        <v>227619.119637375</v>
      </c>
      <c r="BO110" s="13" t="n">
        <f aca="false">IF(BO$69=1,SUMIFS(dr_USD,dr_Mes,61,dr_Cod,"MP",dr_Est,"&lt;&gt;Excluido"),(Produccion_Ventas!BO$28*BO$100+Produccion_Ventas!BO$49*BO$101)*BO$108)</f>
        <v>229895.310833749</v>
      </c>
      <c r="BP110" s="13" t="n">
        <f aca="false">IF(BP$69=1,SUMIFS(dr_USD,dr_Mes,62,dr_Cod,"MP",dr_Est,"&lt;&gt;Excluido"),(Produccion_Ventas!BP$28*BP$100+Produccion_Ventas!BP$49*BP$101)*BP$108)</f>
        <v>229895.310833749</v>
      </c>
      <c r="BQ110" s="13" t="n">
        <f aca="false">IF(BQ$69=1,SUMIFS(dr_USD,dr_Mes,63,dr_Cod,"MP",dr_Est,"&lt;&gt;Excluido"),(Produccion_Ventas!BQ$28*BQ$100+Produccion_Ventas!BQ$49*BQ$101)*BQ$108)</f>
        <v>229895.310833749</v>
      </c>
      <c r="BR110" s="13" t="n">
        <f aca="false">IF(BR$69=1,SUMIFS(dr_USD,dr_Mes,64,dr_Cod,"MP",dr_Est,"&lt;&gt;Excluido"),(Produccion_Ventas!BR$28*BR$100+Produccion_Ventas!BR$49*BR$101)*BR$108)</f>
        <v>229895.310833749</v>
      </c>
      <c r="BS110" s="13" t="n">
        <f aca="false">IF(BS$69=1,SUMIFS(dr_USD,dr_Mes,65,dr_Cod,"MP",dr_Est,"&lt;&gt;Excluido"),(Produccion_Ventas!BS$28*BS$100+Produccion_Ventas!BS$49*BS$101)*BS$108)</f>
        <v>229895.310833749</v>
      </c>
      <c r="BT110" s="13" t="n">
        <f aca="false">IF(BT$69=1,SUMIFS(dr_USD,dr_Mes,66,dr_Cod,"MP",dr_Est,"&lt;&gt;Excluido"),(Produccion_Ventas!BT$28*BT$100+Produccion_Ventas!BT$49*BT$101)*BT$108)</f>
        <v>229895.310833749</v>
      </c>
      <c r="BU110" s="13" t="n">
        <f aca="false">IF(BU$69=1,SUMIFS(dr_USD,dr_Mes,67,dr_Cod,"MP",dr_Est,"&lt;&gt;Excluido"),(Produccion_Ventas!BU$28*BU$100+Produccion_Ventas!BU$49*BU$101)*BU$108)</f>
        <v>229895.310833749</v>
      </c>
      <c r="BV110" s="13" t="n">
        <f aca="false">IF(BV$69=1,SUMIFS(dr_USD,dr_Mes,68,dr_Cod,"MP",dr_Est,"&lt;&gt;Excluido"),(Produccion_Ventas!BV$28*BV$100+Produccion_Ventas!BV$49*BV$101)*BV$108)</f>
        <v>229895.310833749</v>
      </c>
      <c r="BW110" s="13" t="n">
        <f aca="false">IF(BW$69=1,SUMIFS(dr_USD,dr_Mes,69,dr_Cod,"MP",dr_Est,"&lt;&gt;Excluido"),(Produccion_Ventas!BW$28*BW$100+Produccion_Ventas!BW$49*BW$101)*BW$108)</f>
        <v>229895.310833749</v>
      </c>
      <c r="BX110" s="13" t="n">
        <f aca="false">IF(BX$69=1,SUMIFS(dr_USD,dr_Mes,70,dr_Cod,"MP",dr_Est,"&lt;&gt;Excluido"),(Produccion_Ventas!BX$28*BX$100+Produccion_Ventas!BX$49*BX$101)*BX$108)</f>
        <v>229895.310833749</v>
      </c>
      <c r="BY110" s="13" t="n">
        <f aca="false">IF(BY$69=1,SUMIFS(dr_USD,dr_Mes,71,dr_Cod,"MP",dr_Est,"&lt;&gt;Excluido"),(Produccion_Ventas!BY$28*BY$100+Produccion_Ventas!BY$49*BY$101)*BY$108)</f>
        <v>229895.310833749</v>
      </c>
      <c r="BZ110" s="13" t="n">
        <f aca="false">IF(BZ$69=1,SUMIFS(dr_USD,dr_Mes,72,dr_Cod,"MP",dr_Est,"&lt;&gt;Excluido"),(Produccion_Ventas!BZ$28*BZ$100+Produccion_Ventas!BZ$49*BZ$101)*BZ$108)</f>
        <v>229895.310833749</v>
      </c>
      <c r="CA110" s="13" t="n">
        <f aca="false">IF(CA$69=1,SUMIFS(dr_USD,dr_Mes,73,dr_Cod,"MP",dr_Est,"&lt;&gt;Excluido"),(Produccion_Ventas!CA$28*CA$100+Produccion_Ventas!CA$49*CA$101)*CA$108)</f>
        <v>232194.263942086</v>
      </c>
      <c r="CB110" s="13" t="n">
        <f aca="false">IF(CB$69=1,SUMIFS(dr_USD,dr_Mes,74,dr_Cod,"MP",dr_Est,"&lt;&gt;Excluido"),(Produccion_Ventas!CB$28*CB$100+Produccion_Ventas!CB$49*CB$101)*CB$108)</f>
        <v>232194.263942086</v>
      </c>
      <c r="CC110" s="13" t="n">
        <f aca="false">IF(CC$69=1,SUMIFS(dr_USD,dr_Mes,75,dr_Cod,"MP",dr_Est,"&lt;&gt;Excluido"),(Produccion_Ventas!CC$28*CC$100+Produccion_Ventas!CC$49*CC$101)*CC$108)</f>
        <v>232194.263942086</v>
      </c>
      <c r="CD110" s="13" t="n">
        <f aca="false">IF(CD$69=1,SUMIFS(dr_USD,dr_Mes,76,dr_Cod,"MP",dr_Est,"&lt;&gt;Excluido"),(Produccion_Ventas!CD$28*CD$100+Produccion_Ventas!CD$49*CD$101)*CD$108)</f>
        <v>232194.263942086</v>
      </c>
      <c r="CE110" s="13" t="n">
        <f aca="false">IF(CE$69=1,SUMIFS(dr_USD,dr_Mes,77,dr_Cod,"MP",dr_Est,"&lt;&gt;Excluido"),(Produccion_Ventas!CE$28*CE$100+Produccion_Ventas!CE$49*CE$101)*CE$108)</f>
        <v>232194.263942086</v>
      </c>
      <c r="CF110" s="13" t="n">
        <f aca="false">IF(CF$69=1,SUMIFS(dr_USD,dr_Mes,78,dr_Cod,"MP",dr_Est,"&lt;&gt;Excluido"),(Produccion_Ventas!CF$28*CF$100+Produccion_Ventas!CF$49*CF$101)*CF$108)</f>
        <v>232194.263942086</v>
      </c>
      <c r="CG110" s="13" t="n">
        <f aca="false">IF(CG$69=1,SUMIFS(dr_USD,dr_Mes,79,dr_Cod,"MP",dr_Est,"&lt;&gt;Excluido"),(Produccion_Ventas!CG$28*CG$100+Produccion_Ventas!CG$49*CG$101)*CG$108)</f>
        <v>232194.263942086</v>
      </c>
      <c r="CH110" s="13" t="n">
        <f aca="false">IF(CH$69=1,SUMIFS(dr_USD,dr_Mes,80,dr_Cod,"MP",dr_Est,"&lt;&gt;Excluido"),(Produccion_Ventas!CH$28*CH$100+Produccion_Ventas!CH$49*CH$101)*CH$108)</f>
        <v>232194.263942086</v>
      </c>
      <c r="CI110" s="13" t="n">
        <f aca="false">IF(CI$69=1,SUMIFS(dr_USD,dr_Mes,81,dr_Cod,"MP",dr_Est,"&lt;&gt;Excluido"),(Produccion_Ventas!CI$28*CI$100+Produccion_Ventas!CI$49*CI$101)*CI$108)</f>
        <v>232194.263942086</v>
      </c>
      <c r="CJ110" s="13" t="n">
        <f aca="false">IF(CJ$69=1,SUMIFS(dr_USD,dr_Mes,82,dr_Cod,"MP",dr_Est,"&lt;&gt;Excluido"),(Produccion_Ventas!CJ$28*CJ$100+Produccion_Ventas!CJ$49*CJ$101)*CJ$108)</f>
        <v>232194.263942086</v>
      </c>
      <c r="CK110" s="13" t="n">
        <f aca="false">IF(CK$69=1,SUMIFS(dr_USD,dr_Mes,83,dr_Cod,"MP",dr_Est,"&lt;&gt;Excluido"),(Produccion_Ventas!CK$28*CK$100+Produccion_Ventas!CK$49*CK$101)*CK$108)</f>
        <v>232194.263942086</v>
      </c>
      <c r="CL110" s="13" t="n">
        <f aca="false">IF(CL$69=1,SUMIFS(dr_USD,dr_Mes,84,dr_Cod,"MP",dr_Est,"&lt;&gt;Excluido"),(Produccion_Ventas!CL$28*CL$100+Produccion_Ventas!CL$49*CL$101)*CL$108)</f>
        <v>232194.263942086</v>
      </c>
      <c r="CM110" s="13" t="n">
        <f aca="false">IF(CM$69=1,SUMIFS(dr_USD,dr_Mes,85,dr_Cod,"MP",dr_Est,"&lt;&gt;Excluido"),(Produccion_Ventas!CM$28*CM$100+Produccion_Ventas!CM$49*CM$101)*CM$108)</f>
        <v>234516.206581507</v>
      </c>
      <c r="CN110" s="13" t="n">
        <f aca="false">IF(CN$69=1,SUMIFS(dr_USD,dr_Mes,86,dr_Cod,"MP",dr_Est,"&lt;&gt;Excluido"),(Produccion_Ventas!CN$28*CN$100+Produccion_Ventas!CN$49*CN$101)*CN$108)</f>
        <v>234516.206581507</v>
      </c>
      <c r="CO110" s="13" t="n">
        <f aca="false">IF(CO$69=1,SUMIFS(dr_USD,dr_Mes,87,dr_Cod,"MP",dr_Est,"&lt;&gt;Excluido"),(Produccion_Ventas!CO$28*CO$100+Produccion_Ventas!CO$49*CO$101)*CO$108)</f>
        <v>234516.206581507</v>
      </c>
      <c r="CP110" s="13" t="n">
        <f aca="false">IF(CP$69=1,SUMIFS(dr_USD,dr_Mes,88,dr_Cod,"MP",dr_Est,"&lt;&gt;Excluido"),(Produccion_Ventas!CP$28*CP$100+Produccion_Ventas!CP$49*CP$101)*CP$108)</f>
        <v>234516.206581507</v>
      </c>
      <c r="CQ110" s="13" t="n">
        <f aca="false">IF(CQ$69=1,SUMIFS(dr_USD,dr_Mes,89,dr_Cod,"MP",dr_Est,"&lt;&gt;Excluido"),(Produccion_Ventas!CQ$28*CQ$100+Produccion_Ventas!CQ$49*CQ$101)*CQ$108)</f>
        <v>234516.206581507</v>
      </c>
      <c r="CR110" s="13" t="n">
        <f aca="false">IF(CR$69=1,SUMIFS(dr_USD,dr_Mes,90,dr_Cod,"MP",dr_Est,"&lt;&gt;Excluido"),(Produccion_Ventas!CR$28*CR$100+Produccion_Ventas!CR$49*CR$101)*CR$108)</f>
        <v>234516.206581507</v>
      </c>
      <c r="CS110" s="13" t="n">
        <f aca="false">IF(CS$69=1,SUMIFS(dr_USD,dr_Mes,91,dr_Cod,"MP",dr_Est,"&lt;&gt;Excluido"),(Produccion_Ventas!CS$28*CS$100+Produccion_Ventas!CS$49*CS$101)*CS$108)</f>
        <v>234516.206581507</v>
      </c>
      <c r="CT110" s="13" t="n">
        <f aca="false">IF(CT$69=1,SUMIFS(dr_USD,dr_Mes,92,dr_Cod,"MP",dr_Est,"&lt;&gt;Excluido"),(Produccion_Ventas!CT$28*CT$100+Produccion_Ventas!CT$49*CT$101)*CT$108)</f>
        <v>234516.206581507</v>
      </c>
      <c r="CU110" s="13" t="n">
        <f aca="false">IF(CU$69=1,SUMIFS(dr_USD,dr_Mes,93,dr_Cod,"MP",dr_Est,"&lt;&gt;Excluido"),(Produccion_Ventas!CU$28*CU$100+Produccion_Ventas!CU$49*CU$101)*CU$108)</f>
        <v>234516.206581507</v>
      </c>
      <c r="CV110" s="13" t="n">
        <f aca="false">IF(CV$69=1,SUMIFS(dr_USD,dr_Mes,94,dr_Cod,"MP",dr_Est,"&lt;&gt;Excluido"),(Produccion_Ventas!CV$28*CV$100+Produccion_Ventas!CV$49*CV$101)*CV$108)</f>
        <v>234516.206581507</v>
      </c>
      <c r="CW110" s="13" t="n">
        <f aca="false">IF(CW$69=1,SUMIFS(dr_USD,dr_Mes,95,dr_Cod,"MP",dr_Est,"&lt;&gt;Excluido"),(Produccion_Ventas!CW$28*CW$100+Produccion_Ventas!CW$49*CW$101)*CW$108)</f>
        <v>234516.206581507</v>
      </c>
      <c r="CX110" s="13" t="n">
        <f aca="false">IF(CX$69=1,SUMIFS(dr_USD,dr_Mes,96,dr_Cod,"MP",dr_Est,"&lt;&gt;Excluido"),(Produccion_Ventas!CX$28*CX$100+Produccion_Ventas!CX$49*CX$101)*CX$108)</f>
        <v>234516.206581507</v>
      </c>
      <c r="CY110" s="13" t="n">
        <f aca="false">IF(CY$69=1,SUMIFS(dr_USD,dr_Mes,97,dr_Cod,"MP",dr_Est,"&lt;&gt;Excluido"),(Produccion_Ventas!CY$28*CY$100+Produccion_Ventas!CY$49*CY$101)*CY$108)</f>
        <v>236861.368647322</v>
      </c>
      <c r="CZ110" s="13" t="n">
        <f aca="false">IF(CZ$69=1,SUMIFS(dr_USD,dr_Mes,98,dr_Cod,"MP",dr_Est,"&lt;&gt;Excluido"),(Produccion_Ventas!CZ$28*CZ$100+Produccion_Ventas!CZ$49*CZ$101)*CZ$108)</f>
        <v>236861.368647322</v>
      </c>
      <c r="DA110" s="13" t="n">
        <f aca="false">IF(DA$69=1,SUMIFS(dr_USD,dr_Mes,99,dr_Cod,"MP",dr_Est,"&lt;&gt;Excluido"),(Produccion_Ventas!DA$28*DA$100+Produccion_Ventas!DA$49*DA$101)*DA$108)</f>
        <v>236861.368647322</v>
      </c>
      <c r="DB110" s="13" t="n">
        <f aca="false">IF(DB$69=1,SUMIFS(dr_USD,dr_Mes,100,dr_Cod,"MP",dr_Est,"&lt;&gt;Excluido"),(Produccion_Ventas!DB$28*DB$100+Produccion_Ventas!DB$49*DB$101)*DB$108)</f>
        <v>236861.368647322</v>
      </c>
      <c r="DC110" s="13" t="n">
        <f aca="false">IF(DC$69=1,SUMIFS(dr_USD,dr_Mes,101,dr_Cod,"MP",dr_Est,"&lt;&gt;Excluido"),(Produccion_Ventas!DC$28*DC$100+Produccion_Ventas!DC$49*DC$101)*DC$108)</f>
        <v>236861.368647322</v>
      </c>
      <c r="DD110" s="13" t="n">
        <f aca="false">IF(DD$69=1,SUMIFS(dr_USD,dr_Mes,102,dr_Cod,"MP",dr_Est,"&lt;&gt;Excluido"),(Produccion_Ventas!DD$28*DD$100+Produccion_Ventas!DD$49*DD$101)*DD$108)</f>
        <v>236861.368647322</v>
      </c>
      <c r="DE110" s="13" t="n">
        <f aca="false">IF(DE$69=1,SUMIFS(dr_USD,dr_Mes,103,dr_Cod,"MP",dr_Est,"&lt;&gt;Excluido"),(Produccion_Ventas!DE$28*DE$100+Produccion_Ventas!DE$49*DE$101)*DE$108)</f>
        <v>236861.368647322</v>
      </c>
      <c r="DF110" s="13" t="n">
        <f aca="false">IF(DF$69=1,SUMIFS(dr_USD,dr_Mes,104,dr_Cod,"MP",dr_Est,"&lt;&gt;Excluido"),(Produccion_Ventas!DF$28*DF$100+Produccion_Ventas!DF$49*DF$101)*DF$108)</f>
        <v>236861.368647322</v>
      </c>
      <c r="DG110" s="13" t="n">
        <f aca="false">IF(DG$69=1,SUMIFS(dr_USD,dr_Mes,105,dr_Cod,"MP",dr_Est,"&lt;&gt;Excluido"),(Produccion_Ventas!DG$28*DG$100+Produccion_Ventas!DG$49*DG$101)*DG$108)</f>
        <v>236861.368647322</v>
      </c>
      <c r="DH110" s="13" t="n">
        <f aca="false">IF(DH$69=1,SUMIFS(dr_USD,dr_Mes,106,dr_Cod,"MP",dr_Est,"&lt;&gt;Excluido"),(Produccion_Ventas!DH$28*DH$100+Produccion_Ventas!DH$49*DH$101)*DH$108)</f>
        <v>236861.368647322</v>
      </c>
      <c r="DI110" s="13" t="n">
        <f aca="false">IF(DI$69=1,SUMIFS(dr_USD,dr_Mes,107,dr_Cod,"MP",dr_Est,"&lt;&gt;Excluido"),(Produccion_Ventas!DI$28*DI$100+Produccion_Ventas!DI$49*DI$101)*DI$108)</f>
        <v>236861.368647322</v>
      </c>
      <c r="DJ110" s="13" t="n">
        <f aca="false">IF(DJ$69=1,SUMIFS(dr_USD,dr_Mes,108,dr_Cod,"MP",dr_Est,"&lt;&gt;Excluido"),(Produccion_Ventas!DJ$28*DJ$100+Produccion_Ventas!DJ$49*DJ$101)*DJ$108)</f>
        <v>236861.368647322</v>
      </c>
      <c r="DK110" s="13" t="n">
        <f aca="false">IF(DK$69=1,SUMIFS(dr_USD,dr_Mes,109,dr_Cod,"MP",dr_Est,"&lt;&gt;Excluido"),(Produccion_Ventas!DK$28*DK$100+Produccion_Ventas!DK$49*DK$101)*DK$108)</f>
        <v>239229.982333795</v>
      </c>
      <c r="DL110" s="13" t="n">
        <f aca="false">IF(DL$69=1,SUMIFS(dr_USD,dr_Mes,110,dr_Cod,"MP",dr_Est,"&lt;&gt;Excluido"),(Produccion_Ventas!DL$28*DL$100+Produccion_Ventas!DL$49*DL$101)*DL$108)</f>
        <v>239229.982333795</v>
      </c>
      <c r="DM110" s="13" t="n">
        <f aca="false">IF(DM$69=1,SUMIFS(dr_USD,dr_Mes,111,dr_Cod,"MP",dr_Est,"&lt;&gt;Excluido"),(Produccion_Ventas!DM$28*DM$100+Produccion_Ventas!DM$49*DM$101)*DM$108)</f>
        <v>239229.982333795</v>
      </c>
      <c r="DN110" s="13" t="n">
        <f aca="false">IF(DN$69=1,SUMIFS(dr_USD,dr_Mes,112,dr_Cod,"MP",dr_Est,"&lt;&gt;Excluido"),(Produccion_Ventas!DN$28*DN$100+Produccion_Ventas!DN$49*DN$101)*DN$108)</f>
        <v>239229.982333795</v>
      </c>
      <c r="DO110" s="13" t="n">
        <f aca="false">IF(DO$69=1,SUMIFS(dr_USD,dr_Mes,113,dr_Cod,"MP",dr_Est,"&lt;&gt;Excluido"),(Produccion_Ventas!DO$28*DO$100+Produccion_Ventas!DO$49*DO$101)*DO$108)</f>
        <v>239229.982333795</v>
      </c>
      <c r="DP110" s="13" t="n">
        <f aca="false">IF(DP$69=1,SUMIFS(dr_USD,dr_Mes,114,dr_Cod,"MP",dr_Est,"&lt;&gt;Excluido"),(Produccion_Ventas!DP$28*DP$100+Produccion_Ventas!DP$49*DP$101)*DP$108)</f>
        <v>239229.982333795</v>
      </c>
      <c r="DQ110" s="13" t="n">
        <f aca="false">IF(DQ$69=1,SUMIFS(dr_USD,dr_Mes,115,dr_Cod,"MP",dr_Est,"&lt;&gt;Excluido"),(Produccion_Ventas!DQ$28*DQ$100+Produccion_Ventas!DQ$49*DQ$101)*DQ$108)</f>
        <v>239229.982333795</v>
      </c>
      <c r="DR110" s="13" t="n">
        <f aca="false">IF(DR$69=1,SUMIFS(dr_USD,dr_Mes,116,dr_Cod,"MP",dr_Est,"&lt;&gt;Excluido"),(Produccion_Ventas!DR$28*DR$100+Produccion_Ventas!DR$49*DR$101)*DR$108)</f>
        <v>239229.982333795</v>
      </c>
      <c r="DS110" s="13" t="n">
        <f aca="false">IF(DS$69=1,SUMIFS(dr_USD,dr_Mes,117,dr_Cod,"MP",dr_Est,"&lt;&gt;Excluido"),(Produccion_Ventas!DS$28*DS$100+Produccion_Ventas!DS$49*DS$101)*DS$108)</f>
        <v>239229.982333795</v>
      </c>
      <c r="DT110" s="13" t="n">
        <f aca="false">IF(DT$69=1,SUMIFS(dr_USD,dr_Mes,118,dr_Cod,"MP",dr_Est,"&lt;&gt;Excluido"),(Produccion_Ventas!DT$28*DT$100+Produccion_Ventas!DT$49*DT$101)*DT$108)</f>
        <v>239229.982333795</v>
      </c>
      <c r="DU110" s="13" t="n">
        <f aca="false">IF(DU$69=1,SUMIFS(dr_USD,dr_Mes,119,dr_Cod,"MP",dr_Est,"&lt;&gt;Excluido"),(Produccion_Ventas!DU$28*DU$100+Produccion_Ventas!DU$49*DU$101)*DU$108)</f>
        <v>239229.982333795</v>
      </c>
      <c r="DV110" s="13" t="n">
        <f aca="false">IF(DV$69=1,SUMIFS(dr_USD,dr_Mes,120,dr_Cod,"MP",dr_Est,"&lt;&gt;Excluido"),(Produccion_Ventas!DV$28*DV$100+Produccion_Ventas!DV$49*DV$101)*DV$108)</f>
        <v>160579.029237753</v>
      </c>
      <c r="DW110" s="13" t="n">
        <f aca="false">IF(DW$69=1,SUMIFS(dr_USD,dr_Mes,121,dr_Cod,"MP",dr_Est,"&lt;&gt;Excluido"),(Produccion_Ventas!DW$28*DW$100+Produccion_Ventas!DW$49*DW$101)*DW$108)</f>
        <v>0</v>
      </c>
      <c r="DX110" s="13" t="n">
        <f aca="false">IF(DX$69=1,SUMIFS(dr_USD,dr_Mes,122,dr_Cod,"MP",dr_Est,"&lt;&gt;Excluido"),(Produccion_Ventas!DX$28*DX$100+Produccion_Ventas!DX$49*DX$101)*DX$108)</f>
        <v>0</v>
      </c>
      <c r="DY110" s="13" t="n">
        <f aca="false">IF(DY$69=1,SUMIFS(dr_USD,dr_Mes,123,dr_Cod,"MP",dr_Est,"&lt;&gt;Excluido"),(Produccion_Ventas!DY$28*DY$100+Produccion_Ventas!DY$49*DY$101)*DY$108)</f>
        <v>0</v>
      </c>
      <c r="DZ110" s="13" t="n">
        <f aca="false">IF(DZ$69=1,SUMIFS(dr_USD,dr_Mes,124,dr_Cod,"MP",dr_Est,"&lt;&gt;Excluido"),(Produccion_Ventas!DZ$28*DZ$100+Produccion_Ventas!DZ$49*DZ$101)*DZ$108)</f>
        <v>0</v>
      </c>
      <c r="EA110" s="13" t="n">
        <f aca="false">IF(EA$69=1,SUMIFS(dr_USD,dr_Mes,125,dr_Cod,"MP",dr_Est,"&lt;&gt;Excluido"),(Produccion_Ventas!EA$28*EA$100+Produccion_Ventas!EA$49*EA$101)*EA$108)</f>
        <v>0</v>
      </c>
      <c r="EB110" s="13" t="n">
        <f aca="false">IF(EB$69=1,SUMIFS(dr_USD,dr_Mes,126,dr_Cod,"MP",dr_Est,"&lt;&gt;Excluido"),(Produccion_Ventas!EB$28*EB$100+Produccion_Ventas!EB$49*EB$101)*EB$108)</f>
        <v>0</v>
      </c>
      <c r="EC110" s="13" t="n">
        <f aca="false">IF(EC$69=1,SUMIFS(dr_USD,dr_Mes,127,dr_Cod,"MP",dr_Est,"&lt;&gt;Excluido"),(Produccion_Ventas!EC$28*EC$100+Produccion_Ventas!EC$49*EC$101)*EC$108)</f>
        <v>0</v>
      </c>
      <c r="ED110" s="13" t="n">
        <f aca="false">IF(ED$69=1,SUMIFS(dr_USD,dr_Mes,128,dr_Cod,"MP",dr_Est,"&lt;&gt;Excluido"),(Produccion_Ventas!ED$28*ED$100+Produccion_Ventas!ED$49*ED$101)*ED$108)</f>
        <v>0</v>
      </c>
      <c r="EE110" s="13" t="n">
        <f aca="false">IF(EE$69=1,SUMIFS(dr_USD,dr_Mes,129,dr_Cod,"MP",dr_Est,"&lt;&gt;Excluido"),(Produccion_Ventas!EE$28*EE$100+Produccion_Ventas!EE$49*EE$101)*EE$108)</f>
        <v>0</v>
      </c>
      <c r="EF110" s="13" t="n">
        <f aca="false">IF(EF$69=1,SUMIFS(dr_USD,dr_Mes,130,dr_Cod,"MP",dr_Est,"&lt;&gt;Excluido"),(Produccion_Ventas!EF$28*EF$100+Produccion_Ventas!EF$49*EF$101)*EF$108)</f>
        <v>0</v>
      </c>
      <c r="EG110" s="13" t="n">
        <f aca="false">IF(EG$69=1,SUMIFS(dr_USD,dr_Mes,131,dr_Cod,"MP",dr_Est,"&lt;&gt;Excluido"),(Produccion_Ventas!EG$28*EG$100+Produccion_Ventas!EG$49*EG$101)*EG$108)</f>
        <v>0</v>
      </c>
      <c r="EH110" s="13" t="n">
        <f aca="false">IF(EH$69=1,SUMIFS(dr_USD,dr_Mes,132,dr_Cod,"MP",dr_Est,"&lt;&gt;Excluido"),(Produccion_Ventas!EH$28*EH$100+Produccion_Ventas!EH$49*EH$101)*EH$108)</f>
        <v>0</v>
      </c>
      <c r="EI110" s="13" t="n">
        <f aca="false">IF(EI$69=1,SUMIFS(dr_USD,dr_Mes,133,dr_Cod,"MP",dr_Est,"&lt;&gt;Excluido"),(Produccion_Ventas!EI$28*EI$100+Produccion_Ventas!EI$49*EI$101)*EI$108)</f>
        <v>0</v>
      </c>
      <c r="EJ110" s="13" t="n">
        <f aca="false">IF(EJ$69=1,SUMIFS(dr_USD,dr_Mes,134,dr_Cod,"MP",dr_Est,"&lt;&gt;Excluido"),(Produccion_Ventas!EJ$28*EJ$100+Produccion_Ventas!EJ$49*EJ$101)*EJ$108)</f>
        <v>0</v>
      </c>
      <c r="EK110" s="13" t="n">
        <f aca="false">IF(EK$69=1,SUMIFS(dr_USD,dr_Mes,135,dr_Cod,"MP",dr_Est,"&lt;&gt;Excluido"),(Produccion_Ventas!EK$28*EK$100+Produccion_Ventas!EK$49*EK$101)*EK$108)</f>
        <v>0</v>
      </c>
      <c r="EL110" s="13" t="n">
        <f aca="false">IF(EL$69=1,SUMIFS(dr_USD,dr_Mes,136,dr_Cod,"MP",dr_Est,"&lt;&gt;Excluido"),(Produccion_Ventas!EL$28*EL$100+Produccion_Ventas!EL$49*EL$101)*EL$108)</f>
        <v>0</v>
      </c>
      <c r="EM110" s="13" t="n">
        <f aca="false">IF(EM$69=1,SUMIFS(dr_USD,dr_Mes,137,dr_Cod,"MP",dr_Est,"&lt;&gt;Excluido"),(Produccion_Ventas!EM$28*EM$100+Produccion_Ventas!EM$49*EM$101)*EM$108)</f>
        <v>0</v>
      </c>
      <c r="EN110" s="13" t="n">
        <f aca="false">IF(EN$69=1,SUMIFS(dr_USD,dr_Mes,138,dr_Cod,"MP",dr_Est,"&lt;&gt;Excluido"),(Produccion_Ventas!EN$28*EN$100+Produccion_Ventas!EN$49*EN$101)*EN$108)</f>
        <v>0</v>
      </c>
      <c r="EO110" s="13" t="n">
        <f aca="false">IF(EO$69=1,SUMIFS(dr_USD,dr_Mes,139,dr_Cod,"MP",dr_Est,"&lt;&gt;Excluido"),(Produccion_Ventas!EO$28*EO$100+Produccion_Ventas!EO$49*EO$101)*EO$108)</f>
        <v>0</v>
      </c>
      <c r="EP110" s="13" t="n">
        <f aca="false">IF(EP$69=1,SUMIFS(dr_USD,dr_Mes,140,dr_Cod,"MP",dr_Est,"&lt;&gt;Excluido"),(Produccion_Ventas!EP$28*EP$100+Produccion_Ventas!EP$49*EP$101)*EP$108)</f>
        <v>0</v>
      </c>
      <c r="EQ110" s="13" t="n">
        <f aca="false">IF(EQ$69=1,SUMIFS(dr_USD,dr_Mes,141,dr_Cod,"MP",dr_Est,"&lt;&gt;Excluido"),(Produccion_Ventas!EQ$28*EQ$100+Produccion_Ventas!EQ$49*EQ$101)*EQ$108)</f>
        <v>0</v>
      </c>
      <c r="ER110" s="13" t="n">
        <f aca="false">IF(ER$69=1,SUMIFS(dr_USD,dr_Mes,142,dr_Cod,"MP",dr_Est,"&lt;&gt;Excluido"),(Produccion_Ventas!ER$28*ER$100+Produccion_Ventas!ER$49*ER$101)*ER$108)</f>
        <v>0</v>
      </c>
      <c r="ES110" s="13" t="n">
        <f aca="false">IF(ES$69=1,SUMIFS(dr_USD,dr_Mes,143,dr_Cod,"MP",dr_Est,"&lt;&gt;Excluido"),(Produccion_Ventas!ES$28*ES$100+Produccion_Ventas!ES$49*ES$101)*ES$108)</f>
        <v>0</v>
      </c>
      <c r="ET110" s="13" t="n">
        <f aca="false">IF(ET$69=1,SUMIFS(dr_USD,dr_Mes,144,dr_Cod,"MP",dr_Est,"&lt;&gt;Excluido"),(Produccion_Ventas!ET$28*ET$100+Produccion_Ventas!ET$49*ET$101)*ET$108)</f>
        <v>0</v>
      </c>
      <c r="EU110" s="13" t="n">
        <f aca="false">IF(EU$69=1,SUMIFS(dr_USD,dr_Mes,145,dr_Cod,"MP",dr_Est,"&lt;&gt;Excluido"),(Produccion_Ventas!EU$28*EU$100+Produccion_Ventas!EU$49*EU$101)*EU$108)</f>
        <v>0</v>
      </c>
      <c r="EV110" s="13" t="n">
        <f aca="false">IF(EV$69=1,SUMIFS(dr_USD,dr_Mes,146,dr_Cod,"MP",dr_Est,"&lt;&gt;Excluido"),(Produccion_Ventas!EV$28*EV$100+Produccion_Ventas!EV$49*EV$101)*EV$108)</f>
        <v>0</v>
      </c>
      <c r="EW110" s="13" t="n">
        <f aca="false">IF(EW$69=1,SUMIFS(dr_USD,dr_Mes,147,dr_Cod,"MP",dr_Est,"&lt;&gt;Excluido"),(Produccion_Ventas!EW$28*EW$100+Produccion_Ventas!EW$49*EW$101)*EW$108)</f>
        <v>0</v>
      </c>
      <c r="EX110" s="13" t="n">
        <f aca="false">IF(EX$69=1,SUMIFS(dr_USD,dr_Mes,148,dr_Cod,"MP",dr_Est,"&lt;&gt;Excluido"),(Produccion_Ventas!EX$28*EX$100+Produccion_Ventas!EX$49*EX$101)*EX$108)</f>
        <v>0</v>
      </c>
      <c r="EY110" s="13" t="n">
        <f aca="false">IF(EY$69=1,SUMIFS(dr_USD,dr_Mes,149,dr_Cod,"MP",dr_Est,"&lt;&gt;Excluido"),(Produccion_Ventas!EY$28*EY$100+Produccion_Ventas!EY$49*EY$101)*EY$108)</f>
        <v>0</v>
      </c>
      <c r="EZ110" s="13" t="n">
        <f aca="false">IF(EZ$69=1,SUMIFS(dr_USD,dr_Mes,150,dr_Cod,"MP",dr_Est,"&lt;&gt;Excluido"),(Produccion_Ventas!EZ$28*EZ$100+Produccion_Ventas!EZ$49*EZ$101)*EZ$108)</f>
        <v>0</v>
      </c>
      <c r="FA110" s="13" t="n">
        <f aca="false">IF(FA$69=1,SUMIFS(dr_USD,dr_Mes,151,dr_Cod,"MP",dr_Est,"&lt;&gt;Excluido"),(Produccion_Ventas!FA$28*FA$100+Produccion_Ventas!FA$49*FA$101)*FA$108)</f>
        <v>0</v>
      </c>
      <c r="FB110" s="13" t="n">
        <f aca="false">IF(FB$69=1,SUMIFS(dr_USD,dr_Mes,152,dr_Cod,"MP",dr_Est,"&lt;&gt;Excluido"),(Produccion_Ventas!FB$28*FB$100+Produccion_Ventas!FB$49*FB$101)*FB$108)</f>
        <v>0</v>
      </c>
      <c r="FC110" s="13" t="n">
        <f aca="false">IF(FC$69=1,SUMIFS(dr_USD,dr_Mes,153,dr_Cod,"MP",dr_Est,"&lt;&gt;Excluido"),(Produccion_Ventas!FC$28*FC$100+Produccion_Ventas!FC$49*FC$101)*FC$108)</f>
        <v>0</v>
      </c>
      <c r="FD110" s="13" t="n">
        <f aca="false">IF(FD$69=1,SUMIFS(dr_USD,dr_Mes,154,dr_Cod,"MP",dr_Est,"&lt;&gt;Excluido"),(Produccion_Ventas!FD$28*FD$100+Produccion_Ventas!FD$49*FD$101)*FD$108)</f>
        <v>0</v>
      </c>
      <c r="FE110" s="13" t="n">
        <f aca="false">IF(FE$69=1,SUMIFS(dr_USD,dr_Mes,155,dr_Cod,"MP",dr_Est,"&lt;&gt;Excluido"),(Produccion_Ventas!FE$28*FE$100+Produccion_Ventas!FE$49*FE$101)*FE$108)</f>
        <v>0</v>
      </c>
      <c r="FF110" s="13" t="n">
        <f aca="false">IF(FF$69=1,SUMIFS(dr_USD,dr_Mes,156,dr_Cod,"MP",dr_Est,"&lt;&gt;Excluido"),(Produccion_Ventas!FF$28*FF$100+Produccion_Ventas!FF$49*FF$101)*FF$108)</f>
        <v>0</v>
      </c>
    </row>
    <row r="111" customFormat="false" ht="15" hidden="false" customHeight="false" outlineLevel="0" collapsed="false">
      <c r="A111" s="2" t="s">
        <v>1071</v>
      </c>
      <c r="B111" s="8" t="s">
        <v>1072</v>
      </c>
      <c r="C111" s="8" t="s">
        <v>255</v>
      </c>
      <c r="E111" s="65" t="n">
        <f aca="false">SUM($F111:$FF111)</f>
        <v>14024610</v>
      </c>
      <c r="F111" s="13" t="n">
        <f aca="false">IF(F$69=1,SUMIFS(dr_USD,dr_Mes,0,dr_Cod,"INS",dr_Est,"&lt;&gt;Excluido"),(Produccion_Ventas!F$28*F$102+Produccion_Ventas!F$49*F$103)*F$108)</f>
        <v>0</v>
      </c>
      <c r="G111" s="13" t="n">
        <f aca="false">IF(G$69=1,SUMIFS(dr_USD,dr_Mes,1,dr_Cod,"INS",dr_Est,"&lt;&gt;Excluido"),(Produccion_Ventas!G$28*G$102+Produccion_Ventas!G$49*G$103)*G$108)</f>
        <v>97395.3082191781</v>
      </c>
      <c r="H111" s="13" t="n">
        <f aca="false">IF(H$69=1,SUMIFS(dr_USD,dr_Mes,2,dr_Cod,"INS",dr_Est,"&lt;&gt;Excluido"),(Produccion_Ventas!H$28*H$102+Produccion_Ventas!H$49*H$103)*H$108)</f>
        <v>73297.5</v>
      </c>
      <c r="I111" s="13" t="n">
        <f aca="false">IF(I$69=1,SUMIFS(dr_USD,dr_Mes,3,dr_Cod,"INS",dr_Est,"&lt;&gt;Excluido"),(Produccion_Ventas!I$28*I$102+Produccion_Ventas!I$49*I$103)*I$108)</f>
        <v>73297.5</v>
      </c>
      <c r="J111" s="13" t="n">
        <f aca="false">IF(J$69=1,SUMIFS(dr_USD,dr_Mes,4,dr_Cod,"INS",dr_Est,"&lt;&gt;Excluido"),(Produccion_Ventas!J$28*J$102+Produccion_Ventas!J$49*J$103)*J$108)</f>
        <v>73297.5</v>
      </c>
      <c r="K111" s="13" t="n">
        <f aca="false">IF(K$69=1,SUMIFS(dr_USD,dr_Mes,5,dr_Cod,"INS",dr_Est,"&lt;&gt;Excluido"),(Produccion_Ventas!K$28*K$102+Produccion_Ventas!K$49*K$103)*K$108)</f>
        <v>73297.5</v>
      </c>
      <c r="L111" s="13" t="n">
        <f aca="false">IF(L$69=1,SUMIFS(dr_USD,dr_Mes,6,dr_Cod,"INS",dr_Est,"&lt;&gt;Excluido"),(Produccion_Ventas!L$28*L$102+Produccion_Ventas!L$49*L$103)*L$108)</f>
        <v>73297.5</v>
      </c>
      <c r="M111" s="13" t="n">
        <f aca="false">IF(M$69=1,SUMIFS(dr_USD,dr_Mes,7,dr_Cod,"INS",dr_Est,"&lt;&gt;Excluido"),(Produccion_Ventas!M$28*M$102+Produccion_Ventas!M$49*M$103)*M$108)</f>
        <v>73297.5</v>
      </c>
      <c r="N111" s="13" t="n">
        <f aca="false">IF(N$69=1,SUMIFS(dr_USD,dr_Mes,8,dr_Cod,"INS",dr_Est,"&lt;&gt;Excluido"),(Produccion_Ventas!N$28*N$102+Produccion_Ventas!N$49*N$103)*N$108)</f>
        <v>73297.5</v>
      </c>
      <c r="O111" s="13" t="n">
        <f aca="false">IF(O$69=1,SUMIFS(dr_USD,dr_Mes,9,dr_Cod,"INS",dr_Est,"&lt;&gt;Excluido"),(Produccion_Ventas!O$28*O$102+Produccion_Ventas!O$49*O$103)*O$108)</f>
        <v>73297.5</v>
      </c>
      <c r="P111" s="13" t="n">
        <f aca="false">IF(P$69=1,SUMIFS(dr_USD,dr_Mes,10,dr_Cod,"INS",dr_Est,"&lt;&gt;Excluido"),(Produccion_Ventas!P$28*P$102+Produccion_Ventas!P$49*P$103)*P$108)</f>
        <v>73297.5</v>
      </c>
      <c r="Q111" s="13" t="n">
        <f aca="false">IF(Q$69=1,SUMIFS(dr_USD,dr_Mes,11,dr_Cod,"INS",dr_Est,"&lt;&gt;Excluido"),(Produccion_Ventas!Q$28*Q$102+Produccion_Ventas!Q$49*Q$103)*Q$108)</f>
        <v>73297.5</v>
      </c>
      <c r="R111" s="13" t="n">
        <f aca="false">IF(R$69=1,SUMIFS(dr_USD,dr_Mes,12,dr_Cod,"INS",dr_Est,"&lt;&gt;Excluido"),(Produccion_Ventas!R$28*R$102+Produccion_Ventas!R$49*R$103)*R$108)</f>
        <v>79654.2123287671</v>
      </c>
      <c r="S111" s="13" t="n">
        <f aca="false">IF(S$69=1,SUMIFS(dr_USD,dr_Mes,13,dr_Cod,"INS",dr_Est,"&lt;&gt;Excluido"),(Produccion_Ventas!S$28*S$102+Produccion_Ventas!S$49*S$103)*S$108)</f>
        <v>92632.5</v>
      </c>
      <c r="T111" s="13" t="n">
        <f aca="false">IF(T$69=1,SUMIFS(dr_USD,dr_Mes,14,dr_Cod,"INS",dr_Est,"&lt;&gt;Excluido"),(Produccion_Ventas!T$28*T$102+Produccion_Ventas!T$49*T$103)*T$108)</f>
        <v>92632.5</v>
      </c>
      <c r="U111" s="13" t="n">
        <f aca="false">IF(U$69=1,SUMIFS(dr_USD,dr_Mes,15,dr_Cod,"INS",dr_Est,"&lt;&gt;Excluido"),(Produccion_Ventas!U$28*U$102+Produccion_Ventas!U$49*U$103)*U$108)</f>
        <v>92632.5</v>
      </c>
      <c r="V111" s="13" t="n">
        <f aca="false">IF(V$69=1,SUMIFS(dr_USD,dr_Mes,16,dr_Cod,"INS",dr_Est,"&lt;&gt;Excluido"),(Produccion_Ventas!V$28*V$102+Produccion_Ventas!V$49*V$103)*V$108)</f>
        <v>92632.5</v>
      </c>
      <c r="W111" s="13" t="n">
        <f aca="false">IF(W$69=1,SUMIFS(dr_USD,dr_Mes,17,dr_Cod,"INS",dr_Est,"&lt;&gt;Excluido"),(Produccion_Ventas!W$28*W$102+Produccion_Ventas!W$49*W$103)*W$108)</f>
        <v>92632.5</v>
      </c>
      <c r="X111" s="13" t="n">
        <f aca="false">IF(X$69=1,SUMIFS(dr_USD,dr_Mes,18,dr_Cod,"INS",dr_Est,"&lt;&gt;Excluido"),(Produccion_Ventas!X$28*X$102+Produccion_Ventas!X$49*X$103)*X$108)</f>
        <v>92632.5</v>
      </c>
      <c r="Y111" s="13" t="n">
        <f aca="false">IF(Y$69=1,SUMIFS(dr_USD,dr_Mes,19,dr_Cod,"INS",dr_Est,"&lt;&gt;Excluido"),(Produccion_Ventas!Y$28*Y$102+Produccion_Ventas!Y$49*Y$103)*Y$108)</f>
        <v>92632.5</v>
      </c>
      <c r="Z111" s="13" t="n">
        <f aca="false">IF(Z$69=1,SUMIFS(dr_USD,dr_Mes,20,dr_Cod,"INS",dr_Est,"&lt;&gt;Excluido"),(Produccion_Ventas!Z$28*Z$102+Produccion_Ventas!Z$49*Z$103)*Z$108)</f>
        <v>92632.5</v>
      </c>
      <c r="AA111" s="13" t="n">
        <f aca="false">IF(AA$69=1,SUMIFS(dr_USD,dr_Mes,21,dr_Cod,"INS",dr_Est,"&lt;&gt;Excluido"),(Produccion_Ventas!AA$28*AA$102+Produccion_Ventas!AA$49*AA$103)*AA$108)</f>
        <v>92632.5</v>
      </c>
      <c r="AB111" s="13" t="n">
        <f aca="false">IF(AB$69=1,SUMIFS(dr_USD,dr_Mes,22,dr_Cod,"INS",dr_Est,"&lt;&gt;Excluido"),(Produccion_Ventas!AB$28*AB$102+Produccion_Ventas!AB$49*AB$103)*AB$108)</f>
        <v>92632.5</v>
      </c>
      <c r="AC111" s="13" t="n">
        <f aca="false">IF(AC$69=1,SUMIFS(dr_USD,dr_Mes,23,dr_Cod,"INS",dr_Est,"&lt;&gt;Excluido"),(Produccion_Ventas!AC$28*AC$102+Produccion_Ventas!AC$49*AC$103)*AC$108)</f>
        <v>92632.5</v>
      </c>
      <c r="AD111" s="13" t="n">
        <f aca="false">IF(AD$69=1,SUMIFS(dr_USD,dr_Mes,24,dr_Cod,"INS",dr_Est,"&lt;&gt;Excluido"),(Produccion_Ventas!AD$28*AD$102+Produccion_Ventas!AD$49*AD$103)*AD$108)</f>
        <v>98989.2123287671</v>
      </c>
      <c r="AE111" s="13" t="n">
        <f aca="false">IF(AE$69=1,SUMIFS(dr_USD,dr_Mes,25,dr_Cod,"INS",dr_Est,"&lt;&gt;Excluido"),(Produccion_Ventas!AE$28*AE$102+Produccion_Ventas!AE$49*AE$103)*AE$108)</f>
        <v>111967.5</v>
      </c>
      <c r="AF111" s="13" t="n">
        <f aca="false">IF(AF$69=1,SUMIFS(dr_USD,dr_Mes,26,dr_Cod,"INS",dr_Est,"&lt;&gt;Excluido"),(Produccion_Ventas!AF$28*AF$102+Produccion_Ventas!AF$49*AF$103)*AF$108)</f>
        <v>111967.5</v>
      </c>
      <c r="AG111" s="13" t="n">
        <f aca="false">IF(AG$69=1,SUMIFS(dr_USD,dr_Mes,27,dr_Cod,"INS",dr_Est,"&lt;&gt;Excluido"),(Produccion_Ventas!AG$28*AG$102+Produccion_Ventas!AG$49*AG$103)*AG$108)</f>
        <v>111967.5</v>
      </c>
      <c r="AH111" s="13" t="n">
        <f aca="false">IF(AH$69=1,SUMIFS(dr_USD,dr_Mes,28,dr_Cod,"INS",dr_Est,"&lt;&gt;Excluido"),(Produccion_Ventas!AH$28*AH$102+Produccion_Ventas!AH$49*AH$103)*AH$108)</f>
        <v>111967.5</v>
      </c>
      <c r="AI111" s="13" t="n">
        <f aca="false">IF(AI$69=1,SUMIFS(dr_USD,dr_Mes,29,dr_Cod,"INS",dr_Est,"&lt;&gt;Excluido"),(Produccion_Ventas!AI$28*AI$102+Produccion_Ventas!AI$49*AI$103)*AI$108)</f>
        <v>111967.5</v>
      </c>
      <c r="AJ111" s="13" t="n">
        <f aca="false">IF(AJ$69=1,SUMIFS(dr_USD,dr_Mes,30,dr_Cod,"INS",dr_Est,"&lt;&gt;Excluido"),(Produccion_Ventas!AJ$28*AJ$102+Produccion_Ventas!AJ$49*AJ$103)*AJ$108)</f>
        <v>111967.5</v>
      </c>
      <c r="AK111" s="13" t="n">
        <f aca="false">IF(AK$69=1,SUMIFS(dr_USD,dr_Mes,31,dr_Cod,"INS",dr_Est,"&lt;&gt;Excluido"),(Produccion_Ventas!AK$28*AK$102+Produccion_Ventas!AK$49*AK$103)*AK$108)</f>
        <v>111967.5</v>
      </c>
      <c r="AL111" s="13" t="n">
        <f aca="false">IF(AL$69=1,SUMIFS(dr_USD,dr_Mes,32,dr_Cod,"INS",dr_Est,"&lt;&gt;Excluido"),(Produccion_Ventas!AL$28*AL$102+Produccion_Ventas!AL$49*AL$103)*AL$108)</f>
        <v>111967.5</v>
      </c>
      <c r="AM111" s="13" t="n">
        <f aca="false">IF(AM$69=1,SUMIFS(dr_USD,dr_Mes,33,dr_Cod,"INS",dr_Est,"&lt;&gt;Excluido"),(Produccion_Ventas!AM$28*AM$102+Produccion_Ventas!AM$49*AM$103)*AM$108)</f>
        <v>111967.5</v>
      </c>
      <c r="AN111" s="13" t="n">
        <f aca="false">IF(AN$69=1,SUMIFS(dr_USD,dr_Mes,34,dr_Cod,"INS",dr_Est,"&lt;&gt;Excluido"),(Produccion_Ventas!AN$28*AN$102+Produccion_Ventas!AN$49*AN$103)*AN$108)</f>
        <v>111967.5</v>
      </c>
      <c r="AO111" s="13" t="n">
        <f aca="false">IF(AO$69=1,SUMIFS(dr_USD,dr_Mes,35,dr_Cod,"INS",dr_Est,"&lt;&gt;Excluido"),(Produccion_Ventas!AO$28*AO$102+Produccion_Ventas!AO$49*AO$103)*AO$108)</f>
        <v>111967.5</v>
      </c>
      <c r="AP111" s="13" t="n">
        <f aca="false">IF(AP$69=1,SUMIFS(dr_USD,dr_Mes,36,dr_Cod,"INS",dr_Est,"&lt;&gt;Excluido"),(Produccion_Ventas!AP$28*AP$102+Produccion_Ventas!AP$49*AP$103)*AP$108)</f>
        <v>116995.171232877</v>
      </c>
      <c r="AQ111" s="13" t="n">
        <f aca="false">IF(AQ$69=1,SUMIFS(dr_USD,dr_Mes,37,dr_Cod,"INS",dr_Est,"&lt;&gt;Excluido"),(Produccion_Ventas!AQ$28*AQ$102+Produccion_Ventas!AQ$49*AQ$103)*AQ$108)</f>
        <v>127260</v>
      </c>
      <c r="AR111" s="13" t="n">
        <f aca="false">IF(AR$69=1,SUMIFS(dr_USD,dr_Mes,38,dr_Cod,"INS",dr_Est,"&lt;&gt;Excluido"),(Produccion_Ventas!AR$28*AR$102+Produccion_Ventas!AR$49*AR$103)*AR$108)</f>
        <v>127260</v>
      </c>
      <c r="AS111" s="13" t="n">
        <f aca="false">IF(AS$69=1,SUMIFS(dr_USD,dr_Mes,39,dr_Cod,"INS",dr_Est,"&lt;&gt;Excluido"),(Produccion_Ventas!AS$28*AS$102+Produccion_Ventas!AS$49*AS$103)*AS$108)</f>
        <v>127260</v>
      </c>
      <c r="AT111" s="13" t="n">
        <f aca="false">IF(AT$69=1,SUMIFS(dr_USD,dr_Mes,40,dr_Cod,"INS",dr_Est,"&lt;&gt;Excluido"),(Produccion_Ventas!AT$28*AT$102+Produccion_Ventas!AT$49*AT$103)*AT$108)</f>
        <v>127260</v>
      </c>
      <c r="AU111" s="13" t="n">
        <f aca="false">IF(AU$69=1,SUMIFS(dr_USD,dr_Mes,41,dr_Cod,"INS",dr_Est,"&lt;&gt;Excluido"),(Produccion_Ventas!AU$28*AU$102+Produccion_Ventas!AU$49*AU$103)*AU$108)</f>
        <v>127260</v>
      </c>
      <c r="AV111" s="13" t="n">
        <f aca="false">IF(AV$69=1,SUMIFS(dr_USD,dr_Mes,42,dr_Cod,"INS",dr_Est,"&lt;&gt;Excluido"),(Produccion_Ventas!AV$28*AV$102+Produccion_Ventas!AV$49*AV$103)*AV$108)</f>
        <v>127260</v>
      </c>
      <c r="AW111" s="13" t="n">
        <f aca="false">IF(AW$69=1,SUMIFS(dr_USD,dr_Mes,43,dr_Cod,"INS",dr_Est,"&lt;&gt;Excluido"),(Produccion_Ventas!AW$28*AW$102+Produccion_Ventas!AW$49*AW$103)*AW$108)</f>
        <v>127260</v>
      </c>
      <c r="AX111" s="13" t="n">
        <f aca="false">IF(AX$69=1,SUMIFS(dr_USD,dr_Mes,44,dr_Cod,"INS",dr_Est,"&lt;&gt;Excluido"),(Produccion_Ventas!AX$28*AX$102+Produccion_Ventas!AX$49*AX$103)*AX$108)</f>
        <v>127260</v>
      </c>
      <c r="AY111" s="13" t="n">
        <f aca="false">IF(AY$69=1,SUMIFS(dr_USD,dr_Mes,45,dr_Cod,"INS",dr_Est,"&lt;&gt;Excluido"),(Produccion_Ventas!AY$28*AY$102+Produccion_Ventas!AY$49*AY$103)*AY$108)</f>
        <v>127260</v>
      </c>
      <c r="AZ111" s="13" t="n">
        <f aca="false">IF(AZ$69=1,SUMIFS(dr_USD,dr_Mes,46,dr_Cod,"INS",dr_Est,"&lt;&gt;Excluido"),(Produccion_Ventas!AZ$28*AZ$102+Produccion_Ventas!AZ$49*AZ$103)*AZ$108)</f>
        <v>127260</v>
      </c>
      <c r="BA111" s="13" t="n">
        <f aca="false">IF(BA$69=1,SUMIFS(dr_USD,dr_Mes,47,dr_Cod,"INS",dr_Est,"&lt;&gt;Excluido"),(Produccion_Ventas!BA$28*BA$102+Produccion_Ventas!BA$49*BA$103)*BA$108)</f>
        <v>127260</v>
      </c>
      <c r="BB111" s="13" t="n">
        <f aca="false">IF(BB$69=1,SUMIFS(dr_USD,dr_Mes,48,dr_Cod,"INS",dr_Est,"&lt;&gt;Excluido"),(Produccion_Ventas!BB$28*BB$102+Produccion_Ventas!BB$49*BB$103)*BB$108)</f>
        <v>127260</v>
      </c>
      <c r="BC111" s="13" t="n">
        <f aca="false">IF(BC$69=1,SUMIFS(dr_USD,dr_Mes,49,dr_Cod,"INS",dr_Est,"&lt;&gt;Excluido"),(Produccion_Ventas!BC$28*BC$102+Produccion_Ventas!BC$49*BC$103)*BC$108)</f>
        <v>127260</v>
      </c>
      <c r="BD111" s="13" t="n">
        <f aca="false">IF(BD$69=1,SUMIFS(dr_USD,dr_Mes,50,dr_Cod,"INS",dr_Est,"&lt;&gt;Excluido"),(Produccion_Ventas!BD$28*BD$102+Produccion_Ventas!BD$49*BD$103)*BD$108)</f>
        <v>127260</v>
      </c>
      <c r="BE111" s="13" t="n">
        <f aca="false">IF(BE$69=1,SUMIFS(dr_USD,dr_Mes,51,dr_Cod,"INS",dr_Est,"&lt;&gt;Excluido"),(Produccion_Ventas!BE$28*BE$102+Produccion_Ventas!BE$49*BE$103)*BE$108)</f>
        <v>127260</v>
      </c>
      <c r="BF111" s="13" t="n">
        <f aca="false">IF(BF$69=1,SUMIFS(dr_USD,dr_Mes,52,dr_Cod,"INS",dr_Est,"&lt;&gt;Excluido"),(Produccion_Ventas!BF$28*BF$102+Produccion_Ventas!BF$49*BF$103)*BF$108)</f>
        <v>127260</v>
      </c>
      <c r="BG111" s="13" t="n">
        <f aca="false">IF(BG$69=1,SUMIFS(dr_USD,dr_Mes,53,dr_Cod,"INS",dr_Est,"&lt;&gt;Excluido"),(Produccion_Ventas!BG$28*BG$102+Produccion_Ventas!BG$49*BG$103)*BG$108)</f>
        <v>127260</v>
      </c>
      <c r="BH111" s="13" t="n">
        <f aca="false">IF(BH$69=1,SUMIFS(dr_USD,dr_Mes,54,dr_Cod,"INS",dr_Est,"&lt;&gt;Excluido"),(Produccion_Ventas!BH$28*BH$102+Produccion_Ventas!BH$49*BH$103)*BH$108)</f>
        <v>127260</v>
      </c>
      <c r="BI111" s="13" t="n">
        <f aca="false">IF(BI$69=1,SUMIFS(dr_USD,dr_Mes,55,dr_Cod,"INS",dr_Est,"&lt;&gt;Excluido"),(Produccion_Ventas!BI$28*BI$102+Produccion_Ventas!BI$49*BI$103)*BI$108)</f>
        <v>127260</v>
      </c>
      <c r="BJ111" s="13" t="n">
        <f aca="false">IF(BJ$69=1,SUMIFS(dr_USD,dr_Mes,56,dr_Cod,"INS",dr_Est,"&lt;&gt;Excluido"),(Produccion_Ventas!BJ$28*BJ$102+Produccion_Ventas!BJ$49*BJ$103)*BJ$108)</f>
        <v>127260</v>
      </c>
      <c r="BK111" s="13" t="n">
        <f aca="false">IF(BK$69=1,SUMIFS(dr_USD,dr_Mes,57,dr_Cod,"INS",dr_Est,"&lt;&gt;Excluido"),(Produccion_Ventas!BK$28*BK$102+Produccion_Ventas!BK$49*BK$103)*BK$108)</f>
        <v>127260</v>
      </c>
      <c r="BL111" s="13" t="n">
        <f aca="false">IF(BL$69=1,SUMIFS(dr_USD,dr_Mes,58,dr_Cod,"INS",dr_Est,"&lt;&gt;Excluido"),(Produccion_Ventas!BL$28*BL$102+Produccion_Ventas!BL$49*BL$103)*BL$108)</f>
        <v>127260</v>
      </c>
      <c r="BM111" s="13" t="n">
        <f aca="false">IF(BM$69=1,SUMIFS(dr_USD,dr_Mes,59,dr_Cod,"INS",dr_Est,"&lt;&gt;Excluido"),(Produccion_Ventas!BM$28*BM$102+Produccion_Ventas!BM$49*BM$103)*BM$108)</f>
        <v>127260</v>
      </c>
      <c r="BN111" s="13" t="n">
        <f aca="false">IF(BN$69=1,SUMIFS(dr_USD,dr_Mes,60,dr_Cod,"INS",dr_Est,"&lt;&gt;Excluido"),(Produccion_Ventas!BN$28*BN$102+Produccion_Ventas!BN$49*BN$103)*BN$108)</f>
        <v>127260</v>
      </c>
      <c r="BO111" s="13" t="n">
        <f aca="false">IF(BO$69=1,SUMIFS(dr_USD,dr_Mes,61,dr_Cod,"INS",dr_Est,"&lt;&gt;Excluido"),(Produccion_Ventas!BO$28*BO$102+Produccion_Ventas!BO$49*BO$103)*BO$108)</f>
        <v>127260</v>
      </c>
      <c r="BP111" s="13" t="n">
        <f aca="false">IF(BP$69=1,SUMIFS(dr_USD,dr_Mes,62,dr_Cod,"INS",dr_Est,"&lt;&gt;Excluido"),(Produccion_Ventas!BP$28*BP$102+Produccion_Ventas!BP$49*BP$103)*BP$108)</f>
        <v>127260</v>
      </c>
      <c r="BQ111" s="13" t="n">
        <f aca="false">IF(BQ$69=1,SUMIFS(dr_USD,dr_Mes,63,dr_Cod,"INS",dr_Est,"&lt;&gt;Excluido"),(Produccion_Ventas!BQ$28*BQ$102+Produccion_Ventas!BQ$49*BQ$103)*BQ$108)</f>
        <v>127260</v>
      </c>
      <c r="BR111" s="13" t="n">
        <f aca="false">IF(BR$69=1,SUMIFS(dr_USD,dr_Mes,64,dr_Cod,"INS",dr_Est,"&lt;&gt;Excluido"),(Produccion_Ventas!BR$28*BR$102+Produccion_Ventas!BR$49*BR$103)*BR$108)</f>
        <v>127260</v>
      </c>
      <c r="BS111" s="13" t="n">
        <f aca="false">IF(BS$69=1,SUMIFS(dr_USD,dr_Mes,65,dr_Cod,"INS",dr_Est,"&lt;&gt;Excluido"),(Produccion_Ventas!BS$28*BS$102+Produccion_Ventas!BS$49*BS$103)*BS$108)</f>
        <v>127260</v>
      </c>
      <c r="BT111" s="13" t="n">
        <f aca="false">IF(BT$69=1,SUMIFS(dr_USD,dr_Mes,66,dr_Cod,"INS",dr_Est,"&lt;&gt;Excluido"),(Produccion_Ventas!BT$28*BT$102+Produccion_Ventas!BT$49*BT$103)*BT$108)</f>
        <v>127260</v>
      </c>
      <c r="BU111" s="13" t="n">
        <f aca="false">IF(BU$69=1,SUMIFS(dr_USD,dr_Mes,67,dr_Cod,"INS",dr_Est,"&lt;&gt;Excluido"),(Produccion_Ventas!BU$28*BU$102+Produccion_Ventas!BU$49*BU$103)*BU$108)</f>
        <v>127260</v>
      </c>
      <c r="BV111" s="13" t="n">
        <f aca="false">IF(BV$69=1,SUMIFS(dr_USD,dr_Mes,68,dr_Cod,"INS",dr_Est,"&lt;&gt;Excluido"),(Produccion_Ventas!BV$28*BV$102+Produccion_Ventas!BV$49*BV$103)*BV$108)</f>
        <v>127260</v>
      </c>
      <c r="BW111" s="13" t="n">
        <f aca="false">IF(BW$69=1,SUMIFS(dr_USD,dr_Mes,69,dr_Cod,"INS",dr_Est,"&lt;&gt;Excluido"),(Produccion_Ventas!BW$28*BW$102+Produccion_Ventas!BW$49*BW$103)*BW$108)</f>
        <v>127260</v>
      </c>
      <c r="BX111" s="13" t="n">
        <f aca="false">IF(BX$69=1,SUMIFS(dr_USD,dr_Mes,70,dr_Cod,"INS",dr_Est,"&lt;&gt;Excluido"),(Produccion_Ventas!BX$28*BX$102+Produccion_Ventas!BX$49*BX$103)*BX$108)</f>
        <v>127260</v>
      </c>
      <c r="BY111" s="13" t="n">
        <f aca="false">IF(BY$69=1,SUMIFS(dr_USD,dr_Mes,71,dr_Cod,"INS",dr_Est,"&lt;&gt;Excluido"),(Produccion_Ventas!BY$28*BY$102+Produccion_Ventas!BY$49*BY$103)*BY$108)</f>
        <v>127260</v>
      </c>
      <c r="BZ111" s="13" t="n">
        <f aca="false">IF(BZ$69=1,SUMIFS(dr_USD,dr_Mes,72,dr_Cod,"INS",dr_Est,"&lt;&gt;Excluido"),(Produccion_Ventas!BZ$28*BZ$102+Produccion_Ventas!BZ$49*BZ$103)*BZ$108)</f>
        <v>127260</v>
      </c>
      <c r="CA111" s="13" t="n">
        <f aca="false">IF(CA$69=1,SUMIFS(dr_USD,dr_Mes,73,dr_Cod,"INS",dr_Est,"&lt;&gt;Excluido"),(Produccion_Ventas!CA$28*CA$102+Produccion_Ventas!CA$49*CA$103)*CA$108)</f>
        <v>127260</v>
      </c>
      <c r="CB111" s="13" t="n">
        <f aca="false">IF(CB$69=1,SUMIFS(dr_USD,dr_Mes,74,dr_Cod,"INS",dr_Est,"&lt;&gt;Excluido"),(Produccion_Ventas!CB$28*CB$102+Produccion_Ventas!CB$49*CB$103)*CB$108)</f>
        <v>127260</v>
      </c>
      <c r="CC111" s="13" t="n">
        <f aca="false">IF(CC$69=1,SUMIFS(dr_USD,dr_Mes,75,dr_Cod,"INS",dr_Est,"&lt;&gt;Excluido"),(Produccion_Ventas!CC$28*CC$102+Produccion_Ventas!CC$49*CC$103)*CC$108)</f>
        <v>127260</v>
      </c>
      <c r="CD111" s="13" t="n">
        <f aca="false">IF(CD$69=1,SUMIFS(dr_USD,dr_Mes,76,dr_Cod,"INS",dr_Est,"&lt;&gt;Excluido"),(Produccion_Ventas!CD$28*CD$102+Produccion_Ventas!CD$49*CD$103)*CD$108)</f>
        <v>127260</v>
      </c>
      <c r="CE111" s="13" t="n">
        <f aca="false">IF(CE$69=1,SUMIFS(dr_USD,dr_Mes,77,dr_Cod,"INS",dr_Est,"&lt;&gt;Excluido"),(Produccion_Ventas!CE$28*CE$102+Produccion_Ventas!CE$49*CE$103)*CE$108)</f>
        <v>127260</v>
      </c>
      <c r="CF111" s="13" t="n">
        <f aca="false">IF(CF$69=1,SUMIFS(dr_USD,dr_Mes,78,dr_Cod,"INS",dr_Est,"&lt;&gt;Excluido"),(Produccion_Ventas!CF$28*CF$102+Produccion_Ventas!CF$49*CF$103)*CF$108)</f>
        <v>127260</v>
      </c>
      <c r="CG111" s="13" t="n">
        <f aca="false">IF(CG$69=1,SUMIFS(dr_USD,dr_Mes,79,dr_Cod,"INS",dr_Est,"&lt;&gt;Excluido"),(Produccion_Ventas!CG$28*CG$102+Produccion_Ventas!CG$49*CG$103)*CG$108)</f>
        <v>127260</v>
      </c>
      <c r="CH111" s="13" t="n">
        <f aca="false">IF(CH$69=1,SUMIFS(dr_USD,dr_Mes,80,dr_Cod,"INS",dr_Est,"&lt;&gt;Excluido"),(Produccion_Ventas!CH$28*CH$102+Produccion_Ventas!CH$49*CH$103)*CH$108)</f>
        <v>127260</v>
      </c>
      <c r="CI111" s="13" t="n">
        <f aca="false">IF(CI$69=1,SUMIFS(dr_USD,dr_Mes,81,dr_Cod,"INS",dr_Est,"&lt;&gt;Excluido"),(Produccion_Ventas!CI$28*CI$102+Produccion_Ventas!CI$49*CI$103)*CI$108)</f>
        <v>127260</v>
      </c>
      <c r="CJ111" s="13" t="n">
        <f aca="false">IF(CJ$69=1,SUMIFS(dr_USD,dr_Mes,82,dr_Cod,"INS",dr_Est,"&lt;&gt;Excluido"),(Produccion_Ventas!CJ$28*CJ$102+Produccion_Ventas!CJ$49*CJ$103)*CJ$108)</f>
        <v>127260</v>
      </c>
      <c r="CK111" s="13" t="n">
        <f aca="false">IF(CK$69=1,SUMIFS(dr_USD,dr_Mes,83,dr_Cod,"INS",dr_Est,"&lt;&gt;Excluido"),(Produccion_Ventas!CK$28*CK$102+Produccion_Ventas!CK$49*CK$103)*CK$108)</f>
        <v>127260</v>
      </c>
      <c r="CL111" s="13" t="n">
        <f aca="false">IF(CL$69=1,SUMIFS(dr_USD,dr_Mes,84,dr_Cod,"INS",dr_Est,"&lt;&gt;Excluido"),(Produccion_Ventas!CL$28*CL$102+Produccion_Ventas!CL$49*CL$103)*CL$108)</f>
        <v>127260</v>
      </c>
      <c r="CM111" s="13" t="n">
        <f aca="false">IF(CM$69=1,SUMIFS(dr_USD,dr_Mes,85,dr_Cod,"INS",dr_Est,"&lt;&gt;Excluido"),(Produccion_Ventas!CM$28*CM$102+Produccion_Ventas!CM$49*CM$103)*CM$108)</f>
        <v>127260</v>
      </c>
      <c r="CN111" s="13" t="n">
        <f aca="false">IF(CN$69=1,SUMIFS(dr_USD,dr_Mes,86,dr_Cod,"INS",dr_Est,"&lt;&gt;Excluido"),(Produccion_Ventas!CN$28*CN$102+Produccion_Ventas!CN$49*CN$103)*CN$108)</f>
        <v>127260</v>
      </c>
      <c r="CO111" s="13" t="n">
        <f aca="false">IF(CO$69=1,SUMIFS(dr_USD,dr_Mes,87,dr_Cod,"INS",dr_Est,"&lt;&gt;Excluido"),(Produccion_Ventas!CO$28*CO$102+Produccion_Ventas!CO$49*CO$103)*CO$108)</f>
        <v>127260</v>
      </c>
      <c r="CP111" s="13" t="n">
        <f aca="false">IF(CP$69=1,SUMIFS(dr_USD,dr_Mes,88,dr_Cod,"INS",dr_Est,"&lt;&gt;Excluido"),(Produccion_Ventas!CP$28*CP$102+Produccion_Ventas!CP$49*CP$103)*CP$108)</f>
        <v>127260</v>
      </c>
      <c r="CQ111" s="13" t="n">
        <f aca="false">IF(CQ$69=1,SUMIFS(dr_USD,dr_Mes,89,dr_Cod,"INS",dr_Est,"&lt;&gt;Excluido"),(Produccion_Ventas!CQ$28*CQ$102+Produccion_Ventas!CQ$49*CQ$103)*CQ$108)</f>
        <v>127260</v>
      </c>
      <c r="CR111" s="13" t="n">
        <f aca="false">IF(CR$69=1,SUMIFS(dr_USD,dr_Mes,90,dr_Cod,"INS",dr_Est,"&lt;&gt;Excluido"),(Produccion_Ventas!CR$28*CR$102+Produccion_Ventas!CR$49*CR$103)*CR$108)</f>
        <v>127260</v>
      </c>
      <c r="CS111" s="13" t="n">
        <f aca="false">IF(CS$69=1,SUMIFS(dr_USD,dr_Mes,91,dr_Cod,"INS",dr_Est,"&lt;&gt;Excluido"),(Produccion_Ventas!CS$28*CS$102+Produccion_Ventas!CS$49*CS$103)*CS$108)</f>
        <v>127260</v>
      </c>
      <c r="CT111" s="13" t="n">
        <f aca="false">IF(CT$69=1,SUMIFS(dr_USD,dr_Mes,92,dr_Cod,"INS",dr_Est,"&lt;&gt;Excluido"),(Produccion_Ventas!CT$28*CT$102+Produccion_Ventas!CT$49*CT$103)*CT$108)</f>
        <v>127260</v>
      </c>
      <c r="CU111" s="13" t="n">
        <f aca="false">IF(CU$69=1,SUMIFS(dr_USD,dr_Mes,93,dr_Cod,"INS",dr_Est,"&lt;&gt;Excluido"),(Produccion_Ventas!CU$28*CU$102+Produccion_Ventas!CU$49*CU$103)*CU$108)</f>
        <v>127260</v>
      </c>
      <c r="CV111" s="13" t="n">
        <f aca="false">IF(CV$69=1,SUMIFS(dr_USD,dr_Mes,94,dr_Cod,"INS",dr_Est,"&lt;&gt;Excluido"),(Produccion_Ventas!CV$28*CV$102+Produccion_Ventas!CV$49*CV$103)*CV$108)</f>
        <v>127260</v>
      </c>
      <c r="CW111" s="13" t="n">
        <f aca="false">IF(CW$69=1,SUMIFS(dr_USD,dr_Mes,95,dr_Cod,"INS",dr_Est,"&lt;&gt;Excluido"),(Produccion_Ventas!CW$28*CW$102+Produccion_Ventas!CW$49*CW$103)*CW$108)</f>
        <v>127260</v>
      </c>
      <c r="CX111" s="13" t="n">
        <f aca="false">IF(CX$69=1,SUMIFS(dr_USD,dr_Mes,96,dr_Cod,"INS",dr_Est,"&lt;&gt;Excluido"),(Produccion_Ventas!CX$28*CX$102+Produccion_Ventas!CX$49*CX$103)*CX$108)</f>
        <v>127260</v>
      </c>
      <c r="CY111" s="13" t="n">
        <f aca="false">IF(CY$69=1,SUMIFS(dr_USD,dr_Mes,97,dr_Cod,"INS",dr_Est,"&lt;&gt;Excluido"),(Produccion_Ventas!CY$28*CY$102+Produccion_Ventas!CY$49*CY$103)*CY$108)</f>
        <v>127260</v>
      </c>
      <c r="CZ111" s="13" t="n">
        <f aca="false">IF(CZ$69=1,SUMIFS(dr_USD,dr_Mes,98,dr_Cod,"INS",dr_Est,"&lt;&gt;Excluido"),(Produccion_Ventas!CZ$28*CZ$102+Produccion_Ventas!CZ$49*CZ$103)*CZ$108)</f>
        <v>127260</v>
      </c>
      <c r="DA111" s="13" t="n">
        <f aca="false">IF(DA$69=1,SUMIFS(dr_USD,dr_Mes,99,dr_Cod,"INS",dr_Est,"&lt;&gt;Excluido"),(Produccion_Ventas!DA$28*DA$102+Produccion_Ventas!DA$49*DA$103)*DA$108)</f>
        <v>127260</v>
      </c>
      <c r="DB111" s="13" t="n">
        <f aca="false">IF(DB$69=1,SUMIFS(dr_USD,dr_Mes,100,dr_Cod,"INS",dr_Est,"&lt;&gt;Excluido"),(Produccion_Ventas!DB$28*DB$102+Produccion_Ventas!DB$49*DB$103)*DB$108)</f>
        <v>127260</v>
      </c>
      <c r="DC111" s="13" t="n">
        <f aca="false">IF(DC$69=1,SUMIFS(dr_USD,dr_Mes,101,dr_Cod,"INS",dr_Est,"&lt;&gt;Excluido"),(Produccion_Ventas!DC$28*DC$102+Produccion_Ventas!DC$49*DC$103)*DC$108)</f>
        <v>127260</v>
      </c>
      <c r="DD111" s="13" t="n">
        <f aca="false">IF(DD$69=1,SUMIFS(dr_USD,dr_Mes,102,dr_Cod,"INS",dr_Est,"&lt;&gt;Excluido"),(Produccion_Ventas!DD$28*DD$102+Produccion_Ventas!DD$49*DD$103)*DD$108)</f>
        <v>127260</v>
      </c>
      <c r="DE111" s="13" t="n">
        <f aca="false">IF(DE$69=1,SUMIFS(dr_USD,dr_Mes,103,dr_Cod,"INS",dr_Est,"&lt;&gt;Excluido"),(Produccion_Ventas!DE$28*DE$102+Produccion_Ventas!DE$49*DE$103)*DE$108)</f>
        <v>127260</v>
      </c>
      <c r="DF111" s="13" t="n">
        <f aca="false">IF(DF$69=1,SUMIFS(dr_USD,dr_Mes,104,dr_Cod,"INS",dr_Est,"&lt;&gt;Excluido"),(Produccion_Ventas!DF$28*DF$102+Produccion_Ventas!DF$49*DF$103)*DF$108)</f>
        <v>127260</v>
      </c>
      <c r="DG111" s="13" t="n">
        <f aca="false">IF(DG$69=1,SUMIFS(dr_USD,dr_Mes,105,dr_Cod,"INS",dr_Est,"&lt;&gt;Excluido"),(Produccion_Ventas!DG$28*DG$102+Produccion_Ventas!DG$49*DG$103)*DG$108)</f>
        <v>127260</v>
      </c>
      <c r="DH111" s="13" t="n">
        <f aca="false">IF(DH$69=1,SUMIFS(dr_USD,dr_Mes,106,dr_Cod,"INS",dr_Est,"&lt;&gt;Excluido"),(Produccion_Ventas!DH$28*DH$102+Produccion_Ventas!DH$49*DH$103)*DH$108)</f>
        <v>127260</v>
      </c>
      <c r="DI111" s="13" t="n">
        <f aca="false">IF(DI$69=1,SUMIFS(dr_USD,dr_Mes,107,dr_Cod,"INS",dr_Est,"&lt;&gt;Excluido"),(Produccion_Ventas!DI$28*DI$102+Produccion_Ventas!DI$49*DI$103)*DI$108)</f>
        <v>127260</v>
      </c>
      <c r="DJ111" s="13" t="n">
        <f aca="false">IF(DJ$69=1,SUMIFS(dr_USD,dr_Mes,108,dr_Cod,"INS",dr_Est,"&lt;&gt;Excluido"),(Produccion_Ventas!DJ$28*DJ$102+Produccion_Ventas!DJ$49*DJ$103)*DJ$108)</f>
        <v>127260</v>
      </c>
      <c r="DK111" s="13" t="n">
        <f aca="false">IF(DK$69=1,SUMIFS(dr_USD,dr_Mes,109,dr_Cod,"INS",dr_Est,"&lt;&gt;Excluido"),(Produccion_Ventas!DK$28*DK$102+Produccion_Ventas!DK$49*DK$103)*DK$108)</f>
        <v>127260</v>
      </c>
      <c r="DL111" s="13" t="n">
        <f aca="false">IF(DL$69=1,SUMIFS(dr_USD,dr_Mes,110,dr_Cod,"INS",dr_Est,"&lt;&gt;Excluido"),(Produccion_Ventas!DL$28*DL$102+Produccion_Ventas!DL$49*DL$103)*DL$108)</f>
        <v>127260</v>
      </c>
      <c r="DM111" s="13" t="n">
        <f aca="false">IF(DM$69=1,SUMIFS(dr_USD,dr_Mes,111,dr_Cod,"INS",dr_Est,"&lt;&gt;Excluido"),(Produccion_Ventas!DM$28*DM$102+Produccion_Ventas!DM$49*DM$103)*DM$108)</f>
        <v>127260</v>
      </c>
      <c r="DN111" s="13" t="n">
        <f aca="false">IF(DN$69=1,SUMIFS(dr_USD,dr_Mes,112,dr_Cod,"INS",dr_Est,"&lt;&gt;Excluido"),(Produccion_Ventas!DN$28*DN$102+Produccion_Ventas!DN$49*DN$103)*DN$108)</f>
        <v>127260</v>
      </c>
      <c r="DO111" s="13" t="n">
        <f aca="false">IF(DO$69=1,SUMIFS(dr_USD,dr_Mes,113,dr_Cod,"INS",dr_Est,"&lt;&gt;Excluido"),(Produccion_Ventas!DO$28*DO$102+Produccion_Ventas!DO$49*DO$103)*DO$108)</f>
        <v>127260</v>
      </c>
      <c r="DP111" s="13" t="n">
        <f aca="false">IF(DP$69=1,SUMIFS(dr_USD,dr_Mes,114,dr_Cod,"INS",dr_Est,"&lt;&gt;Excluido"),(Produccion_Ventas!DP$28*DP$102+Produccion_Ventas!DP$49*DP$103)*DP$108)</f>
        <v>127260</v>
      </c>
      <c r="DQ111" s="13" t="n">
        <f aca="false">IF(DQ$69=1,SUMIFS(dr_USD,dr_Mes,115,dr_Cod,"INS",dr_Est,"&lt;&gt;Excluido"),(Produccion_Ventas!DQ$28*DQ$102+Produccion_Ventas!DQ$49*DQ$103)*DQ$108)</f>
        <v>127260</v>
      </c>
      <c r="DR111" s="13" t="n">
        <f aca="false">IF(DR$69=1,SUMIFS(dr_USD,dr_Mes,116,dr_Cod,"INS",dr_Est,"&lt;&gt;Excluido"),(Produccion_Ventas!DR$28*DR$102+Produccion_Ventas!DR$49*DR$103)*DR$108)</f>
        <v>127260</v>
      </c>
      <c r="DS111" s="13" t="n">
        <f aca="false">IF(DS$69=1,SUMIFS(dr_USD,dr_Mes,117,dr_Cod,"INS",dr_Est,"&lt;&gt;Excluido"),(Produccion_Ventas!DS$28*DS$102+Produccion_Ventas!DS$49*DS$103)*DS$108)</f>
        <v>127260</v>
      </c>
      <c r="DT111" s="13" t="n">
        <f aca="false">IF(DT$69=1,SUMIFS(dr_USD,dr_Mes,118,dr_Cod,"INS",dr_Est,"&lt;&gt;Excluido"),(Produccion_Ventas!DT$28*DT$102+Produccion_Ventas!DT$49*DT$103)*DT$108)</f>
        <v>127260</v>
      </c>
      <c r="DU111" s="13" t="n">
        <f aca="false">IF(DU$69=1,SUMIFS(dr_USD,dr_Mes,119,dr_Cod,"INS",dr_Est,"&lt;&gt;Excluido"),(Produccion_Ventas!DU$28*DU$102+Produccion_Ventas!DU$49*DU$103)*DU$108)</f>
        <v>127260</v>
      </c>
      <c r="DV111" s="13" t="n">
        <f aca="false">IF(DV$69=1,SUMIFS(dr_USD,dr_Mes,120,dr_Cod,"INS",dr_Est,"&lt;&gt;Excluido"),(Produccion_Ventas!DV$28*DV$102+Produccion_Ventas!DV$49*DV$103)*DV$108)</f>
        <v>85421.095890411</v>
      </c>
      <c r="DW111" s="13" t="n">
        <f aca="false">IF(DW$69=1,SUMIFS(dr_USD,dr_Mes,121,dr_Cod,"INS",dr_Est,"&lt;&gt;Excluido"),(Produccion_Ventas!DW$28*DW$102+Produccion_Ventas!DW$49*DW$103)*DW$108)</f>
        <v>0</v>
      </c>
      <c r="DX111" s="13" t="n">
        <f aca="false">IF(DX$69=1,SUMIFS(dr_USD,dr_Mes,122,dr_Cod,"INS",dr_Est,"&lt;&gt;Excluido"),(Produccion_Ventas!DX$28*DX$102+Produccion_Ventas!DX$49*DX$103)*DX$108)</f>
        <v>0</v>
      </c>
      <c r="DY111" s="13" t="n">
        <f aca="false">IF(DY$69=1,SUMIFS(dr_USD,dr_Mes,123,dr_Cod,"INS",dr_Est,"&lt;&gt;Excluido"),(Produccion_Ventas!DY$28*DY$102+Produccion_Ventas!DY$49*DY$103)*DY$108)</f>
        <v>0</v>
      </c>
      <c r="DZ111" s="13" t="n">
        <f aca="false">IF(DZ$69=1,SUMIFS(dr_USD,dr_Mes,124,dr_Cod,"INS",dr_Est,"&lt;&gt;Excluido"),(Produccion_Ventas!DZ$28*DZ$102+Produccion_Ventas!DZ$49*DZ$103)*DZ$108)</f>
        <v>0</v>
      </c>
      <c r="EA111" s="13" t="n">
        <f aca="false">IF(EA$69=1,SUMIFS(dr_USD,dr_Mes,125,dr_Cod,"INS",dr_Est,"&lt;&gt;Excluido"),(Produccion_Ventas!EA$28*EA$102+Produccion_Ventas!EA$49*EA$103)*EA$108)</f>
        <v>0</v>
      </c>
      <c r="EB111" s="13" t="n">
        <f aca="false">IF(EB$69=1,SUMIFS(dr_USD,dr_Mes,126,dr_Cod,"INS",dr_Est,"&lt;&gt;Excluido"),(Produccion_Ventas!EB$28*EB$102+Produccion_Ventas!EB$49*EB$103)*EB$108)</f>
        <v>0</v>
      </c>
      <c r="EC111" s="13" t="n">
        <f aca="false">IF(EC$69=1,SUMIFS(dr_USD,dr_Mes,127,dr_Cod,"INS",dr_Est,"&lt;&gt;Excluido"),(Produccion_Ventas!EC$28*EC$102+Produccion_Ventas!EC$49*EC$103)*EC$108)</f>
        <v>0</v>
      </c>
      <c r="ED111" s="13" t="n">
        <f aca="false">IF(ED$69=1,SUMIFS(dr_USD,dr_Mes,128,dr_Cod,"INS",dr_Est,"&lt;&gt;Excluido"),(Produccion_Ventas!ED$28*ED$102+Produccion_Ventas!ED$49*ED$103)*ED$108)</f>
        <v>0</v>
      </c>
      <c r="EE111" s="13" t="n">
        <f aca="false">IF(EE$69=1,SUMIFS(dr_USD,dr_Mes,129,dr_Cod,"INS",dr_Est,"&lt;&gt;Excluido"),(Produccion_Ventas!EE$28*EE$102+Produccion_Ventas!EE$49*EE$103)*EE$108)</f>
        <v>0</v>
      </c>
      <c r="EF111" s="13" t="n">
        <f aca="false">IF(EF$69=1,SUMIFS(dr_USD,dr_Mes,130,dr_Cod,"INS",dr_Est,"&lt;&gt;Excluido"),(Produccion_Ventas!EF$28*EF$102+Produccion_Ventas!EF$49*EF$103)*EF$108)</f>
        <v>0</v>
      </c>
      <c r="EG111" s="13" t="n">
        <f aca="false">IF(EG$69=1,SUMIFS(dr_USD,dr_Mes,131,dr_Cod,"INS",dr_Est,"&lt;&gt;Excluido"),(Produccion_Ventas!EG$28*EG$102+Produccion_Ventas!EG$49*EG$103)*EG$108)</f>
        <v>0</v>
      </c>
      <c r="EH111" s="13" t="n">
        <f aca="false">IF(EH$69=1,SUMIFS(dr_USD,dr_Mes,132,dr_Cod,"INS",dr_Est,"&lt;&gt;Excluido"),(Produccion_Ventas!EH$28*EH$102+Produccion_Ventas!EH$49*EH$103)*EH$108)</f>
        <v>0</v>
      </c>
      <c r="EI111" s="13" t="n">
        <f aca="false">IF(EI$69=1,SUMIFS(dr_USD,dr_Mes,133,dr_Cod,"INS",dr_Est,"&lt;&gt;Excluido"),(Produccion_Ventas!EI$28*EI$102+Produccion_Ventas!EI$49*EI$103)*EI$108)</f>
        <v>0</v>
      </c>
      <c r="EJ111" s="13" t="n">
        <f aca="false">IF(EJ$69=1,SUMIFS(dr_USD,dr_Mes,134,dr_Cod,"INS",dr_Est,"&lt;&gt;Excluido"),(Produccion_Ventas!EJ$28*EJ$102+Produccion_Ventas!EJ$49*EJ$103)*EJ$108)</f>
        <v>0</v>
      </c>
      <c r="EK111" s="13" t="n">
        <f aca="false">IF(EK$69=1,SUMIFS(dr_USD,dr_Mes,135,dr_Cod,"INS",dr_Est,"&lt;&gt;Excluido"),(Produccion_Ventas!EK$28*EK$102+Produccion_Ventas!EK$49*EK$103)*EK$108)</f>
        <v>0</v>
      </c>
      <c r="EL111" s="13" t="n">
        <f aca="false">IF(EL$69=1,SUMIFS(dr_USD,dr_Mes,136,dr_Cod,"INS",dr_Est,"&lt;&gt;Excluido"),(Produccion_Ventas!EL$28*EL$102+Produccion_Ventas!EL$49*EL$103)*EL$108)</f>
        <v>0</v>
      </c>
      <c r="EM111" s="13" t="n">
        <f aca="false">IF(EM$69=1,SUMIFS(dr_USD,dr_Mes,137,dr_Cod,"INS",dr_Est,"&lt;&gt;Excluido"),(Produccion_Ventas!EM$28*EM$102+Produccion_Ventas!EM$49*EM$103)*EM$108)</f>
        <v>0</v>
      </c>
      <c r="EN111" s="13" t="n">
        <f aca="false">IF(EN$69=1,SUMIFS(dr_USD,dr_Mes,138,dr_Cod,"INS",dr_Est,"&lt;&gt;Excluido"),(Produccion_Ventas!EN$28*EN$102+Produccion_Ventas!EN$49*EN$103)*EN$108)</f>
        <v>0</v>
      </c>
      <c r="EO111" s="13" t="n">
        <f aca="false">IF(EO$69=1,SUMIFS(dr_USD,dr_Mes,139,dr_Cod,"INS",dr_Est,"&lt;&gt;Excluido"),(Produccion_Ventas!EO$28*EO$102+Produccion_Ventas!EO$49*EO$103)*EO$108)</f>
        <v>0</v>
      </c>
      <c r="EP111" s="13" t="n">
        <f aca="false">IF(EP$69=1,SUMIFS(dr_USD,dr_Mes,140,dr_Cod,"INS",dr_Est,"&lt;&gt;Excluido"),(Produccion_Ventas!EP$28*EP$102+Produccion_Ventas!EP$49*EP$103)*EP$108)</f>
        <v>0</v>
      </c>
      <c r="EQ111" s="13" t="n">
        <f aca="false">IF(EQ$69=1,SUMIFS(dr_USD,dr_Mes,141,dr_Cod,"INS",dr_Est,"&lt;&gt;Excluido"),(Produccion_Ventas!EQ$28*EQ$102+Produccion_Ventas!EQ$49*EQ$103)*EQ$108)</f>
        <v>0</v>
      </c>
      <c r="ER111" s="13" t="n">
        <f aca="false">IF(ER$69=1,SUMIFS(dr_USD,dr_Mes,142,dr_Cod,"INS",dr_Est,"&lt;&gt;Excluido"),(Produccion_Ventas!ER$28*ER$102+Produccion_Ventas!ER$49*ER$103)*ER$108)</f>
        <v>0</v>
      </c>
      <c r="ES111" s="13" t="n">
        <f aca="false">IF(ES$69=1,SUMIFS(dr_USD,dr_Mes,143,dr_Cod,"INS",dr_Est,"&lt;&gt;Excluido"),(Produccion_Ventas!ES$28*ES$102+Produccion_Ventas!ES$49*ES$103)*ES$108)</f>
        <v>0</v>
      </c>
      <c r="ET111" s="13" t="n">
        <f aca="false">IF(ET$69=1,SUMIFS(dr_USD,dr_Mes,144,dr_Cod,"INS",dr_Est,"&lt;&gt;Excluido"),(Produccion_Ventas!ET$28*ET$102+Produccion_Ventas!ET$49*ET$103)*ET$108)</f>
        <v>0</v>
      </c>
      <c r="EU111" s="13" t="n">
        <f aca="false">IF(EU$69=1,SUMIFS(dr_USD,dr_Mes,145,dr_Cod,"INS",dr_Est,"&lt;&gt;Excluido"),(Produccion_Ventas!EU$28*EU$102+Produccion_Ventas!EU$49*EU$103)*EU$108)</f>
        <v>0</v>
      </c>
      <c r="EV111" s="13" t="n">
        <f aca="false">IF(EV$69=1,SUMIFS(dr_USD,dr_Mes,146,dr_Cod,"INS",dr_Est,"&lt;&gt;Excluido"),(Produccion_Ventas!EV$28*EV$102+Produccion_Ventas!EV$49*EV$103)*EV$108)</f>
        <v>0</v>
      </c>
      <c r="EW111" s="13" t="n">
        <f aca="false">IF(EW$69=1,SUMIFS(dr_USD,dr_Mes,147,dr_Cod,"INS",dr_Est,"&lt;&gt;Excluido"),(Produccion_Ventas!EW$28*EW$102+Produccion_Ventas!EW$49*EW$103)*EW$108)</f>
        <v>0</v>
      </c>
      <c r="EX111" s="13" t="n">
        <f aca="false">IF(EX$69=1,SUMIFS(dr_USD,dr_Mes,148,dr_Cod,"INS",dr_Est,"&lt;&gt;Excluido"),(Produccion_Ventas!EX$28*EX$102+Produccion_Ventas!EX$49*EX$103)*EX$108)</f>
        <v>0</v>
      </c>
      <c r="EY111" s="13" t="n">
        <f aca="false">IF(EY$69=1,SUMIFS(dr_USD,dr_Mes,149,dr_Cod,"INS",dr_Est,"&lt;&gt;Excluido"),(Produccion_Ventas!EY$28*EY$102+Produccion_Ventas!EY$49*EY$103)*EY$108)</f>
        <v>0</v>
      </c>
      <c r="EZ111" s="13" t="n">
        <f aca="false">IF(EZ$69=1,SUMIFS(dr_USD,dr_Mes,150,dr_Cod,"INS",dr_Est,"&lt;&gt;Excluido"),(Produccion_Ventas!EZ$28*EZ$102+Produccion_Ventas!EZ$49*EZ$103)*EZ$108)</f>
        <v>0</v>
      </c>
      <c r="FA111" s="13" t="n">
        <f aca="false">IF(FA$69=1,SUMIFS(dr_USD,dr_Mes,151,dr_Cod,"INS",dr_Est,"&lt;&gt;Excluido"),(Produccion_Ventas!FA$28*FA$102+Produccion_Ventas!FA$49*FA$103)*FA$108)</f>
        <v>0</v>
      </c>
      <c r="FB111" s="13" t="n">
        <f aca="false">IF(FB$69=1,SUMIFS(dr_USD,dr_Mes,152,dr_Cod,"INS",dr_Est,"&lt;&gt;Excluido"),(Produccion_Ventas!FB$28*FB$102+Produccion_Ventas!FB$49*FB$103)*FB$108)</f>
        <v>0</v>
      </c>
      <c r="FC111" s="13" t="n">
        <f aca="false">IF(FC$69=1,SUMIFS(dr_USD,dr_Mes,153,dr_Cod,"INS",dr_Est,"&lt;&gt;Excluido"),(Produccion_Ventas!FC$28*FC$102+Produccion_Ventas!FC$49*FC$103)*FC$108)</f>
        <v>0</v>
      </c>
      <c r="FD111" s="13" t="n">
        <f aca="false">IF(FD$69=1,SUMIFS(dr_USD,dr_Mes,154,dr_Cod,"INS",dr_Est,"&lt;&gt;Excluido"),(Produccion_Ventas!FD$28*FD$102+Produccion_Ventas!FD$49*FD$103)*FD$108)</f>
        <v>0</v>
      </c>
      <c r="FE111" s="13" t="n">
        <f aca="false">IF(FE$69=1,SUMIFS(dr_USD,dr_Mes,155,dr_Cod,"INS",dr_Est,"&lt;&gt;Excluido"),(Produccion_Ventas!FE$28*FE$102+Produccion_Ventas!FE$49*FE$103)*FE$108)</f>
        <v>0</v>
      </c>
      <c r="FF111" s="13" t="n">
        <f aca="false">IF(FF$69=1,SUMIFS(dr_USD,dr_Mes,156,dr_Cod,"INS",dr_Est,"&lt;&gt;Excluido"),(Produccion_Ventas!FF$28*FF$102+Produccion_Ventas!FF$49*FF$103)*FF$108)</f>
        <v>0</v>
      </c>
    </row>
    <row r="112" customFormat="false" ht="15" hidden="false" customHeight="false" outlineLevel="0" collapsed="false">
      <c r="A112" s="2" t="s">
        <v>1073</v>
      </c>
      <c r="B112" s="8" t="s">
        <v>1074</v>
      </c>
      <c r="C112" s="8" t="s">
        <v>255</v>
      </c>
      <c r="E112" s="65" t="n">
        <f aca="false">SUM($F112:$FF112)</f>
        <v>1625692</v>
      </c>
      <c r="F112" s="13" t="n">
        <f aca="false">IF(F$69=1,SUMIFS(dr_USD,dr_Mes,0,dr_Cod,"CON",dr_Est,"&lt;&gt;Excluido"),Produccion_Ventas!F$28*F$104+Produccion_Ventas!F$49*F$105)</f>
        <v>0</v>
      </c>
      <c r="G112" s="13" t="n">
        <f aca="false">IF(G$69=1,SUMIFS(dr_USD,dr_Mes,1,dr_Cod,"CON",dr_Est,"&lt;&gt;Excluido"),Produccion_Ventas!G$28*G$104+Produccion_Ventas!G$49*G$105)</f>
        <v>11295.8493150685</v>
      </c>
      <c r="H112" s="13" t="n">
        <f aca="false">IF(H$69=1,SUMIFS(dr_USD,dr_Mes,2,dr_Cod,"CON",dr_Est,"&lt;&gt;Excluido"),Produccion_Ventas!H$28*H$104+Produccion_Ventas!H$49*H$105)</f>
        <v>8501</v>
      </c>
      <c r="I112" s="13" t="n">
        <f aca="false">IF(I$69=1,SUMIFS(dr_USD,dr_Mes,3,dr_Cod,"CON",dr_Est,"&lt;&gt;Excluido"),Produccion_Ventas!I$28*I$104+Produccion_Ventas!I$49*I$105)</f>
        <v>8501</v>
      </c>
      <c r="J112" s="13" t="n">
        <f aca="false">IF(J$69=1,SUMIFS(dr_USD,dr_Mes,4,dr_Cod,"CON",dr_Est,"&lt;&gt;Excluido"),Produccion_Ventas!J$28*J$104+Produccion_Ventas!J$49*J$105)</f>
        <v>8501</v>
      </c>
      <c r="K112" s="13" t="n">
        <f aca="false">IF(K$69=1,SUMIFS(dr_USD,dr_Mes,5,dr_Cod,"CON",dr_Est,"&lt;&gt;Excluido"),Produccion_Ventas!K$28*K$104+Produccion_Ventas!K$49*K$105)</f>
        <v>8501</v>
      </c>
      <c r="L112" s="13" t="n">
        <f aca="false">IF(L$69=1,SUMIFS(dr_USD,dr_Mes,6,dr_Cod,"CON",dr_Est,"&lt;&gt;Excluido"),Produccion_Ventas!L$28*L$104+Produccion_Ventas!L$49*L$105)</f>
        <v>8501</v>
      </c>
      <c r="M112" s="13" t="n">
        <f aca="false">IF(M$69=1,SUMIFS(dr_USD,dr_Mes,7,dr_Cod,"CON",dr_Est,"&lt;&gt;Excluido"),Produccion_Ventas!M$28*M$104+Produccion_Ventas!M$49*M$105)</f>
        <v>8501</v>
      </c>
      <c r="N112" s="13" t="n">
        <f aca="false">IF(N$69=1,SUMIFS(dr_USD,dr_Mes,8,dr_Cod,"CON",dr_Est,"&lt;&gt;Excluido"),Produccion_Ventas!N$28*N$104+Produccion_Ventas!N$49*N$105)</f>
        <v>8501</v>
      </c>
      <c r="O112" s="13" t="n">
        <f aca="false">IF(O$69=1,SUMIFS(dr_USD,dr_Mes,9,dr_Cod,"CON",dr_Est,"&lt;&gt;Excluido"),Produccion_Ventas!O$28*O$104+Produccion_Ventas!O$49*O$105)</f>
        <v>8501</v>
      </c>
      <c r="P112" s="13" t="n">
        <f aca="false">IF(P$69=1,SUMIFS(dr_USD,dr_Mes,10,dr_Cod,"CON",dr_Est,"&lt;&gt;Excluido"),Produccion_Ventas!P$28*P$104+Produccion_Ventas!P$49*P$105)</f>
        <v>8501</v>
      </c>
      <c r="Q112" s="13" t="n">
        <f aca="false">IF(Q$69=1,SUMIFS(dr_USD,dr_Mes,11,dr_Cod,"CON",dr_Est,"&lt;&gt;Excluido"),Produccion_Ventas!Q$28*Q$104+Produccion_Ventas!Q$49*Q$105)</f>
        <v>8501</v>
      </c>
      <c r="R112" s="13" t="n">
        <f aca="false">IF(R$69=1,SUMIFS(dr_USD,dr_Mes,12,dr_Cod,"CON",dr_Est,"&lt;&gt;Excluido"),Produccion_Ventas!R$28*R$104+Produccion_Ventas!R$49*R$105)</f>
        <v>9244.23287671233</v>
      </c>
      <c r="S112" s="13" t="n">
        <f aca="false">IF(S$69=1,SUMIFS(dr_USD,dr_Mes,13,dr_Cod,"CON",dr_Est,"&lt;&gt;Excluido"),Produccion_Ventas!S$28*S$104+Produccion_Ventas!S$49*S$105)</f>
        <v>10761.6666666667</v>
      </c>
      <c r="T112" s="13" t="n">
        <f aca="false">IF(T$69=1,SUMIFS(dr_USD,dr_Mes,14,dr_Cod,"CON",dr_Est,"&lt;&gt;Excluido"),Produccion_Ventas!T$28*T$104+Produccion_Ventas!T$49*T$105)</f>
        <v>10761.6666666667</v>
      </c>
      <c r="U112" s="13" t="n">
        <f aca="false">IF(U$69=1,SUMIFS(dr_USD,dr_Mes,15,dr_Cod,"CON",dr_Est,"&lt;&gt;Excluido"),Produccion_Ventas!U$28*U$104+Produccion_Ventas!U$49*U$105)</f>
        <v>10761.6666666667</v>
      </c>
      <c r="V112" s="13" t="n">
        <f aca="false">IF(V$69=1,SUMIFS(dr_USD,dr_Mes,16,dr_Cod,"CON",dr_Est,"&lt;&gt;Excluido"),Produccion_Ventas!V$28*V$104+Produccion_Ventas!V$49*V$105)</f>
        <v>10761.6666666667</v>
      </c>
      <c r="W112" s="13" t="n">
        <f aca="false">IF(W$69=1,SUMIFS(dr_USD,dr_Mes,17,dr_Cod,"CON",dr_Est,"&lt;&gt;Excluido"),Produccion_Ventas!W$28*W$104+Produccion_Ventas!W$49*W$105)</f>
        <v>10761.6666666667</v>
      </c>
      <c r="X112" s="13" t="n">
        <f aca="false">IF(X$69=1,SUMIFS(dr_USD,dr_Mes,18,dr_Cod,"CON",dr_Est,"&lt;&gt;Excluido"),Produccion_Ventas!X$28*X$104+Produccion_Ventas!X$49*X$105)</f>
        <v>10761.6666666667</v>
      </c>
      <c r="Y112" s="13" t="n">
        <f aca="false">IF(Y$69=1,SUMIFS(dr_USD,dr_Mes,19,dr_Cod,"CON",dr_Est,"&lt;&gt;Excluido"),Produccion_Ventas!Y$28*Y$104+Produccion_Ventas!Y$49*Y$105)</f>
        <v>10761.6666666667</v>
      </c>
      <c r="Z112" s="13" t="n">
        <f aca="false">IF(Z$69=1,SUMIFS(dr_USD,dr_Mes,20,dr_Cod,"CON",dr_Est,"&lt;&gt;Excluido"),Produccion_Ventas!Z$28*Z$104+Produccion_Ventas!Z$49*Z$105)</f>
        <v>10761.6666666667</v>
      </c>
      <c r="AA112" s="13" t="n">
        <f aca="false">IF(AA$69=1,SUMIFS(dr_USD,dr_Mes,21,dr_Cod,"CON",dr_Est,"&lt;&gt;Excluido"),Produccion_Ventas!AA$28*AA$104+Produccion_Ventas!AA$49*AA$105)</f>
        <v>10761.6666666667</v>
      </c>
      <c r="AB112" s="13" t="n">
        <f aca="false">IF(AB$69=1,SUMIFS(dr_USD,dr_Mes,22,dr_Cod,"CON",dr_Est,"&lt;&gt;Excluido"),Produccion_Ventas!AB$28*AB$104+Produccion_Ventas!AB$49*AB$105)</f>
        <v>10761.6666666667</v>
      </c>
      <c r="AC112" s="13" t="n">
        <f aca="false">IF(AC$69=1,SUMIFS(dr_USD,dr_Mes,23,dr_Cod,"CON",dr_Est,"&lt;&gt;Excluido"),Produccion_Ventas!AC$28*AC$104+Produccion_Ventas!AC$49*AC$105)</f>
        <v>10761.6666666667</v>
      </c>
      <c r="AD112" s="13" t="n">
        <f aca="false">IF(AD$69=1,SUMIFS(dr_USD,dr_Mes,24,dr_Cod,"CON",dr_Est,"&lt;&gt;Excluido"),Produccion_Ventas!AD$28*AD$104+Produccion_Ventas!AD$49*AD$105)</f>
        <v>11504.899543379</v>
      </c>
      <c r="AE112" s="13" t="n">
        <f aca="false">IF(AE$69=1,SUMIFS(dr_USD,dr_Mes,25,dr_Cod,"CON",dr_Est,"&lt;&gt;Excluido"),Produccion_Ventas!AE$28*AE$104+Produccion_Ventas!AE$49*AE$105)</f>
        <v>13022.3333333333</v>
      </c>
      <c r="AF112" s="13" t="n">
        <f aca="false">IF(AF$69=1,SUMIFS(dr_USD,dr_Mes,26,dr_Cod,"CON",dr_Est,"&lt;&gt;Excluido"),Produccion_Ventas!AF$28*AF$104+Produccion_Ventas!AF$49*AF$105)</f>
        <v>13022.3333333333</v>
      </c>
      <c r="AG112" s="13" t="n">
        <f aca="false">IF(AG$69=1,SUMIFS(dr_USD,dr_Mes,27,dr_Cod,"CON",dr_Est,"&lt;&gt;Excluido"),Produccion_Ventas!AG$28*AG$104+Produccion_Ventas!AG$49*AG$105)</f>
        <v>13022.3333333333</v>
      </c>
      <c r="AH112" s="13" t="n">
        <f aca="false">IF(AH$69=1,SUMIFS(dr_USD,dr_Mes,28,dr_Cod,"CON",dr_Est,"&lt;&gt;Excluido"),Produccion_Ventas!AH$28*AH$104+Produccion_Ventas!AH$49*AH$105)</f>
        <v>13022.3333333333</v>
      </c>
      <c r="AI112" s="13" t="n">
        <f aca="false">IF(AI$69=1,SUMIFS(dr_USD,dr_Mes,29,dr_Cod,"CON",dr_Est,"&lt;&gt;Excluido"),Produccion_Ventas!AI$28*AI$104+Produccion_Ventas!AI$49*AI$105)</f>
        <v>13022.3333333333</v>
      </c>
      <c r="AJ112" s="13" t="n">
        <f aca="false">IF(AJ$69=1,SUMIFS(dr_USD,dr_Mes,30,dr_Cod,"CON",dr_Est,"&lt;&gt;Excluido"),Produccion_Ventas!AJ$28*AJ$104+Produccion_Ventas!AJ$49*AJ$105)</f>
        <v>13022.3333333333</v>
      </c>
      <c r="AK112" s="13" t="n">
        <f aca="false">IF(AK$69=1,SUMIFS(dr_USD,dr_Mes,31,dr_Cod,"CON",dr_Est,"&lt;&gt;Excluido"),Produccion_Ventas!AK$28*AK$104+Produccion_Ventas!AK$49*AK$105)</f>
        <v>13022.3333333333</v>
      </c>
      <c r="AL112" s="13" t="n">
        <f aca="false">IF(AL$69=1,SUMIFS(dr_USD,dr_Mes,32,dr_Cod,"CON",dr_Est,"&lt;&gt;Excluido"),Produccion_Ventas!AL$28*AL$104+Produccion_Ventas!AL$49*AL$105)</f>
        <v>13022.3333333333</v>
      </c>
      <c r="AM112" s="13" t="n">
        <f aca="false">IF(AM$69=1,SUMIFS(dr_USD,dr_Mes,33,dr_Cod,"CON",dr_Est,"&lt;&gt;Excluido"),Produccion_Ventas!AM$28*AM$104+Produccion_Ventas!AM$49*AM$105)</f>
        <v>13022.3333333333</v>
      </c>
      <c r="AN112" s="13" t="n">
        <f aca="false">IF(AN$69=1,SUMIFS(dr_USD,dr_Mes,34,dr_Cod,"CON",dr_Est,"&lt;&gt;Excluido"),Produccion_Ventas!AN$28*AN$104+Produccion_Ventas!AN$49*AN$105)</f>
        <v>13022.3333333333</v>
      </c>
      <c r="AO112" s="13" t="n">
        <f aca="false">IF(AO$69=1,SUMIFS(dr_USD,dr_Mes,35,dr_Cod,"CON",dr_Est,"&lt;&gt;Excluido"),Produccion_Ventas!AO$28*AO$104+Produccion_Ventas!AO$49*AO$105)</f>
        <v>13022.3333333333</v>
      </c>
      <c r="AP112" s="13" t="n">
        <f aca="false">IF(AP$69=1,SUMIFS(dr_USD,dr_Mes,36,dr_Cod,"CON",dr_Est,"&lt;&gt;Excluido"),Produccion_Ventas!AP$28*AP$104+Produccion_Ventas!AP$49*AP$105)</f>
        <v>13587.4840182648</v>
      </c>
      <c r="AQ112" s="13" t="n">
        <f aca="false">IF(AQ$69=1,SUMIFS(dr_USD,dr_Mes,37,dr_Cod,"CON",dr_Est,"&lt;&gt;Excluido"),Produccion_Ventas!AQ$28*AQ$104+Produccion_Ventas!AQ$49*AQ$105)</f>
        <v>14741.3333333333</v>
      </c>
      <c r="AR112" s="13" t="n">
        <f aca="false">IF(AR$69=1,SUMIFS(dr_USD,dr_Mes,38,dr_Cod,"CON",dr_Est,"&lt;&gt;Excluido"),Produccion_Ventas!AR$28*AR$104+Produccion_Ventas!AR$49*AR$105)</f>
        <v>14741.3333333333</v>
      </c>
      <c r="AS112" s="13" t="n">
        <f aca="false">IF(AS$69=1,SUMIFS(dr_USD,dr_Mes,39,dr_Cod,"CON",dr_Est,"&lt;&gt;Excluido"),Produccion_Ventas!AS$28*AS$104+Produccion_Ventas!AS$49*AS$105)</f>
        <v>14741.3333333333</v>
      </c>
      <c r="AT112" s="13" t="n">
        <f aca="false">IF(AT$69=1,SUMIFS(dr_USD,dr_Mes,40,dr_Cod,"CON",dr_Est,"&lt;&gt;Excluido"),Produccion_Ventas!AT$28*AT$104+Produccion_Ventas!AT$49*AT$105)</f>
        <v>14741.3333333333</v>
      </c>
      <c r="AU112" s="13" t="n">
        <f aca="false">IF(AU$69=1,SUMIFS(dr_USD,dr_Mes,41,dr_Cod,"CON",dr_Est,"&lt;&gt;Excluido"),Produccion_Ventas!AU$28*AU$104+Produccion_Ventas!AU$49*AU$105)</f>
        <v>14741.3333333333</v>
      </c>
      <c r="AV112" s="13" t="n">
        <f aca="false">IF(AV$69=1,SUMIFS(dr_USD,dr_Mes,42,dr_Cod,"CON",dr_Est,"&lt;&gt;Excluido"),Produccion_Ventas!AV$28*AV$104+Produccion_Ventas!AV$49*AV$105)</f>
        <v>14741.3333333333</v>
      </c>
      <c r="AW112" s="13" t="n">
        <f aca="false">IF(AW$69=1,SUMIFS(dr_USD,dr_Mes,43,dr_Cod,"CON",dr_Est,"&lt;&gt;Excluido"),Produccion_Ventas!AW$28*AW$104+Produccion_Ventas!AW$49*AW$105)</f>
        <v>14741.3333333333</v>
      </c>
      <c r="AX112" s="13" t="n">
        <f aca="false">IF(AX$69=1,SUMIFS(dr_USD,dr_Mes,44,dr_Cod,"CON",dr_Est,"&lt;&gt;Excluido"),Produccion_Ventas!AX$28*AX$104+Produccion_Ventas!AX$49*AX$105)</f>
        <v>14741.3333333333</v>
      </c>
      <c r="AY112" s="13" t="n">
        <f aca="false">IF(AY$69=1,SUMIFS(dr_USD,dr_Mes,45,dr_Cod,"CON",dr_Est,"&lt;&gt;Excluido"),Produccion_Ventas!AY$28*AY$104+Produccion_Ventas!AY$49*AY$105)</f>
        <v>14741.3333333333</v>
      </c>
      <c r="AZ112" s="13" t="n">
        <f aca="false">IF(AZ$69=1,SUMIFS(dr_USD,dr_Mes,46,dr_Cod,"CON",dr_Est,"&lt;&gt;Excluido"),Produccion_Ventas!AZ$28*AZ$104+Produccion_Ventas!AZ$49*AZ$105)</f>
        <v>14741.3333333333</v>
      </c>
      <c r="BA112" s="13" t="n">
        <f aca="false">IF(BA$69=1,SUMIFS(dr_USD,dr_Mes,47,dr_Cod,"CON",dr_Est,"&lt;&gt;Excluido"),Produccion_Ventas!BA$28*BA$104+Produccion_Ventas!BA$49*BA$105)</f>
        <v>14741.3333333333</v>
      </c>
      <c r="BB112" s="13" t="n">
        <f aca="false">IF(BB$69=1,SUMIFS(dr_USD,dr_Mes,48,dr_Cod,"CON",dr_Est,"&lt;&gt;Excluido"),Produccion_Ventas!BB$28*BB$104+Produccion_Ventas!BB$49*BB$105)</f>
        <v>14741.3333333333</v>
      </c>
      <c r="BC112" s="13" t="n">
        <f aca="false">IF(BC$69=1,SUMIFS(dr_USD,dr_Mes,49,dr_Cod,"CON",dr_Est,"&lt;&gt;Excluido"),Produccion_Ventas!BC$28*BC$104+Produccion_Ventas!BC$49*BC$105)</f>
        <v>14741.3333333333</v>
      </c>
      <c r="BD112" s="13" t="n">
        <f aca="false">IF(BD$69=1,SUMIFS(dr_USD,dr_Mes,50,dr_Cod,"CON",dr_Est,"&lt;&gt;Excluido"),Produccion_Ventas!BD$28*BD$104+Produccion_Ventas!BD$49*BD$105)</f>
        <v>14741.3333333333</v>
      </c>
      <c r="BE112" s="13" t="n">
        <f aca="false">IF(BE$69=1,SUMIFS(dr_USD,dr_Mes,51,dr_Cod,"CON",dr_Est,"&lt;&gt;Excluido"),Produccion_Ventas!BE$28*BE$104+Produccion_Ventas!BE$49*BE$105)</f>
        <v>14741.3333333333</v>
      </c>
      <c r="BF112" s="13" t="n">
        <f aca="false">IF(BF$69=1,SUMIFS(dr_USD,dr_Mes,52,dr_Cod,"CON",dr_Est,"&lt;&gt;Excluido"),Produccion_Ventas!BF$28*BF$104+Produccion_Ventas!BF$49*BF$105)</f>
        <v>14741.3333333333</v>
      </c>
      <c r="BG112" s="13" t="n">
        <f aca="false">IF(BG$69=1,SUMIFS(dr_USD,dr_Mes,53,dr_Cod,"CON",dr_Est,"&lt;&gt;Excluido"),Produccion_Ventas!BG$28*BG$104+Produccion_Ventas!BG$49*BG$105)</f>
        <v>14741.3333333333</v>
      </c>
      <c r="BH112" s="13" t="n">
        <f aca="false">IF(BH$69=1,SUMIFS(dr_USD,dr_Mes,54,dr_Cod,"CON",dr_Est,"&lt;&gt;Excluido"),Produccion_Ventas!BH$28*BH$104+Produccion_Ventas!BH$49*BH$105)</f>
        <v>14741.3333333333</v>
      </c>
      <c r="BI112" s="13" t="n">
        <f aca="false">IF(BI$69=1,SUMIFS(dr_USD,dr_Mes,55,dr_Cod,"CON",dr_Est,"&lt;&gt;Excluido"),Produccion_Ventas!BI$28*BI$104+Produccion_Ventas!BI$49*BI$105)</f>
        <v>14741.3333333333</v>
      </c>
      <c r="BJ112" s="13" t="n">
        <f aca="false">IF(BJ$69=1,SUMIFS(dr_USD,dr_Mes,56,dr_Cod,"CON",dr_Est,"&lt;&gt;Excluido"),Produccion_Ventas!BJ$28*BJ$104+Produccion_Ventas!BJ$49*BJ$105)</f>
        <v>14741.3333333333</v>
      </c>
      <c r="BK112" s="13" t="n">
        <f aca="false">IF(BK$69=1,SUMIFS(dr_USD,dr_Mes,57,dr_Cod,"CON",dr_Est,"&lt;&gt;Excluido"),Produccion_Ventas!BK$28*BK$104+Produccion_Ventas!BK$49*BK$105)</f>
        <v>14741.3333333333</v>
      </c>
      <c r="BL112" s="13" t="n">
        <f aca="false">IF(BL$69=1,SUMIFS(dr_USD,dr_Mes,58,dr_Cod,"CON",dr_Est,"&lt;&gt;Excluido"),Produccion_Ventas!BL$28*BL$104+Produccion_Ventas!BL$49*BL$105)</f>
        <v>14741.3333333333</v>
      </c>
      <c r="BM112" s="13" t="n">
        <f aca="false">IF(BM$69=1,SUMIFS(dr_USD,dr_Mes,59,dr_Cod,"CON",dr_Est,"&lt;&gt;Excluido"),Produccion_Ventas!BM$28*BM$104+Produccion_Ventas!BM$49*BM$105)</f>
        <v>14741.3333333333</v>
      </c>
      <c r="BN112" s="13" t="n">
        <f aca="false">IF(BN$69=1,SUMIFS(dr_USD,dr_Mes,60,dr_Cod,"CON",dr_Est,"&lt;&gt;Excluido"),Produccion_Ventas!BN$28*BN$104+Produccion_Ventas!BN$49*BN$105)</f>
        <v>14741.3333333333</v>
      </c>
      <c r="BO112" s="13" t="n">
        <f aca="false">IF(BO$69=1,SUMIFS(dr_USD,dr_Mes,61,dr_Cod,"CON",dr_Est,"&lt;&gt;Excluido"),Produccion_Ventas!BO$28*BO$104+Produccion_Ventas!BO$49*BO$105)</f>
        <v>14741.3333333333</v>
      </c>
      <c r="BP112" s="13" t="n">
        <f aca="false">IF(BP$69=1,SUMIFS(dr_USD,dr_Mes,62,dr_Cod,"CON",dr_Est,"&lt;&gt;Excluido"),Produccion_Ventas!BP$28*BP$104+Produccion_Ventas!BP$49*BP$105)</f>
        <v>14741.3333333333</v>
      </c>
      <c r="BQ112" s="13" t="n">
        <f aca="false">IF(BQ$69=1,SUMIFS(dr_USD,dr_Mes,63,dr_Cod,"CON",dr_Est,"&lt;&gt;Excluido"),Produccion_Ventas!BQ$28*BQ$104+Produccion_Ventas!BQ$49*BQ$105)</f>
        <v>14741.3333333333</v>
      </c>
      <c r="BR112" s="13" t="n">
        <f aca="false">IF(BR$69=1,SUMIFS(dr_USD,dr_Mes,64,dr_Cod,"CON",dr_Est,"&lt;&gt;Excluido"),Produccion_Ventas!BR$28*BR$104+Produccion_Ventas!BR$49*BR$105)</f>
        <v>14741.3333333333</v>
      </c>
      <c r="BS112" s="13" t="n">
        <f aca="false">IF(BS$69=1,SUMIFS(dr_USD,dr_Mes,65,dr_Cod,"CON",dr_Est,"&lt;&gt;Excluido"),Produccion_Ventas!BS$28*BS$104+Produccion_Ventas!BS$49*BS$105)</f>
        <v>14741.3333333333</v>
      </c>
      <c r="BT112" s="13" t="n">
        <f aca="false">IF(BT$69=1,SUMIFS(dr_USD,dr_Mes,66,dr_Cod,"CON",dr_Est,"&lt;&gt;Excluido"),Produccion_Ventas!BT$28*BT$104+Produccion_Ventas!BT$49*BT$105)</f>
        <v>14741.3333333333</v>
      </c>
      <c r="BU112" s="13" t="n">
        <f aca="false">IF(BU$69=1,SUMIFS(dr_USD,dr_Mes,67,dr_Cod,"CON",dr_Est,"&lt;&gt;Excluido"),Produccion_Ventas!BU$28*BU$104+Produccion_Ventas!BU$49*BU$105)</f>
        <v>14741.3333333333</v>
      </c>
      <c r="BV112" s="13" t="n">
        <f aca="false">IF(BV$69=1,SUMIFS(dr_USD,dr_Mes,68,dr_Cod,"CON",dr_Est,"&lt;&gt;Excluido"),Produccion_Ventas!BV$28*BV$104+Produccion_Ventas!BV$49*BV$105)</f>
        <v>14741.3333333333</v>
      </c>
      <c r="BW112" s="13" t="n">
        <f aca="false">IF(BW$69=1,SUMIFS(dr_USD,dr_Mes,69,dr_Cod,"CON",dr_Est,"&lt;&gt;Excluido"),Produccion_Ventas!BW$28*BW$104+Produccion_Ventas!BW$49*BW$105)</f>
        <v>14741.3333333333</v>
      </c>
      <c r="BX112" s="13" t="n">
        <f aca="false">IF(BX$69=1,SUMIFS(dr_USD,dr_Mes,70,dr_Cod,"CON",dr_Est,"&lt;&gt;Excluido"),Produccion_Ventas!BX$28*BX$104+Produccion_Ventas!BX$49*BX$105)</f>
        <v>14741.3333333333</v>
      </c>
      <c r="BY112" s="13" t="n">
        <f aca="false">IF(BY$69=1,SUMIFS(dr_USD,dr_Mes,71,dr_Cod,"CON",dr_Est,"&lt;&gt;Excluido"),Produccion_Ventas!BY$28*BY$104+Produccion_Ventas!BY$49*BY$105)</f>
        <v>14741.3333333333</v>
      </c>
      <c r="BZ112" s="13" t="n">
        <f aca="false">IF(BZ$69=1,SUMIFS(dr_USD,dr_Mes,72,dr_Cod,"CON",dr_Est,"&lt;&gt;Excluido"),Produccion_Ventas!BZ$28*BZ$104+Produccion_Ventas!BZ$49*BZ$105)</f>
        <v>14741.3333333333</v>
      </c>
      <c r="CA112" s="13" t="n">
        <f aca="false">IF(CA$69=1,SUMIFS(dr_USD,dr_Mes,73,dr_Cod,"CON",dr_Est,"&lt;&gt;Excluido"),Produccion_Ventas!CA$28*CA$104+Produccion_Ventas!CA$49*CA$105)</f>
        <v>14741.3333333333</v>
      </c>
      <c r="CB112" s="13" t="n">
        <f aca="false">IF(CB$69=1,SUMIFS(dr_USD,dr_Mes,74,dr_Cod,"CON",dr_Est,"&lt;&gt;Excluido"),Produccion_Ventas!CB$28*CB$104+Produccion_Ventas!CB$49*CB$105)</f>
        <v>14741.3333333333</v>
      </c>
      <c r="CC112" s="13" t="n">
        <f aca="false">IF(CC$69=1,SUMIFS(dr_USD,dr_Mes,75,dr_Cod,"CON",dr_Est,"&lt;&gt;Excluido"),Produccion_Ventas!CC$28*CC$104+Produccion_Ventas!CC$49*CC$105)</f>
        <v>14741.3333333333</v>
      </c>
      <c r="CD112" s="13" t="n">
        <f aca="false">IF(CD$69=1,SUMIFS(dr_USD,dr_Mes,76,dr_Cod,"CON",dr_Est,"&lt;&gt;Excluido"),Produccion_Ventas!CD$28*CD$104+Produccion_Ventas!CD$49*CD$105)</f>
        <v>14741.3333333333</v>
      </c>
      <c r="CE112" s="13" t="n">
        <f aca="false">IF(CE$69=1,SUMIFS(dr_USD,dr_Mes,77,dr_Cod,"CON",dr_Est,"&lt;&gt;Excluido"),Produccion_Ventas!CE$28*CE$104+Produccion_Ventas!CE$49*CE$105)</f>
        <v>14741.3333333333</v>
      </c>
      <c r="CF112" s="13" t="n">
        <f aca="false">IF(CF$69=1,SUMIFS(dr_USD,dr_Mes,78,dr_Cod,"CON",dr_Est,"&lt;&gt;Excluido"),Produccion_Ventas!CF$28*CF$104+Produccion_Ventas!CF$49*CF$105)</f>
        <v>14741.3333333333</v>
      </c>
      <c r="CG112" s="13" t="n">
        <f aca="false">IF(CG$69=1,SUMIFS(dr_USD,dr_Mes,79,dr_Cod,"CON",dr_Est,"&lt;&gt;Excluido"),Produccion_Ventas!CG$28*CG$104+Produccion_Ventas!CG$49*CG$105)</f>
        <v>14741.3333333333</v>
      </c>
      <c r="CH112" s="13" t="n">
        <f aca="false">IF(CH$69=1,SUMIFS(dr_USD,dr_Mes,80,dr_Cod,"CON",dr_Est,"&lt;&gt;Excluido"),Produccion_Ventas!CH$28*CH$104+Produccion_Ventas!CH$49*CH$105)</f>
        <v>14741.3333333333</v>
      </c>
      <c r="CI112" s="13" t="n">
        <f aca="false">IF(CI$69=1,SUMIFS(dr_USD,dr_Mes,81,dr_Cod,"CON",dr_Est,"&lt;&gt;Excluido"),Produccion_Ventas!CI$28*CI$104+Produccion_Ventas!CI$49*CI$105)</f>
        <v>14741.3333333333</v>
      </c>
      <c r="CJ112" s="13" t="n">
        <f aca="false">IF(CJ$69=1,SUMIFS(dr_USD,dr_Mes,82,dr_Cod,"CON",dr_Est,"&lt;&gt;Excluido"),Produccion_Ventas!CJ$28*CJ$104+Produccion_Ventas!CJ$49*CJ$105)</f>
        <v>14741.3333333333</v>
      </c>
      <c r="CK112" s="13" t="n">
        <f aca="false">IF(CK$69=1,SUMIFS(dr_USD,dr_Mes,83,dr_Cod,"CON",dr_Est,"&lt;&gt;Excluido"),Produccion_Ventas!CK$28*CK$104+Produccion_Ventas!CK$49*CK$105)</f>
        <v>14741.3333333333</v>
      </c>
      <c r="CL112" s="13" t="n">
        <f aca="false">IF(CL$69=1,SUMIFS(dr_USD,dr_Mes,84,dr_Cod,"CON",dr_Est,"&lt;&gt;Excluido"),Produccion_Ventas!CL$28*CL$104+Produccion_Ventas!CL$49*CL$105)</f>
        <v>14741.3333333333</v>
      </c>
      <c r="CM112" s="13" t="n">
        <f aca="false">IF(CM$69=1,SUMIFS(dr_USD,dr_Mes,85,dr_Cod,"CON",dr_Est,"&lt;&gt;Excluido"),Produccion_Ventas!CM$28*CM$104+Produccion_Ventas!CM$49*CM$105)</f>
        <v>14741.3333333333</v>
      </c>
      <c r="CN112" s="13" t="n">
        <f aca="false">IF(CN$69=1,SUMIFS(dr_USD,dr_Mes,86,dr_Cod,"CON",dr_Est,"&lt;&gt;Excluido"),Produccion_Ventas!CN$28*CN$104+Produccion_Ventas!CN$49*CN$105)</f>
        <v>14741.3333333333</v>
      </c>
      <c r="CO112" s="13" t="n">
        <f aca="false">IF(CO$69=1,SUMIFS(dr_USD,dr_Mes,87,dr_Cod,"CON",dr_Est,"&lt;&gt;Excluido"),Produccion_Ventas!CO$28*CO$104+Produccion_Ventas!CO$49*CO$105)</f>
        <v>14741.3333333333</v>
      </c>
      <c r="CP112" s="13" t="n">
        <f aca="false">IF(CP$69=1,SUMIFS(dr_USD,dr_Mes,88,dr_Cod,"CON",dr_Est,"&lt;&gt;Excluido"),Produccion_Ventas!CP$28*CP$104+Produccion_Ventas!CP$49*CP$105)</f>
        <v>14741.3333333333</v>
      </c>
      <c r="CQ112" s="13" t="n">
        <f aca="false">IF(CQ$69=1,SUMIFS(dr_USD,dr_Mes,89,dr_Cod,"CON",dr_Est,"&lt;&gt;Excluido"),Produccion_Ventas!CQ$28*CQ$104+Produccion_Ventas!CQ$49*CQ$105)</f>
        <v>14741.3333333333</v>
      </c>
      <c r="CR112" s="13" t="n">
        <f aca="false">IF(CR$69=1,SUMIFS(dr_USD,dr_Mes,90,dr_Cod,"CON",dr_Est,"&lt;&gt;Excluido"),Produccion_Ventas!CR$28*CR$104+Produccion_Ventas!CR$49*CR$105)</f>
        <v>14741.3333333333</v>
      </c>
      <c r="CS112" s="13" t="n">
        <f aca="false">IF(CS$69=1,SUMIFS(dr_USD,dr_Mes,91,dr_Cod,"CON",dr_Est,"&lt;&gt;Excluido"),Produccion_Ventas!CS$28*CS$104+Produccion_Ventas!CS$49*CS$105)</f>
        <v>14741.3333333333</v>
      </c>
      <c r="CT112" s="13" t="n">
        <f aca="false">IF(CT$69=1,SUMIFS(dr_USD,dr_Mes,92,dr_Cod,"CON",dr_Est,"&lt;&gt;Excluido"),Produccion_Ventas!CT$28*CT$104+Produccion_Ventas!CT$49*CT$105)</f>
        <v>14741.3333333333</v>
      </c>
      <c r="CU112" s="13" t="n">
        <f aca="false">IF(CU$69=1,SUMIFS(dr_USD,dr_Mes,93,dr_Cod,"CON",dr_Est,"&lt;&gt;Excluido"),Produccion_Ventas!CU$28*CU$104+Produccion_Ventas!CU$49*CU$105)</f>
        <v>14741.3333333333</v>
      </c>
      <c r="CV112" s="13" t="n">
        <f aca="false">IF(CV$69=1,SUMIFS(dr_USD,dr_Mes,94,dr_Cod,"CON",dr_Est,"&lt;&gt;Excluido"),Produccion_Ventas!CV$28*CV$104+Produccion_Ventas!CV$49*CV$105)</f>
        <v>14741.3333333333</v>
      </c>
      <c r="CW112" s="13" t="n">
        <f aca="false">IF(CW$69=1,SUMIFS(dr_USD,dr_Mes,95,dr_Cod,"CON",dr_Est,"&lt;&gt;Excluido"),Produccion_Ventas!CW$28*CW$104+Produccion_Ventas!CW$49*CW$105)</f>
        <v>14741.3333333333</v>
      </c>
      <c r="CX112" s="13" t="n">
        <f aca="false">IF(CX$69=1,SUMIFS(dr_USD,dr_Mes,96,dr_Cod,"CON",dr_Est,"&lt;&gt;Excluido"),Produccion_Ventas!CX$28*CX$104+Produccion_Ventas!CX$49*CX$105)</f>
        <v>14741.3333333333</v>
      </c>
      <c r="CY112" s="13" t="n">
        <f aca="false">IF(CY$69=1,SUMIFS(dr_USD,dr_Mes,97,dr_Cod,"CON",dr_Est,"&lt;&gt;Excluido"),Produccion_Ventas!CY$28*CY$104+Produccion_Ventas!CY$49*CY$105)</f>
        <v>14741.3333333333</v>
      </c>
      <c r="CZ112" s="13" t="n">
        <f aca="false">IF(CZ$69=1,SUMIFS(dr_USD,dr_Mes,98,dr_Cod,"CON",dr_Est,"&lt;&gt;Excluido"),Produccion_Ventas!CZ$28*CZ$104+Produccion_Ventas!CZ$49*CZ$105)</f>
        <v>14741.3333333333</v>
      </c>
      <c r="DA112" s="13" t="n">
        <f aca="false">IF(DA$69=1,SUMIFS(dr_USD,dr_Mes,99,dr_Cod,"CON",dr_Est,"&lt;&gt;Excluido"),Produccion_Ventas!DA$28*DA$104+Produccion_Ventas!DA$49*DA$105)</f>
        <v>14741.3333333333</v>
      </c>
      <c r="DB112" s="13" t="n">
        <f aca="false">IF(DB$69=1,SUMIFS(dr_USD,dr_Mes,100,dr_Cod,"CON",dr_Est,"&lt;&gt;Excluido"),Produccion_Ventas!DB$28*DB$104+Produccion_Ventas!DB$49*DB$105)</f>
        <v>14741.3333333333</v>
      </c>
      <c r="DC112" s="13" t="n">
        <f aca="false">IF(DC$69=1,SUMIFS(dr_USD,dr_Mes,101,dr_Cod,"CON",dr_Est,"&lt;&gt;Excluido"),Produccion_Ventas!DC$28*DC$104+Produccion_Ventas!DC$49*DC$105)</f>
        <v>14741.3333333333</v>
      </c>
      <c r="DD112" s="13" t="n">
        <f aca="false">IF(DD$69=1,SUMIFS(dr_USD,dr_Mes,102,dr_Cod,"CON",dr_Est,"&lt;&gt;Excluido"),Produccion_Ventas!DD$28*DD$104+Produccion_Ventas!DD$49*DD$105)</f>
        <v>14741.3333333333</v>
      </c>
      <c r="DE112" s="13" t="n">
        <f aca="false">IF(DE$69=1,SUMIFS(dr_USD,dr_Mes,103,dr_Cod,"CON",dr_Est,"&lt;&gt;Excluido"),Produccion_Ventas!DE$28*DE$104+Produccion_Ventas!DE$49*DE$105)</f>
        <v>14741.3333333333</v>
      </c>
      <c r="DF112" s="13" t="n">
        <f aca="false">IF(DF$69=1,SUMIFS(dr_USD,dr_Mes,104,dr_Cod,"CON",dr_Est,"&lt;&gt;Excluido"),Produccion_Ventas!DF$28*DF$104+Produccion_Ventas!DF$49*DF$105)</f>
        <v>14741.3333333333</v>
      </c>
      <c r="DG112" s="13" t="n">
        <f aca="false">IF(DG$69=1,SUMIFS(dr_USD,dr_Mes,105,dr_Cod,"CON",dr_Est,"&lt;&gt;Excluido"),Produccion_Ventas!DG$28*DG$104+Produccion_Ventas!DG$49*DG$105)</f>
        <v>14741.3333333333</v>
      </c>
      <c r="DH112" s="13" t="n">
        <f aca="false">IF(DH$69=1,SUMIFS(dr_USD,dr_Mes,106,dr_Cod,"CON",dr_Est,"&lt;&gt;Excluido"),Produccion_Ventas!DH$28*DH$104+Produccion_Ventas!DH$49*DH$105)</f>
        <v>14741.3333333333</v>
      </c>
      <c r="DI112" s="13" t="n">
        <f aca="false">IF(DI$69=1,SUMIFS(dr_USD,dr_Mes,107,dr_Cod,"CON",dr_Est,"&lt;&gt;Excluido"),Produccion_Ventas!DI$28*DI$104+Produccion_Ventas!DI$49*DI$105)</f>
        <v>14741.3333333333</v>
      </c>
      <c r="DJ112" s="13" t="n">
        <f aca="false">IF(DJ$69=1,SUMIFS(dr_USD,dr_Mes,108,dr_Cod,"CON",dr_Est,"&lt;&gt;Excluido"),Produccion_Ventas!DJ$28*DJ$104+Produccion_Ventas!DJ$49*DJ$105)</f>
        <v>14741.3333333333</v>
      </c>
      <c r="DK112" s="13" t="n">
        <f aca="false">IF(DK$69=1,SUMIFS(dr_USD,dr_Mes,109,dr_Cod,"CON",dr_Est,"&lt;&gt;Excluido"),Produccion_Ventas!DK$28*DK$104+Produccion_Ventas!DK$49*DK$105)</f>
        <v>14741.3333333333</v>
      </c>
      <c r="DL112" s="13" t="n">
        <f aca="false">IF(DL$69=1,SUMIFS(dr_USD,dr_Mes,110,dr_Cod,"CON",dr_Est,"&lt;&gt;Excluido"),Produccion_Ventas!DL$28*DL$104+Produccion_Ventas!DL$49*DL$105)</f>
        <v>14741.3333333333</v>
      </c>
      <c r="DM112" s="13" t="n">
        <f aca="false">IF(DM$69=1,SUMIFS(dr_USD,dr_Mes,111,dr_Cod,"CON",dr_Est,"&lt;&gt;Excluido"),Produccion_Ventas!DM$28*DM$104+Produccion_Ventas!DM$49*DM$105)</f>
        <v>14741.3333333333</v>
      </c>
      <c r="DN112" s="13" t="n">
        <f aca="false">IF(DN$69=1,SUMIFS(dr_USD,dr_Mes,112,dr_Cod,"CON",dr_Est,"&lt;&gt;Excluido"),Produccion_Ventas!DN$28*DN$104+Produccion_Ventas!DN$49*DN$105)</f>
        <v>14741.3333333333</v>
      </c>
      <c r="DO112" s="13" t="n">
        <f aca="false">IF(DO$69=1,SUMIFS(dr_USD,dr_Mes,113,dr_Cod,"CON",dr_Est,"&lt;&gt;Excluido"),Produccion_Ventas!DO$28*DO$104+Produccion_Ventas!DO$49*DO$105)</f>
        <v>14741.3333333333</v>
      </c>
      <c r="DP112" s="13" t="n">
        <f aca="false">IF(DP$69=1,SUMIFS(dr_USD,dr_Mes,114,dr_Cod,"CON",dr_Est,"&lt;&gt;Excluido"),Produccion_Ventas!DP$28*DP$104+Produccion_Ventas!DP$49*DP$105)</f>
        <v>14741.3333333333</v>
      </c>
      <c r="DQ112" s="13" t="n">
        <f aca="false">IF(DQ$69=1,SUMIFS(dr_USD,dr_Mes,115,dr_Cod,"CON",dr_Est,"&lt;&gt;Excluido"),Produccion_Ventas!DQ$28*DQ$104+Produccion_Ventas!DQ$49*DQ$105)</f>
        <v>14741.3333333333</v>
      </c>
      <c r="DR112" s="13" t="n">
        <f aca="false">IF(DR$69=1,SUMIFS(dr_USD,dr_Mes,116,dr_Cod,"CON",dr_Est,"&lt;&gt;Excluido"),Produccion_Ventas!DR$28*DR$104+Produccion_Ventas!DR$49*DR$105)</f>
        <v>14741.3333333333</v>
      </c>
      <c r="DS112" s="13" t="n">
        <f aca="false">IF(DS$69=1,SUMIFS(dr_USD,dr_Mes,117,dr_Cod,"CON",dr_Est,"&lt;&gt;Excluido"),Produccion_Ventas!DS$28*DS$104+Produccion_Ventas!DS$49*DS$105)</f>
        <v>14741.3333333333</v>
      </c>
      <c r="DT112" s="13" t="n">
        <f aca="false">IF(DT$69=1,SUMIFS(dr_USD,dr_Mes,118,dr_Cod,"CON",dr_Est,"&lt;&gt;Excluido"),Produccion_Ventas!DT$28*DT$104+Produccion_Ventas!DT$49*DT$105)</f>
        <v>14741.3333333333</v>
      </c>
      <c r="DU112" s="13" t="n">
        <f aca="false">IF(DU$69=1,SUMIFS(dr_USD,dr_Mes,119,dr_Cod,"CON",dr_Est,"&lt;&gt;Excluido"),Produccion_Ventas!DU$28*DU$104+Produccion_Ventas!DU$49*DU$105)</f>
        <v>14741.3333333333</v>
      </c>
      <c r="DV112" s="13" t="n">
        <f aca="false">IF(DV$69=1,SUMIFS(dr_USD,dr_Mes,120,dr_Cod,"CON",dr_Est,"&lt;&gt;Excluido"),Produccion_Ventas!DV$28*DV$104+Produccion_Ventas!DV$49*DV$105)</f>
        <v>9894.86757990868</v>
      </c>
      <c r="DW112" s="13" t="n">
        <f aca="false">IF(DW$69=1,SUMIFS(dr_USD,dr_Mes,121,dr_Cod,"CON",dr_Est,"&lt;&gt;Excluido"),Produccion_Ventas!DW$28*DW$104+Produccion_Ventas!DW$49*DW$105)</f>
        <v>0</v>
      </c>
      <c r="DX112" s="13" t="n">
        <f aca="false">IF(DX$69=1,SUMIFS(dr_USD,dr_Mes,122,dr_Cod,"CON",dr_Est,"&lt;&gt;Excluido"),Produccion_Ventas!DX$28*DX$104+Produccion_Ventas!DX$49*DX$105)</f>
        <v>0</v>
      </c>
      <c r="DY112" s="13" t="n">
        <f aca="false">IF(DY$69=1,SUMIFS(dr_USD,dr_Mes,123,dr_Cod,"CON",dr_Est,"&lt;&gt;Excluido"),Produccion_Ventas!DY$28*DY$104+Produccion_Ventas!DY$49*DY$105)</f>
        <v>0</v>
      </c>
      <c r="DZ112" s="13" t="n">
        <f aca="false">IF(DZ$69=1,SUMIFS(dr_USD,dr_Mes,124,dr_Cod,"CON",dr_Est,"&lt;&gt;Excluido"),Produccion_Ventas!DZ$28*DZ$104+Produccion_Ventas!DZ$49*DZ$105)</f>
        <v>0</v>
      </c>
      <c r="EA112" s="13" t="n">
        <f aca="false">IF(EA$69=1,SUMIFS(dr_USD,dr_Mes,125,dr_Cod,"CON",dr_Est,"&lt;&gt;Excluido"),Produccion_Ventas!EA$28*EA$104+Produccion_Ventas!EA$49*EA$105)</f>
        <v>0</v>
      </c>
      <c r="EB112" s="13" t="n">
        <f aca="false">IF(EB$69=1,SUMIFS(dr_USD,dr_Mes,126,dr_Cod,"CON",dr_Est,"&lt;&gt;Excluido"),Produccion_Ventas!EB$28*EB$104+Produccion_Ventas!EB$49*EB$105)</f>
        <v>0</v>
      </c>
      <c r="EC112" s="13" t="n">
        <f aca="false">IF(EC$69=1,SUMIFS(dr_USD,dr_Mes,127,dr_Cod,"CON",dr_Est,"&lt;&gt;Excluido"),Produccion_Ventas!EC$28*EC$104+Produccion_Ventas!EC$49*EC$105)</f>
        <v>0</v>
      </c>
      <c r="ED112" s="13" t="n">
        <f aca="false">IF(ED$69=1,SUMIFS(dr_USD,dr_Mes,128,dr_Cod,"CON",dr_Est,"&lt;&gt;Excluido"),Produccion_Ventas!ED$28*ED$104+Produccion_Ventas!ED$49*ED$105)</f>
        <v>0</v>
      </c>
      <c r="EE112" s="13" t="n">
        <f aca="false">IF(EE$69=1,SUMIFS(dr_USD,dr_Mes,129,dr_Cod,"CON",dr_Est,"&lt;&gt;Excluido"),Produccion_Ventas!EE$28*EE$104+Produccion_Ventas!EE$49*EE$105)</f>
        <v>0</v>
      </c>
      <c r="EF112" s="13" t="n">
        <f aca="false">IF(EF$69=1,SUMIFS(dr_USD,dr_Mes,130,dr_Cod,"CON",dr_Est,"&lt;&gt;Excluido"),Produccion_Ventas!EF$28*EF$104+Produccion_Ventas!EF$49*EF$105)</f>
        <v>0</v>
      </c>
      <c r="EG112" s="13" t="n">
        <f aca="false">IF(EG$69=1,SUMIFS(dr_USD,dr_Mes,131,dr_Cod,"CON",dr_Est,"&lt;&gt;Excluido"),Produccion_Ventas!EG$28*EG$104+Produccion_Ventas!EG$49*EG$105)</f>
        <v>0</v>
      </c>
      <c r="EH112" s="13" t="n">
        <f aca="false">IF(EH$69=1,SUMIFS(dr_USD,dr_Mes,132,dr_Cod,"CON",dr_Est,"&lt;&gt;Excluido"),Produccion_Ventas!EH$28*EH$104+Produccion_Ventas!EH$49*EH$105)</f>
        <v>0</v>
      </c>
      <c r="EI112" s="13" t="n">
        <f aca="false">IF(EI$69=1,SUMIFS(dr_USD,dr_Mes,133,dr_Cod,"CON",dr_Est,"&lt;&gt;Excluido"),Produccion_Ventas!EI$28*EI$104+Produccion_Ventas!EI$49*EI$105)</f>
        <v>0</v>
      </c>
      <c r="EJ112" s="13" t="n">
        <f aca="false">IF(EJ$69=1,SUMIFS(dr_USD,dr_Mes,134,dr_Cod,"CON",dr_Est,"&lt;&gt;Excluido"),Produccion_Ventas!EJ$28*EJ$104+Produccion_Ventas!EJ$49*EJ$105)</f>
        <v>0</v>
      </c>
      <c r="EK112" s="13" t="n">
        <f aca="false">IF(EK$69=1,SUMIFS(dr_USD,dr_Mes,135,dr_Cod,"CON",dr_Est,"&lt;&gt;Excluido"),Produccion_Ventas!EK$28*EK$104+Produccion_Ventas!EK$49*EK$105)</f>
        <v>0</v>
      </c>
      <c r="EL112" s="13" t="n">
        <f aca="false">IF(EL$69=1,SUMIFS(dr_USD,dr_Mes,136,dr_Cod,"CON",dr_Est,"&lt;&gt;Excluido"),Produccion_Ventas!EL$28*EL$104+Produccion_Ventas!EL$49*EL$105)</f>
        <v>0</v>
      </c>
      <c r="EM112" s="13" t="n">
        <f aca="false">IF(EM$69=1,SUMIFS(dr_USD,dr_Mes,137,dr_Cod,"CON",dr_Est,"&lt;&gt;Excluido"),Produccion_Ventas!EM$28*EM$104+Produccion_Ventas!EM$49*EM$105)</f>
        <v>0</v>
      </c>
      <c r="EN112" s="13" t="n">
        <f aca="false">IF(EN$69=1,SUMIFS(dr_USD,dr_Mes,138,dr_Cod,"CON",dr_Est,"&lt;&gt;Excluido"),Produccion_Ventas!EN$28*EN$104+Produccion_Ventas!EN$49*EN$105)</f>
        <v>0</v>
      </c>
      <c r="EO112" s="13" t="n">
        <f aca="false">IF(EO$69=1,SUMIFS(dr_USD,dr_Mes,139,dr_Cod,"CON",dr_Est,"&lt;&gt;Excluido"),Produccion_Ventas!EO$28*EO$104+Produccion_Ventas!EO$49*EO$105)</f>
        <v>0</v>
      </c>
      <c r="EP112" s="13" t="n">
        <f aca="false">IF(EP$69=1,SUMIFS(dr_USD,dr_Mes,140,dr_Cod,"CON",dr_Est,"&lt;&gt;Excluido"),Produccion_Ventas!EP$28*EP$104+Produccion_Ventas!EP$49*EP$105)</f>
        <v>0</v>
      </c>
      <c r="EQ112" s="13" t="n">
        <f aca="false">IF(EQ$69=1,SUMIFS(dr_USD,dr_Mes,141,dr_Cod,"CON",dr_Est,"&lt;&gt;Excluido"),Produccion_Ventas!EQ$28*EQ$104+Produccion_Ventas!EQ$49*EQ$105)</f>
        <v>0</v>
      </c>
      <c r="ER112" s="13" t="n">
        <f aca="false">IF(ER$69=1,SUMIFS(dr_USD,dr_Mes,142,dr_Cod,"CON",dr_Est,"&lt;&gt;Excluido"),Produccion_Ventas!ER$28*ER$104+Produccion_Ventas!ER$49*ER$105)</f>
        <v>0</v>
      </c>
      <c r="ES112" s="13" t="n">
        <f aca="false">IF(ES$69=1,SUMIFS(dr_USD,dr_Mes,143,dr_Cod,"CON",dr_Est,"&lt;&gt;Excluido"),Produccion_Ventas!ES$28*ES$104+Produccion_Ventas!ES$49*ES$105)</f>
        <v>0</v>
      </c>
      <c r="ET112" s="13" t="n">
        <f aca="false">IF(ET$69=1,SUMIFS(dr_USD,dr_Mes,144,dr_Cod,"CON",dr_Est,"&lt;&gt;Excluido"),Produccion_Ventas!ET$28*ET$104+Produccion_Ventas!ET$49*ET$105)</f>
        <v>0</v>
      </c>
      <c r="EU112" s="13" t="n">
        <f aca="false">IF(EU$69=1,SUMIFS(dr_USD,dr_Mes,145,dr_Cod,"CON",dr_Est,"&lt;&gt;Excluido"),Produccion_Ventas!EU$28*EU$104+Produccion_Ventas!EU$49*EU$105)</f>
        <v>0</v>
      </c>
      <c r="EV112" s="13" t="n">
        <f aca="false">IF(EV$69=1,SUMIFS(dr_USD,dr_Mes,146,dr_Cod,"CON",dr_Est,"&lt;&gt;Excluido"),Produccion_Ventas!EV$28*EV$104+Produccion_Ventas!EV$49*EV$105)</f>
        <v>0</v>
      </c>
      <c r="EW112" s="13" t="n">
        <f aca="false">IF(EW$69=1,SUMIFS(dr_USD,dr_Mes,147,dr_Cod,"CON",dr_Est,"&lt;&gt;Excluido"),Produccion_Ventas!EW$28*EW$104+Produccion_Ventas!EW$49*EW$105)</f>
        <v>0</v>
      </c>
      <c r="EX112" s="13" t="n">
        <f aca="false">IF(EX$69=1,SUMIFS(dr_USD,dr_Mes,148,dr_Cod,"CON",dr_Est,"&lt;&gt;Excluido"),Produccion_Ventas!EX$28*EX$104+Produccion_Ventas!EX$49*EX$105)</f>
        <v>0</v>
      </c>
      <c r="EY112" s="13" t="n">
        <f aca="false">IF(EY$69=1,SUMIFS(dr_USD,dr_Mes,149,dr_Cod,"CON",dr_Est,"&lt;&gt;Excluido"),Produccion_Ventas!EY$28*EY$104+Produccion_Ventas!EY$49*EY$105)</f>
        <v>0</v>
      </c>
      <c r="EZ112" s="13" t="n">
        <f aca="false">IF(EZ$69=1,SUMIFS(dr_USD,dr_Mes,150,dr_Cod,"CON",dr_Est,"&lt;&gt;Excluido"),Produccion_Ventas!EZ$28*EZ$104+Produccion_Ventas!EZ$49*EZ$105)</f>
        <v>0</v>
      </c>
      <c r="FA112" s="13" t="n">
        <f aca="false">IF(FA$69=1,SUMIFS(dr_USD,dr_Mes,151,dr_Cod,"CON",dr_Est,"&lt;&gt;Excluido"),Produccion_Ventas!FA$28*FA$104+Produccion_Ventas!FA$49*FA$105)</f>
        <v>0</v>
      </c>
      <c r="FB112" s="13" t="n">
        <f aca="false">IF(FB$69=1,SUMIFS(dr_USD,dr_Mes,152,dr_Cod,"CON",dr_Est,"&lt;&gt;Excluido"),Produccion_Ventas!FB$28*FB$104+Produccion_Ventas!FB$49*FB$105)</f>
        <v>0</v>
      </c>
      <c r="FC112" s="13" t="n">
        <f aca="false">IF(FC$69=1,SUMIFS(dr_USD,dr_Mes,153,dr_Cod,"CON",dr_Est,"&lt;&gt;Excluido"),Produccion_Ventas!FC$28*FC$104+Produccion_Ventas!FC$49*FC$105)</f>
        <v>0</v>
      </c>
      <c r="FD112" s="13" t="n">
        <f aca="false">IF(FD$69=1,SUMIFS(dr_USD,dr_Mes,154,dr_Cod,"CON",dr_Est,"&lt;&gt;Excluido"),Produccion_Ventas!FD$28*FD$104+Produccion_Ventas!FD$49*FD$105)</f>
        <v>0</v>
      </c>
      <c r="FE112" s="13" t="n">
        <f aca="false">IF(FE$69=1,SUMIFS(dr_USD,dr_Mes,155,dr_Cod,"CON",dr_Est,"&lt;&gt;Excluido"),Produccion_Ventas!FE$28*FE$104+Produccion_Ventas!FE$49*FE$105)</f>
        <v>0</v>
      </c>
      <c r="FF112" s="13" t="n">
        <f aca="false">IF(FF$69=1,SUMIFS(dr_USD,dr_Mes,156,dr_Cod,"CON",dr_Est,"&lt;&gt;Excluido"),Produccion_Ventas!FF$28*FF$104+Produccion_Ventas!FF$49*FF$105)</f>
        <v>0</v>
      </c>
    </row>
    <row r="113" customFormat="false" ht="15" hidden="false" customHeight="false" outlineLevel="0" collapsed="false">
      <c r="A113" s="2" t="s">
        <v>1075</v>
      </c>
      <c r="B113" s="8" t="s">
        <v>1076</v>
      </c>
      <c r="C113" s="8" t="s">
        <v>255</v>
      </c>
      <c r="E113" s="65" t="n">
        <f aca="false">SUM($F113:$FF113)</f>
        <v>6763200</v>
      </c>
      <c r="F113" s="13" t="n">
        <f aca="false">IF(F$69=1,SUMIFS(dr_USD,dr_Mes,0,dr_Cod,"FLE",dr_Est,"&lt;&gt;Excluido"),(Produccion_Ventas!F$28*F$106+Produccion_Ventas!F$49*F$107)*F$108)</f>
        <v>0</v>
      </c>
      <c r="G113" s="13" t="n">
        <f aca="false">IF(G$69=1,SUMIFS(dr_USD,dr_Mes,1,dr_Cod,"FLE",dr_Est,"&lt;&gt;Excluido"),(Produccion_Ventas!G$28*G$106+Produccion_Ventas!G$49*G$107)*G$108)</f>
        <v>46949.7716894977</v>
      </c>
      <c r="H113" s="13" t="n">
        <f aca="false">IF(H$69=1,SUMIFS(dr_USD,dr_Mes,2,dr_Cod,"FLE",dr_Est,"&lt;&gt;Excluido"),(Produccion_Ventas!H$28*H$106+Produccion_Ventas!H$49*H$107)*H$108)</f>
        <v>35333.3333333333</v>
      </c>
      <c r="I113" s="13" t="n">
        <f aca="false">IF(I$69=1,SUMIFS(dr_USD,dr_Mes,3,dr_Cod,"FLE",dr_Est,"&lt;&gt;Excluido"),(Produccion_Ventas!I$28*I$106+Produccion_Ventas!I$49*I$107)*I$108)</f>
        <v>35333.3333333333</v>
      </c>
      <c r="J113" s="13" t="n">
        <f aca="false">IF(J$69=1,SUMIFS(dr_USD,dr_Mes,4,dr_Cod,"FLE",dr_Est,"&lt;&gt;Excluido"),(Produccion_Ventas!J$28*J$106+Produccion_Ventas!J$49*J$107)*J$108)</f>
        <v>35333.3333333333</v>
      </c>
      <c r="K113" s="13" t="n">
        <f aca="false">IF(K$69=1,SUMIFS(dr_USD,dr_Mes,5,dr_Cod,"FLE",dr_Est,"&lt;&gt;Excluido"),(Produccion_Ventas!K$28*K$106+Produccion_Ventas!K$49*K$107)*K$108)</f>
        <v>35333.3333333333</v>
      </c>
      <c r="L113" s="13" t="n">
        <f aca="false">IF(L$69=1,SUMIFS(dr_USD,dr_Mes,6,dr_Cod,"FLE",dr_Est,"&lt;&gt;Excluido"),(Produccion_Ventas!L$28*L$106+Produccion_Ventas!L$49*L$107)*L$108)</f>
        <v>35333.3333333333</v>
      </c>
      <c r="M113" s="13" t="n">
        <f aca="false">IF(M$69=1,SUMIFS(dr_USD,dr_Mes,7,dr_Cod,"FLE",dr_Est,"&lt;&gt;Excluido"),(Produccion_Ventas!M$28*M$106+Produccion_Ventas!M$49*M$107)*M$108)</f>
        <v>35333.3333333333</v>
      </c>
      <c r="N113" s="13" t="n">
        <f aca="false">IF(N$69=1,SUMIFS(dr_USD,dr_Mes,8,dr_Cod,"FLE",dr_Est,"&lt;&gt;Excluido"),(Produccion_Ventas!N$28*N$106+Produccion_Ventas!N$49*N$107)*N$108)</f>
        <v>35333.3333333333</v>
      </c>
      <c r="O113" s="13" t="n">
        <f aca="false">IF(O$69=1,SUMIFS(dr_USD,dr_Mes,9,dr_Cod,"FLE",dr_Est,"&lt;&gt;Excluido"),(Produccion_Ventas!O$28*O$106+Produccion_Ventas!O$49*O$107)*O$108)</f>
        <v>35333.3333333333</v>
      </c>
      <c r="P113" s="13" t="n">
        <f aca="false">IF(P$69=1,SUMIFS(dr_USD,dr_Mes,10,dr_Cod,"FLE",dr_Est,"&lt;&gt;Excluido"),(Produccion_Ventas!P$28*P$106+Produccion_Ventas!P$49*P$107)*P$108)</f>
        <v>35333.3333333333</v>
      </c>
      <c r="Q113" s="13" t="n">
        <f aca="false">IF(Q$69=1,SUMIFS(dr_USD,dr_Mes,11,dr_Cod,"FLE",dr_Est,"&lt;&gt;Excluido"),(Produccion_Ventas!Q$28*Q$106+Produccion_Ventas!Q$49*Q$107)*Q$108)</f>
        <v>35333.3333333333</v>
      </c>
      <c r="R113" s="13" t="n">
        <f aca="false">IF(R$69=1,SUMIFS(dr_USD,dr_Mes,12,dr_Cod,"FLE",dr_Est,"&lt;&gt;Excluido"),(Produccion_Ventas!R$28*R$106+Produccion_Ventas!R$49*R$107)*R$108)</f>
        <v>38379.9086757991</v>
      </c>
      <c r="S113" s="13" t="n">
        <f aca="false">IF(S$69=1,SUMIFS(dr_USD,dr_Mes,13,dr_Cod,"FLE",dr_Est,"&lt;&gt;Excluido"),(Produccion_Ventas!S$28*S$106+Produccion_Ventas!S$49*S$107)*S$108)</f>
        <v>44600</v>
      </c>
      <c r="T113" s="13" t="n">
        <f aca="false">IF(T$69=1,SUMIFS(dr_USD,dr_Mes,14,dr_Cod,"FLE",dr_Est,"&lt;&gt;Excluido"),(Produccion_Ventas!T$28*T$106+Produccion_Ventas!T$49*T$107)*T$108)</f>
        <v>44600</v>
      </c>
      <c r="U113" s="13" t="n">
        <f aca="false">IF(U$69=1,SUMIFS(dr_USD,dr_Mes,15,dr_Cod,"FLE",dr_Est,"&lt;&gt;Excluido"),(Produccion_Ventas!U$28*U$106+Produccion_Ventas!U$49*U$107)*U$108)</f>
        <v>44600</v>
      </c>
      <c r="V113" s="13" t="n">
        <f aca="false">IF(V$69=1,SUMIFS(dr_USD,dr_Mes,16,dr_Cod,"FLE",dr_Est,"&lt;&gt;Excluido"),(Produccion_Ventas!V$28*V$106+Produccion_Ventas!V$49*V$107)*V$108)</f>
        <v>44600</v>
      </c>
      <c r="W113" s="13" t="n">
        <f aca="false">IF(W$69=1,SUMIFS(dr_USD,dr_Mes,17,dr_Cod,"FLE",dr_Est,"&lt;&gt;Excluido"),(Produccion_Ventas!W$28*W$106+Produccion_Ventas!W$49*W$107)*W$108)</f>
        <v>44600</v>
      </c>
      <c r="X113" s="13" t="n">
        <f aca="false">IF(X$69=1,SUMIFS(dr_USD,dr_Mes,18,dr_Cod,"FLE",dr_Est,"&lt;&gt;Excluido"),(Produccion_Ventas!X$28*X$106+Produccion_Ventas!X$49*X$107)*X$108)</f>
        <v>44600</v>
      </c>
      <c r="Y113" s="13" t="n">
        <f aca="false">IF(Y$69=1,SUMIFS(dr_USD,dr_Mes,19,dr_Cod,"FLE",dr_Est,"&lt;&gt;Excluido"),(Produccion_Ventas!Y$28*Y$106+Produccion_Ventas!Y$49*Y$107)*Y$108)</f>
        <v>44600</v>
      </c>
      <c r="Z113" s="13" t="n">
        <f aca="false">IF(Z$69=1,SUMIFS(dr_USD,dr_Mes,20,dr_Cod,"FLE",dr_Est,"&lt;&gt;Excluido"),(Produccion_Ventas!Z$28*Z$106+Produccion_Ventas!Z$49*Z$107)*Z$108)</f>
        <v>44600</v>
      </c>
      <c r="AA113" s="13" t="n">
        <f aca="false">IF(AA$69=1,SUMIFS(dr_USD,dr_Mes,21,dr_Cod,"FLE",dr_Est,"&lt;&gt;Excluido"),(Produccion_Ventas!AA$28*AA$106+Produccion_Ventas!AA$49*AA$107)*AA$108)</f>
        <v>44600</v>
      </c>
      <c r="AB113" s="13" t="n">
        <f aca="false">IF(AB$69=1,SUMIFS(dr_USD,dr_Mes,22,dr_Cod,"FLE",dr_Est,"&lt;&gt;Excluido"),(Produccion_Ventas!AB$28*AB$106+Produccion_Ventas!AB$49*AB$107)*AB$108)</f>
        <v>44600</v>
      </c>
      <c r="AC113" s="13" t="n">
        <f aca="false">IF(AC$69=1,SUMIFS(dr_USD,dr_Mes,23,dr_Cod,"FLE",dr_Est,"&lt;&gt;Excluido"),(Produccion_Ventas!AC$28*AC$106+Produccion_Ventas!AC$49*AC$107)*AC$108)</f>
        <v>44600</v>
      </c>
      <c r="AD113" s="13" t="n">
        <f aca="false">IF(AD$69=1,SUMIFS(dr_USD,dr_Mes,24,dr_Cod,"FLE",dr_Est,"&lt;&gt;Excluido"),(Produccion_Ventas!AD$28*AD$106+Produccion_Ventas!AD$49*AD$107)*AD$108)</f>
        <v>47646.5753424658</v>
      </c>
      <c r="AE113" s="13" t="n">
        <f aca="false">IF(AE$69=1,SUMIFS(dr_USD,dr_Mes,25,dr_Cod,"FLE",dr_Est,"&lt;&gt;Excluido"),(Produccion_Ventas!AE$28*AE$106+Produccion_Ventas!AE$49*AE$107)*AE$108)</f>
        <v>53866.6666666667</v>
      </c>
      <c r="AF113" s="13" t="n">
        <f aca="false">IF(AF$69=1,SUMIFS(dr_USD,dr_Mes,26,dr_Cod,"FLE",dr_Est,"&lt;&gt;Excluido"),(Produccion_Ventas!AF$28*AF$106+Produccion_Ventas!AF$49*AF$107)*AF$108)</f>
        <v>53866.6666666667</v>
      </c>
      <c r="AG113" s="13" t="n">
        <f aca="false">IF(AG$69=1,SUMIFS(dr_USD,dr_Mes,27,dr_Cod,"FLE",dr_Est,"&lt;&gt;Excluido"),(Produccion_Ventas!AG$28*AG$106+Produccion_Ventas!AG$49*AG$107)*AG$108)</f>
        <v>53866.6666666667</v>
      </c>
      <c r="AH113" s="13" t="n">
        <f aca="false">IF(AH$69=1,SUMIFS(dr_USD,dr_Mes,28,dr_Cod,"FLE",dr_Est,"&lt;&gt;Excluido"),(Produccion_Ventas!AH$28*AH$106+Produccion_Ventas!AH$49*AH$107)*AH$108)</f>
        <v>53866.6666666667</v>
      </c>
      <c r="AI113" s="13" t="n">
        <f aca="false">IF(AI$69=1,SUMIFS(dr_USD,dr_Mes,29,dr_Cod,"FLE",dr_Est,"&lt;&gt;Excluido"),(Produccion_Ventas!AI$28*AI$106+Produccion_Ventas!AI$49*AI$107)*AI$108)</f>
        <v>53866.6666666667</v>
      </c>
      <c r="AJ113" s="13" t="n">
        <f aca="false">IF(AJ$69=1,SUMIFS(dr_USD,dr_Mes,30,dr_Cod,"FLE",dr_Est,"&lt;&gt;Excluido"),(Produccion_Ventas!AJ$28*AJ$106+Produccion_Ventas!AJ$49*AJ$107)*AJ$108)</f>
        <v>53866.6666666667</v>
      </c>
      <c r="AK113" s="13" t="n">
        <f aca="false">IF(AK$69=1,SUMIFS(dr_USD,dr_Mes,31,dr_Cod,"FLE",dr_Est,"&lt;&gt;Excluido"),(Produccion_Ventas!AK$28*AK$106+Produccion_Ventas!AK$49*AK$107)*AK$108)</f>
        <v>53866.6666666667</v>
      </c>
      <c r="AL113" s="13" t="n">
        <f aca="false">IF(AL$69=1,SUMIFS(dr_USD,dr_Mes,32,dr_Cod,"FLE",dr_Est,"&lt;&gt;Excluido"),(Produccion_Ventas!AL$28*AL$106+Produccion_Ventas!AL$49*AL$107)*AL$108)</f>
        <v>53866.6666666667</v>
      </c>
      <c r="AM113" s="13" t="n">
        <f aca="false">IF(AM$69=1,SUMIFS(dr_USD,dr_Mes,33,dr_Cod,"FLE",dr_Est,"&lt;&gt;Excluido"),(Produccion_Ventas!AM$28*AM$106+Produccion_Ventas!AM$49*AM$107)*AM$108)</f>
        <v>53866.6666666667</v>
      </c>
      <c r="AN113" s="13" t="n">
        <f aca="false">IF(AN$69=1,SUMIFS(dr_USD,dr_Mes,34,dr_Cod,"FLE",dr_Est,"&lt;&gt;Excluido"),(Produccion_Ventas!AN$28*AN$106+Produccion_Ventas!AN$49*AN$107)*AN$108)</f>
        <v>53866.6666666667</v>
      </c>
      <c r="AO113" s="13" t="n">
        <f aca="false">IF(AO$69=1,SUMIFS(dr_USD,dr_Mes,35,dr_Cod,"FLE",dr_Est,"&lt;&gt;Excluido"),(Produccion_Ventas!AO$28*AO$106+Produccion_Ventas!AO$49*AO$107)*AO$108)</f>
        <v>53866.6666666667</v>
      </c>
      <c r="AP113" s="13" t="n">
        <f aca="false">IF(AP$69=1,SUMIFS(dr_USD,dr_Mes,36,dr_Cod,"FLE",dr_Est,"&lt;&gt;Excluido"),(Produccion_Ventas!AP$28*AP$106+Produccion_Ventas!AP$49*AP$107)*AP$108)</f>
        <v>56343.3789954338</v>
      </c>
      <c r="AQ113" s="13" t="n">
        <f aca="false">IF(AQ$69=1,SUMIFS(dr_USD,dr_Mes,37,dr_Cod,"FLE",dr_Est,"&lt;&gt;Excluido"),(Produccion_Ventas!AQ$28*AQ$106+Produccion_Ventas!AQ$49*AQ$107)*AQ$108)</f>
        <v>61400</v>
      </c>
      <c r="AR113" s="13" t="n">
        <f aca="false">IF(AR$69=1,SUMIFS(dr_USD,dr_Mes,38,dr_Cod,"FLE",dr_Est,"&lt;&gt;Excluido"),(Produccion_Ventas!AR$28*AR$106+Produccion_Ventas!AR$49*AR$107)*AR$108)</f>
        <v>61400</v>
      </c>
      <c r="AS113" s="13" t="n">
        <f aca="false">IF(AS$69=1,SUMIFS(dr_USD,dr_Mes,39,dr_Cod,"FLE",dr_Est,"&lt;&gt;Excluido"),(Produccion_Ventas!AS$28*AS$106+Produccion_Ventas!AS$49*AS$107)*AS$108)</f>
        <v>61400</v>
      </c>
      <c r="AT113" s="13" t="n">
        <f aca="false">IF(AT$69=1,SUMIFS(dr_USD,dr_Mes,40,dr_Cod,"FLE",dr_Est,"&lt;&gt;Excluido"),(Produccion_Ventas!AT$28*AT$106+Produccion_Ventas!AT$49*AT$107)*AT$108)</f>
        <v>61400</v>
      </c>
      <c r="AU113" s="13" t="n">
        <f aca="false">IF(AU$69=1,SUMIFS(dr_USD,dr_Mes,41,dr_Cod,"FLE",dr_Est,"&lt;&gt;Excluido"),(Produccion_Ventas!AU$28*AU$106+Produccion_Ventas!AU$49*AU$107)*AU$108)</f>
        <v>61400</v>
      </c>
      <c r="AV113" s="13" t="n">
        <f aca="false">IF(AV$69=1,SUMIFS(dr_USD,dr_Mes,42,dr_Cod,"FLE",dr_Est,"&lt;&gt;Excluido"),(Produccion_Ventas!AV$28*AV$106+Produccion_Ventas!AV$49*AV$107)*AV$108)</f>
        <v>61400</v>
      </c>
      <c r="AW113" s="13" t="n">
        <f aca="false">IF(AW$69=1,SUMIFS(dr_USD,dr_Mes,43,dr_Cod,"FLE",dr_Est,"&lt;&gt;Excluido"),(Produccion_Ventas!AW$28*AW$106+Produccion_Ventas!AW$49*AW$107)*AW$108)</f>
        <v>61400</v>
      </c>
      <c r="AX113" s="13" t="n">
        <f aca="false">IF(AX$69=1,SUMIFS(dr_USD,dr_Mes,44,dr_Cod,"FLE",dr_Est,"&lt;&gt;Excluido"),(Produccion_Ventas!AX$28*AX$106+Produccion_Ventas!AX$49*AX$107)*AX$108)</f>
        <v>61400</v>
      </c>
      <c r="AY113" s="13" t="n">
        <f aca="false">IF(AY$69=1,SUMIFS(dr_USD,dr_Mes,45,dr_Cod,"FLE",dr_Est,"&lt;&gt;Excluido"),(Produccion_Ventas!AY$28*AY$106+Produccion_Ventas!AY$49*AY$107)*AY$108)</f>
        <v>61400</v>
      </c>
      <c r="AZ113" s="13" t="n">
        <f aca="false">IF(AZ$69=1,SUMIFS(dr_USD,dr_Mes,46,dr_Cod,"FLE",dr_Est,"&lt;&gt;Excluido"),(Produccion_Ventas!AZ$28*AZ$106+Produccion_Ventas!AZ$49*AZ$107)*AZ$108)</f>
        <v>61400</v>
      </c>
      <c r="BA113" s="13" t="n">
        <f aca="false">IF(BA$69=1,SUMIFS(dr_USD,dr_Mes,47,dr_Cod,"FLE",dr_Est,"&lt;&gt;Excluido"),(Produccion_Ventas!BA$28*BA$106+Produccion_Ventas!BA$49*BA$107)*BA$108)</f>
        <v>61400</v>
      </c>
      <c r="BB113" s="13" t="n">
        <f aca="false">IF(BB$69=1,SUMIFS(dr_USD,dr_Mes,48,dr_Cod,"FLE",dr_Est,"&lt;&gt;Excluido"),(Produccion_Ventas!BB$28*BB$106+Produccion_Ventas!BB$49*BB$107)*BB$108)</f>
        <v>61400</v>
      </c>
      <c r="BC113" s="13" t="n">
        <f aca="false">IF(BC$69=1,SUMIFS(dr_USD,dr_Mes,49,dr_Cod,"FLE",dr_Est,"&lt;&gt;Excluido"),(Produccion_Ventas!BC$28*BC$106+Produccion_Ventas!BC$49*BC$107)*BC$108)</f>
        <v>61400</v>
      </c>
      <c r="BD113" s="13" t="n">
        <f aca="false">IF(BD$69=1,SUMIFS(dr_USD,dr_Mes,50,dr_Cod,"FLE",dr_Est,"&lt;&gt;Excluido"),(Produccion_Ventas!BD$28*BD$106+Produccion_Ventas!BD$49*BD$107)*BD$108)</f>
        <v>61400</v>
      </c>
      <c r="BE113" s="13" t="n">
        <f aca="false">IF(BE$69=1,SUMIFS(dr_USD,dr_Mes,51,dr_Cod,"FLE",dr_Est,"&lt;&gt;Excluido"),(Produccion_Ventas!BE$28*BE$106+Produccion_Ventas!BE$49*BE$107)*BE$108)</f>
        <v>61400</v>
      </c>
      <c r="BF113" s="13" t="n">
        <f aca="false">IF(BF$69=1,SUMIFS(dr_USD,dr_Mes,52,dr_Cod,"FLE",dr_Est,"&lt;&gt;Excluido"),(Produccion_Ventas!BF$28*BF$106+Produccion_Ventas!BF$49*BF$107)*BF$108)</f>
        <v>61400</v>
      </c>
      <c r="BG113" s="13" t="n">
        <f aca="false">IF(BG$69=1,SUMIFS(dr_USD,dr_Mes,53,dr_Cod,"FLE",dr_Est,"&lt;&gt;Excluido"),(Produccion_Ventas!BG$28*BG$106+Produccion_Ventas!BG$49*BG$107)*BG$108)</f>
        <v>61400</v>
      </c>
      <c r="BH113" s="13" t="n">
        <f aca="false">IF(BH$69=1,SUMIFS(dr_USD,dr_Mes,54,dr_Cod,"FLE",dr_Est,"&lt;&gt;Excluido"),(Produccion_Ventas!BH$28*BH$106+Produccion_Ventas!BH$49*BH$107)*BH$108)</f>
        <v>61400</v>
      </c>
      <c r="BI113" s="13" t="n">
        <f aca="false">IF(BI$69=1,SUMIFS(dr_USD,dr_Mes,55,dr_Cod,"FLE",dr_Est,"&lt;&gt;Excluido"),(Produccion_Ventas!BI$28*BI$106+Produccion_Ventas!BI$49*BI$107)*BI$108)</f>
        <v>61400</v>
      </c>
      <c r="BJ113" s="13" t="n">
        <f aca="false">IF(BJ$69=1,SUMIFS(dr_USD,dr_Mes,56,dr_Cod,"FLE",dr_Est,"&lt;&gt;Excluido"),(Produccion_Ventas!BJ$28*BJ$106+Produccion_Ventas!BJ$49*BJ$107)*BJ$108)</f>
        <v>61400</v>
      </c>
      <c r="BK113" s="13" t="n">
        <f aca="false">IF(BK$69=1,SUMIFS(dr_USD,dr_Mes,57,dr_Cod,"FLE",dr_Est,"&lt;&gt;Excluido"),(Produccion_Ventas!BK$28*BK$106+Produccion_Ventas!BK$49*BK$107)*BK$108)</f>
        <v>61400</v>
      </c>
      <c r="BL113" s="13" t="n">
        <f aca="false">IF(BL$69=1,SUMIFS(dr_USD,dr_Mes,58,dr_Cod,"FLE",dr_Est,"&lt;&gt;Excluido"),(Produccion_Ventas!BL$28*BL$106+Produccion_Ventas!BL$49*BL$107)*BL$108)</f>
        <v>61400</v>
      </c>
      <c r="BM113" s="13" t="n">
        <f aca="false">IF(BM$69=1,SUMIFS(dr_USD,dr_Mes,59,dr_Cod,"FLE",dr_Est,"&lt;&gt;Excluido"),(Produccion_Ventas!BM$28*BM$106+Produccion_Ventas!BM$49*BM$107)*BM$108)</f>
        <v>61400</v>
      </c>
      <c r="BN113" s="13" t="n">
        <f aca="false">IF(BN$69=1,SUMIFS(dr_USD,dr_Mes,60,dr_Cod,"FLE",dr_Est,"&lt;&gt;Excluido"),(Produccion_Ventas!BN$28*BN$106+Produccion_Ventas!BN$49*BN$107)*BN$108)</f>
        <v>61400</v>
      </c>
      <c r="BO113" s="13" t="n">
        <f aca="false">IF(BO$69=1,SUMIFS(dr_USD,dr_Mes,61,dr_Cod,"FLE",dr_Est,"&lt;&gt;Excluido"),(Produccion_Ventas!BO$28*BO$106+Produccion_Ventas!BO$49*BO$107)*BO$108)</f>
        <v>61400</v>
      </c>
      <c r="BP113" s="13" t="n">
        <f aca="false">IF(BP$69=1,SUMIFS(dr_USD,dr_Mes,62,dr_Cod,"FLE",dr_Est,"&lt;&gt;Excluido"),(Produccion_Ventas!BP$28*BP$106+Produccion_Ventas!BP$49*BP$107)*BP$108)</f>
        <v>61400</v>
      </c>
      <c r="BQ113" s="13" t="n">
        <f aca="false">IF(BQ$69=1,SUMIFS(dr_USD,dr_Mes,63,dr_Cod,"FLE",dr_Est,"&lt;&gt;Excluido"),(Produccion_Ventas!BQ$28*BQ$106+Produccion_Ventas!BQ$49*BQ$107)*BQ$108)</f>
        <v>61400</v>
      </c>
      <c r="BR113" s="13" t="n">
        <f aca="false">IF(BR$69=1,SUMIFS(dr_USD,dr_Mes,64,dr_Cod,"FLE",dr_Est,"&lt;&gt;Excluido"),(Produccion_Ventas!BR$28*BR$106+Produccion_Ventas!BR$49*BR$107)*BR$108)</f>
        <v>61400</v>
      </c>
      <c r="BS113" s="13" t="n">
        <f aca="false">IF(BS$69=1,SUMIFS(dr_USD,dr_Mes,65,dr_Cod,"FLE",dr_Est,"&lt;&gt;Excluido"),(Produccion_Ventas!BS$28*BS$106+Produccion_Ventas!BS$49*BS$107)*BS$108)</f>
        <v>61400</v>
      </c>
      <c r="BT113" s="13" t="n">
        <f aca="false">IF(BT$69=1,SUMIFS(dr_USD,dr_Mes,66,dr_Cod,"FLE",dr_Est,"&lt;&gt;Excluido"),(Produccion_Ventas!BT$28*BT$106+Produccion_Ventas!BT$49*BT$107)*BT$108)</f>
        <v>61400</v>
      </c>
      <c r="BU113" s="13" t="n">
        <f aca="false">IF(BU$69=1,SUMIFS(dr_USD,dr_Mes,67,dr_Cod,"FLE",dr_Est,"&lt;&gt;Excluido"),(Produccion_Ventas!BU$28*BU$106+Produccion_Ventas!BU$49*BU$107)*BU$108)</f>
        <v>61400</v>
      </c>
      <c r="BV113" s="13" t="n">
        <f aca="false">IF(BV$69=1,SUMIFS(dr_USD,dr_Mes,68,dr_Cod,"FLE",dr_Est,"&lt;&gt;Excluido"),(Produccion_Ventas!BV$28*BV$106+Produccion_Ventas!BV$49*BV$107)*BV$108)</f>
        <v>61400</v>
      </c>
      <c r="BW113" s="13" t="n">
        <f aca="false">IF(BW$69=1,SUMIFS(dr_USD,dr_Mes,69,dr_Cod,"FLE",dr_Est,"&lt;&gt;Excluido"),(Produccion_Ventas!BW$28*BW$106+Produccion_Ventas!BW$49*BW$107)*BW$108)</f>
        <v>61400</v>
      </c>
      <c r="BX113" s="13" t="n">
        <f aca="false">IF(BX$69=1,SUMIFS(dr_USD,dr_Mes,70,dr_Cod,"FLE",dr_Est,"&lt;&gt;Excluido"),(Produccion_Ventas!BX$28*BX$106+Produccion_Ventas!BX$49*BX$107)*BX$108)</f>
        <v>61400</v>
      </c>
      <c r="BY113" s="13" t="n">
        <f aca="false">IF(BY$69=1,SUMIFS(dr_USD,dr_Mes,71,dr_Cod,"FLE",dr_Est,"&lt;&gt;Excluido"),(Produccion_Ventas!BY$28*BY$106+Produccion_Ventas!BY$49*BY$107)*BY$108)</f>
        <v>61400</v>
      </c>
      <c r="BZ113" s="13" t="n">
        <f aca="false">IF(BZ$69=1,SUMIFS(dr_USD,dr_Mes,72,dr_Cod,"FLE",dr_Est,"&lt;&gt;Excluido"),(Produccion_Ventas!BZ$28*BZ$106+Produccion_Ventas!BZ$49*BZ$107)*BZ$108)</f>
        <v>61400</v>
      </c>
      <c r="CA113" s="13" t="n">
        <f aca="false">IF(CA$69=1,SUMIFS(dr_USD,dr_Mes,73,dr_Cod,"FLE",dr_Est,"&lt;&gt;Excluido"),(Produccion_Ventas!CA$28*CA$106+Produccion_Ventas!CA$49*CA$107)*CA$108)</f>
        <v>61400</v>
      </c>
      <c r="CB113" s="13" t="n">
        <f aca="false">IF(CB$69=1,SUMIFS(dr_USD,dr_Mes,74,dr_Cod,"FLE",dr_Est,"&lt;&gt;Excluido"),(Produccion_Ventas!CB$28*CB$106+Produccion_Ventas!CB$49*CB$107)*CB$108)</f>
        <v>61400</v>
      </c>
      <c r="CC113" s="13" t="n">
        <f aca="false">IF(CC$69=1,SUMIFS(dr_USD,dr_Mes,75,dr_Cod,"FLE",dr_Est,"&lt;&gt;Excluido"),(Produccion_Ventas!CC$28*CC$106+Produccion_Ventas!CC$49*CC$107)*CC$108)</f>
        <v>61400</v>
      </c>
      <c r="CD113" s="13" t="n">
        <f aca="false">IF(CD$69=1,SUMIFS(dr_USD,dr_Mes,76,dr_Cod,"FLE",dr_Est,"&lt;&gt;Excluido"),(Produccion_Ventas!CD$28*CD$106+Produccion_Ventas!CD$49*CD$107)*CD$108)</f>
        <v>61400</v>
      </c>
      <c r="CE113" s="13" t="n">
        <f aca="false">IF(CE$69=1,SUMIFS(dr_USD,dr_Mes,77,dr_Cod,"FLE",dr_Est,"&lt;&gt;Excluido"),(Produccion_Ventas!CE$28*CE$106+Produccion_Ventas!CE$49*CE$107)*CE$108)</f>
        <v>61400</v>
      </c>
      <c r="CF113" s="13" t="n">
        <f aca="false">IF(CF$69=1,SUMIFS(dr_USD,dr_Mes,78,dr_Cod,"FLE",dr_Est,"&lt;&gt;Excluido"),(Produccion_Ventas!CF$28*CF$106+Produccion_Ventas!CF$49*CF$107)*CF$108)</f>
        <v>61400</v>
      </c>
      <c r="CG113" s="13" t="n">
        <f aca="false">IF(CG$69=1,SUMIFS(dr_USD,dr_Mes,79,dr_Cod,"FLE",dr_Est,"&lt;&gt;Excluido"),(Produccion_Ventas!CG$28*CG$106+Produccion_Ventas!CG$49*CG$107)*CG$108)</f>
        <v>61400</v>
      </c>
      <c r="CH113" s="13" t="n">
        <f aca="false">IF(CH$69=1,SUMIFS(dr_USD,dr_Mes,80,dr_Cod,"FLE",dr_Est,"&lt;&gt;Excluido"),(Produccion_Ventas!CH$28*CH$106+Produccion_Ventas!CH$49*CH$107)*CH$108)</f>
        <v>61400</v>
      </c>
      <c r="CI113" s="13" t="n">
        <f aca="false">IF(CI$69=1,SUMIFS(dr_USD,dr_Mes,81,dr_Cod,"FLE",dr_Est,"&lt;&gt;Excluido"),(Produccion_Ventas!CI$28*CI$106+Produccion_Ventas!CI$49*CI$107)*CI$108)</f>
        <v>61400</v>
      </c>
      <c r="CJ113" s="13" t="n">
        <f aca="false">IF(CJ$69=1,SUMIFS(dr_USD,dr_Mes,82,dr_Cod,"FLE",dr_Est,"&lt;&gt;Excluido"),(Produccion_Ventas!CJ$28*CJ$106+Produccion_Ventas!CJ$49*CJ$107)*CJ$108)</f>
        <v>61400</v>
      </c>
      <c r="CK113" s="13" t="n">
        <f aca="false">IF(CK$69=1,SUMIFS(dr_USD,dr_Mes,83,dr_Cod,"FLE",dr_Est,"&lt;&gt;Excluido"),(Produccion_Ventas!CK$28*CK$106+Produccion_Ventas!CK$49*CK$107)*CK$108)</f>
        <v>61400</v>
      </c>
      <c r="CL113" s="13" t="n">
        <f aca="false">IF(CL$69=1,SUMIFS(dr_USD,dr_Mes,84,dr_Cod,"FLE",dr_Est,"&lt;&gt;Excluido"),(Produccion_Ventas!CL$28*CL$106+Produccion_Ventas!CL$49*CL$107)*CL$108)</f>
        <v>61400</v>
      </c>
      <c r="CM113" s="13" t="n">
        <f aca="false">IF(CM$69=1,SUMIFS(dr_USD,dr_Mes,85,dr_Cod,"FLE",dr_Est,"&lt;&gt;Excluido"),(Produccion_Ventas!CM$28*CM$106+Produccion_Ventas!CM$49*CM$107)*CM$108)</f>
        <v>61400</v>
      </c>
      <c r="CN113" s="13" t="n">
        <f aca="false">IF(CN$69=1,SUMIFS(dr_USD,dr_Mes,86,dr_Cod,"FLE",dr_Est,"&lt;&gt;Excluido"),(Produccion_Ventas!CN$28*CN$106+Produccion_Ventas!CN$49*CN$107)*CN$108)</f>
        <v>61400</v>
      </c>
      <c r="CO113" s="13" t="n">
        <f aca="false">IF(CO$69=1,SUMIFS(dr_USD,dr_Mes,87,dr_Cod,"FLE",dr_Est,"&lt;&gt;Excluido"),(Produccion_Ventas!CO$28*CO$106+Produccion_Ventas!CO$49*CO$107)*CO$108)</f>
        <v>61400</v>
      </c>
      <c r="CP113" s="13" t="n">
        <f aca="false">IF(CP$69=1,SUMIFS(dr_USD,dr_Mes,88,dr_Cod,"FLE",dr_Est,"&lt;&gt;Excluido"),(Produccion_Ventas!CP$28*CP$106+Produccion_Ventas!CP$49*CP$107)*CP$108)</f>
        <v>61400</v>
      </c>
      <c r="CQ113" s="13" t="n">
        <f aca="false">IF(CQ$69=1,SUMIFS(dr_USD,dr_Mes,89,dr_Cod,"FLE",dr_Est,"&lt;&gt;Excluido"),(Produccion_Ventas!CQ$28*CQ$106+Produccion_Ventas!CQ$49*CQ$107)*CQ$108)</f>
        <v>61400</v>
      </c>
      <c r="CR113" s="13" t="n">
        <f aca="false">IF(CR$69=1,SUMIFS(dr_USD,dr_Mes,90,dr_Cod,"FLE",dr_Est,"&lt;&gt;Excluido"),(Produccion_Ventas!CR$28*CR$106+Produccion_Ventas!CR$49*CR$107)*CR$108)</f>
        <v>61400</v>
      </c>
      <c r="CS113" s="13" t="n">
        <f aca="false">IF(CS$69=1,SUMIFS(dr_USD,dr_Mes,91,dr_Cod,"FLE",dr_Est,"&lt;&gt;Excluido"),(Produccion_Ventas!CS$28*CS$106+Produccion_Ventas!CS$49*CS$107)*CS$108)</f>
        <v>61400</v>
      </c>
      <c r="CT113" s="13" t="n">
        <f aca="false">IF(CT$69=1,SUMIFS(dr_USD,dr_Mes,92,dr_Cod,"FLE",dr_Est,"&lt;&gt;Excluido"),(Produccion_Ventas!CT$28*CT$106+Produccion_Ventas!CT$49*CT$107)*CT$108)</f>
        <v>61400</v>
      </c>
      <c r="CU113" s="13" t="n">
        <f aca="false">IF(CU$69=1,SUMIFS(dr_USD,dr_Mes,93,dr_Cod,"FLE",dr_Est,"&lt;&gt;Excluido"),(Produccion_Ventas!CU$28*CU$106+Produccion_Ventas!CU$49*CU$107)*CU$108)</f>
        <v>61400</v>
      </c>
      <c r="CV113" s="13" t="n">
        <f aca="false">IF(CV$69=1,SUMIFS(dr_USD,dr_Mes,94,dr_Cod,"FLE",dr_Est,"&lt;&gt;Excluido"),(Produccion_Ventas!CV$28*CV$106+Produccion_Ventas!CV$49*CV$107)*CV$108)</f>
        <v>61400</v>
      </c>
      <c r="CW113" s="13" t="n">
        <f aca="false">IF(CW$69=1,SUMIFS(dr_USD,dr_Mes,95,dr_Cod,"FLE",dr_Est,"&lt;&gt;Excluido"),(Produccion_Ventas!CW$28*CW$106+Produccion_Ventas!CW$49*CW$107)*CW$108)</f>
        <v>61400</v>
      </c>
      <c r="CX113" s="13" t="n">
        <f aca="false">IF(CX$69=1,SUMIFS(dr_USD,dr_Mes,96,dr_Cod,"FLE",dr_Est,"&lt;&gt;Excluido"),(Produccion_Ventas!CX$28*CX$106+Produccion_Ventas!CX$49*CX$107)*CX$108)</f>
        <v>61400</v>
      </c>
      <c r="CY113" s="13" t="n">
        <f aca="false">IF(CY$69=1,SUMIFS(dr_USD,dr_Mes,97,dr_Cod,"FLE",dr_Est,"&lt;&gt;Excluido"),(Produccion_Ventas!CY$28*CY$106+Produccion_Ventas!CY$49*CY$107)*CY$108)</f>
        <v>61400</v>
      </c>
      <c r="CZ113" s="13" t="n">
        <f aca="false">IF(CZ$69=1,SUMIFS(dr_USD,dr_Mes,98,dr_Cod,"FLE",dr_Est,"&lt;&gt;Excluido"),(Produccion_Ventas!CZ$28*CZ$106+Produccion_Ventas!CZ$49*CZ$107)*CZ$108)</f>
        <v>61400</v>
      </c>
      <c r="DA113" s="13" t="n">
        <f aca="false">IF(DA$69=1,SUMIFS(dr_USD,dr_Mes,99,dr_Cod,"FLE",dr_Est,"&lt;&gt;Excluido"),(Produccion_Ventas!DA$28*DA$106+Produccion_Ventas!DA$49*DA$107)*DA$108)</f>
        <v>61400</v>
      </c>
      <c r="DB113" s="13" t="n">
        <f aca="false">IF(DB$69=1,SUMIFS(dr_USD,dr_Mes,100,dr_Cod,"FLE",dr_Est,"&lt;&gt;Excluido"),(Produccion_Ventas!DB$28*DB$106+Produccion_Ventas!DB$49*DB$107)*DB$108)</f>
        <v>61400</v>
      </c>
      <c r="DC113" s="13" t="n">
        <f aca="false">IF(DC$69=1,SUMIFS(dr_USD,dr_Mes,101,dr_Cod,"FLE",dr_Est,"&lt;&gt;Excluido"),(Produccion_Ventas!DC$28*DC$106+Produccion_Ventas!DC$49*DC$107)*DC$108)</f>
        <v>61400</v>
      </c>
      <c r="DD113" s="13" t="n">
        <f aca="false">IF(DD$69=1,SUMIFS(dr_USD,dr_Mes,102,dr_Cod,"FLE",dr_Est,"&lt;&gt;Excluido"),(Produccion_Ventas!DD$28*DD$106+Produccion_Ventas!DD$49*DD$107)*DD$108)</f>
        <v>61400</v>
      </c>
      <c r="DE113" s="13" t="n">
        <f aca="false">IF(DE$69=1,SUMIFS(dr_USD,dr_Mes,103,dr_Cod,"FLE",dr_Est,"&lt;&gt;Excluido"),(Produccion_Ventas!DE$28*DE$106+Produccion_Ventas!DE$49*DE$107)*DE$108)</f>
        <v>61400</v>
      </c>
      <c r="DF113" s="13" t="n">
        <f aca="false">IF(DF$69=1,SUMIFS(dr_USD,dr_Mes,104,dr_Cod,"FLE",dr_Est,"&lt;&gt;Excluido"),(Produccion_Ventas!DF$28*DF$106+Produccion_Ventas!DF$49*DF$107)*DF$108)</f>
        <v>61400</v>
      </c>
      <c r="DG113" s="13" t="n">
        <f aca="false">IF(DG$69=1,SUMIFS(dr_USD,dr_Mes,105,dr_Cod,"FLE",dr_Est,"&lt;&gt;Excluido"),(Produccion_Ventas!DG$28*DG$106+Produccion_Ventas!DG$49*DG$107)*DG$108)</f>
        <v>61400</v>
      </c>
      <c r="DH113" s="13" t="n">
        <f aca="false">IF(DH$69=1,SUMIFS(dr_USD,dr_Mes,106,dr_Cod,"FLE",dr_Est,"&lt;&gt;Excluido"),(Produccion_Ventas!DH$28*DH$106+Produccion_Ventas!DH$49*DH$107)*DH$108)</f>
        <v>61400</v>
      </c>
      <c r="DI113" s="13" t="n">
        <f aca="false">IF(DI$69=1,SUMIFS(dr_USD,dr_Mes,107,dr_Cod,"FLE",dr_Est,"&lt;&gt;Excluido"),(Produccion_Ventas!DI$28*DI$106+Produccion_Ventas!DI$49*DI$107)*DI$108)</f>
        <v>61400</v>
      </c>
      <c r="DJ113" s="13" t="n">
        <f aca="false">IF(DJ$69=1,SUMIFS(dr_USD,dr_Mes,108,dr_Cod,"FLE",dr_Est,"&lt;&gt;Excluido"),(Produccion_Ventas!DJ$28*DJ$106+Produccion_Ventas!DJ$49*DJ$107)*DJ$108)</f>
        <v>61400</v>
      </c>
      <c r="DK113" s="13" t="n">
        <f aca="false">IF(DK$69=1,SUMIFS(dr_USD,dr_Mes,109,dr_Cod,"FLE",dr_Est,"&lt;&gt;Excluido"),(Produccion_Ventas!DK$28*DK$106+Produccion_Ventas!DK$49*DK$107)*DK$108)</f>
        <v>61400</v>
      </c>
      <c r="DL113" s="13" t="n">
        <f aca="false">IF(DL$69=1,SUMIFS(dr_USD,dr_Mes,110,dr_Cod,"FLE",dr_Est,"&lt;&gt;Excluido"),(Produccion_Ventas!DL$28*DL$106+Produccion_Ventas!DL$49*DL$107)*DL$108)</f>
        <v>61400</v>
      </c>
      <c r="DM113" s="13" t="n">
        <f aca="false">IF(DM$69=1,SUMIFS(dr_USD,dr_Mes,111,dr_Cod,"FLE",dr_Est,"&lt;&gt;Excluido"),(Produccion_Ventas!DM$28*DM$106+Produccion_Ventas!DM$49*DM$107)*DM$108)</f>
        <v>61400</v>
      </c>
      <c r="DN113" s="13" t="n">
        <f aca="false">IF(DN$69=1,SUMIFS(dr_USD,dr_Mes,112,dr_Cod,"FLE",dr_Est,"&lt;&gt;Excluido"),(Produccion_Ventas!DN$28*DN$106+Produccion_Ventas!DN$49*DN$107)*DN$108)</f>
        <v>61400</v>
      </c>
      <c r="DO113" s="13" t="n">
        <f aca="false">IF(DO$69=1,SUMIFS(dr_USD,dr_Mes,113,dr_Cod,"FLE",dr_Est,"&lt;&gt;Excluido"),(Produccion_Ventas!DO$28*DO$106+Produccion_Ventas!DO$49*DO$107)*DO$108)</f>
        <v>61400</v>
      </c>
      <c r="DP113" s="13" t="n">
        <f aca="false">IF(DP$69=1,SUMIFS(dr_USD,dr_Mes,114,dr_Cod,"FLE",dr_Est,"&lt;&gt;Excluido"),(Produccion_Ventas!DP$28*DP$106+Produccion_Ventas!DP$49*DP$107)*DP$108)</f>
        <v>61400</v>
      </c>
      <c r="DQ113" s="13" t="n">
        <f aca="false">IF(DQ$69=1,SUMIFS(dr_USD,dr_Mes,115,dr_Cod,"FLE",dr_Est,"&lt;&gt;Excluido"),(Produccion_Ventas!DQ$28*DQ$106+Produccion_Ventas!DQ$49*DQ$107)*DQ$108)</f>
        <v>61400</v>
      </c>
      <c r="DR113" s="13" t="n">
        <f aca="false">IF(DR$69=1,SUMIFS(dr_USD,dr_Mes,116,dr_Cod,"FLE",dr_Est,"&lt;&gt;Excluido"),(Produccion_Ventas!DR$28*DR$106+Produccion_Ventas!DR$49*DR$107)*DR$108)</f>
        <v>61400</v>
      </c>
      <c r="DS113" s="13" t="n">
        <f aca="false">IF(DS$69=1,SUMIFS(dr_USD,dr_Mes,117,dr_Cod,"FLE",dr_Est,"&lt;&gt;Excluido"),(Produccion_Ventas!DS$28*DS$106+Produccion_Ventas!DS$49*DS$107)*DS$108)</f>
        <v>61400</v>
      </c>
      <c r="DT113" s="13" t="n">
        <f aca="false">IF(DT$69=1,SUMIFS(dr_USD,dr_Mes,118,dr_Cod,"FLE",dr_Est,"&lt;&gt;Excluido"),(Produccion_Ventas!DT$28*DT$106+Produccion_Ventas!DT$49*DT$107)*DT$108)</f>
        <v>61400</v>
      </c>
      <c r="DU113" s="13" t="n">
        <f aca="false">IF(DU$69=1,SUMIFS(dr_USD,dr_Mes,119,dr_Cod,"FLE",dr_Est,"&lt;&gt;Excluido"),(Produccion_Ventas!DU$28*DU$106+Produccion_Ventas!DU$49*DU$107)*DU$108)</f>
        <v>61400</v>
      </c>
      <c r="DV113" s="13" t="n">
        <f aca="false">IF(DV$69=1,SUMIFS(dr_USD,dr_Mes,120,dr_Cod,"FLE",dr_Est,"&lt;&gt;Excluido"),(Produccion_Ventas!DV$28*DV$106+Produccion_Ventas!DV$49*DV$107)*DV$108)</f>
        <v>41213.698630137</v>
      </c>
      <c r="DW113" s="13" t="n">
        <f aca="false">IF(DW$69=1,SUMIFS(dr_USD,dr_Mes,121,dr_Cod,"FLE",dr_Est,"&lt;&gt;Excluido"),(Produccion_Ventas!DW$28*DW$106+Produccion_Ventas!DW$49*DW$107)*DW$108)</f>
        <v>0</v>
      </c>
      <c r="DX113" s="13" t="n">
        <f aca="false">IF(DX$69=1,SUMIFS(dr_USD,dr_Mes,122,dr_Cod,"FLE",dr_Est,"&lt;&gt;Excluido"),(Produccion_Ventas!DX$28*DX$106+Produccion_Ventas!DX$49*DX$107)*DX$108)</f>
        <v>0</v>
      </c>
      <c r="DY113" s="13" t="n">
        <f aca="false">IF(DY$69=1,SUMIFS(dr_USD,dr_Mes,123,dr_Cod,"FLE",dr_Est,"&lt;&gt;Excluido"),(Produccion_Ventas!DY$28*DY$106+Produccion_Ventas!DY$49*DY$107)*DY$108)</f>
        <v>0</v>
      </c>
      <c r="DZ113" s="13" t="n">
        <f aca="false">IF(DZ$69=1,SUMIFS(dr_USD,dr_Mes,124,dr_Cod,"FLE",dr_Est,"&lt;&gt;Excluido"),(Produccion_Ventas!DZ$28*DZ$106+Produccion_Ventas!DZ$49*DZ$107)*DZ$108)</f>
        <v>0</v>
      </c>
      <c r="EA113" s="13" t="n">
        <f aca="false">IF(EA$69=1,SUMIFS(dr_USD,dr_Mes,125,dr_Cod,"FLE",dr_Est,"&lt;&gt;Excluido"),(Produccion_Ventas!EA$28*EA$106+Produccion_Ventas!EA$49*EA$107)*EA$108)</f>
        <v>0</v>
      </c>
      <c r="EB113" s="13" t="n">
        <f aca="false">IF(EB$69=1,SUMIFS(dr_USD,dr_Mes,126,dr_Cod,"FLE",dr_Est,"&lt;&gt;Excluido"),(Produccion_Ventas!EB$28*EB$106+Produccion_Ventas!EB$49*EB$107)*EB$108)</f>
        <v>0</v>
      </c>
      <c r="EC113" s="13" t="n">
        <f aca="false">IF(EC$69=1,SUMIFS(dr_USD,dr_Mes,127,dr_Cod,"FLE",dr_Est,"&lt;&gt;Excluido"),(Produccion_Ventas!EC$28*EC$106+Produccion_Ventas!EC$49*EC$107)*EC$108)</f>
        <v>0</v>
      </c>
      <c r="ED113" s="13" t="n">
        <f aca="false">IF(ED$69=1,SUMIFS(dr_USD,dr_Mes,128,dr_Cod,"FLE",dr_Est,"&lt;&gt;Excluido"),(Produccion_Ventas!ED$28*ED$106+Produccion_Ventas!ED$49*ED$107)*ED$108)</f>
        <v>0</v>
      </c>
      <c r="EE113" s="13" t="n">
        <f aca="false">IF(EE$69=1,SUMIFS(dr_USD,dr_Mes,129,dr_Cod,"FLE",dr_Est,"&lt;&gt;Excluido"),(Produccion_Ventas!EE$28*EE$106+Produccion_Ventas!EE$49*EE$107)*EE$108)</f>
        <v>0</v>
      </c>
      <c r="EF113" s="13" t="n">
        <f aca="false">IF(EF$69=1,SUMIFS(dr_USD,dr_Mes,130,dr_Cod,"FLE",dr_Est,"&lt;&gt;Excluido"),(Produccion_Ventas!EF$28*EF$106+Produccion_Ventas!EF$49*EF$107)*EF$108)</f>
        <v>0</v>
      </c>
      <c r="EG113" s="13" t="n">
        <f aca="false">IF(EG$69=1,SUMIFS(dr_USD,dr_Mes,131,dr_Cod,"FLE",dr_Est,"&lt;&gt;Excluido"),(Produccion_Ventas!EG$28*EG$106+Produccion_Ventas!EG$49*EG$107)*EG$108)</f>
        <v>0</v>
      </c>
      <c r="EH113" s="13" t="n">
        <f aca="false">IF(EH$69=1,SUMIFS(dr_USD,dr_Mes,132,dr_Cod,"FLE",dr_Est,"&lt;&gt;Excluido"),(Produccion_Ventas!EH$28*EH$106+Produccion_Ventas!EH$49*EH$107)*EH$108)</f>
        <v>0</v>
      </c>
      <c r="EI113" s="13" t="n">
        <f aca="false">IF(EI$69=1,SUMIFS(dr_USD,dr_Mes,133,dr_Cod,"FLE",dr_Est,"&lt;&gt;Excluido"),(Produccion_Ventas!EI$28*EI$106+Produccion_Ventas!EI$49*EI$107)*EI$108)</f>
        <v>0</v>
      </c>
      <c r="EJ113" s="13" t="n">
        <f aca="false">IF(EJ$69=1,SUMIFS(dr_USD,dr_Mes,134,dr_Cod,"FLE",dr_Est,"&lt;&gt;Excluido"),(Produccion_Ventas!EJ$28*EJ$106+Produccion_Ventas!EJ$49*EJ$107)*EJ$108)</f>
        <v>0</v>
      </c>
      <c r="EK113" s="13" t="n">
        <f aca="false">IF(EK$69=1,SUMIFS(dr_USD,dr_Mes,135,dr_Cod,"FLE",dr_Est,"&lt;&gt;Excluido"),(Produccion_Ventas!EK$28*EK$106+Produccion_Ventas!EK$49*EK$107)*EK$108)</f>
        <v>0</v>
      </c>
      <c r="EL113" s="13" t="n">
        <f aca="false">IF(EL$69=1,SUMIFS(dr_USD,dr_Mes,136,dr_Cod,"FLE",dr_Est,"&lt;&gt;Excluido"),(Produccion_Ventas!EL$28*EL$106+Produccion_Ventas!EL$49*EL$107)*EL$108)</f>
        <v>0</v>
      </c>
      <c r="EM113" s="13" t="n">
        <f aca="false">IF(EM$69=1,SUMIFS(dr_USD,dr_Mes,137,dr_Cod,"FLE",dr_Est,"&lt;&gt;Excluido"),(Produccion_Ventas!EM$28*EM$106+Produccion_Ventas!EM$49*EM$107)*EM$108)</f>
        <v>0</v>
      </c>
      <c r="EN113" s="13" t="n">
        <f aca="false">IF(EN$69=1,SUMIFS(dr_USD,dr_Mes,138,dr_Cod,"FLE",dr_Est,"&lt;&gt;Excluido"),(Produccion_Ventas!EN$28*EN$106+Produccion_Ventas!EN$49*EN$107)*EN$108)</f>
        <v>0</v>
      </c>
      <c r="EO113" s="13" t="n">
        <f aca="false">IF(EO$69=1,SUMIFS(dr_USD,dr_Mes,139,dr_Cod,"FLE",dr_Est,"&lt;&gt;Excluido"),(Produccion_Ventas!EO$28*EO$106+Produccion_Ventas!EO$49*EO$107)*EO$108)</f>
        <v>0</v>
      </c>
      <c r="EP113" s="13" t="n">
        <f aca="false">IF(EP$69=1,SUMIFS(dr_USD,dr_Mes,140,dr_Cod,"FLE",dr_Est,"&lt;&gt;Excluido"),(Produccion_Ventas!EP$28*EP$106+Produccion_Ventas!EP$49*EP$107)*EP$108)</f>
        <v>0</v>
      </c>
      <c r="EQ113" s="13" t="n">
        <f aca="false">IF(EQ$69=1,SUMIFS(dr_USD,dr_Mes,141,dr_Cod,"FLE",dr_Est,"&lt;&gt;Excluido"),(Produccion_Ventas!EQ$28*EQ$106+Produccion_Ventas!EQ$49*EQ$107)*EQ$108)</f>
        <v>0</v>
      </c>
      <c r="ER113" s="13" t="n">
        <f aca="false">IF(ER$69=1,SUMIFS(dr_USD,dr_Mes,142,dr_Cod,"FLE",dr_Est,"&lt;&gt;Excluido"),(Produccion_Ventas!ER$28*ER$106+Produccion_Ventas!ER$49*ER$107)*ER$108)</f>
        <v>0</v>
      </c>
      <c r="ES113" s="13" t="n">
        <f aca="false">IF(ES$69=1,SUMIFS(dr_USD,dr_Mes,143,dr_Cod,"FLE",dr_Est,"&lt;&gt;Excluido"),(Produccion_Ventas!ES$28*ES$106+Produccion_Ventas!ES$49*ES$107)*ES$108)</f>
        <v>0</v>
      </c>
      <c r="ET113" s="13" t="n">
        <f aca="false">IF(ET$69=1,SUMIFS(dr_USD,dr_Mes,144,dr_Cod,"FLE",dr_Est,"&lt;&gt;Excluido"),(Produccion_Ventas!ET$28*ET$106+Produccion_Ventas!ET$49*ET$107)*ET$108)</f>
        <v>0</v>
      </c>
      <c r="EU113" s="13" t="n">
        <f aca="false">IF(EU$69=1,SUMIFS(dr_USD,dr_Mes,145,dr_Cod,"FLE",dr_Est,"&lt;&gt;Excluido"),(Produccion_Ventas!EU$28*EU$106+Produccion_Ventas!EU$49*EU$107)*EU$108)</f>
        <v>0</v>
      </c>
      <c r="EV113" s="13" t="n">
        <f aca="false">IF(EV$69=1,SUMIFS(dr_USD,dr_Mes,146,dr_Cod,"FLE",dr_Est,"&lt;&gt;Excluido"),(Produccion_Ventas!EV$28*EV$106+Produccion_Ventas!EV$49*EV$107)*EV$108)</f>
        <v>0</v>
      </c>
      <c r="EW113" s="13" t="n">
        <f aca="false">IF(EW$69=1,SUMIFS(dr_USD,dr_Mes,147,dr_Cod,"FLE",dr_Est,"&lt;&gt;Excluido"),(Produccion_Ventas!EW$28*EW$106+Produccion_Ventas!EW$49*EW$107)*EW$108)</f>
        <v>0</v>
      </c>
      <c r="EX113" s="13" t="n">
        <f aca="false">IF(EX$69=1,SUMIFS(dr_USD,dr_Mes,148,dr_Cod,"FLE",dr_Est,"&lt;&gt;Excluido"),(Produccion_Ventas!EX$28*EX$106+Produccion_Ventas!EX$49*EX$107)*EX$108)</f>
        <v>0</v>
      </c>
      <c r="EY113" s="13" t="n">
        <f aca="false">IF(EY$69=1,SUMIFS(dr_USD,dr_Mes,149,dr_Cod,"FLE",dr_Est,"&lt;&gt;Excluido"),(Produccion_Ventas!EY$28*EY$106+Produccion_Ventas!EY$49*EY$107)*EY$108)</f>
        <v>0</v>
      </c>
      <c r="EZ113" s="13" t="n">
        <f aca="false">IF(EZ$69=1,SUMIFS(dr_USD,dr_Mes,150,dr_Cod,"FLE",dr_Est,"&lt;&gt;Excluido"),(Produccion_Ventas!EZ$28*EZ$106+Produccion_Ventas!EZ$49*EZ$107)*EZ$108)</f>
        <v>0</v>
      </c>
      <c r="FA113" s="13" t="n">
        <f aca="false">IF(FA$69=1,SUMIFS(dr_USD,dr_Mes,151,dr_Cod,"FLE",dr_Est,"&lt;&gt;Excluido"),(Produccion_Ventas!FA$28*FA$106+Produccion_Ventas!FA$49*FA$107)*FA$108)</f>
        <v>0</v>
      </c>
      <c r="FB113" s="13" t="n">
        <f aca="false">IF(FB$69=1,SUMIFS(dr_USD,dr_Mes,152,dr_Cod,"FLE",dr_Est,"&lt;&gt;Excluido"),(Produccion_Ventas!FB$28*FB$106+Produccion_Ventas!FB$49*FB$107)*FB$108)</f>
        <v>0</v>
      </c>
      <c r="FC113" s="13" t="n">
        <f aca="false">IF(FC$69=1,SUMIFS(dr_USD,dr_Mes,153,dr_Cod,"FLE",dr_Est,"&lt;&gt;Excluido"),(Produccion_Ventas!FC$28*FC$106+Produccion_Ventas!FC$49*FC$107)*FC$108)</f>
        <v>0</v>
      </c>
      <c r="FD113" s="13" t="n">
        <f aca="false">IF(FD$69=1,SUMIFS(dr_USD,dr_Mes,154,dr_Cod,"FLE",dr_Est,"&lt;&gt;Excluido"),(Produccion_Ventas!FD$28*FD$106+Produccion_Ventas!FD$49*FD$107)*FD$108)</f>
        <v>0</v>
      </c>
      <c r="FE113" s="13" t="n">
        <f aca="false">IF(FE$69=1,SUMIFS(dr_USD,dr_Mes,155,dr_Cod,"FLE",dr_Est,"&lt;&gt;Excluido"),(Produccion_Ventas!FE$28*FE$106+Produccion_Ventas!FE$49*FE$107)*FE$108)</f>
        <v>0</v>
      </c>
      <c r="FF113" s="13" t="n">
        <f aca="false">IF(FF$69=1,SUMIFS(dr_USD,dr_Mes,156,dr_Cod,"FLE",dr_Est,"&lt;&gt;Excluido"),(Produccion_Ventas!FF$28*FF$106+Produccion_Ventas!FF$49*FF$107)*FF$108)</f>
        <v>0</v>
      </c>
    </row>
    <row r="114" customFormat="false" ht="15" hidden="false" customHeight="false" outlineLevel="0" collapsed="false">
      <c r="A114" s="2" t="s">
        <v>1077</v>
      </c>
      <c r="B114" s="8" t="s">
        <v>1078</v>
      </c>
      <c r="C114" s="8" t="s">
        <v>255</v>
      </c>
      <c r="E114" s="65" t="n">
        <f aca="false">SUM($F114:$FF114)</f>
        <v>1179349.26034269</v>
      </c>
      <c r="F114" s="13" t="n">
        <f aca="false">IF(F$69=1,SUMIFS(dr_USD,dr_Mes,0,dr_Cod,"DES",dr_Est,"&lt;&gt;Excluido"),p_Desp*(F$110+F$111))</f>
        <v>0</v>
      </c>
      <c r="G114" s="13" t="n">
        <f aca="false">IF(G$69=1,SUMIFS(dr_USD,dr_Mes,1,dr_Cod,"DES",dr_Est,"&lt;&gt;Excluido"),p_Desp*(G$110+G$111))</f>
        <v>7939.61609589041</v>
      </c>
      <c r="H114" s="13" t="n">
        <f aca="false">IF(H$69=1,SUMIFS(dr_USD,dr_Mes,2,dr_Cod,"DES",dr_Est,"&lt;&gt;Excluido"),p_Desp*(H$110+H$111))</f>
        <v>5975.175</v>
      </c>
      <c r="I114" s="13" t="n">
        <f aca="false">IF(I$69=1,SUMIFS(dr_USD,dr_Mes,3,dr_Cod,"DES",dr_Est,"&lt;&gt;Excluido"),p_Desp*(I$110+I$111))</f>
        <v>5975.175</v>
      </c>
      <c r="J114" s="13" t="n">
        <f aca="false">IF(J$69=1,SUMIFS(dr_USD,dr_Mes,4,dr_Cod,"DES",dr_Est,"&lt;&gt;Excluido"),p_Desp*(J$110+J$111))</f>
        <v>5975.175</v>
      </c>
      <c r="K114" s="13" t="n">
        <f aca="false">IF(K$69=1,SUMIFS(dr_USD,dr_Mes,5,dr_Cod,"DES",dr_Est,"&lt;&gt;Excluido"),p_Desp*(K$110+K$111))</f>
        <v>5975.175</v>
      </c>
      <c r="L114" s="13" t="n">
        <f aca="false">IF(L$69=1,SUMIFS(dr_USD,dr_Mes,6,dr_Cod,"DES",dr_Est,"&lt;&gt;Excluido"),p_Desp*(L$110+L$111))</f>
        <v>5975.175</v>
      </c>
      <c r="M114" s="13" t="n">
        <f aca="false">IF(M$69=1,SUMIFS(dr_USD,dr_Mes,7,dr_Cod,"DES",dr_Est,"&lt;&gt;Excluido"),p_Desp*(M$110+M$111))</f>
        <v>5975.175</v>
      </c>
      <c r="N114" s="13" t="n">
        <f aca="false">IF(N$69=1,SUMIFS(dr_USD,dr_Mes,8,dr_Cod,"DES",dr_Est,"&lt;&gt;Excluido"),p_Desp*(N$110+N$111))</f>
        <v>5975.175</v>
      </c>
      <c r="O114" s="13" t="n">
        <f aca="false">IF(O$69=1,SUMIFS(dr_USD,dr_Mes,9,dr_Cod,"DES",dr_Est,"&lt;&gt;Excluido"),p_Desp*(O$110+O$111))</f>
        <v>5975.175</v>
      </c>
      <c r="P114" s="13" t="n">
        <f aca="false">IF(P$69=1,SUMIFS(dr_USD,dr_Mes,10,dr_Cod,"DES",dr_Est,"&lt;&gt;Excluido"),p_Desp*(P$110+P$111))</f>
        <v>5975.175</v>
      </c>
      <c r="Q114" s="13" t="n">
        <f aca="false">IF(Q$69=1,SUMIFS(dr_USD,dr_Mes,11,dr_Cod,"DES",dr_Est,"&lt;&gt;Excluido"),p_Desp*(Q$110+Q$111))</f>
        <v>5975.175</v>
      </c>
      <c r="R114" s="13" t="n">
        <f aca="false">IF(R$69=1,SUMIFS(dr_USD,dr_Mes,12,dr_Cod,"DES",dr_Est,"&lt;&gt;Excluido"),p_Desp*(R$110+R$111))</f>
        <v>6491.47910958904</v>
      </c>
      <c r="S114" s="13" t="n">
        <f aca="false">IF(S$69=1,SUMIFS(dr_USD,dr_Mes,13,dr_Cod,"DES",dr_Est,"&lt;&gt;Excluido"),p_Desp*(S$110+S$111))</f>
        <v>7593.26625</v>
      </c>
      <c r="T114" s="13" t="n">
        <f aca="false">IF(T$69=1,SUMIFS(dr_USD,dr_Mes,14,dr_Cod,"DES",dr_Est,"&lt;&gt;Excluido"),p_Desp*(T$110+T$111))</f>
        <v>7593.26625</v>
      </c>
      <c r="U114" s="13" t="n">
        <f aca="false">IF(U$69=1,SUMIFS(dr_USD,dr_Mes,15,dr_Cod,"DES",dr_Est,"&lt;&gt;Excluido"),p_Desp*(U$110+U$111))</f>
        <v>7593.26625</v>
      </c>
      <c r="V114" s="13" t="n">
        <f aca="false">IF(V$69=1,SUMIFS(dr_USD,dr_Mes,16,dr_Cod,"DES",dr_Est,"&lt;&gt;Excluido"),p_Desp*(V$110+V$111))</f>
        <v>7593.26625</v>
      </c>
      <c r="W114" s="13" t="n">
        <f aca="false">IF(W$69=1,SUMIFS(dr_USD,dr_Mes,17,dr_Cod,"DES",dr_Est,"&lt;&gt;Excluido"),p_Desp*(W$110+W$111))</f>
        <v>7593.26625</v>
      </c>
      <c r="X114" s="13" t="n">
        <f aca="false">IF(X$69=1,SUMIFS(dr_USD,dr_Mes,18,dr_Cod,"DES",dr_Est,"&lt;&gt;Excluido"),p_Desp*(X$110+X$111))</f>
        <v>7593.26625</v>
      </c>
      <c r="Y114" s="13" t="n">
        <f aca="false">IF(Y$69=1,SUMIFS(dr_USD,dr_Mes,19,dr_Cod,"DES",dr_Est,"&lt;&gt;Excluido"),p_Desp*(Y$110+Y$111))</f>
        <v>7593.26625</v>
      </c>
      <c r="Z114" s="13" t="n">
        <f aca="false">IF(Z$69=1,SUMIFS(dr_USD,dr_Mes,20,dr_Cod,"DES",dr_Est,"&lt;&gt;Excluido"),p_Desp*(Z$110+Z$111))</f>
        <v>7593.26625</v>
      </c>
      <c r="AA114" s="13" t="n">
        <f aca="false">IF(AA$69=1,SUMIFS(dr_USD,dr_Mes,21,dr_Cod,"DES",dr_Est,"&lt;&gt;Excluido"),p_Desp*(AA$110+AA$111))</f>
        <v>7593.26625</v>
      </c>
      <c r="AB114" s="13" t="n">
        <f aca="false">IF(AB$69=1,SUMIFS(dr_USD,dr_Mes,22,dr_Cod,"DES",dr_Est,"&lt;&gt;Excluido"),p_Desp*(AB$110+AB$111))</f>
        <v>7593.26625</v>
      </c>
      <c r="AC114" s="13" t="n">
        <f aca="false">IF(AC$69=1,SUMIFS(dr_USD,dr_Mes,23,dr_Cod,"DES",dr_Est,"&lt;&gt;Excluido"),p_Desp*(AC$110+AC$111))</f>
        <v>7593.26625</v>
      </c>
      <c r="AD114" s="13" t="n">
        <f aca="false">IF(AD$69=1,SUMIFS(dr_USD,dr_Mes,24,dr_Cod,"DES",dr_Est,"&lt;&gt;Excluido"),p_Desp*(AD$110+AD$111))</f>
        <v>8112.8263869863</v>
      </c>
      <c r="AE114" s="13" t="n">
        <f aca="false">IF(AE$69=1,SUMIFS(dr_USD,dr_Mes,25,dr_Cod,"DES",dr_Est,"&lt;&gt;Excluido"),p_Desp*(AE$110+AE$111))</f>
        <v>9231.7407</v>
      </c>
      <c r="AF114" s="13" t="n">
        <f aca="false">IF(AF$69=1,SUMIFS(dr_USD,dr_Mes,26,dr_Cod,"DES",dr_Est,"&lt;&gt;Excluido"),p_Desp*(AF$110+AF$111))</f>
        <v>9231.7407</v>
      </c>
      <c r="AG114" s="13" t="n">
        <f aca="false">IF(AG$69=1,SUMIFS(dr_USD,dr_Mes,27,dr_Cod,"DES",dr_Est,"&lt;&gt;Excluido"),p_Desp*(AG$110+AG$111))</f>
        <v>9231.7407</v>
      </c>
      <c r="AH114" s="13" t="n">
        <f aca="false">IF(AH$69=1,SUMIFS(dr_USD,dr_Mes,28,dr_Cod,"DES",dr_Est,"&lt;&gt;Excluido"),p_Desp*(AH$110+AH$111))</f>
        <v>9231.7407</v>
      </c>
      <c r="AI114" s="13" t="n">
        <f aca="false">IF(AI$69=1,SUMIFS(dr_USD,dr_Mes,29,dr_Cod,"DES",dr_Est,"&lt;&gt;Excluido"),p_Desp*(AI$110+AI$111))</f>
        <v>9231.7407</v>
      </c>
      <c r="AJ114" s="13" t="n">
        <f aca="false">IF(AJ$69=1,SUMIFS(dr_USD,dr_Mes,30,dr_Cod,"DES",dr_Est,"&lt;&gt;Excluido"),p_Desp*(AJ$110+AJ$111))</f>
        <v>9231.7407</v>
      </c>
      <c r="AK114" s="13" t="n">
        <f aca="false">IF(AK$69=1,SUMIFS(dr_USD,dr_Mes,31,dr_Cod,"DES",dr_Est,"&lt;&gt;Excluido"),p_Desp*(AK$110+AK$111))</f>
        <v>9231.7407</v>
      </c>
      <c r="AL114" s="13" t="n">
        <f aca="false">IF(AL$69=1,SUMIFS(dr_USD,dr_Mes,32,dr_Cod,"DES",dr_Est,"&lt;&gt;Excluido"),p_Desp*(AL$110+AL$111))</f>
        <v>9231.7407</v>
      </c>
      <c r="AM114" s="13" t="n">
        <f aca="false">IF(AM$69=1,SUMIFS(dr_USD,dr_Mes,33,dr_Cod,"DES",dr_Est,"&lt;&gt;Excluido"),p_Desp*(AM$110+AM$111))</f>
        <v>9231.7407</v>
      </c>
      <c r="AN114" s="13" t="n">
        <f aca="false">IF(AN$69=1,SUMIFS(dr_USD,dr_Mes,34,dr_Cod,"DES",dr_Est,"&lt;&gt;Excluido"),p_Desp*(AN$110+AN$111))</f>
        <v>9231.7407</v>
      </c>
      <c r="AO114" s="13" t="n">
        <f aca="false">IF(AO$69=1,SUMIFS(dr_USD,dr_Mes,35,dr_Cod,"DES",dr_Est,"&lt;&gt;Excluido"),p_Desp*(AO$110+AO$111))</f>
        <v>9231.7407</v>
      </c>
      <c r="AP114" s="13" t="n">
        <f aca="false">IF(AP$69=1,SUMIFS(dr_USD,dr_Mes,36,dr_Cod,"DES",dr_Est,"&lt;&gt;Excluido"),p_Desp*(AP$110+AP$111))</f>
        <v>9652.58990958904</v>
      </c>
      <c r="AQ114" s="13" t="n">
        <f aca="false">IF(AQ$69=1,SUMIFS(dr_USD,dr_Mes,37,dr_Cod,"DES",dr_Est,"&lt;&gt;Excluido"),p_Desp*(AQ$110+AQ$111))</f>
        <v>10578.763949625</v>
      </c>
      <c r="AR114" s="13" t="n">
        <f aca="false">IF(AR$69=1,SUMIFS(dr_USD,dr_Mes,38,dr_Cod,"DES",dr_Est,"&lt;&gt;Excluido"),p_Desp*(AR$110+AR$111))</f>
        <v>10578.763949625</v>
      </c>
      <c r="AS114" s="13" t="n">
        <f aca="false">IF(AS$69=1,SUMIFS(dr_USD,dr_Mes,39,dr_Cod,"DES",dr_Est,"&lt;&gt;Excluido"),p_Desp*(AS$110+AS$111))</f>
        <v>10578.763949625</v>
      </c>
      <c r="AT114" s="13" t="n">
        <f aca="false">IF(AT$69=1,SUMIFS(dr_USD,dr_Mes,40,dr_Cod,"DES",dr_Est,"&lt;&gt;Excluido"),p_Desp*(AT$110+AT$111))</f>
        <v>10578.763949625</v>
      </c>
      <c r="AU114" s="13" t="n">
        <f aca="false">IF(AU$69=1,SUMIFS(dr_USD,dr_Mes,41,dr_Cod,"DES",dr_Est,"&lt;&gt;Excluido"),p_Desp*(AU$110+AU$111))</f>
        <v>10578.763949625</v>
      </c>
      <c r="AV114" s="13" t="n">
        <f aca="false">IF(AV$69=1,SUMIFS(dr_USD,dr_Mes,42,dr_Cod,"DES",dr_Est,"&lt;&gt;Excluido"),p_Desp*(AV$110+AV$111))</f>
        <v>10578.763949625</v>
      </c>
      <c r="AW114" s="13" t="n">
        <f aca="false">IF(AW$69=1,SUMIFS(dr_USD,dr_Mes,43,dr_Cod,"DES",dr_Est,"&lt;&gt;Excluido"),p_Desp*(AW$110+AW$111))</f>
        <v>10578.763949625</v>
      </c>
      <c r="AX114" s="13" t="n">
        <f aca="false">IF(AX$69=1,SUMIFS(dr_USD,dr_Mes,44,dr_Cod,"DES",dr_Est,"&lt;&gt;Excluido"),p_Desp*(AX$110+AX$111))</f>
        <v>10578.763949625</v>
      </c>
      <c r="AY114" s="13" t="n">
        <f aca="false">IF(AY$69=1,SUMIFS(dr_USD,dr_Mes,45,dr_Cod,"DES",dr_Est,"&lt;&gt;Excluido"),p_Desp*(AY$110+AY$111))</f>
        <v>10578.763949625</v>
      </c>
      <c r="AZ114" s="13" t="n">
        <f aca="false">IF(AZ$69=1,SUMIFS(dr_USD,dr_Mes,46,dr_Cod,"DES",dr_Est,"&lt;&gt;Excluido"),p_Desp*(AZ$110+AZ$111))</f>
        <v>10578.763949625</v>
      </c>
      <c r="BA114" s="13" t="n">
        <f aca="false">IF(BA$69=1,SUMIFS(dr_USD,dr_Mes,47,dr_Cod,"DES",dr_Est,"&lt;&gt;Excluido"),p_Desp*(BA$110+BA$111))</f>
        <v>10578.763949625</v>
      </c>
      <c r="BB114" s="13" t="n">
        <f aca="false">IF(BB$69=1,SUMIFS(dr_USD,dr_Mes,48,dr_Cod,"DES",dr_Est,"&lt;&gt;Excluido"),p_Desp*(BB$110+BB$111))</f>
        <v>10578.763949625</v>
      </c>
      <c r="BC114" s="13" t="n">
        <f aca="false">IF(BC$69=1,SUMIFS(dr_USD,dr_Mes,49,dr_Cod,"DES",dr_Est,"&lt;&gt;Excluido"),p_Desp*(BC$110+BC$111))</f>
        <v>10646.3735891213</v>
      </c>
      <c r="BD114" s="13" t="n">
        <f aca="false">IF(BD$69=1,SUMIFS(dr_USD,dr_Mes,50,dr_Cod,"DES",dr_Est,"&lt;&gt;Excluido"),p_Desp*(BD$110+BD$111))</f>
        <v>10646.3735891213</v>
      </c>
      <c r="BE114" s="13" t="n">
        <f aca="false">IF(BE$69=1,SUMIFS(dr_USD,dr_Mes,51,dr_Cod,"DES",dr_Est,"&lt;&gt;Excluido"),p_Desp*(BE$110+BE$111))</f>
        <v>10646.3735891213</v>
      </c>
      <c r="BF114" s="13" t="n">
        <f aca="false">IF(BF$69=1,SUMIFS(dr_USD,dr_Mes,52,dr_Cod,"DES",dr_Est,"&lt;&gt;Excluido"),p_Desp*(BF$110+BF$111))</f>
        <v>10646.3735891213</v>
      </c>
      <c r="BG114" s="13" t="n">
        <f aca="false">IF(BG$69=1,SUMIFS(dr_USD,dr_Mes,53,dr_Cod,"DES",dr_Est,"&lt;&gt;Excluido"),p_Desp*(BG$110+BG$111))</f>
        <v>10646.3735891213</v>
      </c>
      <c r="BH114" s="13" t="n">
        <f aca="false">IF(BH$69=1,SUMIFS(dr_USD,dr_Mes,54,dr_Cod,"DES",dr_Est,"&lt;&gt;Excluido"),p_Desp*(BH$110+BH$111))</f>
        <v>10646.3735891213</v>
      </c>
      <c r="BI114" s="13" t="n">
        <f aca="false">IF(BI$69=1,SUMIFS(dr_USD,dr_Mes,55,dr_Cod,"DES",dr_Est,"&lt;&gt;Excluido"),p_Desp*(BI$110+BI$111))</f>
        <v>10646.3735891213</v>
      </c>
      <c r="BJ114" s="13" t="n">
        <f aca="false">IF(BJ$69=1,SUMIFS(dr_USD,dr_Mes,56,dr_Cod,"DES",dr_Est,"&lt;&gt;Excluido"),p_Desp*(BJ$110+BJ$111))</f>
        <v>10646.3735891213</v>
      </c>
      <c r="BK114" s="13" t="n">
        <f aca="false">IF(BK$69=1,SUMIFS(dr_USD,dr_Mes,57,dr_Cod,"DES",dr_Est,"&lt;&gt;Excluido"),p_Desp*(BK$110+BK$111))</f>
        <v>10646.3735891213</v>
      </c>
      <c r="BL114" s="13" t="n">
        <f aca="false">IF(BL$69=1,SUMIFS(dr_USD,dr_Mes,58,dr_Cod,"DES",dr_Est,"&lt;&gt;Excluido"),p_Desp*(BL$110+BL$111))</f>
        <v>10646.3735891213</v>
      </c>
      <c r="BM114" s="13" t="n">
        <f aca="false">IF(BM$69=1,SUMIFS(dr_USD,dr_Mes,59,dr_Cod,"DES",dr_Est,"&lt;&gt;Excluido"),p_Desp*(BM$110+BM$111))</f>
        <v>10646.3735891213</v>
      </c>
      <c r="BN114" s="13" t="n">
        <f aca="false">IF(BN$69=1,SUMIFS(dr_USD,dr_Mes,60,dr_Cod,"DES",dr_Est,"&lt;&gt;Excluido"),p_Desp*(BN$110+BN$111))</f>
        <v>10646.3735891213</v>
      </c>
      <c r="BO114" s="13" t="n">
        <f aca="false">IF(BO$69=1,SUMIFS(dr_USD,dr_Mes,61,dr_Cod,"DES",dr_Est,"&lt;&gt;Excluido"),p_Desp*(BO$110+BO$111))</f>
        <v>10714.6593250125</v>
      </c>
      <c r="BP114" s="13" t="n">
        <f aca="false">IF(BP$69=1,SUMIFS(dr_USD,dr_Mes,62,dr_Cod,"DES",dr_Est,"&lt;&gt;Excluido"),p_Desp*(BP$110+BP$111))</f>
        <v>10714.6593250125</v>
      </c>
      <c r="BQ114" s="13" t="n">
        <f aca="false">IF(BQ$69=1,SUMIFS(dr_USD,dr_Mes,63,dr_Cod,"DES",dr_Est,"&lt;&gt;Excluido"),p_Desp*(BQ$110+BQ$111))</f>
        <v>10714.6593250125</v>
      </c>
      <c r="BR114" s="13" t="n">
        <f aca="false">IF(BR$69=1,SUMIFS(dr_USD,dr_Mes,64,dr_Cod,"DES",dr_Est,"&lt;&gt;Excluido"),p_Desp*(BR$110+BR$111))</f>
        <v>10714.6593250125</v>
      </c>
      <c r="BS114" s="13" t="n">
        <f aca="false">IF(BS$69=1,SUMIFS(dr_USD,dr_Mes,65,dr_Cod,"DES",dr_Est,"&lt;&gt;Excluido"),p_Desp*(BS$110+BS$111))</f>
        <v>10714.6593250125</v>
      </c>
      <c r="BT114" s="13" t="n">
        <f aca="false">IF(BT$69=1,SUMIFS(dr_USD,dr_Mes,66,dr_Cod,"DES",dr_Est,"&lt;&gt;Excluido"),p_Desp*(BT$110+BT$111))</f>
        <v>10714.6593250125</v>
      </c>
      <c r="BU114" s="13" t="n">
        <f aca="false">IF(BU$69=1,SUMIFS(dr_USD,dr_Mes,67,dr_Cod,"DES",dr_Est,"&lt;&gt;Excluido"),p_Desp*(BU$110+BU$111))</f>
        <v>10714.6593250125</v>
      </c>
      <c r="BV114" s="13" t="n">
        <f aca="false">IF(BV$69=1,SUMIFS(dr_USD,dr_Mes,68,dr_Cod,"DES",dr_Est,"&lt;&gt;Excluido"),p_Desp*(BV$110+BV$111))</f>
        <v>10714.6593250125</v>
      </c>
      <c r="BW114" s="13" t="n">
        <f aca="false">IF(BW$69=1,SUMIFS(dr_USD,dr_Mes,69,dr_Cod,"DES",dr_Est,"&lt;&gt;Excluido"),p_Desp*(BW$110+BW$111))</f>
        <v>10714.6593250125</v>
      </c>
      <c r="BX114" s="13" t="n">
        <f aca="false">IF(BX$69=1,SUMIFS(dr_USD,dr_Mes,70,dr_Cod,"DES",dr_Est,"&lt;&gt;Excluido"),p_Desp*(BX$110+BX$111))</f>
        <v>10714.6593250125</v>
      </c>
      <c r="BY114" s="13" t="n">
        <f aca="false">IF(BY$69=1,SUMIFS(dr_USD,dr_Mes,71,dr_Cod,"DES",dr_Est,"&lt;&gt;Excluido"),p_Desp*(BY$110+BY$111))</f>
        <v>10714.6593250125</v>
      </c>
      <c r="BZ114" s="13" t="n">
        <f aca="false">IF(BZ$69=1,SUMIFS(dr_USD,dr_Mes,72,dr_Cod,"DES",dr_Est,"&lt;&gt;Excluido"),p_Desp*(BZ$110+BZ$111))</f>
        <v>10714.6593250125</v>
      </c>
      <c r="CA114" s="13" t="n">
        <f aca="false">IF(CA$69=1,SUMIFS(dr_USD,dr_Mes,73,dr_Cod,"DES",dr_Est,"&lt;&gt;Excluido"),p_Desp*(CA$110+CA$111))</f>
        <v>10783.6279182626</v>
      </c>
      <c r="CB114" s="13" t="n">
        <f aca="false">IF(CB$69=1,SUMIFS(dr_USD,dr_Mes,74,dr_Cod,"DES",dr_Est,"&lt;&gt;Excluido"),p_Desp*(CB$110+CB$111))</f>
        <v>10783.6279182626</v>
      </c>
      <c r="CC114" s="13" t="n">
        <f aca="false">IF(CC$69=1,SUMIFS(dr_USD,dr_Mes,75,dr_Cod,"DES",dr_Est,"&lt;&gt;Excluido"),p_Desp*(CC$110+CC$111))</f>
        <v>10783.6279182626</v>
      </c>
      <c r="CD114" s="13" t="n">
        <f aca="false">IF(CD$69=1,SUMIFS(dr_USD,dr_Mes,76,dr_Cod,"DES",dr_Est,"&lt;&gt;Excluido"),p_Desp*(CD$110+CD$111))</f>
        <v>10783.6279182626</v>
      </c>
      <c r="CE114" s="13" t="n">
        <f aca="false">IF(CE$69=1,SUMIFS(dr_USD,dr_Mes,77,dr_Cod,"DES",dr_Est,"&lt;&gt;Excluido"),p_Desp*(CE$110+CE$111))</f>
        <v>10783.6279182626</v>
      </c>
      <c r="CF114" s="13" t="n">
        <f aca="false">IF(CF$69=1,SUMIFS(dr_USD,dr_Mes,78,dr_Cod,"DES",dr_Est,"&lt;&gt;Excluido"),p_Desp*(CF$110+CF$111))</f>
        <v>10783.6279182626</v>
      </c>
      <c r="CG114" s="13" t="n">
        <f aca="false">IF(CG$69=1,SUMIFS(dr_USD,dr_Mes,79,dr_Cod,"DES",dr_Est,"&lt;&gt;Excluido"),p_Desp*(CG$110+CG$111))</f>
        <v>10783.6279182626</v>
      </c>
      <c r="CH114" s="13" t="n">
        <f aca="false">IF(CH$69=1,SUMIFS(dr_USD,dr_Mes,80,dr_Cod,"DES",dr_Est,"&lt;&gt;Excluido"),p_Desp*(CH$110+CH$111))</f>
        <v>10783.6279182626</v>
      </c>
      <c r="CI114" s="13" t="n">
        <f aca="false">IF(CI$69=1,SUMIFS(dr_USD,dr_Mes,81,dr_Cod,"DES",dr_Est,"&lt;&gt;Excluido"),p_Desp*(CI$110+CI$111))</f>
        <v>10783.6279182626</v>
      </c>
      <c r="CJ114" s="13" t="n">
        <f aca="false">IF(CJ$69=1,SUMIFS(dr_USD,dr_Mes,82,dr_Cod,"DES",dr_Est,"&lt;&gt;Excluido"),p_Desp*(CJ$110+CJ$111))</f>
        <v>10783.6279182626</v>
      </c>
      <c r="CK114" s="13" t="n">
        <f aca="false">IF(CK$69=1,SUMIFS(dr_USD,dr_Mes,83,dr_Cod,"DES",dr_Est,"&lt;&gt;Excluido"),p_Desp*(CK$110+CK$111))</f>
        <v>10783.6279182626</v>
      </c>
      <c r="CL114" s="13" t="n">
        <f aca="false">IF(CL$69=1,SUMIFS(dr_USD,dr_Mes,84,dr_Cod,"DES",dr_Est,"&lt;&gt;Excluido"),p_Desp*(CL$110+CL$111))</f>
        <v>10783.6279182626</v>
      </c>
      <c r="CM114" s="13" t="n">
        <f aca="false">IF(CM$69=1,SUMIFS(dr_USD,dr_Mes,85,dr_Cod,"DES",dr_Est,"&lt;&gt;Excluido"),p_Desp*(CM$110+CM$111))</f>
        <v>10853.2861974452</v>
      </c>
      <c r="CN114" s="13" t="n">
        <f aca="false">IF(CN$69=1,SUMIFS(dr_USD,dr_Mes,86,dr_Cod,"DES",dr_Est,"&lt;&gt;Excluido"),p_Desp*(CN$110+CN$111))</f>
        <v>10853.2861974452</v>
      </c>
      <c r="CO114" s="13" t="n">
        <f aca="false">IF(CO$69=1,SUMIFS(dr_USD,dr_Mes,87,dr_Cod,"DES",dr_Est,"&lt;&gt;Excluido"),p_Desp*(CO$110+CO$111))</f>
        <v>10853.2861974452</v>
      </c>
      <c r="CP114" s="13" t="n">
        <f aca="false">IF(CP$69=1,SUMIFS(dr_USD,dr_Mes,88,dr_Cod,"DES",dr_Est,"&lt;&gt;Excluido"),p_Desp*(CP$110+CP$111))</f>
        <v>10853.2861974452</v>
      </c>
      <c r="CQ114" s="13" t="n">
        <f aca="false">IF(CQ$69=1,SUMIFS(dr_USD,dr_Mes,89,dr_Cod,"DES",dr_Est,"&lt;&gt;Excluido"),p_Desp*(CQ$110+CQ$111))</f>
        <v>10853.2861974452</v>
      </c>
      <c r="CR114" s="13" t="n">
        <f aca="false">IF(CR$69=1,SUMIFS(dr_USD,dr_Mes,90,dr_Cod,"DES",dr_Est,"&lt;&gt;Excluido"),p_Desp*(CR$110+CR$111))</f>
        <v>10853.2861974452</v>
      </c>
      <c r="CS114" s="13" t="n">
        <f aca="false">IF(CS$69=1,SUMIFS(dr_USD,dr_Mes,91,dr_Cod,"DES",dr_Est,"&lt;&gt;Excluido"),p_Desp*(CS$110+CS$111))</f>
        <v>10853.2861974452</v>
      </c>
      <c r="CT114" s="13" t="n">
        <f aca="false">IF(CT$69=1,SUMIFS(dr_USD,dr_Mes,92,dr_Cod,"DES",dr_Est,"&lt;&gt;Excluido"),p_Desp*(CT$110+CT$111))</f>
        <v>10853.2861974452</v>
      </c>
      <c r="CU114" s="13" t="n">
        <f aca="false">IF(CU$69=1,SUMIFS(dr_USD,dr_Mes,93,dr_Cod,"DES",dr_Est,"&lt;&gt;Excluido"),p_Desp*(CU$110+CU$111))</f>
        <v>10853.2861974452</v>
      </c>
      <c r="CV114" s="13" t="n">
        <f aca="false">IF(CV$69=1,SUMIFS(dr_USD,dr_Mes,94,dr_Cod,"DES",dr_Est,"&lt;&gt;Excluido"),p_Desp*(CV$110+CV$111))</f>
        <v>10853.2861974452</v>
      </c>
      <c r="CW114" s="13" t="n">
        <f aca="false">IF(CW$69=1,SUMIFS(dr_USD,dr_Mes,95,dr_Cod,"DES",dr_Est,"&lt;&gt;Excluido"),p_Desp*(CW$110+CW$111))</f>
        <v>10853.2861974452</v>
      </c>
      <c r="CX114" s="13" t="n">
        <f aca="false">IF(CX$69=1,SUMIFS(dr_USD,dr_Mes,96,dr_Cod,"DES",dr_Est,"&lt;&gt;Excluido"),p_Desp*(CX$110+CX$111))</f>
        <v>10853.2861974452</v>
      </c>
      <c r="CY114" s="13" t="n">
        <f aca="false">IF(CY$69=1,SUMIFS(dr_USD,dr_Mes,97,dr_Cod,"DES",dr_Est,"&lt;&gt;Excluido"),p_Desp*(CY$110+CY$111))</f>
        <v>10923.6410594197</v>
      </c>
      <c r="CZ114" s="13" t="n">
        <f aca="false">IF(CZ$69=1,SUMIFS(dr_USD,dr_Mes,98,dr_Cod,"DES",dr_Est,"&lt;&gt;Excluido"),p_Desp*(CZ$110+CZ$111))</f>
        <v>10923.6410594197</v>
      </c>
      <c r="DA114" s="13" t="n">
        <f aca="false">IF(DA$69=1,SUMIFS(dr_USD,dr_Mes,99,dr_Cod,"DES",dr_Est,"&lt;&gt;Excluido"),p_Desp*(DA$110+DA$111))</f>
        <v>10923.6410594197</v>
      </c>
      <c r="DB114" s="13" t="n">
        <f aca="false">IF(DB$69=1,SUMIFS(dr_USD,dr_Mes,100,dr_Cod,"DES",dr_Est,"&lt;&gt;Excluido"),p_Desp*(DB$110+DB$111))</f>
        <v>10923.6410594197</v>
      </c>
      <c r="DC114" s="13" t="n">
        <f aca="false">IF(DC$69=1,SUMIFS(dr_USD,dr_Mes,101,dr_Cod,"DES",dr_Est,"&lt;&gt;Excluido"),p_Desp*(DC$110+DC$111))</f>
        <v>10923.6410594197</v>
      </c>
      <c r="DD114" s="13" t="n">
        <f aca="false">IF(DD$69=1,SUMIFS(dr_USD,dr_Mes,102,dr_Cod,"DES",dr_Est,"&lt;&gt;Excluido"),p_Desp*(DD$110+DD$111))</f>
        <v>10923.6410594197</v>
      </c>
      <c r="DE114" s="13" t="n">
        <f aca="false">IF(DE$69=1,SUMIFS(dr_USD,dr_Mes,103,dr_Cod,"DES",dr_Est,"&lt;&gt;Excluido"),p_Desp*(DE$110+DE$111))</f>
        <v>10923.6410594197</v>
      </c>
      <c r="DF114" s="13" t="n">
        <f aca="false">IF(DF$69=1,SUMIFS(dr_USD,dr_Mes,104,dr_Cod,"DES",dr_Est,"&lt;&gt;Excluido"),p_Desp*(DF$110+DF$111))</f>
        <v>10923.6410594197</v>
      </c>
      <c r="DG114" s="13" t="n">
        <f aca="false">IF(DG$69=1,SUMIFS(dr_USD,dr_Mes,105,dr_Cod,"DES",dr_Est,"&lt;&gt;Excluido"),p_Desp*(DG$110+DG$111))</f>
        <v>10923.6410594197</v>
      </c>
      <c r="DH114" s="13" t="n">
        <f aca="false">IF(DH$69=1,SUMIFS(dr_USD,dr_Mes,106,dr_Cod,"DES",dr_Est,"&lt;&gt;Excluido"),p_Desp*(DH$110+DH$111))</f>
        <v>10923.6410594197</v>
      </c>
      <c r="DI114" s="13" t="n">
        <f aca="false">IF(DI$69=1,SUMIFS(dr_USD,dr_Mes,107,dr_Cod,"DES",dr_Est,"&lt;&gt;Excluido"),p_Desp*(DI$110+DI$111))</f>
        <v>10923.6410594197</v>
      </c>
      <c r="DJ114" s="13" t="n">
        <f aca="false">IF(DJ$69=1,SUMIFS(dr_USD,dr_Mes,108,dr_Cod,"DES",dr_Est,"&lt;&gt;Excluido"),p_Desp*(DJ$110+DJ$111))</f>
        <v>10923.6410594197</v>
      </c>
      <c r="DK114" s="13" t="n">
        <f aca="false">IF(DK$69=1,SUMIFS(dr_USD,dr_Mes,109,dr_Cod,"DES",dr_Est,"&lt;&gt;Excluido"),p_Desp*(DK$110+DK$111))</f>
        <v>10994.6994700139</v>
      </c>
      <c r="DL114" s="13" t="n">
        <f aca="false">IF(DL$69=1,SUMIFS(dr_USD,dr_Mes,110,dr_Cod,"DES",dr_Est,"&lt;&gt;Excluido"),p_Desp*(DL$110+DL$111))</f>
        <v>10994.6994700139</v>
      </c>
      <c r="DM114" s="13" t="n">
        <f aca="false">IF(DM$69=1,SUMIFS(dr_USD,dr_Mes,111,dr_Cod,"DES",dr_Est,"&lt;&gt;Excluido"),p_Desp*(DM$110+DM$111))</f>
        <v>10994.6994700139</v>
      </c>
      <c r="DN114" s="13" t="n">
        <f aca="false">IF(DN$69=1,SUMIFS(dr_USD,dr_Mes,112,dr_Cod,"DES",dr_Est,"&lt;&gt;Excluido"),p_Desp*(DN$110+DN$111))</f>
        <v>10994.6994700139</v>
      </c>
      <c r="DO114" s="13" t="n">
        <f aca="false">IF(DO$69=1,SUMIFS(dr_USD,dr_Mes,113,dr_Cod,"DES",dr_Est,"&lt;&gt;Excluido"),p_Desp*(DO$110+DO$111))</f>
        <v>10994.6994700139</v>
      </c>
      <c r="DP114" s="13" t="n">
        <f aca="false">IF(DP$69=1,SUMIFS(dr_USD,dr_Mes,114,dr_Cod,"DES",dr_Est,"&lt;&gt;Excluido"),p_Desp*(DP$110+DP$111))</f>
        <v>10994.6994700139</v>
      </c>
      <c r="DQ114" s="13" t="n">
        <f aca="false">IF(DQ$69=1,SUMIFS(dr_USD,dr_Mes,115,dr_Cod,"DES",dr_Est,"&lt;&gt;Excluido"),p_Desp*(DQ$110+DQ$111))</f>
        <v>10994.6994700139</v>
      </c>
      <c r="DR114" s="13" t="n">
        <f aca="false">IF(DR$69=1,SUMIFS(dr_USD,dr_Mes,116,dr_Cod,"DES",dr_Est,"&lt;&gt;Excluido"),p_Desp*(DR$110+DR$111))</f>
        <v>10994.6994700139</v>
      </c>
      <c r="DS114" s="13" t="n">
        <f aca="false">IF(DS$69=1,SUMIFS(dr_USD,dr_Mes,117,dr_Cod,"DES",dr_Est,"&lt;&gt;Excluido"),p_Desp*(DS$110+DS$111))</f>
        <v>10994.6994700139</v>
      </c>
      <c r="DT114" s="13" t="n">
        <f aca="false">IF(DT$69=1,SUMIFS(dr_USD,dr_Mes,118,dr_Cod,"DES",dr_Est,"&lt;&gt;Excluido"),p_Desp*(DT$110+DT$111))</f>
        <v>10994.6994700139</v>
      </c>
      <c r="DU114" s="13" t="n">
        <f aca="false">IF(DU$69=1,SUMIFS(dr_USD,dr_Mes,119,dr_Cod,"DES",dr_Est,"&lt;&gt;Excluido"),p_Desp*(DU$110+DU$111))</f>
        <v>10994.6994700139</v>
      </c>
      <c r="DV114" s="13" t="n">
        <f aca="false">IF(DV$69=1,SUMIFS(dr_USD,dr_Mes,120,dr_Cod,"DES",dr_Est,"&lt;&gt;Excluido"),p_Desp*(DV$110+DV$111))</f>
        <v>7380.00375384492</v>
      </c>
      <c r="DW114" s="13" t="n">
        <f aca="false">IF(DW$69=1,SUMIFS(dr_USD,dr_Mes,121,dr_Cod,"DES",dr_Est,"&lt;&gt;Excluido"),p_Desp*(DW$110+DW$111))</f>
        <v>0</v>
      </c>
      <c r="DX114" s="13" t="n">
        <f aca="false">IF(DX$69=1,SUMIFS(dr_USD,dr_Mes,122,dr_Cod,"DES",dr_Est,"&lt;&gt;Excluido"),p_Desp*(DX$110+DX$111))</f>
        <v>0</v>
      </c>
      <c r="DY114" s="13" t="n">
        <f aca="false">IF(DY$69=1,SUMIFS(dr_USD,dr_Mes,123,dr_Cod,"DES",dr_Est,"&lt;&gt;Excluido"),p_Desp*(DY$110+DY$111))</f>
        <v>0</v>
      </c>
      <c r="DZ114" s="13" t="n">
        <f aca="false">IF(DZ$69=1,SUMIFS(dr_USD,dr_Mes,124,dr_Cod,"DES",dr_Est,"&lt;&gt;Excluido"),p_Desp*(DZ$110+DZ$111))</f>
        <v>0</v>
      </c>
      <c r="EA114" s="13" t="n">
        <f aca="false">IF(EA$69=1,SUMIFS(dr_USD,dr_Mes,125,dr_Cod,"DES",dr_Est,"&lt;&gt;Excluido"),p_Desp*(EA$110+EA$111))</f>
        <v>0</v>
      </c>
      <c r="EB114" s="13" t="n">
        <f aca="false">IF(EB$69=1,SUMIFS(dr_USD,dr_Mes,126,dr_Cod,"DES",dr_Est,"&lt;&gt;Excluido"),p_Desp*(EB$110+EB$111))</f>
        <v>0</v>
      </c>
      <c r="EC114" s="13" t="n">
        <f aca="false">IF(EC$69=1,SUMIFS(dr_USD,dr_Mes,127,dr_Cod,"DES",dr_Est,"&lt;&gt;Excluido"),p_Desp*(EC$110+EC$111))</f>
        <v>0</v>
      </c>
      <c r="ED114" s="13" t="n">
        <f aca="false">IF(ED$69=1,SUMIFS(dr_USD,dr_Mes,128,dr_Cod,"DES",dr_Est,"&lt;&gt;Excluido"),p_Desp*(ED$110+ED$111))</f>
        <v>0</v>
      </c>
      <c r="EE114" s="13" t="n">
        <f aca="false">IF(EE$69=1,SUMIFS(dr_USD,dr_Mes,129,dr_Cod,"DES",dr_Est,"&lt;&gt;Excluido"),p_Desp*(EE$110+EE$111))</f>
        <v>0</v>
      </c>
      <c r="EF114" s="13" t="n">
        <f aca="false">IF(EF$69=1,SUMIFS(dr_USD,dr_Mes,130,dr_Cod,"DES",dr_Est,"&lt;&gt;Excluido"),p_Desp*(EF$110+EF$111))</f>
        <v>0</v>
      </c>
      <c r="EG114" s="13" t="n">
        <f aca="false">IF(EG$69=1,SUMIFS(dr_USD,dr_Mes,131,dr_Cod,"DES",dr_Est,"&lt;&gt;Excluido"),p_Desp*(EG$110+EG$111))</f>
        <v>0</v>
      </c>
      <c r="EH114" s="13" t="n">
        <f aca="false">IF(EH$69=1,SUMIFS(dr_USD,dr_Mes,132,dr_Cod,"DES",dr_Est,"&lt;&gt;Excluido"),p_Desp*(EH$110+EH$111))</f>
        <v>0</v>
      </c>
      <c r="EI114" s="13" t="n">
        <f aca="false">IF(EI$69=1,SUMIFS(dr_USD,dr_Mes,133,dr_Cod,"DES",dr_Est,"&lt;&gt;Excluido"),p_Desp*(EI$110+EI$111))</f>
        <v>0</v>
      </c>
      <c r="EJ114" s="13" t="n">
        <f aca="false">IF(EJ$69=1,SUMIFS(dr_USD,dr_Mes,134,dr_Cod,"DES",dr_Est,"&lt;&gt;Excluido"),p_Desp*(EJ$110+EJ$111))</f>
        <v>0</v>
      </c>
      <c r="EK114" s="13" t="n">
        <f aca="false">IF(EK$69=1,SUMIFS(dr_USD,dr_Mes,135,dr_Cod,"DES",dr_Est,"&lt;&gt;Excluido"),p_Desp*(EK$110+EK$111))</f>
        <v>0</v>
      </c>
      <c r="EL114" s="13" t="n">
        <f aca="false">IF(EL$69=1,SUMIFS(dr_USD,dr_Mes,136,dr_Cod,"DES",dr_Est,"&lt;&gt;Excluido"),p_Desp*(EL$110+EL$111))</f>
        <v>0</v>
      </c>
      <c r="EM114" s="13" t="n">
        <f aca="false">IF(EM$69=1,SUMIFS(dr_USD,dr_Mes,137,dr_Cod,"DES",dr_Est,"&lt;&gt;Excluido"),p_Desp*(EM$110+EM$111))</f>
        <v>0</v>
      </c>
      <c r="EN114" s="13" t="n">
        <f aca="false">IF(EN$69=1,SUMIFS(dr_USD,dr_Mes,138,dr_Cod,"DES",dr_Est,"&lt;&gt;Excluido"),p_Desp*(EN$110+EN$111))</f>
        <v>0</v>
      </c>
      <c r="EO114" s="13" t="n">
        <f aca="false">IF(EO$69=1,SUMIFS(dr_USD,dr_Mes,139,dr_Cod,"DES",dr_Est,"&lt;&gt;Excluido"),p_Desp*(EO$110+EO$111))</f>
        <v>0</v>
      </c>
      <c r="EP114" s="13" t="n">
        <f aca="false">IF(EP$69=1,SUMIFS(dr_USD,dr_Mes,140,dr_Cod,"DES",dr_Est,"&lt;&gt;Excluido"),p_Desp*(EP$110+EP$111))</f>
        <v>0</v>
      </c>
      <c r="EQ114" s="13" t="n">
        <f aca="false">IF(EQ$69=1,SUMIFS(dr_USD,dr_Mes,141,dr_Cod,"DES",dr_Est,"&lt;&gt;Excluido"),p_Desp*(EQ$110+EQ$111))</f>
        <v>0</v>
      </c>
      <c r="ER114" s="13" t="n">
        <f aca="false">IF(ER$69=1,SUMIFS(dr_USD,dr_Mes,142,dr_Cod,"DES",dr_Est,"&lt;&gt;Excluido"),p_Desp*(ER$110+ER$111))</f>
        <v>0</v>
      </c>
      <c r="ES114" s="13" t="n">
        <f aca="false">IF(ES$69=1,SUMIFS(dr_USD,dr_Mes,143,dr_Cod,"DES",dr_Est,"&lt;&gt;Excluido"),p_Desp*(ES$110+ES$111))</f>
        <v>0</v>
      </c>
      <c r="ET114" s="13" t="n">
        <f aca="false">IF(ET$69=1,SUMIFS(dr_USD,dr_Mes,144,dr_Cod,"DES",dr_Est,"&lt;&gt;Excluido"),p_Desp*(ET$110+ET$111))</f>
        <v>0</v>
      </c>
      <c r="EU114" s="13" t="n">
        <f aca="false">IF(EU$69=1,SUMIFS(dr_USD,dr_Mes,145,dr_Cod,"DES",dr_Est,"&lt;&gt;Excluido"),p_Desp*(EU$110+EU$111))</f>
        <v>0</v>
      </c>
      <c r="EV114" s="13" t="n">
        <f aca="false">IF(EV$69=1,SUMIFS(dr_USD,dr_Mes,146,dr_Cod,"DES",dr_Est,"&lt;&gt;Excluido"),p_Desp*(EV$110+EV$111))</f>
        <v>0</v>
      </c>
      <c r="EW114" s="13" t="n">
        <f aca="false">IF(EW$69=1,SUMIFS(dr_USD,dr_Mes,147,dr_Cod,"DES",dr_Est,"&lt;&gt;Excluido"),p_Desp*(EW$110+EW$111))</f>
        <v>0</v>
      </c>
      <c r="EX114" s="13" t="n">
        <f aca="false">IF(EX$69=1,SUMIFS(dr_USD,dr_Mes,148,dr_Cod,"DES",dr_Est,"&lt;&gt;Excluido"),p_Desp*(EX$110+EX$111))</f>
        <v>0</v>
      </c>
      <c r="EY114" s="13" t="n">
        <f aca="false">IF(EY$69=1,SUMIFS(dr_USD,dr_Mes,149,dr_Cod,"DES",dr_Est,"&lt;&gt;Excluido"),p_Desp*(EY$110+EY$111))</f>
        <v>0</v>
      </c>
      <c r="EZ114" s="13" t="n">
        <f aca="false">IF(EZ$69=1,SUMIFS(dr_USD,dr_Mes,150,dr_Cod,"DES",dr_Est,"&lt;&gt;Excluido"),p_Desp*(EZ$110+EZ$111))</f>
        <v>0</v>
      </c>
      <c r="FA114" s="13" t="n">
        <f aca="false">IF(FA$69=1,SUMIFS(dr_USD,dr_Mes,151,dr_Cod,"DES",dr_Est,"&lt;&gt;Excluido"),p_Desp*(FA$110+FA$111))</f>
        <v>0</v>
      </c>
      <c r="FB114" s="13" t="n">
        <f aca="false">IF(FB$69=1,SUMIFS(dr_USD,dr_Mes,152,dr_Cod,"DES",dr_Est,"&lt;&gt;Excluido"),p_Desp*(FB$110+FB$111))</f>
        <v>0</v>
      </c>
      <c r="FC114" s="13" t="n">
        <f aca="false">IF(FC$69=1,SUMIFS(dr_USD,dr_Mes,153,dr_Cod,"DES",dr_Est,"&lt;&gt;Excluido"),p_Desp*(FC$110+FC$111))</f>
        <v>0</v>
      </c>
      <c r="FD114" s="13" t="n">
        <f aca="false">IF(FD$69=1,SUMIFS(dr_USD,dr_Mes,154,dr_Cod,"DES",dr_Est,"&lt;&gt;Excluido"),p_Desp*(FD$110+FD$111))</f>
        <v>0</v>
      </c>
      <c r="FE114" s="13" t="n">
        <f aca="false">IF(FE$69=1,SUMIFS(dr_USD,dr_Mes,155,dr_Cod,"DES",dr_Est,"&lt;&gt;Excluido"),p_Desp*(FE$110+FE$111))</f>
        <v>0</v>
      </c>
      <c r="FF114" s="13" t="n">
        <f aca="false">IF(FF$69=1,SUMIFS(dr_USD,dr_Mes,156,dr_Cod,"DES",dr_Est,"&lt;&gt;Excluido"),p_Desp*(FF$110+FF$111))</f>
        <v>0</v>
      </c>
    </row>
    <row r="115" customFormat="false" ht="15" hidden="false" customHeight="false" outlineLevel="0" collapsed="false">
      <c r="A115" s="2" t="s">
        <v>1079</v>
      </c>
      <c r="B115" s="66" t="s">
        <v>1080</v>
      </c>
      <c r="C115" s="8" t="s">
        <v>255</v>
      </c>
      <c r="E115" s="67" t="n">
        <f aca="false">SUM($F115:$FF115)</f>
        <v>48879883.2717656</v>
      </c>
      <c r="F115" s="12" t="n">
        <f aca="false">F$110+F$111+F$112+IF(p_C5=1,F$113+F$114,0)</f>
        <v>0</v>
      </c>
      <c r="G115" s="12" t="n">
        <f aca="false">G$110+G$111+G$112+IF(p_C5=1,G$113+G$114,0)</f>
        <v>330839.10696347</v>
      </c>
      <c r="H115" s="12" t="n">
        <f aca="false">H$110+H$111+H$112+IF(p_C5=1,H$113+H$114,0)</f>
        <v>248982.008333333</v>
      </c>
      <c r="I115" s="12" t="n">
        <f aca="false">I$110+I$111+I$112+IF(p_C5=1,I$113+I$114,0)</f>
        <v>248982.008333333</v>
      </c>
      <c r="J115" s="12" t="n">
        <f aca="false">J$110+J$111+J$112+IF(p_C5=1,J$113+J$114,0)</f>
        <v>248982.008333333</v>
      </c>
      <c r="K115" s="12" t="n">
        <f aca="false">K$110+K$111+K$112+IF(p_C5=1,K$113+K$114,0)</f>
        <v>248982.008333333</v>
      </c>
      <c r="L115" s="12" t="n">
        <f aca="false">L$110+L$111+L$112+IF(p_C5=1,L$113+L$114,0)</f>
        <v>248982.008333333</v>
      </c>
      <c r="M115" s="12" t="n">
        <f aca="false">M$110+M$111+M$112+IF(p_C5=1,M$113+M$114,0)</f>
        <v>248982.008333333</v>
      </c>
      <c r="N115" s="12" t="n">
        <f aca="false">N$110+N$111+N$112+IF(p_C5=1,N$113+N$114,0)</f>
        <v>248982.008333333</v>
      </c>
      <c r="O115" s="12" t="n">
        <f aca="false">O$110+O$111+O$112+IF(p_C5=1,O$113+O$114,0)</f>
        <v>248982.008333333</v>
      </c>
      <c r="P115" s="12" t="n">
        <f aca="false">P$110+P$111+P$112+IF(p_C5=1,P$113+P$114,0)</f>
        <v>248982.008333333</v>
      </c>
      <c r="Q115" s="12" t="n">
        <f aca="false">Q$110+Q$111+Q$112+IF(p_C5=1,Q$113+Q$114,0)</f>
        <v>248982.008333333</v>
      </c>
      <c r="R115" s="12" t="n">
        <f aca="false">R$110+R$111+R$112+IF(p_C5=1,R$113+R$114,0)</f>
        <v>270498.257648402</v>
      </c>
      <c r="S115" s="12" t="n">
        <f aca="false">S$110+S$111+S$112+IF(p_C5=1,S$113+S$114,0)</f>
        <v>316063.807916667</v>
      </c>
      <c r="T115" s="12" t="n">
        <f aca="false">T$110+T$111+T$112+IF(p_C5=1,T$113+T$114,0)</f>
        <v>316063.807916667</v>
      </c>
      <c r="U115" s="12" t="n">
        <f aca="false">U$110+U$111+U$112+IF(p_C5=1,U$113+U$114,0)</f>
        <v>316063.807916667</v>
      </c>
      <c r="V115" s="12" t="n">
        <f aca="false">V$110+V$111+V$112+IF(p_C5=1,V$113+V$114,0)</f>
        <v>316063.807916667</v>
      </c>
      <c r="W115" s="12" t="n">
        <f aca="false">W$110+W$111+W$112+IF(p_C5=1,W$113+W$114,0)</f>
        <v>316063.807916667</v>
      </c>
      <c r="X115" s="12" t="n">
        <f aca="false">X$110+X$111+X$112+IF(p_C5=1,X$113+X$114,0)</f>
        <v>316063.807916667</v>
      </c>
      <c r="Y115" s="12" t="n">
        <f aca="false">Y$110+Y$111+Y$112+IF(p_C5=1,Y$113+Y$114,0)</f>
        <v>316063.807916667</v>
      </c>
      <c r="Z115" s="12" t="n">
        <f aca="false">Z$110+Z$111+Z$112+IF(p_C5=1,Z$113+Z$114,0)</f>
        <v>316063.807916667</v>
      </c>
      <c r="AA115" s="12" t="n">
        <f aca="false">AA$110+AA$111+AA$112+IF(p_C5=1,AA$113+AA$114,0)</f>
        <v>316063.807916667</v>
      </c>
      <c r="AB115" s="12" t="n">
        <f aca="false">AB$110+AB$111+AB$112+IF(p_C5=1,AB$113+AB$114,0)</f>
        <v>316063.807916667</v>
      </c>
      <c r="AC115" s="12" t="n">
        <f aca="false">AC$110+AC$111+AC$112+IF(p_C5=1,AC$113+AC$114,0)</f>
        <v>316063.807916667</v>
      </c>
      <c r="AD115" s="12" t="n">
        <f aca="false">AD$110+AD$111+AD$112+IF(p_C5=1,AD$113+AD$114,0)</f>
        <v>337691.847505708</v>
      </c>
      <c r="AE115" s="12" t="n">
        <f aca="false">AE$110+AE$111+AE$112+IF(p_C5=1,AE$113+AE$114,0)</f>
        <v>383845.4307</v>
      </c>
      <c r="AF115" s="12" t="n">
        <f aca="false">AF$110+AF$111+AF$112+IF(p_C5=1,AF$113+AF$114,0)</f>
        <v>383845.4307</v>
      </c>
      <c r="AG115" s="12" t="n">
        <f aca="false">AG$110+AG$111+AG$112+IF(p_C5=1,AG$113+AG$114,0)</f>
        <v>383845.4307</v>
      </c>
      <c r="AH115" s="12" t="n">
        <f aca="false">AH$110+AH$111+AH$112+IF(p_C5=1,AH$113+AH$114,0)</f>
        <v>383845.4307</v>
      </c>
      <c r="AI115" s="12" t="n">
        <f aca="false">AI$110+AI$111+AI$112+IF(p_C5=1,AI$113+AI$114,0)</f>
        <v>383845.4307</v>
      </c>
      <c r="AJ115" s="12" t="n">
        <f aca="false">AJ$110+AJ$111+AJ$112+IF(p_C5=1,AJ$113+AJ$114,0)</f>
        <v>383845.4307</v>
      </c>
      <c r="AK115" s="12" t="n">
        <f aca="false">AK$110+AK$111+AK$112+IF(p_C5=1,AK$113+AK$114,0)</f>
        <v>383845.4307</v>
      </c>
      <c r="AL115" s="12" t="n">
        <f aca="false">AL$110+AL$111+AL$112+IF(p_C5=1,AL$113+AL$114,0)</f>
        <v>383845.4307</v>
      </c>
      <c r="AM115" s="12" t="n">
        <f aca="false">AM$110+AM$111+AM$112+IF(p_C5=1,AM$113+AM$114,0)</f>
        <v>383845.4307</v>
      </c>
      <c r="AN115" s="12" t="n">
        <f aca="false">AN$110+AN$111+AN$112+IF(p_C5=1,AN$113+AN$114,0)</f>
        <v>383845.4307</v>
      </c>
      <c r="AO115" s="12" t="n">
        <f aca="false">AO$110+AO$111+AO$112+IF(p_C5=1,AO$113+AO$114,0)</f>
        <v>383845.4307</v>
      </c>
      <c r="AP115" s="12" t="n">
        <f aca="false">AP$110+AP$111+AP$112+IF(p_C5=1,AP$113+AP$114,0)</f>
        <v>401336.449909589</v>
      </c>
      <c r="AQ115" s="12" t="n">
        <f aca="false">AQ$110+AQ$111+AQ$112+IF(p_C5=1,AQ$113+AQ$114,0)</f>
        <v>439345.562270458</v>
      </c>
      <c r="AR115" s="12" t="n">
        <f aca="false">AR$110+AR$111+AR$112+IF(p_C5=1,AR$113+AR$114,0)</f>
        <v>439345.562270458</v>
      </c>
      <c r="AS115" s="12" t="n">
        <f aca="false">AS$110+AS$111+AS$112+IF(p_C5=1,AS$113+AS$114,0)</f>
        <v>439345.562270458</v>
      </c>
      <c r="AT115" s="12" t="n">
        <f aca="false">AT$110+AT$111+AT$112+IF(p_C5=1,AT$113+AT$114,0)</f>
        <v>439345.562270458</v>
      </c>
      <c r="AU115" s="12" t="n">
        <f aca="false">AU$110+AU$111+AU$112+IF(p_C5=1,AU$113+AU$114,0)</f>
        <v>439345.562270458</v>
      </c>
      <c r="AV115" s="12" t="n">
        <f aca="false">AV$110+AV$111+AV$112+IF(p_C5=1,AV$113+AV$114,0)</f>
        <v>439345.562270458</v>
      </c>
      <c r="AW115" s="12" t="n">
        <f aca="false">AW$110+AW$111+AW$112+IF(p_C5=1,AW$113+AW$114,0)</f>
        <v>439345.562270458</v>
      </c>
      <c r="AX115" s="12" t="n">
        <f aca="false">AX$110+AX$111+AX$112+IF(p_C5=1,AX$113+AX$114,0)</f>
        <v>439345.562270458</v>
      </c>
      <c r="AY115" s="12" t="n">
        <f aca="false">AY$110+AY$111+AY$112+IF(p_C5=1,AY$113+AY$114,0)</f>
        <v>439345.562270458</v>
      </c>
      <c r="AZ115" s="12" t="n">
        <f aca="false">AZ$110+AZ$111+AZ$112+IF(p_C5=1,AZ$113+AZ$114,0)</f>
        <v>439345.562270458</v>
      </c>
      <c r="BA115" s="12" t="n">
        <f aca="false">BA$110+BA$111+BA$112+IF(p_C5=1,BA$113+BA$114,0)</f>
        <v>439345.562270458</v>
      </c>
      <c r="BB115" s="12" t="n">
        <f aca="false">BB$110+BB$111+BB$112+IF(p_C5=1,BB$113+BB$114,0)</f>
        <v>439345.562270458</v>
      </c>
      <c r="BC115" s="12" t="n">
        <f aca="false">BC$110+BC$111+BC$112+IF(p_C5=1,BC$113+BC$114,0)</f>
        <v>441666.82655983</v>
      </c>
      <c r="BD115" s="12" t="n">
        <f aca="false">BD$110+BD$111+BD$112+IF(p_C5=1,BD$113+BD$114,0)</f>
        <v>441666.82655983</v>
      </c>
      <c r="BE115" s="12" t="n">
        <f aca="false">BE$110+BE$111+BE$112+IF(p_C5=1,BE$113+BE$114,0)</f>
        <v>441666.82655983</v>
      </c>
      <c r="BF115" s="12" t="n">
        <f aca="false">BF$110+BF$111+BF$112+IF(p_C5=1,BF$113+BF$114,0)</f>
        <v>441666.82655983</v>
      </c>
      <c r="BG115" s="12" t="n">
        <f aca="false">BG$110+BG$111+BG$112+IF(p_C5=1,BG$113+BG$114,0)</f>
        <v>441666.82655983</v>
      </c>
      <c r="BH115" s="12" t="n">
        <f aca="false">BH$110+BH$111+BH$112+IF(p_C5=1,BH$113+BH$114,0)</f>
        <v>441666.82655983</v>
      </c>
      <c r="BI115" s="12" t="n">
        <f aca="false">BI$110+BI$111+BI$112+IF(p_C5=1,BI$113+BI$114,0)</f>
        <v>441666.82655983</v>
      </c>
      <c r="BJ115" s="12" t="n">
        <f aca="false">BJ$110+BJ$111+BJ$112+IF(p_C5=1,BJ$113+BJ$114,0)</f>
        <v>441666.82655983</v>
      </c>
      <c r="BK115" s="12" t="n">
        <f aca="false">BK$110+BK$111+BK$112+IF(p_C5=1,BK$113+BK$114,0)</f>
        <v>441666.82655983</v>
      </c>
      <c r="BL115" s="12" t="n">
        <f aca="false">BL$110+BL$111+BL$112+IF(p_C5=1,BL$113+BL$114,0)</f>
        <v>441666.82655983</v>
      </c>
      <c r="BM115" s="12" t="n">
        <f aca="false">BM$110+BM$111+BM$112+IF(p_C5=1,BM$113+BM$114,0)</f>
        <v>441666.82655983</v>
      </c>
      <c r="BN115" s="12" t="n">
        <f aca="false">BN$110+BN$111+BN$112+IF(p_C5=1,BN$113+BN$114,0)</f>
        <v>441666.82655983</v>
      </c>
      <c r="BO115" s="12" t="n">
        <f aca="false">BO$110+BO$111+BO$112+IF(p_C5=1,BO$113+BO$114,0)</f>
        <v>444011.303492095</v>
      </c>
      <c r="BP115" s="12" t="n">
        <f aca="false">BP$110+BP$111+BP$112+IF(p_C5=1,BP$113+BP$114,0)</f>
        <v>444011.303492095</v>
      </c>
      <c r="BQ115" s="12" t="n">
        <f aca="false">BQ$110+BQ$111+BQ$112+IF(p_C5=1,BQ$113+BQ$114,0)</f>
        <v>444011.303492095</v>
      </c>
      <c r="BR115" s="12" t="n">
        <f aca="false">BR$110+BR$111+BR$112+IF(p_C5=1,BR$113+BR$114,0)</f>
        <v>444011.303492095</v>
      </c>
      <c r="BS115" s="12" t="n">
        <f aca="false">BS$110+BS$111+BS$112+IF(p_C5=1,BS$113+BS$114,0)</f>
        <v>444011.303492095</v>
      </c>
      <c r="BT115" s="12" t="n">
        <f aca="false">BT$110+BT$111+BT$112+IF(p_C5=1,BT$113+BT$114,0)</f>
        <v>444011.303492095</v>
      </c>
      <c r="BU115" s="12" t="n">
        <f aca="false">BU$110+BU$111+BU$112+IF(p_C5=1,BU$113+BU$114,0)</f>
        <v>444011.303492095</v>
      </c>
      <c r="BV115" s="12" t="n">
        <f aca="false">BV$110+BV$111+BV$112+IF(p_C5=1,BV$113+BV$114,0)</f>
        <v>444011.303492095</v>
      </c>
      <c r="BW115" s="12" t="n">
        <f aca="false">BW$110+BW$111+BW$112+IF(p_C5=1,BW$113+BW$114,0)</f>
        <v>444011.303492095</v>
      </c>
      <c r="BX115" s="12" t="n">
        <f aca="false">BX$110+BX$111+BX$112+IF(p_C5=1,BX$113+BX$114,0)</f>
        <v>444011.303492095</v>
      </c>
      <c r="BY115" s="12" t="n">
        <f aca="false">BY$110+BY$111+BY$112+IF(p_C5=1,BY$113+BY$114,0)</f>
        <v>444011.303492095</v>
      </c>
      <c r="BZ115" s="12" t="n">
        <f aca="false">BZ$110+BZ$111+BZ$112+IF(p_C5=1,BZ$113+BZ$114,0)</f>
        <v>444011.303492095</v>
      </c>
      <c r="CA115" s="12" t="n">
        <f aca="false">CA$110+CA$111+CA$112+IF(p_C5=1,CA$113+CA$114,0)</f>
        <v>446379.225193682</v>
      </c>
      <c r="CB115" s="12" t="n">
        <f aca="false">CB$110+CB$111+CB$112+IF(p_C5=1,CB$113+CB$114,0)</f>
        <v>446379.225193682</v>
      </c>
      <c r="CC115" s="12" t="n">
        <f aca="false">CC$110+CC$111+CC$112+IF(p_C5=1,CC$113+CC$114,0)</f>
        <v>446379.225193682</v>
      </c>
      <c r="CD115" s="12" t="n">
        <f aca="false">CD$110+CD$111+CD$112+IF(p_C5=1,CD$113+CD$114,0)</f>
        <v>446379.225193682</v>
      </c>
      <c r="CE115" s="12" t="n">
        <f aca="false">CE$110+CE$111+CE$112+IF(p_C5=1,CE$113+CE$114,0)</f>
        <v>446379.225193682</v>
      </c>
      <c r="CF115" s="12" t="n">
        <f aca="false">CF$110+CF$111+CF$112+IF(p_C5=1,CF$113+CF$114,0)</f>
        <v>446379.225193682</v>
      </c>
      <c r="CG115" s="12" t="n">
        <f aca="false">CG$110+CG$111+CG$112+IF(p_C5=1,CG$113+CG$114,0)</f>
        <v>446379.225193682</v>
      </c>
      <c r="CH115" s="12" t="n">
        <f aca="false">CH$110+CH$111+CH$112+IF(p_C5=1,CH$113+CH$114,0)</f>
        <v>446379.225193682</v>
      </c>
      <c r="CI115" s="12" t="n">
        <f aca="false">CI$110+CI$111+CI$112+IF(p_C5=1,CI$113+CI$114,0)</f>
        <v>446379.225193682</v>
      </c>
      <c r="CJ115" s="12" t="n">
        <f aca="false">CJ$110+CJ$111+CJ$112+IF(p_C5=1,CJ$113+CJ$114,0)</f>
        <v>446379.225193682</v>
      </c>
      <c r="CK115" s="12" t="n">
        <f aca="false">CK$110+CK$111+CK$112+IF(p_C5=1,CK$113+CK$114,0)</f>
        <v>446379.225193682</v>
      </c>
      <c r="CL115" s="12" t="n">
        <f aca="false">CL$110+CL$111+CL$112+IF(p_C5=1,CL$113+CL$114,0)</f>
        <v>446379.225193682</v>
      </c>
      <c r="CM115" s="12" t="n">
        <f aca="false">CM$110+CM$111+CM$112+IF(p_C5=1,CM$113+CM$114,0)</f>
        <v>448770.826112286</v>
      </c>
      <c r="CN115" s="12" t="n">
        <f aca="false">CN$110+CN$111+CN$112+IF(p_C5=1,CN$113+CN$114,0)</f>
        <v>448770.826112286</v>
      </c>
      <c r="CO115" s="12" t="n">
        <f aca="false">CO$110+CO$111+CO$112+IF(p_C5=1,CO$113+CO$114,0)</f>
        <v>448770.826112286</v>
      </c>
      <c r="CP115" s="12" t="n">
        <f aca="false">CP$110+CP$111+CP$112+IF(p_C5=1,CP$113+CP$114,0)</f>
        <v>448770.826112286</v>
      </c>
      <c r="CQ115" s="12" t="n">
        <f aca="false">CQ$110+CQ$111+CQ$112+IF(p_C5=1,CQ$113+CQ$114,0)</f>
        <v>448770.826112286</v>
      </c>
      <c r="CR115" s="12" t="n">
        <f aca="false">CR$110+CR$111+CR$112+IF(p_C5=1,CR$113+CR$114,0)</f>
        <v>448770.826112286</v>
      </c>
      <c r="CS115" s="12" t="n">
        <f aca="false">CS$110+CS$111+CS$112+IF(p_C5=1,CS$113+CS$114,0)</f>
        <v>448770.826112286</v>
      </c>
      <c r="CT115" s="12" t="n">
        <f aca="false">CT$110+CT$111+CT$112+IF(p_C5=1,CT$113+CT$114,0)</f>
        <v>448770.826112286</v>
      </c>
      <c r="CU115" s="12" t="n">
        <f aca="false">CU$110+CU$111+CU$112+IF(p_C5=1,CU$113+CU$114,0)</f>
        <v>448770.826112286</v>
      </c>
      <c r="CV115" s="12" t="n">
        <f aca="false">CV$110+CV$111+CV$112+IF(p_C5=1,CV$113+CV$114,0)</f>
        <v>448770.826112286</v>
      </c>
      <c r="CW115" s="12" t="n">
        <f aca="false">CW$110+CW$111+CW$112+IF(p_C5=1,CW$113+CW$114,0)</f>
        <v>448770.826112286</v>
      </c>
      <c r="CX115" s="12" t="n">
        <f aca="false">CX$110+CX$111+CX$112+IF(p_C5=1,CX$113+CX$114,0)</f>
        <v>448770.826112286</v>
      </c>
      <c r="CY115" s="12" t="n">
        <f aca="false">CY$110+CY$111+CY$112+IF(p_C5=1,CY$113+CY$114,0)</f>
        <v>451186.343040075</v>
      </c>
      <c r="CZ115" s="12" t="n">
        <f aca="false">CZ$110+CZ$111+CZ$112+IF(p_C5=1,CZ$113+CZ$114,0)</f>
        <v>451186.343040075</v>
      </c>
      <c r="DA115" s="12" t="n">
        <f aca="false">DA$110+DA$111+DA$112+IF(p_C5=1,DA$113+DA$114,0)</f>
        <v>451186.343040075</v>
      </c>
      <c r="DB115" s="12" t="n">
        <f aca="false">DB$110+DB$111+DB$112+IF(p_C5=1,DB$113+DB$114,0)</f>
        <v>451186.343040075</v>
      </c>
      <c r="DC115" s="12" t="n">
        <f aca="false">DC$110+DC$111+DC$112+IF(p_C5=1,DC$113+DC$114,0)</f>
        <v>451186.343040075</v>
      </c>
      <c r="DD115" s="12" t="n">
        <f aca="false">DD$110+DD$111+DD$112+IF(p_C5=1,DD$113+DD$114,0)</f>
        <v>451186.343040075</v>
      </c>
      <c r="DE115" s="12" t="n">
        <f aca="false">DE$110+DE$111+DE$112+IF(p_C5=1,DE$113+DE$114,0)</f>
        <v>451186.343040075</v>
      </c>
      <c r="DF115" s="12" t="n">
        <f aca="false">DF$110+DF$111+DF$112+IF(p_C5=1,DF$113+DF$114,0)</f>
        <v>451186.343040075</v>
      </c>
      <c r="DG115" s="12" t="n">
        <f aca="false">DG$110+DG$111+DG$112+IF(p_C5=1,DG$113+DG$114,0)</f>
        <v>451186.343040075</v>
      </c>
      <c r="DH115" s="12" t="n">
        <f aca="false">DH$110+DH$111+DH$112+IF(p_C5=1,DH$113+DH$114,0)</f>
        <v>451186.343040075</v>
      </c>
      <c r="DI115" s="12" t="n">
        <f aca="false">DI$110+DI$111+DI$112+IF(p_C5=1,DI$113+DI$114,0)</f>
        <v>451186.343040075</v>
      </c>
      <c r="DJ115" s="12" t="n">
        <f aca="false">DJ$110+DJ$111+DJ$112+IF(p_C5=1,DJ$113+DJ$114,0)</f>
        <v>451186.343040075</v>
      </c>
      <c r="DK115" s="12" t="n">
        <f aca="false">DK$110+DK$111+DK$112+IF(p_C5=1,DK$113+DK$114,0)</f>
        <v>453626.015137143</v>
      </c>
      <c r="DL115" s="12" t="n">
        <f aca="false">DL$110+DL$111+DL$112+IF(p_C5=1,DL$113+DL$114,0)</f>
        <v>453626.015137143</v>
      </c>
      <c r="DM115" s="12" t="n">
        <f aca="false">DM$110+DM$111+DM$112+IF(p_C5=1,DM$113+DM$114,0)</f>
        <v>453626.015137143</v>
      </c>
      <c r="DN115" s="12" t="n">
        <f aca="false">DN$110+DN$111+DN$112+IF(p_C5=1,DN$113+DN$114,0)</f>
        <v>453626.015137143</v>
      </c>
      <c r="DO115" s="12" t="n">
        <f aca="false">DO$110+DO$111+DO$112+IF(p_C5=1,DO$113+DO$114,0)</f>
        <v>453626.015137143</v>
      </c>
      <c r="DP115" s="12" t="n">
        <f aca="false">DP$110+DP$111+DP$112+IF(p_C5=1,DP$113+DP$114,0)</f>
        <v>453626.015137143</v>
      </c>
      <c r="DQ115" s="12" t="n">
        <f aca="false">DQ$110+DQ$111+DQ$112+IF(p_C5=1,DQ$113+DQ$114,0)</f>
        <v>453626.015137143</v>
      </c>
      <c r="DR115" s="12" t="n">
        <f aca="false">DR$110+DR$111+DR$112+IF(p_C5=1,DR$113+DR$114,0)</f>
        <v>453626.015137143</v>
      </c>
      <c r="DS115" s="12" t="n">
        <f aca="false">DS$110+DS$111+DS$112+IF(p_C5=1,DS$113+DS$114,0)</f>
        <v>453626.015137143</v>
      </c>
      <c r="DT115" s="12" t="n">
        <f aca="false">DT$110+DT$111+DT$112+IF(p_C5=1,DT$113+DT$114,0)</f>
        <v>453626.015137143</v>
      </c>
      <c r="DU115" s="12" t="n">
        <f aca="false">DU$110+DU$111+DU$112+IF(p_C5=1,DU$113+DU$114,0)</f>
        <v>453626.015137143</v>
      </c>
      <c r="DV115" s="12" t="n">
        <f aca="false">DV$110+DV$111+DV$112+IF(p_C5=1,DV$113+DV$114,0)</f>
        <v>304488.695092055</v>
      </c>
      <c r="DW115" s="12" t="n">
        <f aca="false">DW$110+DW$111+DW$112+IF(p_C5=1,DW$113+DW$114,0)</f>
        <v>0</v>
      </c>
      <c r="DX115" s="12" t="n">
        <f aca="false">DX$110+DX$111+DX$112+IF(p_C5=1,DX$113+DX$114,0)</f>
        <v>0</v>
      </c>
      <c r="DY115" s="12" t="n">
        <f aca="false">DY$110+DY$111+DY$112+IF(p_C5=1,DY$113+DY$114,0)</f>
        <v>0</v>
      </c>
      <c r="DZ115" s="12" t="n">
        <f aca="false">DZ$110+DZ$111+DZ$112+IF(p_C5=1,DZ$113+DZ$114,0)</f>
        <v>0</v>
      </c>
      <c r="EA115" s="12" t="n">
        <f aca="false">EA$110+EA$111+EA$112+IF(p_C5=1,EA$113+EA$114,0)</f>
        <v>0</v>
      </c>
      <c r="EB115" s="12" t="n">
        <f aca="false">EB$110+EB$111+EB$112+IF(p_C5=1,EB$113+EB$114,0)</f>
        <v>0</v>
      </c>
      <c r="EC115" s="12" t="n">
        <f aca="false">EC$110+EC$111+EC$112+IF(p_C5=1,EC$113+EC$114,0)</f>
        <v>0</v>
      </c>
      <c r="ED115" s="12" t="n">
        <f aca="false">ED$110+ED$111+ED$112+IF(p_C5=1,ED$113+ED$114,0)</f>
        <v>0</v>
      </c>
      <c r="EE115" s="12" t="n">
        <f aca="false">EE$110+EE$111+EE$112+IF(p_C5=1,EE$113+EE$114,0)</f>
        <v>0</v>
      </c>
      <c r="EF115" s="12" t="n">
        <f aca="false">EF$110+EF$111+EF$112+IF(p_C5=1,EF$113+EF$114,0)</f>
        <v>0</v>
      </c>
      <c r="EG115" s="12" t="n">
        <f aca="false">EG$110+EG$111+EG$112+IF(p_C5=1,EG$113+EG$114,0)</f>
        <v>0</v>
      </c>
      <c r="EH115" s="12" t="n">
        <f aca="false">EH$110+EH$111+EH$112+IF(p_C5=1,EH$113+EH$114,0)</f>
        <v>0</v>
      </c>
      <c r="EI115" s="12" t="n">
        <f aca="false">EI$110+EI$111+EI$112+IF(p_C5=1,EI$113+EI$114,0)</f>
        <v>0</v>
      </c>
      <c r="EJ115" s="12" t="n">
        <f aca="false">EJ$110+EJ$111+EJ$112+IF(p_C5=1,EJ$113+EJ$114,0)</f>
        <v>0</v>
      </c>
      <c r="EK115" s="12" t="n">
        <f aca="false">EK$110+EK$111+EK$112+IF(p_C5=1,EK$113+EK$114,0)</f>
        <v>0</v>
      </c>
      <c r="EL115" s="12" t="n">
        <f aca="false">EL$110+EL$111+EL$112+IF(p_C5=1,EL$113+EL$114,0)</f>
        <v>0</v>
      </c>
      <c r="EM115" s="12" t="n">
        <f aca="false">EM$110+EM$111+EM$112+IF(p_C5=1,EM$113+EM$114,0)</f>
        <v>0</v>
      </c>
      <c r="EN115" s="12" t="n">
        <f aca="false">EN$110+EN$111+EN$112+IF(p_C5=1,EN$113+EN$114,0)</f>
        <v>0</v>
      </c>
      <c r="EO115" s="12" t="n">
        <f aca="false">EO$110+EO$111+EO$112+IF(p_C5=1,EO$113+EO$114,0)</f>
        <v>0</v>
      </c>
      <c r="EP115" s="12" t="n">
        <f aca="false">EP$110+EP$111+EP$112+IF(p_C5=1,EP$113+EP$114,0)</f>
        <v>0</v>
      </c>
      <c r="EQ115" s="12" t="n">
        <f aca="false">EQ$110+EQ$111+EQ$112+IF(p_C5=1,EQ$113+EQ$114,0)</f>
        <v>0</v>
      </c>
      <c r="ER115" s="12" t="n">
        <f aca="false">ER$110+ER$111+ER$112+IF(p_C5=1,ER$113+ER$114,0)</f>
        <v>0</v>
      </c>
      <c r="ES115" s="12" t="n">
        <f aca="false">ES$110+ES$111+ES$112+IF(p_C5=1,ES$113+ES$114,0)</f>
        <v>0</v>
      </c>
      <c r="ET115" s="12" t="n">
        <f aca="false">ET$110+ET$111+ET$112+IF(p_C5=1,ET$113+ET$114,0)</f>
        <v>0</v>
      </c>
      <c r="EU115" s="12" t="n">
        <f aca="false">EU$110+EU$111+EU$112+IF(p_C5=1,EU$113+EU$114,0)</f>
        <v>0</v>
      </c>
      <c r="EV115" s="12" t="n">
        <f aca="false">EV$110+EV$111+EV$112+IF(p_C5=1,EV$113+EV$114,0)</f>
        <v>0</v>
      </c>
      <c r="EW115" s="12" t="n">
        <f aca="false">EW$110+EW$111+EW$112+IF(p_C5=1,EW$113+EW$114,0)</f>
        <v>0</v>
      </c>
      <c r="EX115" s="12" t="n">
        <f aca="false">EX$110+EX$111+EX$112+IF(p_C5=1,EX$113+EX$114,0)</f>
        <v>0</v>
      </c>
      <c r="EY115" s="12" t="n">
        <f aca="false">EY$110+EY$111+EY$112+IF(p_C5=1,EY$113+EY$114,0)</f>
        <v>0</v>
      </c>
      <c r="EZ115" s="12" t="n">
        <f aca="false">EZ$110+EZ$111+EZ$112+IF(p_C5=1,EZ$113+EZ$114,0)</f>
        <v>0</v>
      </c>
      <c r="FA115" s="12" t="n">
        <f aca="false">FA$110+FA$111+FA$112+IF(p_C5=1,FA$113+FA$114,0)</f>
        <v>0</v>
      </c>
      <c r="FB115" s="12" t="n">
        <f aca="false">FB$110+FB$111+FB$112+IF(p_C5=1,FB$113+FB$114,0)</f>
        <v>0</v>
      </c>
      <c r="FC115" s="12" t="n">
        <f aca="false">FC$110+FC$111+FC$112+IF(p_C5=1,FC$113+FC$114,0)</f>
        <v>0</v>
      </c>
      <c r="FD115" s="12" t="n">
        <f aca="false">FD$110+FD$111+FD$112+IF(p_C5=1,FD$113+FD$114,0)</f>
        <v>0</v>
      </c>
      <c r="FE115" s="12" t="n">
        <f aca="false">FE$110+FE$111+FE$112+IF(p_C5=1,FE$113+FE$114,0)</f>
        <v>0</v>
      </c>
      <c r="FF115" s="12" t="n">
        <f aca="false">FF$110+FF$111+FF$112+IF(p_C5=1,FF$113+FF$114,0)</f>
        <v>0</v>
      </c>
    </row>
    <row r="116" customFormat="false" ht="15" hidden="false" customHeight="false" outlineLevel="0" collapsed="false">
      <c r="A116" s="2" t="s">
        <v>1081</v>
      </c>
      <c r="B116" s="8" t="s">
        <v>1082</v>
      </c>
      <c r="C116" s="8" t="s">
        <v>255</v>
      </c>
      <c r="E116" s="65" t="n">
        <f aca="false">SUM($F116:$FF116)</f>
        <v>30655437.9486112</v>
      </c>
      <c r="F116" s="13" t="n">
        <f aca="false">Produccion_Ventas!F$28*((F$100+F$102+F$106)*F$108+F$104)</f>
        <v>0</v>
      </c>
      <c r="G116" s="13" t="n">
        <f aca="false">Produccion_Ventas!G$28*((G$100+G$102+G$106)*G$108+G$104)</f>
        <v>206702.127853881</v>
      </c>
      <c r="H116" s="13" t="n">
        <f aca="false">Produccion_Ventas!H$28*((H$100+H$102+H$106)*H$108+H$104)</f>
        <v>155559.333333333</v>
      </c>
      <c r="I116" s="13" t="n">
        <f aca="false">Produccion_Ventas!I$28*((I$100+I$102+I$106)*I$108+I$104)</f>
        <v>155559.333333333</v>
      </c>
      <c r="J116" s="13" t="n">
        <f aca="false">Produccion_Ventas!J$28*((J$100+J$102+J$106)*J$108+J$104)</f>
        <v>155559.333333333</v>
      </c>
      <c r="K116" s="13" t="n">
        <f aca="false">Produccion_Ventas!K$28*((K$100+K$102+K$106)*K$108+K$104)</f>
        <v>155559.333333333</v>
      </c>
      <c r="L116" s="13" t="n">
        <f aca="false">Produccion_Ventas!L$28*((L$100+L$102+L$106)*L$108+L$104)</f>
        <v>155559.333333333</v>
      </c>
      <c r="M116" s="13" t="n">
        <f aca="false">Produccion_Ventas!M$28*((M$100+M$102+M$106)*M$108+M$104)</f>
        <v>155559.333333333</v>
      </c>
      <c r="N116" s="13" t="n">
        <f aca="false">Produccion_Ventas!N$28*((N$100+N$102+N$106)*N$108+N$104)</f>
        <v>155559.333333333</v>
      </c>
      <c r="O116" s="13" t="n">
        <f aca="false">Produccion_Ventas!O$28*((O$100+O$102+O$106)*O$108+O$104)</f>
        <v>155559.333333333</v>
      </c>
      <c r="P116" s="13" t="n">
        <f aca="false">Produccion_Ventas!P$28*((P$100+P$102+P$106)*P$108+P$104)</f>
        <v>155559.333333333</v>
      </c>
      <c r="Q116" s="13" t="n">
        <f aca="false">Produccion_Ventas!Q$28*((Q$100+Q$102+Q$106)*Q$108+Q$104)</f>
        <v>155559.333333333</v>
      </c>
      <c r="R116" s="13" t="n">
        <f aca="false">Produccion_Ventas!R$28*((R$100+R$102+R$106)*R$108+R$104)</f>
        <v>168345.03196347</v>
      </c>
      <c r="S116" s="13" t="n">
        <f aca="false">Produccion_Ventas!S$28*((S$100+S$102+S$106)*S$108+S$104)</f>
        <v>195482.291666667</v>
      </c>
      <c r="T116" s="13" t="n">
        <f aca="false">Produccion_Ventas!T$28*((T$100+T$102+T$106)*T$108+T$104)</f>
        <v>195482.291666667</v>
      </c>
      <c r="U116" s="13" t="n">
        <f aca="false">Produccion_Ventas!U$28*((U$100+U$102+U$106)*U$108+U$104)</f>
        <v>195482.291666667</v>
      </c>
      <c r="V116" s="13" t="n">
        <f aca="false">Produccion_Ventas!V$28*((V$100+V$102+V$106)*V$108+V$104)</f>
        <v>195482.291666667</v>
      </c>
      <c r="W116" s="13" t="n">
        <f aca="false">Produccion_Ventas!W$28*((W$100+W$102+W$106)*W$108+W$104)</f>
        <v>195482.291666667</v>
      </c>
      <c r="X116" s="13" t="n">
        <f aca="false">Produccion_Ventas!X$28*((X$100+X$102+X$106)*X$108+X$104)</f>
        <v>195482.291666667</v>
      </c>
      <c r="Y116" s="13" t="n">
        <f aca="false">Produccion_Ventas!Y$28*((Y$100+Y$102+Y$106)*Y$108+Y$104)</f>
        <v>195482.291666667</v>
      </c>
      <c r="Z116" s="13" t="n">
        <f aca="false">Produccion_Ventas!Z$28*((Z$100+Z$102+Z$106)*Z$108+Z$104)</f>
        <v>195482.291666667</v>
      </c>
      <c r="AA116" s="13" t="n">
        <f aca="false">Produccion_Ventas!AA$28*((AA$100+AA$102+AA$106)*AA$108+AA$104)</f>
        <v>195482.291666667</v>
      </c>
      <c r="AB116" s="13" t="n">
        <f aca="false">Produccion_Ventas!AB$28*((AB$100+AB$102+AB$106)*AB$108+AB$104)</f>
        <v>195482.291666667</v>
      </c>
      <c r="AC116" s="13" t="n">
        <f aca="false">Produccion_Ventas!AC$28*((AC$100+AC$102+AC$106)*AC$108+AC$104)</f>
        <v>195482.291666667</v>
      </c>
      <c r="AD116" s="13" t="n">
        <f aca="false">Produccion_Ventas!AD$28*((AD$100+AD$102+AD$106)*AD$108+AD$104)</f>
        <v>208335.921803653</v>
      </c>
      <c r="AE116" s="13" t="n">
        <f aca="false">Produccion_Ventas!AE$28*((AE$100+AE$102+AE$106)*AE$108+AE$104)</f>
        <v>235830.8975</v>
      </c>
      <c r="AF116" s="13" t="n">
        <f aca="false">Produccion_Ventas!AF$28*((AF$100+AF$102+AF$106)*AF$108+AF$104)</f>
        <v>235830.8975</v>
      </c>
      <c r="AG116" s="13" t="n">
        <f aca="false">Produccion_Ventas!AG$28*((AG$100+AG$102+AG$106)*AG$108+AG$104)</f>
        <v>235830.8975</v>
      </c>
      <c r="AH116" s="13" t="n">
        <f aca="false">Produccion_Ventas!AH$28*((AH$100+AH$102+AH$106)*AH$108+AH$104)</f>
        <v>235830.8975</v>
      </c>
      <c r="AI116" s="13" t="n">
        <f aca="false">Produccion_Ventas!AI$28*((AI$100+AI$102+AI$106)*AI$108+AI$104)</f>
        <v>235830.8975</v>
      </c>
      <c r="AJ116" s="13" t="n">
        <f aca="false">Produccion_Ventas!AJ$28*((AJ$100+AJ$102+AJ$106)*AJ$108+AJ$104)</f>
        <v>235830.8975</v>
      </c>
      <c r="AK116" s="13" t="n">
        <f aca="false">Produccion_Ventas!AK$28*((AK$100+AK$102+AK$106)*AK$108+AK$104)</f>
        <v>235830.8975</v>
      </c>
      <c r="AL116" s="13" t="n">
        <f aca="false">Produccion_Ventas!AL$28*((AL$100+AL$102+AL$106)*AL$108+AL$104)</f>
        <v>235830.8975</v>
      </c>
      <c r="AM116" s="13" t="n">
        <f aca="false">Produccion_Ventas!AM$28*((AM$100+AM$102+AM$106)*AM$108+AM$104)</f>
        <v>235830.8975</v>
      </c>
      <c r="AN116" s="13" t="n">
        <f aca="false">Produccion_Ventas!AN$28*((AN$100+AN$102+AN$106)*AN$108+AN$104)</f>
        <v>235830.8975</v>
      </c>
      <c r="AO116" s="13" t="n">
        <f aca="false">Produccion_Ventas!AO$28*((AO$100+AO$102+AO$106)*AO$108+AO$104)</f>
        <v>235830.8975</v>
      </c>
      <c r="AP116" s="13" t="n">
        <f aca="false">Produccion_Ventas!AP$28*((AP$100+AP$102+AP$106)*AP$108+AP$104)</f>
        <v>248753.138458904</v>
      </c>
      <c r="AQ116" s="13" t="n">
        <f aca="false">Produccion_Ventas!AQ$28*((AQ$100+AQ$102+AQ$106)*AQ$108+AQ$104)</f>
        <v>276611.494220833</v>
      </c>
      <c r="AR116" s="13" t="n">
        <f aca="false">Produccion_Ventas!AR$28*((AR$100+AR$102+AR$106)*AR$108+AR$104)</f>
        <v>276611.494220833</v>
      </c>
      <c r="AS116" s="13" t="n">
        <f aca="false">Produccion_Ventas!AS$28*((AS$100+AS$102+AS$106)*AS$108+AS$104)</f>
        <v>276611.494220833</v>
      </c>
      <c r="AT116" s="13" t="n">
        <f aca="false">Produccion_Ventas!AT$28*((AT$100+AT$102+AT$106)*AT$108+AT$104)</f>
        <v>276611.494220833</v>
      </c>
      <c r="AU116" s="13" t="n">
        <f aca="false">Produccion_Ventas!AU$28*((AU$100+AU$102+AU$106)*AU$108+AU$104)</f>
        <v>276611.494220833</v>
      </c>
      <c r="AV116" s="13" t="n">
        <f aca="false">Produccion_Ventas!AV$28*((AV$100+AV$102+AV$106)*AV$108+AV$104)</f>
        <v>276611.494220833</v>
      </c>
      <c r="AW116" s="13" t="n">
        <f aca="false">Produccion_Ventas!AW$28*((AW$100+AW$102+AW$106)*AW$108+AW$104)</f>
        <v>276611.494220833</v>
      </c>
      <c r="AX116" s="13" t="n">
        <f aca="false">Produccion_Ventas!AX$28*((AX$100+AX$102+AX$106)*AX$108+AX$104)</f>
        <v>276611.494220833</v>
      </c>
      <c r="AY116" s="13" t="n">
        <f aca="false">Produccion_Ventas!AY$28*((AY$100+AY$102+AY$106)*AY$108+AY$104)</f>
        <v>276611.494220833</v>
      </c>
      <c r="AZ116" s="13" t="n">
        <f aca="false">Produccion_Ventas!AZ$28*((AZ$100+AZ$102+AZ$106)*AZ$108+AZ$104)</f>
        <v>276611.494220833</v>
      </c>
      <c r="BA116" s="13" t="n">
        <f aca="false">Produccion_Ventas!BA$28*((BA$100+BA$102+BA$106)*BA$108+BA$104)</f>
        <v>276611.494220833</v>
      </c>
      <c r="BB116" s="13" t="n">
        <f aca="false">Produccion_Ventas!BB$28*((BB$100+BB$102+BB$106)*BB$108+BB$104)</f>
        <v>276611.494220833</v>
      </c>
      <c r="BC116" s="13" t="n">
        <f aca="false">Produccion_Ventas!BC$28*((BC$100+BC$102+BC$106)*BC$108+BC$104)</f>
        <v>278101.695829708</v>
      </c>
      <c r="BD116" s="13" t="n">
        <f aca="false">Produccion_Ventas!BD$28*((BD$100+BD$102+BD$106)*BD$108+BD$104)</f>
        <v>278101.695829708</v>
      </c>
      <c r="BE116" s="13" t="n">
        <f aca="false">Produccion_Ventas!BE$28*((BE$100+BE$102+BE$106)*BE$108+BE$104)</f>
        <v>278101.695829708</v>
      </c>
      <c r="BF116" s="13" t="n">
        <f aca="false">Produccion_Ventas!BF$28*((BF$100+BF$102+BF$106)*BF$108+BF$104)</f>
        <v>278101.695829708</v>
      </c>
      <c r="BG116" s="13" t="n">
        <f aca="false">Produccion_Ventas!BG$28*((BG$100+BG$102+BG$106)*BG$108+BG$104)</f>
        <v>278101.695829708</v>
      </c>
      <c r="BH116" s="13" t="n">
        <f aca="false">Produccion_Ventas!BH$28*((BH$100+BH$102+BH$106)*BH$108+BH$104)</f>
        <v>278101.695829708</v>
      </c>
      <c r="BI116" s="13" t="n">
        <f aca="false">Produccion_Ventas!BI$28*((BI$100+BI$102+BI$106)*BI$108+BI$104)</f>
        <v>278101.695829708</v>
      </c>
      <c r="BJ116" s="13" t="n">
        <f aca="false">Produccion_Ventas!BJ$28*((BJ$100+BJ$102+BJ$106)*BJ$108+BJ$104)</f>
        <v>278101.695829708</v>
      </c>
      <c r="BK116" s="13" t="n">
        <f aca="false">Produccion_Ventas!BK$28*((BK$100+BK$102+BK$106)*BK$108+BK$104)</f>
        <v>278101.695829708</v>
      </c>
      <c r="BL116" s="13" t="n">
        <f aca="false">Produccion_Ventas!BL$28*((BL$100+BL$102+BL$106)*BL$108+BL$104)</f>
        <v>278101.695829708</v>
      </c>
      <c r="BM116" s="13" t="n">
        <f aca="false">Produccion_Ventas!BM$28*((BM$100+BM$102+BM$106)*BM$108+BM$104)</f>
        <v>278101.695829708</v>
      </c>
      <c r="BN116" s="13" t="n">
        <f aca="false">Produccion_Ventas!BN$28*((BN$100+BN$102+BN$106)*BN$108+BN$104)</f>
        <v>278101.695829708</v>
      </c>
      <c r="BO116" s="13" t="n">
        <f aca="false">Produccion_Ventas!BO$28*((BO$100+BO$102+BO$106)*BO$108+BO$104)</f>
        <v>279606.799454672</v>
      </c>
      <c r="BP116" s="13" t="n">
        <f aca="false">Produccion_Ventas!BP$28*((BP$100+BP$102+BP$106)*BP$108+BP$104)</f>
        <v>279606.799454672</v>
      </c>
      <c r="BQ116" s="13" t="n">
        <f aca="false">Produccion_Ventas!BQ$28*((BQ$100+BQ$102+BQ$106)*BQ$108+BQ$104)</f>
        <v>279606.799454672</v>
      </c>
      <c r="BR116" s="13" t="n">
        <f aca="false">Produccion_Ventas!BR$28*((BR$100+BR$102+BR$106)*BR$108+BR$104)</f>
        <v>279606.799454672</v>
      </c>
      <c r="BS116" s="13" t="n">
        <f aca="false">Produccion_Ventas!BS$28*((BS$100+BS$102+BS$106)*BS$108+BS$104)</f>
        <v>279606.799454672</v>
      </c>
      <c r="BT116" s="13" t="n">
        <f aca="false">Produccion_Ventas!BT$28*((BT$100+BT$102+BT$106)*BT$108+BT$104)</f>
        <v>279606.799454672</v>
      </c>
      <c r="BU116" s="13" t="n">
        <f aca="false">Produccion_Ventas!BU$28*((BU$100+BU$102+BU$106)*BU$108+BU$104)</f>
        <v>279606.799454672</v>
      </c>
      <c r="BV116" s="13" t="n">
        <f aca="false">Produccion_Ventas!BV$28*((BV$100+BV$102+BV$106)*BV$108+BV$104)</f>
        <v>279606.799454672</v>
      </c>
      <c r="BW116" s="13" t="n">
        <f aca="false">Produccion_Ventas!BW$28*((BW$100+BW$102+BW$106)*BW$108+BW$104)</f>
        <v>279606.799454672</v>
      </c>
      <c r="BX116" s="13" t="n">
        <f aca="false">Produccion_Ventas!BX$28*((BX$100+BX$102+BX$106)*BX$108+BX$104)</f>
        <v>279606.799454672</v>
      </c>
      <c r="BY116" s="13" t="n">
        <f aca="false">Produccion_Ventas!BY$28*((BY$100+BY$102+BY$106)*BY$108+BY$104)</f>
        <v>279606.799454672</v>
      </c>
      <c r="BZ116" s="13" t="n">
        <f aca="false">Produccion_Ventas!BZ$28*((BZ$100+BZ$102+BZ$106)*BZ$108+BZ$104)</f>
        <v>279606.799454672</v>
      </c>
      <c r="CA116" s="13" t="n">
        <f aca="false">Produccion_Ventas!CA$28*((CA$100+CA$102+CA$106)*CA$108+CA$104)</f>
        <v>281126.954115885</v>
      </c>
      <c r="CB116" s="13" t="n">
        <f aca="false">Produccion_Ventas!CB$28*((CB$100+CB$102+CB$106)*CB$108+CB$104)</f>
        <v>281126.954115885</v>
      </c>
      <c r="CC116" s="13" t="n">
        <f aca="false">Produccion_Ventas!CC$28*((CC$100+CC$102+CC$106)*CC$108+CC$104)</f>
        <v>281126.954115885</v>
      </c>
      <c r="CD116" s="13" t="n">
        <f aca="false">Produccion_Ventas!CD$28*((CD$100+CD$102+CD$106)*CD$108+CD$104)</f>
        <v>281126.954115885</v>
      </c>
      <c r="CE116" s="13" t="n">
        <f aca="false">Produccion_Ventas!CE$28*((CE$100+CE$102+CE$106)*CE$108+CE$104)</f>
        <v>281126.954115885</v>
      </c>
      <c r="CF116" s="13" t="n">
        <f aca="false">Produccion_Ventas!CF$28*((CF$100+CF$102+CF$106)*CF$108+CF$104)</f>
        <v>281126.954115885</v>
      </c>
      <c r="CG116" s="13" t="n">
        <f aca="false">Produccion_Ventas!CG$28*((CG$100+CG$102+CG$106)*CG$108+CG$104)</f>
        <v>281126.954115885</v>
      </c>
      <c r="CH116" s="13" t="n">
        <f aca="false">Produccion_Ventas!CH$28*((CH$100+CH$102+CH$106)*CH$108+CH$104)</f>
        <v>281126.954115885</v>
      </c>
      <c r="CI116" s="13" t="n">
        <f aca="false">Produccion_Ventas!CI$28*((CI$100+CI$102+CI$106)*CI$108+CI$104)</f>
        <v>281126.954115885</v>
      </c>
      <c r="CJ116" s="13" t="n">
        <f aca="false">Produccion_Ventas!CJ$28*((CJ$100+CJ$102+CJ$106)*CJ$108+CJ$104)</f>
        <v>281126.954115885</v>
      </c>
      <c r="CK116" s="13" t="n">
        <f aca="false">Produccion_Ventas!CK$28*((CK$100+CK$102+CK$106)*CK$108+CK$104)</f>
        <v>281126.954115885</v>
      </c>
      <c r="CL116" s="13" t="n">
        <f aca="false">Produccion_Ventas!CL$28*((CL$100+CL$102+CL$106)*CL$108+CL$104)</f>
        <v>281126.954115885</v>
      </c>
      <c r="CM116" s="13" t="n">
        <f aca="false">Produccion_Ventas!CM$28*((CM$100+CM$102+CM$106)*CM$108+CM$104)</f>
        <v>282662.310323711</v>
      </c>
      <c r="CN116" s="13" t="n">
        <f aca="false">Produccion_Ventas!CN$28*((CN$100+CN$102+CN$106)*CN$108+CN$104)</f>
        <v>282662.310323711</v>
      </c>
      <c r="CO116" s="13" t="n">
        <f aca="false">Produccion_Ventas!CO$28*((CO$100+CO$102+CO$106)*CO$108+CO$104)</f>
        <v>282662.310323711</v>
      </c>
      <c r="CP116" s="13" t="n">
        <f aca="false">Produccion_Ventas!CP$28*((CP$100+CP$102+CP$106)*CP$108+CP$104)</f>
        <v>282662.310323711</v>
      </c>
      <c r="CQ116" s="13" t="n">
        <f aca="false">Produccion_Ventas!CQ$28*((CQ$100+CQ$102+CQ$106)*CQ$108+CQ$104)</f>
        <v>282662.310323711</v>
      </c>
      <c r="CR116" s="13" t="n">
        <f aca="false">Produccion_Ventas!CR$28*((CR$100+CR$102+CR$106)*CR$108+CR$104)</f>
        <v>282662.310323711</v>
      </c>
      <c r="CS116" s="13" t="n">
        <f aca="false">Produccion_Ventas!CS$28*((CS$100+CS$102+CS$106)*CS$108+CS$104)</f>
        <v>282662.310323711</v>
      </c>
      <c r="CT116" s="13" t="n">
        <f aca="false">Produccion_Ventas!CT$28*((CT$100+CT$102+CT$106)*CT$108+CT$104)</f>
        <v>282662.310323711</v>
      </c>
      <c r="CU116" s="13" t="n">
        <f aca="false">Produccion_Ventas!CU$28*((CU$100+CU$102+CU$106)*CU$108+CU$104)</f>
        <v>282662.310323711</v>
      </c>
      <c r="CV116" s="13" t="n">
        <f aca="false">Produccion_Ventas!CV$28*((CV$100+CV$102+CV$106)*CV$108+CV$104)</f>
        <v>282662.310323711</v>
      </c>
      <c r="CW116" s="13" t="n">
        <f aca="false">Produccion_Ventas!CW$28*((CW$100+CW$102+CW$106)*CW$108+CW$104)</f>
        <v>282662.310323711</v>
      </c>
      <c r="CX116" s="13" t="n">
        <f aca="false">Produccion_Ventas!CX$28*((CX$100+CX$102+CX$106)*CX$108+CX$104)</f>
        <v>282662.310323711</v>
      </c>
      <c r="CY116" s="13" t="n">
        <f aca="false">Produccion_Ventas!CY$28*((CY$100+CY$102+CY$106)*CY$108+CY$104)</f>
        <v>284213.020093615</v>
      </c>
      <c r="CZ116" s="13" t="n">
        <f aca="false">Produccion_Ventas!CZ$28*((CZ$100+CZ$102+CZ$106)*CZ$108+CZ$104)</f>
        <v>284213.020093615</v>
      </c>
      <c r="DA116" s="13" t="n">
        <f aca="false">Produccion_Ventas!DA$28*((DA$100+DA$102+DA$106)*DA$108+DA$104)</f>
        <v>284213.020093615</v>
      </c>
      <c r="DB116" s="13" t="n">
        <f aca="false">Produccion_Ventas!DB$28*((DB$100+DB$102+DB$106)*DB$108+DB$104)</f>
        <v>284213.020093615</v>
      </c>
      <c r="DC116" s="13" t="n">
        <f aca="false">Produccion_Ventas!DC$28*((DC$100+DC$102+DC$106)*DC$108+DC$104)</f>
        <v>284213.020093615</v>
      </c>
      <c r="DD116" s="13" t="n">
        <f aca="false">Produccion_Ventas!DD$28*((DD$100+DD$102+DD$106)*DD$108+DD$104)</f>
        <v>284213.020093615</v>
      </c>
      <c r="DE116" s="13" t="n">
        <f aca="false">Produccion_Ventas!DE$28*((DE$100+DE$102+DE$106)*DE$108+DE$104)</f>
        <v>284213.020093615</v>
      </c>
      <c r="DF116" s="13" t="n">
        <f aca="false">Produccion_Ventas!DF$28*((DF$100+DF$102+DF$106)*DF$108+DF$104)</f>
        <v>284213.020093615</v>
      </c>
      <c r="DG116" s="13" t="n">
        <f aca="false">Produccion_Ventas!DG$28*((DG$100+DG$102+DG$106)*DG$108+DG$104)</f>
        <v>284213.020093615</v>
      </c>
      <c r="DH116" s="13" t="n">
        <f aca="false">Produccion_Ventas!DH$28*((DH$100+DH$102+DH$106)*DH$108+DH$104)</f>
        <v>284213.020093615</v>
      </c>
      <c r="DI116" s="13" t="n">
        <f aca="false">Produccion_Ventas!DI$28*((DI$100+DI$102+DI$106)*DI$108+DI$104)</f>
        <v>284213.020093615</v>
      </c>
      <c r="DJ116" s="13" t="n">
        <f aca="false">Produccion_Ventas!DJ$28*((DJ$100+DJ$102+DJ$106)*DJ$108+DJ$104)</f>
        <v>284213.020093615</v>
      </c>
      <c r="DK116" s="13" t="n">
        <f aca="false">Produccion_Ventas!DK$28*((DK$100+DK$102+DK$106)*DK$108+DK$104)</f>
        <v>285779.236961218</v>
      </c>
      <c r="DL116" s="13" t="n">
        <f aca="false">Produccion_Ventas!DL$28*((DL$100+DL$102+DL$106)*DL$108+DL$104)</f>
        <v>285779.236961218</v>
      </c>
      <c r="DM116" s="13" t="n">
        <f aca="false">Produccion_Ventas!DM$28*((DM$100+DM$102+DM$106)*DM$108+DM$104)</f>
        <v>285779.236961218</v>
      </c>
      <c r="DN116" s="13" t="n">
        <f aca="false">Produccion_Ventas!DN$28*((DN$100+DN$102+DN$106)*DN$108+DN$104)</f>
        <v>285779.236961218</v>
      </c>
      <c r="DO116" s="13" t="n">
        <f aca="false">Produccion_Ventas!DO$28*((DO$100+DO$102+DO$106)*DO$108+DO$104)</f>
        <v>285779.236961218</v>
      </c>
      <c r="DP116" s="13" t="n">
        <f aca="false">Produccion_Ventas!DP$28*((DP$100+DP$102+DP$106)*DP$108+DP$104)</f>
        <v>285779.236961218</v>
      </c>
      <c r="DQ116" s="13" t="n">
        <f aca="false">Produccion_Ventas!DQ$28*((DQ$100+DQ$102+DQ$106)*DQ$108+DQ$104)</f>
        <v>285779.236961218</v>
      </c>
      <c r="DR116" s="13" t="n">
        <f aca="false">Produccion_Ventas!DR$28*((DR$100+DR$102+DR$106)*DR$108+DR$104)</f>
        <v>285779.236961218</v>
      </c>
      <c r="DS116" s="13" t="n">
        <f aca="false">Produccion_Ventas!DS$28*((DS$100+DS$102+DS$106)*DS$108+DS$104)</f>
        <v>285779.236961218</v>
      </c>
      <c r="DT116" s="13" t="n">
        <f aca="false">Produccion_Ventas!DT$28*((DT$100+DT$102+DT$106)*DT$108+DT$104)</f>
        <v>285779.236961218</v>
      </c>
      <c r="DU116" s="13" t="n">
        <f aca="false">Produccion_Ventas!DU$28*((DU$100+DU$102+DU$106)*DU$108+DU$104)</f>
        <v>285779.236961218</v>
      </c>
      <c r="DV116" s="13" t="n">
        <f aca="false">Produccion_Ventas!DV$28*((DV$100+DV$102+DV$106)*DV$108+DV$104)</f>
        <v>191824.419330132</v>
      </c>
      <c r="DW116" s="13" t="n">
        <f aca="false">Produccion_Ventas!DW$28*((DW$100+DW$102+DW$106)*DW$108+DW$104)</f>
        <v>0</v>
      </c>
      <c r="DX116" s="13" t="n">
        <f aca="false">Produccion_Ventas!DX$28*((DX$100+DX$102+DX$106)*DX$108+DX$104)</f>
        <v>0</v>
      </c>
      <c r="DY116" s="13" t="n">
        <f aca="false">Produccion_Ventas!DY$28*((DY$100+DY$102+DY$106)*DY$108+DY$104)</f>
        <v>0</v>
      </c>
      <c r="DZ116" s="13" t="n">
        <f aca="false">Produccion_Ventas!DZ$28*((DZ$100+DZ$102+DZ$106)*DZ$108+DZ$104)</f>
        <v>0</v>
      </c>
      <c r="EA116" s="13" t="n">
        <f aca="false">Produccion_Ventas!EA$28*((EA$100+EA$102+EA$106)*EA$108+EA$104)</f>
        <v>0</v>
      </c>
      <c r="EB116" s="13" t="n">
        <f aca="false">Produccion_Ventas!EB$28*((EB$100+EB$102+EB$106)*EB$108+EB$104)</f>
        <v>0</v>
      </c>
      <c r="EC116" s="13" t="n">
        <f aca="false">Produccion_Ventas!EC$28*((EC$100+EC$102+EC$106)*EC$108+EC$104)</f>
        <v>0</v>
      </c>
      <c r="ED116" s="13" t="n">
        <f aca="false">Produccion_Ventas!ED$28*((ED$100+ED$102+ED$106)*ED$108+ED$104)</f>
        <v>0</v>
      </c>
      <c r="EE116" s="13" t="n">
        <f aca="false">Produccion_Ventas!EE$28*((EE$100+EE$102+EE$106)*EE$108+EE$104)</f>
        <v>0</v>
      </c>
      <c r="EF116" s="13" t="n">
        <f aca="false">Produccion_Ventas!EF$28*((EF$100+EF$102+EF$106)*EF$108+EF$104)</f>
        <v>0</v>
      </c>
      <c r="EG116" s="13" t="n">
        <f aca="false">Produccion_Ventas!EG$28*((EG$100+EG$102+EG$106)*EG$108+EG$104)</f>
        <v>0</v>
      </c>
      <c r="EH116" s="13" t="n">
        <f aca="false">Produccion_Ventas!EH$28*((EH$100+EH$102+EH$106)*EH$108+EH$104)</f>
        <v>0</v>
      </c>
      <c r="EI116" s="13" t="n">
        <f aca="false">Produccion_Ventas!EI$28*((EI$100+EI$102+EI$106)*EI$108+EI$104)</f>
        <v>0</v>
      </c>
      <c r="EJ116" s="13" t="n">
        <f aca="false">Produccion_Ventas!EJ$28*((EJ$100+EJ$102+EJ$106)*EJ$108+EJ$104)</f>
        <v>0</v>
      </c>
      <c r="EK116" s="13" t="n">
        <f aca="false">Produccion_Ventas!EK$28*((EK$100+EK$102+EK$106)*EK$108+EK$104)</f>
        <v>0</v>
      </c>
      <c r="EL116" s="13" t="n">
        <f aca="false">Produccion_Ventas!EL$28*((EL$100+EL$102+EL$106)*EL$108+EL$104)</f>
        <v>0</v>
      </c>
      <c r="EM116" s="13" t="n">
        <f aca="false">Produccion_Ventas!EM$28*((EM$100+EM$102+EM$106)*EM$108+EM$104)</f>
        <v>0</v>
      </c>
      <c r="EN116" s="13" t="n">
        <f aca="false">Produccion_Ventas!EN$28*((EN$100+EN$102+EN$106)*EN$108+EN$104)</f>
        <v>0</v>
      </c>
      <c r="EO116" s="13" t="n">
        <f aca="false">Produccion_Ventas!EO$28*((EO$100+EO$102+EO$106)*EO$108+EO$104)</f>
        <v>0</v>
      </c>
      <c r="EP116" s="13" t="n">
        <f aca="false">Produccion_Ventas!EP$28*((EP$100+EP$102+EP$106)*EP$108+EP$104)</f>
        <v>0</v>
      </c>
      <c r="EQ116" s="13" t="n">
        <f aca="false">Produccion_Ventas!EQ$28*((EQ$100+EQ$102+EQ$106)*EQ$108+EQ$104)</f>
        <v>0</v>
      </c>
      <c r="ER116" s="13" t="n">
        <f aca="false">Produccion_Ventas!ER$28*((ER$100+ER$102+ER$106)*ER$108+ER$104)</f>
        <v>0</v>
      </c>
      <c r="ES116" s="13" t="n">
        <f aca="false">Produccion_Ventas!ES$28*((ES$100+ES$102+ES$106)*ES$108+ES$104)</f>
        <v>0</v>
      </c>
      <c r="ET116" s="13" t="n">
        <f aca="false">Produccion_Ventas!ET$28*((ET$100+ET$102+ET$106)*ET$108+ET$104)</f>
        <v>0</v>
      </c>
      <c r="EU116" s="13" t="n">
        <f aca="false">Produccion_Ventas!EU$28*((EU$100+EU$102+EU$106)*EU$108+EU$104)</f>
        <v>0</v>
      </c>
      <c r="EV116" s="13" t="n">
        <f aca="false">Produccion_Ventas!EV$28*((EV$100+EV$102+EV$106)*EV$108+EV$104)</f>
        <v>0</v>
      </c>
      <c r="EW116" s="13" t="n">
        <f aca="false">Produccion_Ventas!EW$28*((EW$100+EW$102+EW$106)*EW$108+EW$104)</f>
        <v>0</v>
      </c>
      <c r="EX116" s="13" t="n">
        <f aca="false">Produccion_Ventas!EX$28*((EX$100+EX$102+EX$106)*EX$108+EX$104)</f>
        <v>0</v>
      </c>
      <c r="EY116" s="13" t="n">
        <f aca="false">Produccion_Ventas!EY$28*((EY$100+EY$102+EY$106)*EY$108+EY$104)</f>
        <v>0</v>
      </c>
      <c r="EZ116" s="13" t="n">
        <f aca="false">Produccion_Ventas!EZ$28*((EZ$100+EZ$102+EZ$106)*EZ$108+EZ$104)</f>
        <v>0</v>
      </c>
      <c r="FA116" s="13" t="n">
        <f aca="false">Produccion_Ventas!FA$28*((FA$100+FA$102+FA$106)*FA$108+FA$104)</f>
        <v>0</v>
      </c>
      <c r="FB116" s="13" t="n">
        <f aca="false">Produccion_Ventas!FB$28*((FB$100+FB$102+FB$106)*FB$108+FB$104)</f>
        <v>0</v>
      </c>
      <c r="FC116" s="13" t="n">
        <f aca="false">Produccion_Ventas!FC$28*((FC$100+FC$102+FC$106)*FC$108+FC$104)</f>
        <v>0</v>
      </c>
      <c r="FD116" s="13" t="n">
        <f aca="false">Produccion_Ventas!FD$28*((FD$100+FD$102+FD$106)*FD$108+FD$104)</f>
        <v>0</v>
      </c>
      <c r="FE116" s="13" t="n">
        <f aca="false">Produccion_Ventas!FE$28*((FE$100+FE$102+FE$106)*FE$108+FE$104)</f>
        <v>0</v>
      </c>
      <c r="FF116" s="13" t="n">
        <f aca="false">Produccion_Ventas!FF$28*((FF$100+FF$102+FF$106)*FF$108+FF$104)</f>
        <v>0</v>
      </c>
    </row>
    <row r="117" customFormat="false" ht="15" hidden="false" customHeight="false" outlineLevel="0" collapsed="false">
      <c r="A117" s="2" t="s">
        <v>1083</v>
      </c>
      <c r="B117" s="8" t="s">
        <v>1084</v>
      </c>
      <c r="C117" s="8" t="s">
        <v>255</v>
      </c>
      <c r="E117" s="65" t="n">
        <f aca="false">SUM($F117:$FF117)</f>
        <v>17045096.0628117</v>
      </c>
      <c r="F117" s="13" t="n">
        <f aca="false">Produccion_Ventas!F$49*((F$101+F$103+F$107)*F$108+F$105)</f>
        <v>0</v>
      </c>
      <c r="G117" s="13" t="n">
        <f aca="false">Produccion_Ventas!G$49*((G$101+G$103+G$107)*G$108+G$105)</f>
        <v>116197.363013699</v>
      </c>
      <c r="H117" s="13" t="n">
        <f aca="false">Produccion_Ventas!H$49*((H$101+H$103+H$107)*H$108+H$105)</f>
        <v>87447.5</v>
      </c>
      <c r="I117" s="13" t="n">
        <f aca="false">Produccion_Ventas!I$49*((I$101+I$103+I$107)*I$108+I$105)</f>
        <v>87447.5</v>
      </c>
      <c r="J117" s="13" t="n">
        <f aca="false">Produccion_Ventas!J$49*((J$101+J$103+J$107)*J$108+J$105)</f>
        <v>87447.5</v>
      </c>
      <c r="K117" s="13" t="n">
        <f aca="false">Produccion_Ventas!K$49*((K$101+K$103+K$107)*K$108+K$105)</f>
        <v>87447.5</v>
      </c>
      <c r="L117" s="13" t="n">
        <f aca="false">Produccion_Ventas!L$49*((L$101+L$103+L$107)*L$108+L$105)</f>
        <v>87447.5</v>
      </c>
      <c r="M117" s="13" t="n">
        <f aca="false">Produccion_Ventas!M$49*((M$101+M$103+M$107)*M$108+M$105)</f>
        <v>87447.5</v>
      </c>
      <c r="N117" s="13" t="n">
        <f aca="false">Produccion_Ventas!N$49*((N$101+N$103+N$107)*N$108+N$105)</f>
        <v>87447.5</v>
      </c>
      <c r="O117" s="13" t="n">
        <f aca="false">Produccion_Ventas!O$49*((O$101+O$103+O$107)*O$108+O$105)</f>
        <v>87447.5</v>
      </c>
      <c r="P117" s="13" t="n">
        <f aca="false">Produccion_Ventas!P$49*((P$101+P$103+P$107)*P$108+P$105)</f>
        <v>87447.5</v>
      </c>
      <c r="Q117" s="13" t="n">
        <f aca="false">Produccion_Ventas!Q$49*((Q$101+Q$103+Q$107)*Q$108+Q$105)</f>
        <v>87447.5</v>
      </c>
      <c r="R117" s="13" t="n">
        <f aca="false">Produccion_Ventas!R$49*((R$101+R$103+R$107)*R$108+R$105)</f>
        <v>95661.7465753425</v>
      </c>
      <c r="S117" s="13" t="n">
        <f aca="false">Produccion_Ventas!S$49*((S$101+S$103+S$107)*S$108+S$105)</f>
        <v>112988.25</v>
      </c>
      <c r="T117" s="13" t="n">
        <f aca="false">Produccion_Ventas!T$49*((T$101+T$103+T$107)*T$108+T$105)</f>
        <v>112988.25</v>
      </c>
      <c r="U117" s="13" t="n">
        <f aca="false">Produccion_Ventas!U$49*((U$101+U$103+U$107)*U$108+U$105)</f>
        <v>112988.25</v>
      </c>
      <c r="V117" s="13" t="n">
        <f aca="false">Produccion_Ventas!V$49*((V$101+V$103+V$107)*V$108+V$105)</f>
        <v>112988.25</v>
      </c>
      <c r="W117" s="13" t="n">
        <f aca="false">Produccion_Ventas!W$49*((W$101+W$103+W$107)*W$108+W$105)</f>
        <v>112988.25</v>
      </c>
      <c r="X117" s="13" t="n">
        <f aca="false">Produccion_Ventas!X$49*((X$101+X$103+X$107)*X$108+X$105)</f>
        <v>112988.25</v>
      </c>
      <c r="Y117" s="13" t="n">
        <f aca="false">Produccion_Ventas!Y$49*((Y$101+Y$103+Y$107)*Y$108+Y$105)</f>
        <v>112988.25</v>
      </c>
      <c r="Z117" s="13" t="n">
        <f aca="false">Produccion_Ventas!Z$49*((Z$101+Z$103+Z$107)*Z$108+Z$105)</f>
        <v>112988.25</v>
      </c>
      <c r="AA117" s="13" t="n">
        <f aca="false">Produccion_Ventas!AA$49*((AA$101+AA$103+AA$107)*AA$108+AA$105)</f>
        <v>112988.25</v>
      </c>
      <c r="AB117" s="13" t="n">
        <f aca="false">Produccion_Ventas!AB$49*((AB$101+AB$103+AB$107)*AB$108+AB$105)</f>
        <v>112988.25</v>
      </c>
      <c r="AC117" s="13" t="n">
        <f aca="false">Produccion_Ventas!AC$49*((AC$101+AC$103+AC$107)*AC$108+AC$105)</f>
        <v>112988.25</v>
      </c>
      <c r="AD117" s="13" t="n">
        <f aca="false">Produccion_Ventas!AD$49*((AD$101+AD$103+AD$107)*AD$108+AD$105)</f>
        <v>121243.099315069</v>
      </c>
      <c r="AE117" s="13" t="n">
        <f aca="false">Produccion_Ventas!AE$49*((AE$101+AE$103+AE$107)*AE$108+AE$105)</f>
        <v>138782.7925</v>
      </c>
      <c r="AF117" s="13" t="n">
        <f aca="false">Produccion_Ventas!AF$49*((AF$101+AF$103+AF$107)*AF$108+AF$105)</f>
        <v>138782.7925</v>
      </c>
      <c r="AG117" s="13" t="n">
        <f aca="false">Produccion_Ventas!AG$49*((AG$101+AG$103+AG$107)*AG$108+AG$105)</f>
        <v>138782.7925</v>
      </c>
      <c r="AH117" s="13" t="n">
        <f aca="false">Produccion_Ventas!AH$49*((AH$101+AH$103+AH$107)*AH$108+AH$105)</f>
        <v>138782.7925</v>
      </c>
      <c r="AI117" s="13" t="n">
        <f aca="false">Produccion_Ventas!AI$49*((AI$101+AI$103+AI$107)*AI$108+AI$105)</f>
        <v>138782.7925</v>
      </c>
      <c r="AJ117" s="13" t="n">
        <f aca="false">Produccion_Ventas!AJ$49*((AJ$101+AJ$103+AJ$107)*AJ$108+AJ$105)</f>
        <v>138782.7925</v>
      </c>
      <c r="AK117" s="13" t="n">
        <f aca="false">Produccion_Ventas!AK$49*((AK$101+AK$103+AK$107)*AK$108+AK$105)</f>
        <v>138782.7925</v>
      </c>
      <c r="AL117" s="13" t="n">
        <f aca="false">Produccion_Ventas!AL$49*((AL$101+AL$103+AL$107)*AL$108+AL$105)</f>
        <v>138782.7925</v>
      </c>
      <c r="AM117" s="13" t="n">
        <f aca="false">Produccion_Ventas!AM$49*((AM$101+AM$103+AM$107)*AM$108+AM$105)</f>
        <v>138782.7925</v>
      </c>
      <c r="AN117" s="13" t="n">
        <f aca="false">Produccion_Ventas!AN$49*((AN$101+AN$103+AN$107)*AN$108+AN$105)</f>
        <v>138782.7925</v>
      </c>
      <c r="AO117" s="13" t="n">
        <f aca="false">Produccion_Ventas!AO$49*((AO$101+AO$103+AO$107)*AO$108+AO$105)</f>
        <v>138782.7925</v>
      </c>
      <c r="AP117" s="13" t="n">
        <f aca="false">Produccion_Ventas!AP$49*((AP$101+AP$103+AP$107)*AP$108+AP$105)</f>
        <v>142930.721541096</v>
      </c>
      <c r="AQ117" s="13" t="n">
        <f aca="false">Produccion_Ventas!AQ$49*((AQ$101+AQ$103+AQ$107)*AQ$108+AQ$105)</f>
        <v>152155.3041</v>
      </c>
      <c r="AR117" s="13" t="n">
        <f aca="false">Produccion_Ventas!AR$49*((AR$101+AR$103+AR$107)*AR$108+AR$105)</f>
        <v>152155.3041</v>
      </c>
      <c r="AS117" s="13" t="n">
        <f aca="false">Produccion_Ventas!AS$49*((AS$101+AS$103+AS$107)*AS$108+AS$105)</f>
        <v>152155.3041</v>
      </c>
      <c r="AT117" s="13" t="n">
        <f aca="false">Produccion_Ventas!AT$49*((AT$101+AT$103+AT$107)*AT$108+AT$105)</f>
        <v>152155.3041</v>
      </c>
      <c r="AU117" s="13" t="n">
        <f aca="false">Produccion_Ventas!AU$49*((AU$101+AU$103+AU$107)*AU$108+AU$105)</f>
        <v>152155.3041</v>
      </c>
      <c r="AV117" s="13" t="n">
        <f aca="false">Produccion_Ventas!AV$49*((AV$101+AV$103+AV$107)*AV$108+AV$105)</f>
        <v>152155.3041</v>
      </c>
      <c r="AW117" s="13" t="n">
        <f aca="false">Produccion_Ventas!AW$49*((AW$101+AW$103+AW$107)*AW$108+AW$105)</f>
        <v>152155.3041</v>
      </c>
      <c r="AX117" s="13" t="n">
        <f aca="false">Produccion_Ventas!AX$49*((AX$101+AX$103+AX$107)*AX$108+AX$105)</f>
        <v>152155.3041</v>
      </c>
      <c r="AY117" s="13" t="n">
        <f aca="false">Produccion_Ventas!AY$49*((AY$101+AY$103+AY$107)*AY$108+AY$105)</f>
        <v>152155.3041</v>
      </c>
      <c r="AZ117" s="13" t="n">
        <f aca="false">Produccion_Ventas!AZ$49*((AZ$101+AZ$103+AZ$107)*AZ$108+AZ$105)</f>
        <v>152155.3041</v>
      </c>
      <c r="BA117" s="13" t="n">
        <f aca="false">Produccion_Ventas!BA$49*((BA$101+BA$103+BA$107)*BA$108+BA$105)</f>
        <v>152155.3041</v>
      </c>
      <c r="BB117" s="13" t="n">
        <f aca="false">Produccion_Ventas!BB$49*((BB$101+BB$103+BB$107)*BB$108+BB$105)</f>
        <v>152155.3041</v>
      </c>
      <c r="BC117" s="13" t="n">
        <f aca="false">Produccion_Ventas!BC$49*((BC$101+BC$103+BC$107)*BC$108+BC$105)</f>
        <v>152918.757141</v>
      </c>
      <c r="BD117" s="13" t="n">
        <f aca="false">Produccion_Ventas!BD$49*((BD$101+BD$103+BD$107)*BD$108+BD$105)</f>
        <v>152918.757141</v>
      </c>
      <c r="BE117" s="13" t="n">
        <f aca="false">Produccion_Ventas!BE$49*((BE$101+BE$103+BE$107)*BE$108+BE$105)</f>
        <v>152918.757141</v>
      </c>
      <c r="BF117" s="13" t="n">
        <f aca="false">Produccion_Ventas!BF$49*((BF$101+BF$103+BF$107)*BF$108+BF$105)</f>
        <v>152918.757141</v>
      </c>
      <c r="BG117" s="13" t="n">
        <f aca="false">Produccion_Ventas!BG$49*((BG$101+BG$103+BG$107)*BG$108+BG$105)</f>
        <v>152918.757141</v>
      </c>
      <c r="BH117" s="13" t="n">
        <f aca="false">Produccion_Ventas!BH$49*((BH$101+BH$103+BH$107)*BH$108+BH$105)</f>
        <v>152918.757141</v>
      </c>
      <c r="BI117" s="13" t="n">
        <f aca="false">Produccion_Ventas!BI$49*((BI$101+BI$103+BI$107)*BI$108+BI$105)</f>
        <v>152918.757141</v>
      </c>
      <c r="BJ117" s="13" t="n">
        <f aca="false">Produccion_Ventas!BJ$49*((BJ$101+BJ$103+BJ$107)*BJ$108+BJ$105)</f>
        <v>152918.757141</v>
      </c>
      <c r="BK117" s="13" t="n">
        <f aca="false">Produccion_Ventas!BK$49*((BK$101+BK$103+BK$107)*BK$108+BK$105)</f>
        <v>152918.757141</v>
      </c>
      <c r="BL117" s="13" t="n">
        <f aca="false">Produccion_Ventas!BL$49*((BL$101+BL$103+BL$107)*BL$108+BL$105)</f>
        <v>152918.757141</v>
      </c>
      <c r="BM117" s="13" t="n">
        <f aca="false">Produccion_Ventas!BM$49*((BM$101+BM$103+BM$107)*BM$108+BM$105)</f>
        <v>152918.757141</v>
      </c>
      <c r="BN117" s="13" t="n">
        <f aca="false">Produccion_Ventas!BN$49*((BN$101+BN$103+BN$107)*BN$108+BN$105)</f>
        <v>152918.757141</v>
      </c>
      <c r="BO117" s="13" t="n">
        <f aca="false">Produccion_Ventas!BO$49*((BO$101+BO$103+BO$107)*BO$108+BO$105)</f>
        <v>153689.84471241</v>
      </c>
      <c r="BP117" s="13" t="n">
        <f aca="false">Produccion_Ventas!BP$49*((BP$101+BP$103+BP$107)*BP$108+BP$105)</f>
        <v>153689.84471241</v>
      </c>
      <c r="BQ117" s="13" t="n">
        <f aca="false">Produccion_Ventas!BQ$49*((BQ$101+BQ$103+BQ$107)*BQ$108+BQ$105)</f>
        <v>153689.84471241</v>
      </c>
      <c r="BR117" s="13" t="n">
        <f aca="false">Produccion_Ventas!BR$49*((BR$101+BR$103+BR$107)*BR$108+BR$105)</f>
        <v>153689.84471241</v>
      </c>
      <c r="BS117" s="13" t="n">
        <f aca="false">Produccion_Ventas!BS$49*((BS$101+BS$103+BS$107)*BS$108+BS$105)</f>
        <v>153689.84471241</v>
      </c>
      <c r="BT117" s="13" t="n">
        <f aca="false">Produccion_Ventas!BT$49*((BT$101+BT$103+BT$107)*BT$108+BT$105)</f>
        <v>153689.84471241</v>
      </c>
      <c r="BU117" s="13" t="n">
        <f aca="false">Produccion_Ventas!BU$49*((BU$101+BU$103+BU$107)*BU$108+BU$105)</f>
        <v>153689.84471241</v>
      </c>
      <c r="BV117" s="13" t="n">
        <f aca="false">Produccion_Ventas!BV$49*((BV$101+BV$103+BV$107)*BV$108+BV$105)</f>
        <v>153689.84471241</v>
      </c>
      <c r="BW117" s="13" t="n">
        <f aca="false">Produccion_Ventas!BW$49*((BW$101+BW$103+BW$107)*BW$108+BW$105)</f>
        <v>153689.84471241</v>
      </c>
      <c r="BX117" s="13" t="n">
        <f aca="false">Produccion_Ventas!BX$49*((BX$101+BX$103+BX$107)*BX$108+BX$105)</f>
        <v>153689.84471241</v>
      </c>
      <c r="BY117" s="13" t="n">
        <f aca="false">Produccion_Ventas!BY$49*((BY$101+BY$103+BY$107)*BY$108+BY$105)</f>
        <v>153689.84471241</v>
      </c>
      <c r="BZ117" s="13" t="n">
        <f aca="false">Produccion_Ventas!BZ$49*((BZ$101+BZ$103+BZ$107)*BZ$108+BZ$105)</f>
        <v>153689.84471241</v>
      </c>
      <c r="CA117" s="13" t="n">
        <f aca="false">Produccion_Ventas!CA$49*((CA$101+CA$103+CA$107)*CA$108+CA$105)</f>
        <v>154468.643159534</v>
      </c>
      <c r="CB117" s="13" t="n">
        <f aca="false">Produccion_Ventas!CB$49*((CB$101+CB$103+CB$107)*CB$108+CB$105)</f>
        <v>154468.643159534</v>
      </c>
      <c r="CC117" s="13" t="n">
        <f aca="false">Produccion_Ventas!CC$49*((CC$101+CC$103+CC$107)*CC$108+CC$105)</f>
        <v>154468.643159534</v>
      </c>
      <c r="CD117" s="13" t="n">
        <f aca="false">Produccion_Ventas!CD$49*((CD$101+CD$103+CD$107)*CD$108+CD$105)</f>
        <v>154468.643159534</v>
      </c>
      <c r="CE117" s="13" t="n">
        <f aca="false">Produccion_Ventas!CE$49*((CE$101+CE$103+CE$107)*CE$108+CE$105)</f>
        <v>154468.643159534</v>
      </c>
      <c r="CF117" s="13" t="n">
        <f aca="false">Produccion_Ventas!CF$49*((CF$101+CF$103+CF$107)*CF$108+CF$105)</f>
        <v>154468.643159534</v>
      </c>
      <c r="CG117" s="13" t="n">
        <f aca="false">Produccion_Ventas!CG$49*((CG$101+CG$103+CG$107)*CG$108+CG$105)</f>
        <v>154468.643159534</v>
      </c>
      <c r="CH117" s="13" t="n">
        <f aca="false">Produccion_Ventas!CH$49*((CH$101+CH$103+CH$107)*CH$108+CH$105)</f>
        <v>154468.643159534</v>
      </c>
      <c r="CI117" s="13" t="n">
        <f aca="false">Produccion_Ventas!CI$49*((CI$101+CI$103+CI$107)*CI$108+CI$105)</f>
        <v>154468.643159534</v>
      </c>
      <c r="CJ117" s="13" t="n">
        <f aca="false">Produccion_Ventas!CJ$49*((CJ$101+CJ$103+CJ$107)*CJ$108+CJ$105)</f>
        <v>154468.643159534</v>
      </c>
      <c r="CK117" s="13" t="n">
        <f aca="false">Produccion_Ventas!CK$49*((CK$101+CK$103+CK$107)*CK$108+CK$105)</f>
        <v>154468.643159534</v>
      </c>
      <c r="CL117" s="13" t="n">
        <f aca="false">Produccion_Ventas!CL$49*((CL$101+CL$103+CL$107)*CL$108+CL$105)</f>
        <v>154468.643159534</v>
      </c>
      <c r="CM117" s="13" t="n">
        <f aca="false">Produccion_Ventas!CM$49*((CM$101+CM$103+CM$107)*CM$108+CM$105)</f>
        <v>155255.229591129</v>
      </c>
      <c r="CN117" s="13" t="n">
        <f aca="false">Produccion_Ventas!CN$49*((CN$101+CN$103+CN$107)*CN$108+CN$105)</f>
        <v>155255.229591129</v>
      </c>
      <c r="CO117" s="13" t="n">
        <f aca="false">Produccion_Ventas!CO$49*((CO$101+CO$103+CO$107)*CO$108+CO$105)</f>
        <v>155255.229591129</v>
      </c>
      <c r="CP117" s="13" t="n">
        <f aca="false">Produccion_Ventas!CP$49*((CP$101+CP$103+CP$107)*CP$108+CP$105)</f>
        <v>155255.229591129</v>
      </c>
      <c r="CQ117" s="13" t="n">
        <f aca="false">Produccion_Ventas!CQ$49*((CQ$101+CQ$103+CQ$107)*CQ$108+CQ$105)</f>
        <v>155255.229591129</v>
      </c>
      <c r="CR117" s="13" t="n">
        <f aca="false">Produccion_Ventas!CR$49*((CR$101+CR$103+CR$107)*CR$108+CR$105)</f>
        <v>155255.229591129</v>
      </c>
      <c r="CS117" s="13" t="n">
        <f aca="false">Produccion_Ventas!CS$49*((CS$101+CS$103+CS$107)*CS$108+CS$105)</f>
        <v>155255.229591129</v>
      </c>
      <c r="CT117" s="13" t="n">
        <f aca="false">Produccion_Ventas!CT$49*((CT$101+CT$103+CT$107)*CT$108+CT$105)</f>
        <v>155255.229591129</v>
      </c>
      <c r="CU117" s="13" t="n">
        <f aca="false">Produccion_Ventas!CU$49*((CU$101+CU$103+CU$107)*CU$108+CU$105)</f>
        <v>155255.229591129</v>
      </c>
      <c r="CV117" s="13" t="n">
        <f aca="false">Produccion_Ventas!CV$49*((CV$101+CV$103+CV$107)*CV$108+CV$105)</f>
        <v>155255.229591129</v>
      </c>
      <c r="CW117" s="13" t="n">
        <f aca="false">Produccion_Ventas!CW$49*((CW$101+CW$103+CW$107)*CW$108+CW$105)</f>
        <v>155255.229591129</v>
      </c>
      <c r="CX117" s="13" t="n">
        <f aca="false">Produccion_Ventas!CX$49*((CX$101+CX$103+CX$107)*CX$108+CX$105)</f>
        <v>155255.229591129</v>
      </c>
      <c r="CY117" s="13" t="n">
        <f aca="false">Produccion_Ventas!CY$49*((CY$101+CY$103+CY$107)*CY$108+CY$105)</f>
        <v>156049.681887041</v>
      </c>
      <c r="CZ117" s="13" t="n">
        <f aca="false">Produccion_Ventas!CZ$49*((CZ$101+CZ$103+CZ$107)*CZ$108+CZ$105)</f>
        <v>156049.681887041</v>
      </c>
      <c r="DA117" s="13" t="n">
        <f aca="false">Produccion_Ventas!DA$49*((DA$101+DA$103+DA$107)*DA$108+DA$105)</f>
        <v>156049.681887041</v>
      </c>
      <c r="DB117" s="13" t="n">
        <f aca="false">Produccion_Ventas!DB$49*((DB$101+DB$103+DB$107)*DB$108+DB$105)</f>
        <v>156049.681887041</v>
      </c>
      <c r="DC117" s="13" t="n">
        <f aca="false">Produccion_Ventas!DC$49*((DC$101+DC$103+DC$107)*DC$108+DC$105)</f>
        <v>156049.681887041</v>
      </c>
      <c r="DD117" s="13" t="n">
        <f aca="false">Produccion_Ventas!DD$49*((DD$101+DD$103+DD$107)*DD$108+DD$105)</f>
        <v>156049.681887041</v>
      </c>
      <c r="DE117" s="13" t="n">
        <f aca="false">Produccion_Ventas!DE$49*((DE$101+DE$103+DE$107)*DE$108+DE$105)</f>
        <v>156049.681887041</v>
      </c>
      <c r="DF117" s="13" t="n">
        <f aca="false">Produccion_Ventas!DF$49*((DF$101+DF$103+DF$107)*DF$108+DF$105)</f>
        <v>156049.681887041</v>
      </c>
      <c r="DG117" s="13" t="n">
        <f aca="false">Produccion_Ventas!DG$49*((DG$101+DG$103+DG$107)*DG$108+DG$105)</f>
        <v>156049.681887041</v>
      </c>
      <c r="DH117" s="13" t="n">
        <f aca="false">Produccion_Ventas!DH$49*((DH$101+DH$103+DH$107)*DH$108+DH$105)</f>
        <v>156049.681887041</v>
      </c>
      <c r="DI117" s="13" t="n">
        <f aca="false">Produccion_Ventas!DI$49*((DI$101+DI$103+DI$107)*DI$108+DI$105)</f>
        <v>156049.681887041</v>
      </c>
      <c r="DJ117" s="13" t="n">
        <f aca="false">Produccion_Ventas!DJ$49*((DJ$101+DJ$103+DJ$107)*DJ$108+DJ$105)</f>
        <v>156049.681887041</v>
      </c>
      <c r="DK117" s="13" t="n">
        <f aca="false">Produccion_Ventas!DK$49*((DK$101+DK$103+DK$107)*DK$108+DK$105)</f>
        <v>156852.078705911</v>
      </c>
      <c r="DL117" s="13" t="n">
        <f aca="false">Produccion_Ventas!DL$49*((DL$101+DL$103+DL$107)*DL$108+DL$105)</f>
        <v>156852.078705911</v>
      </c>
      <c r="DM117" s="13" t="n">
        <f aca="false">Produccion_Ventas!DM$49*((DM$101+DM$103+DM$107)*DM$108+DM$105)</f>
        <v>156852.078705911</v>
      </c>
      <c r="DN117" s="13" t="n">
        <f aca="false">Produccion_Ventas!DN$49*((DN$101+DN$103+DN$107)*DN$108+DN$105)</f>
        <v>156852.078705911</v>
      </c>
      <c r="DO117" s="13" t="n">
        <f aca="false">Produccion_Ventas!DO$49*((DO$101+DO$103+DO$107)*DO$108+DO$105)</f>
        <v>156852.078705911</v>
      </c>
      <c r="DP117" s="13" t="n">
        <f aca="false">Produccion_Ventas!DP$49*((DP$101+DP$103+DP$107)*DP$108+DP$105)</f>
        <v>156852.078705911</v>
      </c>
      <c r="DQ117" s="13" t="n">
        <f aca="false">Produccion_Ventas!DQ$49*((DQ$101+DQ$103+DQ$107)*DQ$108+DQ$105)</f>
        <v>156852.078705911</v>
      </c>
      <c r="DR117" s="13" t="n">
        <f aca="false">Produccion_Ventas!DR$49*((DR$101+DR$103+DR$107)*DR$108+DR$105)</f>
        <v>156852.078705911</v>
      </c>
      <c r="DS117" s="13" t="n">
        <f aca="false">Produccion_Ventas!DS$49*((DS$101+DS$103+DS$107)*DS$108+DS$105)</f>
        <v>156852.078705911</v>
      </c>
      <c r="DT117" s="13" t="n">
        <f aca="false">Produccion_Ventas!DT$49*((DT$101+DT$103+DT$107)*DT$108+DT$105)</f>
        <v>156852.078705911</v>
      </c>
      <c r="DU117" s="13" t="n">
        <f aca="false">Produccion_Ventas!DU$49*((DU$101+DU$103+DU$107)*DU$108+DU$105)</f>
        <v>156852.078705911</v>
      </c>
      <c r="DV117" s="13" t="n">
        <f aca="false">Produccion_Ventas!DV$49*((DV$101+DV$103+DV$107)*DV$108+DV$105)</f>
        <v>105284.272008077</v>
      </c>
      <c r="DW117" s="13" t="n">
        <f aca="false">Produccion_Ventas!DW$49*((DW$101+DW$103+DW$107)*DW$108+DW$105)</f>
        <v>0</v>
      </c>
      <c r="DX117" s="13" t="n">
        <f aca="false">Produccion_Ventas!DX$49*((DX$101+DX$103+DX$107)*DX$108+DX$105)</f>
        <v>0</v>
      </c>
      <c r="DY117" s="13" t="n">
        <f aca="false">Produccion_Ventas!DY$49*((DY$101+DY$103+DY$107)*DY$108+DY$105)</f>
        <v>0</v>
      </c>
      <c r="DZ117" s="13" t="n">
        <f aca="false">Produccion_Ventas!DZ$49*((DZ$101+DZ$103+DZ$107)*DZ$108+DZ$105)</f>
        <v>0</v>
      </c>
      <c r="EA117" s="13" t="n">
        <f aca="false">Produccion_Ventas!EA$49*((EA$101+EA$103+EA$107)*EA$108+EA$105)</f>
        <v>0</v>
      </c>
      <c r="EB117" s="13" t="n">
        <f aca="false">Produccion_Ventas!EB$49*((EB$101+EB$103+EB$107)*EB$108+EB$105)</f>
        <v>0</v>
      </c>
      <c r="EC117" s="13" t="n">
        <f aca="false">Produccion_Ventas!EC$49*((EC$101+EC$103+EC$107)*EC$108+EC$105)</f>
        <v>0</v>
      </c>
      <c r="ED117" s="13" t="n">
        <f aca="false">Produccion_Ventas!ED$49*((ED$101+ED$103+ED$107)*ED$108+ED$105)</f>
        <v>0</v>
      </c>
      <c r="EE117" s="13" t="n">
        <f aca="false">Produccion_Ventas!EE$49*((EE$101+EE$103+EE$107)*EE$108+EE$105)</f>
        <v>0</v>
      </c>
      <c r="EF117" s="13" t="n">
        <f aca="false">Produccion_Ventas!EF$49*((EF$101+EF$103+EF$107)*EF$108+EF$105)</f>
        <v>0</v>
      </c>
      <c r="EG117" s="13" t="n">
        <f aca="false">Produccion_Ventas!EG$49*((EG$101+EG$103+EG$107)*EG$108+EG$105)</f>
        <v>0</v>
      </c>
      <c r="EH117" s="13" t="n">
        <f aca="false">Produccion_Ventas!EH$49*((EH$101+EH$103+EH$107)*EH$108+EH$105)</f>
        <v>0</v>
      </c>
      <c r="EI117" s="13" t="n">
        <f aca="false">Produccion_Ventas!EI$49*((EI$101+EI$103+EI$107)*EI$108+EI$105)</f>
        <v>0</v>
      </c>
      <c r="EJ117" s="13" t="n">
        <f aca="false">Produccion_Ventas!EJ$49*((EJ$101+EJ$103+EJ$107)*EJ$108+EJ$105)</f>
        <v>0</v>
      </c>
      <c r="EK117" s="13" t="n">
        <f aca="false">Produccion_Ventas!EK$49*((EK$101+EK$103+EK$107)*EK$108+EK$105)</f>
        <v>0</v>
      </c>
      <c r="EL117" s="13" t="n">
        <f aca="false">Produccion_Ventas!EL$49*((EL$101+EL$103+EL$107)*EL$108+EL$105)</f>
        <v>0</v>
      </c>
      <c r="EM117" s="13" t="n">
        <f aca="false">Produccion_Ventas!EM$49*((EM$101+EM$103+EM$107)*EM$108+EM$105)</f>
        <v>0</v>
      </c>
      <c r="EN117" s="13" t="n">
        <f aca="false">Produccion_Ventas!EN$49*((EN$101+EN$103+EN$107)*EN$108+EN$105)</f>
        <v>0</v>
      </c>
      <c r="EO117" s="13" t="n">
        <f aca="false">Produccion_Ventas!EO$49*((EO$101+EO$103+EO$107)*EO$108+EO$105)</f>
        <v>0</v>
      </c>
      <c r="EP117" s="13" t="n">
        <f aca="false">Produccion_Ventas!EP$49*((EP$101+EP$103+EP$107)*EP$108+EP$105)</f>
        <v>0</v>
      </c>
      <c r="EQ117" s="13" t="n">
        <f aca="false">Produccion_Ventas!EQ$49*((EQ$101+EQ$103+EQ$107)*EQ$108+EQ$105)</f>
        <v>0</v>
      </c>
      <c r="ER117" s="13" t="n">
        <f aca="false">Produccion_Ventas!ER$49*((ER$101+ER$103+ER$107)*ER$108+ER$105)</f>
        <v>0</v>
      </c>
      <c r="ES117" s="13" t="n">
        <f aca="false">Produccion_Ventas!ES$49*((ES$101+ES$103+ES$107)*ES$108+ES$105)</f>
        <v>0</v>
      </c>
      <c r="ET117" s="13" t="n">
        <f aca="false">Produccion_Ventas!ET$49*((ET$101+ET$103+ET$107)*ET$108+ET$105)</f>
        <v>0</v>
      </c>
      <c r="EU117" s="13" t="n">
        <f aca="false">Produccion_Ventas!EU$49*((EU$101+EU$103+EU$107)*EU$108+EU$105)</f>
        <v>0</v>
      </c>
      <c r="EV117" s="13" t="n">
        <f aca="false">Produccion_Ventas!EV$49*((EV$101+EV$103+EV$107)*EV$108+EV$105)</f>
        <v>0</v>
      </c>
      <c r="EW117" s="13" t="n">
        <f aca="false">Produccion_Ventas!EW$49*((EW$101+EW$103+EW$107)*EW$108+EW$105)</f>
        <v>0</v>
      </c>
      <c r="EX117" s="13" t="n">
        <f aca="false">Produccion_Ventas!EX$49*((EX$101+EX$103+EX$107)*EX$108+EX$105)</f>
        <v>0</v>
      </c>
      <c r="EY117" s="13" t="n">
        <f aca="false">Produccion_Ventas!EY$49*((EY$101+EY$103+EY$107)*EY$108+EY$105)</f>
        <v>0</v>
      </c>
      <c r="EZ117" s="13" t="n">
        <f aca="false">Produccion_Ventas!EZ$49*((EZ$101+EZ$103+EZ$107)*EZ$108+EZ$105)</f>
        <v>0</v>
      </c>
      <c r="FA117" s="13" t="n">
        <f aca="false">Produccion_Ventas!FA$49*((FA$101+FA$103+FA$107)*FA$108+FA$105)</f>
        <v>0</v>
      </c>
      <c r="FB117" s="13" t="n">
        <f aca="false">Produccion_Ventas!FB$49*((FB$101+FB$103+FB$107)*FB$108+FB$105)</f>
        <v>0</v>
      </c>
      <c r="FC117" s="13" t="n">
        <f aca="false">Produccion_Ventas!FC$49*((FC$101+FC$103+FC$107)*FC$108+FC$105)</f>
        <v>0</v>
      </c>
      <c r="FD117" s="13" t="n">
        <f aca="false">Produccion_Ventas!FD$49*((FD$101+FD$103+FD$107)*FD$108+FD$105)</f>
        <v>0</v>
      </c>
      <c r="FE117" s="13" t="n">
        <f aca="false">Produccion_Ventas!FE$49*((FE$101+FE$103+FE$107)*FE$108+FE$105)</f>
        <v>0</v>
      </c>
      <c r="FF117" s="13" t="n">
        <f aca="false">Produccion_Ventas!FF$49*((FF$101+FF$103+FF$107)*FF$108+FF$105)</f>
        <v>0</v>
      </c>
    </row>
    <row r="118" customFormat="false" ht="15" hidden="false" customHeight="false" outlineLevel="0" collapsed="false">
      <c r="A118" s="2" t="s">
        <v>1085</v>
      </c>
      <c r="B118" s="8" t="s">
        <v>1086</v>
      </c>
      <c r="C118" s="8" t="s">
        <v>263</v>
      </c>
      <c r="F118" s="53" t="n">
        <f aca="false">IF(e_Rech&lt;1,((F$100+F$102)*F$108*(1+IF(p_C5=1,p_Desp,0))+F$104+IF(p_C5=1,F$106*F$108,0))/(1-e_Rech),0)</f>
        <v>159.388833333333</v>
      </c>
      <c r="G118" s="53" t="n">
        <f aca="false">IF(e_Rech&lt;1,((G$100+G$102)*G$108*(1+IF(p_C5=1,p_Desp,0))+G$104+IF(p_C5=1,G$106*G$108,0))/(1-e_Rech),0)</f>
        <v>159.388833333333</v>
      </c>
      <c r="H118" s="53" t="n">
        <f aca="false">IF(e_Rech&lt;1,((H$100+H$102)*H$108*(1+IF(p_C5=1,p_Desp,0))+H$104+IF(p_C5=1,H$106*H$108,0))/(1-e_Rech),0)</f>
        <v>159.388833333333</v>
      </c>
      <c r="I118" s="53" t="n">
        <f aca="false">IF(e_Rech&lt;1,((I$100+I$102)*I$108*(1+IF(p_C5=1,p_Desp,0))+I$104+IF(p_C5=1,I$106*I$108,0))/(1-e_Rech),0)</f>
        <v>159.388833333333</v>
      </c>
      <c r="J118" s="53" t="n">
        <f aca="false">IF(e_Rech&lt;1,((J$100+J$102)*J$108*(1+IF(p_C5=1,p_Desp,0))+J$104+IF(p_C5=1,J$106*J$108,0))/(1-e_Rech),0)</f>
        <v>159.388833333333</v>
      </c>
      <c r="K118" s="53" t="n">
        <f aca="false">IF(e_Rech&lt;1,((K$100+K$102)*K$108*(1+IF(p_C5=1,p_Desp,0))+K$104+IF(p_C5=1,K$106*K$108,0))/(1-e_Rech),0)</f>
        <v>159.388833333333</v>
      </c>
      <c r="L118" s="53" t="n">
        <f aca="false">IF(e_Rech&lt;1,((L$100+L$102)*L$108*(1+IF(p_C5=1,p_Desp,0))+L$104+IF(p_C5=1,L$106*L$108,0))/(1-e_Rech),0)</f>
        <v>159.388833333333</v>
      </c>
      <c r="M118" s="53" t="n">
        <f aca="false">IF(e_Rech&lt;1,((M$100+M$102)*M$108*(1+IF(p_C5=1,p_Desp,0))+M$104+IF(p_C5=1,M$106*M$108,0))/(1-e_Rech),0)</f>
        <v>159.388833333333</v>
      </c>
      <c r="N118" s="53" t="n">
        <f aca="false">IF(e_Rech&lt;1,((N$100+N$102)*N$108*(1+IF(p_C5=1,p_Desp,0))+N$104+IF(p_C5=1,N$106*N$108,0))/(1-e_Rech),0)</f>
        <v>159.388833333333</v>
      </c>
      <c r="O118" s="53" t="n">
        <f aca="false">IF(e_Rech&lt;1,((O$100+O$102)*O$108*(1+IF(p_C5=1,p_Desp,0))+O$104+IF(p_C5=1,O$106*O$108,0))/(1-e_Rech),0)</f>
        <v>159.388833333333</v>
      </c>
      <c r="P118" s="53" t="n">
        <f aca="false">IF(e_Rech&lt;1,((P$100+P$102)*P$108*(1+IF(p_C5=1,p_Desp,0))+P$104+IF(p_C5=1,P$106*P$108,0))/(1-e_Rech),0)</f>
        <v>159.388833333333</v>
      </c>
      <c r="Q118" s="53" t="n">
        <f aca="false">IF(e_Rech&lt;1,((Q$100+Q$102)*Q$108*(1+IF(p_C5=1,p_Desp,0))+Q$104+IF(p_C5=1,Q$106*Q$108,0))/(1-e_Rech),0)</f>
        <v>159.388833333333</v>
      </c>
      <c r="R118" s="53" t="n">
        <f aca="false">IF(e_Rech&lt;1,((R$100+R$102)*R$108*(1+IF(p_C5=1,p_Desp,0))+R$104+IF(p_C5=1,R$106*R$108,0))/(1-e_Rech),0)</f>
        <v>159.388833333333</v>
      </c>
      <c r="S118" s="53" t="n">
        <f aca="false">IF(e_Rech&lt;1,((S$100+S$102)*S$108*(1+IF(p_C5=1,p_Desp,0))+S$104+IF(p_C5=1,S$106*S$108,0))/(1-e_Rech),0)</f>
        <v>160.240128333333</v>
      </c>
      <c r="T118" s="53" t="n">
        <f aca="false">IF(e_Rech&lt;1,((T$100+T$102)*T$108*(1+IF(p_C5=1,p_Desp,0))+T$104+IF(p_C5=1,T$106*T$108,0))/(1-e_Rech),0)</f>
        <v>160.240128333333</v>
      </c>
      <c r="U118" s="53" t="n">
        <f aca="false">IF(e_Rech&lt;1,((U$100+U$102)*U$108*(1+IF(p_C5=1,p_Desp,0))+U$104+IF(p_C5=1,U$106*U$108,0))/(1-e_Rech),0)</f>
        <v>160.240128333333</v>
      </c>
      <c r="V118" s="53" t="n">
        <f aca="false">IF(e_Rech&lt;1,((V$100+V$102)*V$108*(1+IF(p_C5=1,p_Desp,0))+V$104+IF(p_C5=1,V$106*V$108,0))/(1-e_Rech),0)</f>
        <v>160.240128333333</v>
      </c>
      <c r="W118" s="53" t="n">
        <f aca="false">IF(e_Rech&lt;1,((W$100+W$102)*W$108*(1+IF(p_C5=1,p_Desp,0))+W$104+IF(p_C5=1,W$106*W$108,0))/(1-e_Rech),0)</f>
        <v>160.240128333333</v>
      </c>
      <c r="X118" s="53" t="n">
        <f aca="false">IF(e_Rech&lt;1,((X$100+X$102)*X$108*(1+IF(p_C5=1,p_Desp,0))+X$104+IF(p_C5=1,X$106*X$108,0))/(1-e_Rech),0)</f>
        <v>160.240128333333</v>
      </c>
      <c r="Y118" s="53" t="n">
        <f aca="false">IF(e_Rech&lt;1,((Y$100+Y$102)*Y$108*(1+IF(p_C5=1,p_Desp,0))+Y$104+IF(p_C5=1,Y$106*Y$108,0))/(1-e_Rech),0)</f>
        <v>160.240128333333</v>
      </c>
      <c r="Z118" s="53" t="n">
        <f aca="false">IF(e_Rech&lt;1,((Z$100+Z$102)*Z$108*(1+IF(p_C5=1,p_Desp,0))+Z$104+IF(p_C5=1,Z$106*Z$108,0))/(1-e_Rech),0)</f>
        <v>160.240128333333</v>
      </c>
      <c r="AA118" s="53" t="n">
        <f aca="false">IF(e_Rech&lt;1,((AA$100+AA$102)*AA$108*(1+IF(p_C5=1,p_Desp,0))+AA$104+IF(p_C5=1,AA$106*AA$108,0))/(1-e_Rech),0)</f>
        <v>160.240128333333</v>
      </c>
      <c r="AB118" s="53" t="n">
        <f aca="false">IF(e_Rech&lt;1,((AB$100+AB$102)*AB$108*(1+IF(p_C5=1,p_Desp,0))+AB$104+IF(p_C5=1,AB$106*AB$108,0))/(1-e_Rech),0)</f>
        <v>160.240128333333</v>
      </c>
      <c r="AC118" s="53" t="n">
        <f aca="false">IF(e_Rech&lt;1,((AC$100+AC$102)*AC$108*(1+IF(p_C5=1,p_Desp,0))+AC$104+IF(p_C5=1,AC$106*AC$108,0))/(1-e_Rech),0)</f>
        <v>160.240128333333</v>
      </c>
      <c r="AD118" s="53" t="n">
        <f aca="false">IF(e_Rech&lt;1,((AD$100+AD$102)*AD$108*(1+IF(p_C5=1,p_Desp,0))+AD$104+IF(p_C5=1,AD$106*AD$108,0))/(1-e_Rech),0)</f>
        <v>160.240128333333</v>
      </c>
      <c r="AE118" s="53" t="n">
        <f aca="false">IF(e_Rech&lt;1,((AE$100+AE$102)*AE$108*(1+IF(p_C5=1,p_Desp,0))+AE$104+IF(p_C5=1,AE$106*AE$108,0))/(1-e_Rech),0)</f>
        <v>161.099936283333</v>
      </c>
      <c r="AF118" s="53" t="n">
        <f aca="false">IF(e_Rech&lt;1,((AF$100+AF$102)*AF$108*(1+IF(p_C5=1,p_Desp,0))+AF$104+IF(p_C5=1,AF$106*AF$108,0))/(1-e_Rech),0)</f>
        <v>161.099936283333</v>
      </c>
      <c r="AG118" s="53" t="n">
        <f aca="false">IF(e_Rech&lt;1,((AG$100+AG$102)*AG$108*(1+IF(p_C5=1,p_Desp,0))+AG$104+IF(p_C5=1,AG$106*AG$108,0))/(1-e_Rech),0)</f>
        <v>161.099936283333</v>
      </c>
      <c r="AH118" s="53" t="n">
        <f aca="false">IF(e_Rech&lt;1,((AH$100+AH$102)*AH$108*(1+IF(p_C5=1,p_Desp,0))+AH$104+IF(p_C5=1,AH$106*AH$108,0))/(1-e_Rech),0)</f>
        <v>161.099936283333</v>
      </c>
      <c r="AI118" s="53" t="n">
        <f aca="false">IF(e_Rech&lt;1,((AI$100+AI$102)*AI$108*(1+IF(p_C5=1,p_Desp,0))+AI$104+IF(p_C5=1,AI$106*AI$108,0))/(1-e_Rech),0)</f>
        <v>161.099936283333</v>
      </c>
      <c r="AJ118" s="53" t="n">
        <f aca="false">IF(e_Rech&lt;1,((AJ$100+AJ$102)*AJ$108*(1+IF(p_C5=1,p_Desp,0))+AJ$104+IF(p_C5=1,AJ$106*AJ$108,0))/(1-e_Rech),0)</f>
        <v>161.099936283333</v>
      </c>
      <c r="AK118" s="53" t="n">
        <f aca="false">IF(e_Rech&lt;1,((AK$100+AK$102)*AK$108*(1+IF(p_C5=1,p_Desp,0))+AK$104+IF(p_C5=1,AK$106*AK$108,0))/(1-e_Rech),0)</f>
        <v>161.099936283333</v>
      </c>
      <c r="AL118" s="53" t="n">
        <f aca="false">IF(e_Rech&lt;1,((AL$100+AL$102)*AL$108*(1+IF(p_C5=1,p_Desp,0))+AL$104+IF(p_C5=1,AL$106*AL$108,0))/(1-e_Rech),0)</f>
        <v>161.099936283333</v>
      </c>
      <c r="AM118" s="53" t="n">
        <f aca="false">IF(e_Rech&lt;1,((AM$100+AM$102)*AM$108*(1+IF(p_C5=1,p_Desp,0))+AM$104+IF(p_C5=1,AM$106*AM$108,0))/(1-e_Rech),0)</f>
        <v>161.099936283333</v>
      </c>
      <c r="AN118" s="53" t="n">
        <f aca="false">IF(e_Rech&lt;1,((AN$100+AN$102)*AN$108*(1+IF(p_C5=1,p_Desp,0))+AN$104+IF(p_C5=1,AN$106*AN$108,0))/(1-e_Rech),0)</f>
        <v>161.099936283333</v>
      </c>
      <c r="AO118" s="53" t="n">
        <f aca="false">IF(e_Rech&lt;1,((AO$100+AO$102)*AO$108*(1+IF(p_C5=1,p_Desp,0))+AO$104+IF(p_C5=1,AO$106*AO$108,0))/(1-e_Rech),0)</f>
        <v>161.099936283333</v>
      </c>
      <c r="AP118" s="53" t="n">
        <f aca="false">IF(e_Rech&lt;1,((AP$100+AP$102)*AP$108*(1+IF(p_C5=1,p_Desp,0))+AP$104+IF(p_C5=1,AP$106*AP$108,0))/(1-e_Rech),0)</f>
        <v>161.099936283333</v>
      </c>
      <c r="AQ118" s="53" t="n">
        <f aca="false">IF(e_Rech&lt;1,((AQ$100+AQ$102)*AQ$108*(1+IF(p_C5=1,p_Desp,0))+AQ$104+IF(p_C5=1,AQ$106*AQ$108,0))/(1-e_Rech),0)</f>
        <v>161.968342312833</v>
      </c>
      <c r="AR118" s="53" t="n">
        <f aca="false">IF(e_Rech&lt;1,((AR$100+AR$102)*AR$108*(1+IF(p_C5=1,p_Desp,0))+AR$104+IF(p_C5=1,AR$106*AR$108,0))/(1-e_Rech),0)</f>
        <v>161.968342312833</v>
      </c>
      <c r="AS118" s="53" t="n">
        <f aca="false">IF(e_Rech&lt;1,((AS$100+AS$102)*AS$108*(1+IF(p_C5=1,p_Desp,0))+AS$104+IF(p_C5=1,AS$106*AS$108,0))/(1-e_Rech),0)</f>
        <v>161.968342312833</v>
      </c>
      <c r="AT118" s="53" t="n">
        <f aca="false">IF(e_Rech&lt;1,((AT$100+AT$102)*AT$108*(1+IF(p_C5=1,p_Desp,0))+AT$104+IF(p_C5=1,AT$106*AT$108,0))/(1-e_Rech),0)</f>
        <v>161.968342312833</v>
      </c>
      <c r="AU118" s="53" t="n">
        <f aca="false">IF(e_Rech&lt;1,((AU$100+AU$102)*AU$108*(1+IF(p_C5=1,p_Desp,0))+AU$104+IF(p_C5=1,AU$106*AU$108,0))/(1-e_Rech),0)</f>
        <v>161.968342312833</v>
      </c>
      <c r="AV118" s="53" t="n">
        <f aca="false">IF(e_Rech&lt;1,((AV$100+AV$102)*AV$108*(1+IF(p_C5=1,p_Desp,0))+AV$104+IF(p_C5=1,AV$106*AV$108,0))/(1-e_Rech),0)</f>
        <v>161.968342312833</v>
      </c>
      <c r="AW118" s="53" t="n">
        <f aca="false">IF(e_Rech&lt;1,((AW$100+AW$102)*AW$108*(1+IF(p_C5=1,p_Desp,0))+AW$104+IF(p_C5=1,AW$106*AW$108,0))/(1-e_Rech),0)</f>
        <v>161.968342312833</v>
      </c>
      <c r="AX118" s="53" t="n">
        <f aca="false">IF(e_Rech&lt;1,((AX$100+AX$102)*AX$108*(1+IF(p_C5=1,p_Desp,0))+AX$104+IF(p_C5=1,AX$106*AX$108,0))/(1-e_Rech),0)</f>
        <v>161.968342312833</v>
      </c>
      <c r="AY118" s="53" t="n">
        <f aca="false">IF(e_Rech&lt;1,((AY$100+AY$102)*AY$108*(1+IF(p_C5=1,p_Desp,0))+AY$104+IF(p_C5=1,AY$106*AY$108,0))/(1-e_Rech),0)</f>
        <v>161.968342312833</v>
      </c>
      <c r="AZ118" s="53" t="n">
        <f aca="false">IF(e_Rech&lt;1,((AZ$100+AZ$102)*AZ$108*(1+IF(p_C5=1,p_Desp,0))+AZ$104+IF(p_C5=1,AZ$106*AZ$108,0))/(1-e_Rech),0)</f>
        <v>161.968342312833</v>
      </c>
      <c r="BA118" s="53" t="n">
        <f aca="false">IF(e_Rech&lt;1,((BA$100+BA$102)*BA$108*(1+IF(p_C5=1,p_Desp,0))+BA$104+IF(p_C5=1,BA$106*BA$108,0))/(1-e_Rech),0)</f>
        <v>161.968342312833</v>
      </c>
      <c r="BB118" s="53" t="n">
        <f aca="false">IF(e_Rech&lt;1,((BB$100+BB$102)*BB$108*(1+IF(p_C5=1,p_Desp,0))+BB$104+IF(p_C5=1,BB$106*BB$108,0))/(1-e_Rech),0)</f>
        <v>161.968342312833</v>
      </c>
      <c r="BC118" s="53" t="n">
        <f aca="false">IF(e_Rech&lt;1,((BC$100+BC$102)*BC$108*(1+IF(p_C5=1,p_Desp,0))+BC$104+IF(p_C5=1,BC$106*BC$108,0))/(1-e_Rech),0)</f>
        <v>162.845432402628</v>
      </c>
      <c r="BD118" s="53" t="n">
        <f aca="false">IF(e_Rech&lt;1,((BD$100+BD$102)*BD$108*(1+IF(p_C5=1,p_Desp,0))+BD$104+IF(p_C5=1,BD$106*BD$108,0))/(1-e_Rech),0)</f>
        <v>162.845432402628</v>
      </c>
      <c r="BE118" s="53" t="n">
        <f aca="false">IF(e_Rech&lt;1,((BE$100+BE$102)*BE$108*(1+IF(p_C5=1,p_Desp,0))+BE$104+IF(p_C5=1,BE$106*BE$108,0))/(1-e_Rech),0)</f>
        <v>162.845432402628</v>
      </c>
      <c r="BF118" s="53" t="n">
        <f aca="false">IF(e_Rech&lt;1,((BF$100+BF$102)*BF$108*(1+IF(p_C5=1,p_Desp,0))+BF$104+IF(p_C5=1,BF$106*BF$108,0))/(1-e_Rech),0)</f>
        <v>162.845432402628</v>
      </c>
      <c r="BG118" s="53" t="n">
        <f aca="false">IF(e_Rech&lt;1,((BG$100+BG$102)*BG$108*(1+IF(p_C5=1,p_Desp,0))+BG$104+IF(p_C5=1,BG$106*BG$108,0))/(1-e_Rech),0)</f>
        <v>162.845432402628</v>
      </c>
      <c r="BH118" s="53" t="n">
        <f aca="false">IF(e_Rech&lt;1,((BH$100+BH$102)*BH$108*(1+IF(p_C5=1,p_Desp,0))+BH$104+IF(p_C5=1,BH$106*BH$108,0))/(1-e_Rech),0)</f>
        <v>162.845432402628</v>
      </c>
      <c r="BI118" s="53" t="n">
        <f aca="false">IF(e_Rech&lt;1,((BI$100+BI$102)*BI$108*(1+IF(p_C5=1,p_Desp,0))+BI$104+IF(p_C5=1,BI$106*BI$108,0))/(1-e_Rech),0)</f>
        <v>162.845432402628</v>
      </c>
      <c r="BJ118" s="53" t="n">
        <f aca="false">IF(e_Rech&lt;1,((BJ$100+BJ$102)*BJ$108*(1+IF(p_C5=1,p_Desp,0))+BJ$104+IF(p_C5=1,BJ$106*BJ$108,0))/(1-e_Rech),0)</f>
        <v>162.845432402628</v>
      </c>
      <c r="BK118" s="53" t="n">
        <f aca="false">IF(e_Rech&lt;1,((BK$100+BK$102)*BK$108*(1+IF(p_C5=1,p_Desp,0))+BK$104+IF(p_C5=1,BK$106*BK$108,0))/(1-e_Rech),0)</f>
        <v>162.845432402628</v>
      </c>
      <c r="BL118" s="53" t="n">
        <f aca="false">IF(e_Rech&lt;1,((BL$100+BL$102)*BL$108*(1+IF(p_C5=1,p_Desp,0))+BL$104+IF(p_C5=1,BL$106*BL$108,0))/(1-e_Rech),0)</f>
        <v>162.845432402628</v>
      </c>
      <c r="BM118" s="53" t="n">
        <f aca="false">IF(e_Rech&lt;1,((BM$100+BM$102)*BM$108*(1+IF(p_C5=1,p_Desp,0))+BM$104+IF(p_C5=1,BM$106*BM$108,0))/(1-e_Rech),0)</f>
        <v>162.845432402628</v>
      </c>
      <c r="BN118" s="53" t="n">
        <f aca="false">IF(e_Rech&lt;1,((BN$100+BN$102)*BN$108*(1+IF(p_C5=1,p_Desp,0))+BN$104+IF(p_C5=1,BN$106*BN$108,0))/(1-e_Rech),0)</f>
        <v>162.845432402628</v>
      </c>
      <c r="BO118" s="53" t="n">
        <f aca="false">IF(e_Rech&lt;1,((BO$100+BO$102)*BO$108*(1+IF(p_C5=1,p_Desp,0))+BO$104+IF(p_C5=1,BO$106*BO$108,0))/(1-e_Rech),0)</f>
        <v>163.731293393321</v>
      </c>
      <c r="BP118" s="53" t="n">
        <f aca="false">IF(e_Rech&lt;1,((BP$100+BP$102)*BP$108*(1+IF(p_C5=1,p_Desp,0))+BP$104+IF(p_C5=1,BP$106*BP$108,0))/(1-e_Rech),0)</f>
        <v>163.731293393321</v>
      </c>
      <c r="BQ118" s="53" t="n">
        <f aca="false">IF(e_Rech&lt;1,((BQ$100+BQ$102)*BQ$108*(1+IF(p_C5=1,p_Desp,0))+BQ$104+IF(p_C5=1,BQ$106*BQ$108,0))/(1-e_Rech),0)</f>
        <v>163.731293393321</v>
      </c>
      <c r="BR118" s="53" t="n">
        <f aca="false">IF(e_Rech&lt;1,((BR$100+BR$102)*BR$108*(1+IF(p_C5=1,p_Desp,0))+BR$104+IF(p_C5=1,BR$106*BR$108,0))/(1-e_Rech),0)</f>
        <v>163.731293393321</v>
      </c>
      <c r="BS118" s="53" t="n">
        <f aca="false">IF(e_Rech&lt;1,((BS$100+BS$102)*BS$108*(1+IF(p_C5=1,p_Desp,0))+BS$104+IF(p_C5=1,BS$106*BS$108,0))/(1-e_Rech),0)</f>
        <v>163.731293393321</v>
      </c>
      <c r="BT118" s="53" t="n">
        <f aca="false">IF(e_Rech&lt;1,((BT$100+BT$102)*BT$108*(1+IF(p_C5=1,p_Desp,0))+BT$104+IF(p_C5=1,BT$106*BT$108,0))/(1-e_Rech),0)</f>
        <v>163.731293393321</v>
      </c>
      <c r="BU118" s="53" t="n">
        <f aca="false">IF(e_Rech&lt;1,((BU$100+BU$102)*BU$108*(1+IF(p_C5=1,p_Desp,0))+BU$104+IF(p_C5=1,BU$106*BU$108,0))/(1-e_Rech),0)</f>
        <v>163.731293393321</v>
      </c>
      <c r="BV118" s="53" t="n">
        <f aca="false">IF(e_Rech&lt;1,((BV$100+BV$102)*BV$108*(1+IF(p_C5=1,p_Desp,0))+BV$104+IF(p_C5=1,BV$106*BV$108,0))/(1-e_Rech),0)</f>
        <v>163.731293393321</v>
      </c>
      <c r="BW118" s="53" t="n">
        <f aca="false">IF(e_Rech&lt;1,((BW$100+BW$102)*BW$108*(1+IF(p_C5=1,p_Desp,0))+BW$104+IF(p_C5=1,BW$106*BW$108,0))/(1-e_Rech),0)</f>
        <v>163.731293393321</v>
      </c>
      <c r="BX118" s="53" t="n">
        <f aca="false">IF(e_Rech&lt;1,((BX$100+BX$102)*BX$108*(1+IF(p_C5=1,p_Desp,0))+BX$104+IF(p_C5=1,BX$106*BX$108,0))/(1-e_Rech),0)</f>
        <v>163.731293393321</v>
      </c>
      <c r="BY118" s="53" t="n">
        <f aca="false">IF(e_Rech&lt;1,((BY$100+BY$102)*BY$108*(1+IF(p_C5=1,p_Desp,0))+BY$104+IF(p_C5=1,BY$106*BY$108,0))/(1-e_Rech),0)</f>
        <v>163.731293393321</v>
      </c>
      <c r="BZ118" s="53" t="n">
        <f aca="false">IF(e_Rech&lt;1,((BZ$100+BZ$102)*BZ$108*(1+IF(p_C5=1,p_Desp,0))+BZ$104+IF(p_C5=1,BZ$106*BZ$108,0))/(1-e_Rech),0)</f>
        <v>163.731293393321</v>
      </c>
      <c r="CA118" s="53" t="n">
        <f aca="false">IF(e_Rech&lt;1,((CA$100+CA$102)*CA$108*(1+IF(p_C5=1,p_Desp,0))+CA$104+IF(p_C5=1,CA$106*CA$108,0))/(1-e_Rech),0)</f>
        <v>164.626012993921</v>
      </c>
      <c r="CB118" s="53" t="n">
        <f aca="false">IF(e_Rech&lt;1,((CB$100+CB$102)*CB$108*(1+IF(p_C5=1,p_Desp,0))+CB$104+IF(p_C5=1,CB$106*CB$108,0))/(1-e_Rech),0)</f>
        <v>164.626012993921</v>
      </c>
      <c r="CC118" s="53" t="n">
        <f aca="false">IF(e_Rech&lt;1,((CC$100+CC$102)*CC$108*(1+IF(p_C5=1,p_Desp,0))+CC$104+IF(p_C5=1,CC$106*CC$108,0))/(1-e_Rech),0)</f>
        <v>164.626012993921</v>
      </c>
      <c r="CD118" s="53" t="n">
        <f aca="false">IF(e_Rech&lt;1,((CD$100+CD$102)*CD$108*(1+IF(p_C5=1,p_Desp,0))+CD$104+IF(p_C5=1,CD$106*CD$108,0))/(1-e_Rech),0)</f>
        <v>164.626012993921</v>
      </c>
      <c r="CE118" s="53" t="n">
        <f aca="false">IF(e_Rech&lt;1,((CE$100+CE$102)*CE$108*(1+IF(p_C5=1,p_Desp,0))+CE$104+IF(p_C5=1,CE$106*CE$108,0))/(1-e_Rech),0)</f>
        <v>164.626012993921</v>
      </c>
      <c r="CF118" s="53" t="n">
        <f aca="false">IF(e_Rech&lt;1,((CF$100+CF$102)*CF$108*(1+IF(p_C5=1,p_Desp,0))+CF$104+IF(p_C5=1,CF$106*CF$108,0))/(1-e_Rech),0)</f>
        <v>164.626012993921</v>
      </c>
      <c r="CG118" s="53" t="n">
        <f aca="false">IF(e_Rech&lt;1,((CG$100+CG$102)*CG$108*(1+IF(p_C5=1,p_Desp,0))+CG$104+IF(p_C5=1,CG$106*CG$108,0))/(1-e_Rech),0)</f>
        <v>164.626012993921</v>
      </c>
      <c r="CH118" s="53" t="n">
        <f aca="false">IF(e_Rech&lt;1,((CH$100+CH$102)*CH$108*(1+IF(p_C5=1,p_Desp,0))+CH$104+IF(p_C5=1,CH$106*CH$108,0))/(1-e_Rech),0)</f>
        <v>164.626012993921</v>
      </c>
      <c r="CI118" s="53" t="n">
        <f aca="false">IF(e_Rech&lt;1,((CI$100+CI$102)*CI$108*(1+IF(p_C5=1,p_Desp,0))+CI$104+IF(p_C5=1,CI$106*CI$108,0))/(1-e_Rech),0)</f>
        <v>164.626012993921</v>
      </c>
      <c r="CJ118" s="53" t="n">
        <f aca="false">IF(e_Rech&lt;1,((CJ$100+CJ$102)*CJ$108*(1+IF(p_C5=1,p_Desp,0))+CJ$104+IF(p_C5=1,CJ$106*CJ$108,0))/(1-e_Rech),0)</f>
        <v>164.626012993921</v>
      </c>
      <c r="CK118" s="53" t="n">
        <f aca="false">IF(e_Rech&lt;1,((CK$100+CK$102)*CK$108*(1+IF(p_C5=1,p_Desp,0))+CK$104+IF(p_C5=1,CK$106*CK$108,0))/(1-e_Rech),0)</f>
        <v>164.626012993921</v>
      </c>
      <c r="CL118" s="53" t="n">
        <f aca="false">IF(e_Rech&lt;1,((CL$100+CL$102)*CL$108*(1+IF(p_C5=1,p_Desp,0))+CL$104+IF(p_C5=1,CL$106*CL$108,0))/(1-e_Rech),0)</f>
        <v>164.626012993921</v>
      </c>
      <c r="CM118" s="53" t="n">
        <f aca="false">IF(e_Rech&lt;1,((CM$100+CM$102)*CM$108*(1+IF(p_C5=1,p_Desp,0))+CM$104+IF(p_C5=1,CM$106*CM$108,0))/(1-e_Rech),0)</f>
        <v>165.529679790527</v>
      </c>
      <c r="CN118" s="53" t="n">
        <f aca="false">IF(e_Rech&lt;1,((CN$100+CN$102)*CN$108*(1+IF(p_C5=1,p_Desp,0))+CN$104+IF(p_C5=1,CN$106*CN$108,0))/(1-e_Rech),0)</f>
        <v>165.529679790527</v>
      </c>
      <c r="CO118" s="53" t="n">
        <f aca="false">IF(e_Rech&lt;1,((CO$100+CO$102)*CO$108*(1+IF(p_C5=1,p_Desp,0))+CO$104+IF(p_C5=1,CO$106*CO$108,0))/(1-e_Rech),0)</f>
        <v>165.529679790527</v>
      </c>
      <c r="CP118" s="53" t="n">
        <f aca="false">IF(e_Rech&lt;1,((CP$100+CP$102)*CP$108*(1+IF(p_C5=1,p_Desp,0))+CP$104+IF(p_C5=1,CP$106*CP$108,0))/(1-e_Rech),0)</f>
        <v>165.529679790527</v>
      </c>
      <c r="CQ118" s="53" t="n">
        <f aca="false">IF(e_Rech&lt;1,((CQ$100+CQ$102)*CQ$108*(1+IF(p_C5=1,p_Desp,0))+CQ$104+IF(p_C5=1,CQ$106*CQ$108,0))/(1-e_Rech),0)</f>
        <v>165.529679790527</v>
      </c>
      <c r="CR118" s="53" t="n">
        <f aca="false">IF(e_Rech&lt;1,((CR$100+CR$102)*CR$108*(1+IF(p_C5=1,p_Desp,0))+CR$104+IF(p_C5=1,CR$106*CR$108,0))/(1-e_Rech),0)</f>
        <v>165.529679790527</v>
      </c>
      <c r="CS118" s="53" t="n">
        <f aca="false">IF(e_Rech&lt;1,((CS$100+CS$102)*CS$108*(1+IF(p_C5=1,p_Desp,0))+CS$104+IF(p_C5=1,CS$106*CS$108,0))/(1-e_Rech),0)</f>
        <v>165.529679790527</v>
      </c>
      <c r="CT118" s="53" t="n">
        <f aca="false">IF(e_Rech&lt;1,((CT$100+CT$102)*CT$108*(1+IF(p_C5=1,p_Desp,0))+CT$104+IF(p_C5=1,CT$106*CT$108,0))/(1-e_Rech),0)</f>
        <v>165.529679790527</v>
      </c>
      <c r="CU118" s="53" t="n">
        <f aca="false">IF(e_Rech&lt;1,((CU$100+CU$102)*CU$108*(1+IF(p_C5=1,p_Desp,0))+CU$104+IF(p_C5=1,CU$106*CU$108,0))/(1-e_Rech),0)</f>
        <v>165.529679790527</v>
      </c>
      <c r="CV118" s="53" t="n">
        <f aca="false">IF(e_Rech&lt;1,((CV$100+CV$102)*CV$108*(1+IF(p_C5=1,p_Desp,0))+CV$104+IF(p_C5=1,CV$106*CV$108,0))/(1-e_Rech),0)</f>
        <v>165.529679790527</v>
      </c>
      <c r="CW118" s="53" t="n">
        <f aca="false">IF(e_Rech&lt;1,((CW$100+CW$102)*CW$108*(1+IF(p_C5=1,p_Desp,0))+CW$104+IF(p_C5=1,CW$106*CW$108,0))/(1-e_Rech),0)</f>
        <v>165.529679790527</v>
      </c>
      <c r="CX118" s="53" t="n">
        <f aca="false">IF(e_Rech&lt;1,((CX$100+CX$102)*CX$108*(1+IF(p_C5=1,p_Desp,0))+CX$104+IF(p_C5=1,CX$106*CX$108,0))/(1-e_Rech),0)</f>
        <v>165.529679790527</v>
      </c>
      <c r="CY118" s="53" t="n">
        <f aca="false">IF(e_Rech&lt;1,((CY$100+CY$102)*CY$108*(1+IF(p_C5=1,p_Desp,0))+CY$104+IF(p_C5=1,CY$106*CY$108,0))/(1-e_Rech),0)</f>
        <v>166.442383255099</v>
      </c>
      <c r="CZ118" s="53" t="n">
        <f aca="false">IF(e_Rech&lt;1,((CZ$100+CZ$102)*CZ$108*(1+IF(p_C5=1,p_Desp,0))+CZ$104+IF(p_C5=1,CZ$106*CZ$108,0))/(1-e_Rech),0)</f>
        <v>166.442383255099</v>
      </c>
      <c r="DA118" s="53" t="n">
        <f aca="false">IF(e_Rech&lt;1,((DA$100+DA$102)*DA$108*(1+IF(p_C5=1,p_Desp,0))+DA$104+IF(p_C5=1,DA$106*DA$108,0))/(1-e_Rech),0)</f>
        <v>166.442383255099</v>
      </c>
      <c r="DB118" s="53" t="n">
        <f aca="false">IF(e_Rech&lt;1,((DB$100+DB$102)*DB$108*(1+IF(p_C5=1,p_Desp,0))+DB$104+IF(p_C5=1,DB$106*DB$108,0))/(1-e_Rech),0)</f>
        <v>166.442383255099</v>
      </c>
      <c r="DC118" s="53" t="n">
        <f aca="false">IF(e_Rech&lt;1,((DC$100+DC$102)*DC$108*(1+IF(p_C5=1,p_Desp,0))+DC$104+IF(p_C5=1,DC$106*DC$108,0))/(1-e_Rech),0)</f>
        <v>166.442383255099</v>
      </c>
      <c r="DD118" s="53" t="n">
        <f aca="false">IF(e_Rech&lt;1,((DD$100+DD$102)*DD$108*(1+IF(p_C5=1,p_Desp,0))+DD$104+IF(p_C5=1,DD$106*DD$108,0))/(1-e_Rech),0)</f>
        <v>166.442383255099</v>
      </c>
      <c r="DE118" s="53" t="n">
        <f aca="false">IF(e_Rech&lt;1,((DE$100+DE$102)*DE$108*(1+IF(p_C5=1,p_Desp,0))+DE$104+IF(p_C5=1,DE$106*DE$108,0))/(1-e_Rech),0)</f>
        <v>166.442383255099</v>
      </c>
      <c r="DF118" s="53" t="n">
        <f aca="false">IF(e_Rech&lt;1,((DF$100+DF$102)*DF$108*(1+IF(p_C5=1,p_Desp,0))+DF$104+IF(p_C5=1,DF$106*DF$108,0))/(1-e_Rech),0)</f>
        <v>166.442383255099</v>
      </c>
      <c r="DG118" s="53" t="n">
        <f aca="false">IF(e_Rech&lt;1,((DG$100+DG$102)*DG$108*(1+IF(p_C5=1,p_Desp,0))+DG$104+IF(p_C5=1,DG$106*DG$108,0))/(1-e_Rech),0)</f>
        <v>166.442383255099</v>
      </c>
      <c r="DH118" s="53" t="n">
        <f aca="false">IF(e_Rech&lt;1,((DH$100+DH$102)*DH$108*(1+IF(p_C5=1,p_Desp,0))+DH$104+IF(p_C5=1,DH$106*DH$108,0))/(1-e_Rech),0)</f>
        <v>166.442383255099</v>
      </c>
      <c r="DI118" s="53" t="n">
        <f aca="false">IF(e_Rech&lt;1,((DI$100+DI$102)*DI$108*(1+IF(p_C5=1,p_Desp,0))+DI$104+IF(p_C5=1,DI$106*DI$108,0))/(1-e_Rech),0)</f>
        <v>166.442383255099</v>
      </c>
      <c r="DJ118" s="53" t="n">
        <f aca="false">IF(e_Rech&lt;1,((DJ$100+DJ$102)*DJ$108*(1+IF(p_C5=1,p_Desp,0))+DJ$104+IF(p_C5=1,DJ$106*DJ$108,0))/(1-e_Rech),0)</f>
        <v>166.442383255099</v>
      </c>
      <c r="DK118" s="53" t="n">
        <f aca="false">IF(e_Rech&lt;1,((DK$100+DK$102)*DK$108*(1+IF(p_C5=1,p_Desp,0))+DK$104+IF(p_C5=1,DK$106*DK$108,0))/(1-e_Rech),0)</f>
        <v>167.364213754317</v>
      </c>
      <c r="DL118" s="53" t="n">
        <f aca="false">IF(e_Rech&lt;1,((DL$100+DL$102)*DL$108*(1+IF(p_C5=1,p_Desp,0))+DL$104+IF(p_C5=1,DL$106*DL$108,0))/(1-e_Rech),0)</f>
        <v>167.364213754317</v>
      </c>
      <c r="DM118" s="53" t="n">
        <f aca="false">IF(e_Rech&lt;1,((DM$100+DM$102)*DM$108*(1+IF(p_C5=1,p_Desp,0))+DM$104+IF(p_C5=1,DM$106*DM$108,0))/(1-e_Rech),0)</f>
        <v>167.364213754317</v>
      </c>
      <c r="DN118" s="53" t="n">
        <f aca="false">IF(e_Rech&lt;1,((DN$100+DN$102)*DN$108*(1+IF(p_C5=1,p_Desp,0))+DN$104+IF(p_C5=1,DN$106*DN$108,0))/(1-e_Rech),0)</f>
        <v>167.364213754317</v>
      </c>
      <c r="DO118" s="53" t="n">
        <f aca="false">IF(e_Rech&lt;1,((DO$100+DO$102)*DO$108*(1+IF(p_C5=1,p_Desp,0))+DO$104+IF(p_C5=1,DO$106*DO$108,0))/(1-e_Rech),0)</f>
        <v>167.364213754317</v>
      </c>
      <c r="DP118" s="53" t="n">
        <f aca="false">IF(e_Rech&lt;1,((DP$100+DP$102)*DP$108*(1+IF(p_C5=1,p_Desp,0))+DP$104+IF(p_C5=1,DP$106*DP$108,0))/(1-e_Rech),0)</f>
        <v>167.364213754317</v>
      </c>
      <c r="DQ118" s="53" t="n">
        <f aca="false">IF(e_Rech&lt;1,((DQ$100+DQ$102)*DQ$108*(1+IF(p_C5=1,p_Desp,0))+DQ$104+IF(p_C5=1,DQ$106*DQ$108,0))/(1-e_Rech),0)</f>
        <v>167.364213754317</v>
      </c>
      <c r="DR118" s="53" t="n">
        <f aca="false">IF(e_Rech&lt;1,((DR$100+DR$102)*DR$108*(1+IF(p_C5=1,p_Desp,0))+DR$104+IF(p_C5=1,DR$106*DR$108,0))/(1-e_Rech),0)</f>
        <v>167.364213754317</v>
      </c>
      <c r="DS118" s="53" t="n">
        <f aca="false">IF(e_Rech&lt;1,((DS$100+DS$102)*DS$108*(1+IF(p_C5=1,p_Desp,0))+DS$104+IF(p_C5=1,DS$106*DS$108,0))/(1-e_Rech),0)</f>
        <v>167.364213754317</v>
      </c>
      <c r="DT118" s="53" t="n">
        <f aca="false">IF(e_Rech&lt;1,((DT$100+DT$102)*DT$108*(1+IF(p_C5=1,p_Desp,0))+DT$104+IF(p_C5=1,DT$106*DT$108,0))/(1-e_Rech),0)</f>
        <v>167.364213754317</v>
      </c>
      <c r="DU118" s="53" t="n">
        <f aca="false">IF(e_Rech&lt;1,((DU$100+DU$102)*DU$108*(1+IF(p_C5=1,p_Desp,0))+DU$104+IF(p_C5=1,DU$106*DU$108,0))/(1-e_Rech),0)</f>
        <v>167.364213754317</v>
      </c>
      <c r="DV118" s="53" t="n">
        <f aca="false">IF(e_Rech&lt;1,((DV$100+DV$102)*DV$108*(1+IF(p_C5=1,p_Desp,0))+DV$104+IF(p_C5=1,DV$106*DV$108,0))/(1-e_Rech),0)</f>
        <v>167.364213754317</v>
      </c>
      <c r="DW118" s="53" t="n">
        <f aca="false">IF(e_Rech&lt;1,((DW$100+DW$102)*DW$108*(1+IF(p_C5=1,p_Desp,0))+DW$104+IF(p_C5=1,DW$106*DW$108,0))/(1-e_Rech),0)</f>
        <v>168.295262558526</v>
      </c>
      <c r="DX118" s="53" t="n">
        <f aca="false">IF(e_Rech&lt;1,((DX$100+DX$102)*DX$108*(1+IF(p_C5=1,p_Desp,0))+DX$104+IF(p_C5=1,DX$106*DX$108,0))/(1-e_Rech),0)</f>
        <v>168.295262558526</v>
      </c>
      <c r="DY118" s="53" t="n">
        <f aca="false">IF(e_Rech&lt;1,((DY$100+DY$102)*DY$108*(1+IF(p_C5=1,p_Desp,0))+DY$104+IF(p_C5=1,DY$106*DY$108,0))/(1-e_Rech),0)</f>
        <v>168.295262558526</v>
      </c>
      <c r="DZ118" s="53" t="n">
        <f aca="false">IF(e_Rech&lt;1,((DZ$100+DZ$102)*DZ$108*(1+IF(p_C5=1,p_Desp,0))+DZ$104+IF(p_C5=1,DZ$106*DZ$108,0))/(1-e_Rech),0)</f>
        <v>168.295262558526</v>
      </c>
      <c r="EA118" s="53" t="n">
        <f aca="false">IF(e_Rech&lt;1,((EA$100+EA$102)*EA$108*(1+IF(p_C5=1,p_Desp,0))+EA$104+IF(p_C5=1,EA$106*EA$108,0))/(1-e_Rech),0)</f>
        <v>168.295262558526</v>
      </c>
      <c r="EB118" s="53" t="n">
        <f aca="false">IF(e_Rech&lt;1,((EB$100+EB$102)*EB$108*(1+IF(p_C5=1,p_Desp,0))+EB$104+IF(p_C5=1,EB$106*EB$108,0))/(1-e_Rech),0)</f>
        <v>168.295262558526</v>
      </c>
      <c r="EC118" s="53" t="n">
        <f aca="false">IF(e_Rech&lt;1,((EC$100+EC$102)*EC$108*(1+IF(p_C5=1,p_Desp,0))+EC$104+IF(p_C5=1,EC$106*EC$108,0))/(1-e_Rech),0)</f>
        <v>168.295262558526</v>
      </c>
      <c r="ED118" s="53" t="n">
        <f aca="false">IF(e_Rech&lt;1,((ED$100+ED$102)*ED$108*(1+IF(p_C5=1,p_Desp,0))+ED$104+IF(p_C5=1,ED$106*ED$108,0))/(1-e_Rech),0)</f>
        <v>168.295262558526</v>
      </c>
      <c r="EE118" s="53" t="n">
        <f aca="false">IF(e_Rech&lt;1,((EE$100+EE$102)*EE$108*(1+IF(p_C5=1,p_Desp,0))+EE$104+IF(p_C5=1,EE$106*EE$108,0))/(1-e_Rech),0)</f>
        <v>168.295262558526</v>
      </c>
      <c r="EF118" s="53" t="n">
        <f aca="false">IF(e_Rech&lt;1,((EF$100+EF$102)*EF$108*(1+IF(p_C5=1,p_Desp,0))+EF$104+IF(p_C5=1,EF$106*EF$108,0))/(1-e_Rech),0)</f>
        <v>168.295262558526</v>
      </c>
      <c r="EG118" s="53" t="n">
        <f aca="false">IF(e_Rech&lt;1,((EG$100+EG$102)*EG$108*(1+IF(p_C5=1,p_Desp,0))+EG$104+IF(p_C5=1,EG$106*EG$108,0))/(1-e_Rech),0)</f>
        <v>168.295262558526</v>
      </c>
      <c r="EH118" s="53" t="n">
        <f aca="false">IF(e_Rech&lt;1,((EH$100+EH$102)*EH$108*(1+IF(p_C5=1,p_Desp,0))+EH$104+IF(p_C5=1,EH$106*EH$108,0))/(1-e_Rech),0)</f>
        <v>168.295262558526</v>
      </c>
      <c r="EI118" s="53" t="n">
        <f aca="false">IF(e_Rech&lt;1,((EI$100+EI$102)*EI$108*(1+IF(p_C5=1,p_Desp,0))+EI$104+IF(p_C5=1,EI$106*EI$108,0))/(1-e_Rech),0)</f>
        <v>169.235621850778</v>
      </c>
      <c r="EJ118" s="53" t="n">
        <f aca="false">IF(e_Rech&lt;1,((EJ$100+EJ$102)*EJ$108*(1+IF(p_C5=1,p_Desp,0))+EJ$104+IF(p_C5=1,EJ$106*EJ$108,0))/(1-e_Rech),0)</f>
        <v>169.235621850778</v>
      </c>
      <c r="EK118" s="53" t="n">
        <f aca="false">IF(e_Rech&lt;1,((EK$100+EK$102)*EK$108*(1+IF(p_C5=1,p_Desp,0))+EK$104+IF(p_C5=1,EK$106*EK$108,0))/(1-e_Rech),0)</f>
        <v>169.235621850778</v>
      </c>
      <c r="EL118" s="53" t="n">
        <f aca="false">IF(e_Rech&lt;1,((EL$100+EL$102)*EL$108*(1+IF(p_C5=1,p_Desp,0))+EL$104+IF(p_C5=1,EL$106*EL$108,0))/(1-e_Rech),0)</f>
        <v>169.235621850778</v>
      </c>
      <c r="EM118" s="53" t="n">
        <f aca="false">IF(e_Rech&lt;1,((EM$100+EM$102)*EM$108*(1+IF(p_C5=1,p_Desp,0))+EM$104+IF(p_C5=1,EM$106*EM$108,0))/(1-e_Rech),0)</f>
        <v>169.235621850778</v>
      </c>
      <c r="EN118" s="53" t="n">
        <f aca="false">IF(e_Rech&lt;1,((EN$100+EN$102)*EN$108*(1+IF(p_C5=1,p_Desp,0))+EN$104+IF(p_C5=1,EN$106*EN$108,0))/(1-e_Rech),0)</f>
        <v>169.235621850778</v>
      </c>
      <c r="EO118" s="53" t="n">
        <f aca="false">IF(e_Rech&lt;1,((EO$100+EO$102)*EO$108*(1+IF(p_C5=1,p_Desp,0))+EO$104+IF(p_C5=1,EO$106*EO$108,0))/(1-e_Rech),0)</f>
        <v>169.235621850778</v>
      </c>
      <c r="EP118" s="53" t="n">
        <f aca="false">IF(e_Rech&lt;1,((EP$100+EP$102)*EP$108*(1+IF(p_C5=1,p_Desp,0))+EP$104+IF(p_C5=1,EP$106*EP$108,0))/(1-e_Rech),0)</f>
        <v>169.235621850778</v>
      </c>
      <c r="EQ118" s="53" t="n">
        <f aca="false">IF(e_Rech&lt;1,((EQ$100+EQ$102)*EQ$108*(1+IF(p_C5=1,p_Desp,0))+EQ$104+IF(p_C5=1,EQ$106*EQ$108,0))/(1-e_Rech),0)</f>
        <v>169.235621850778</v>
      </c>
      <c r="ER118" s="53" t="n">
        <f aca="false">IF(e_Rech&lt;1,((ER$100+ER$102)*ER$108*(1+IF(p_C5=1,p_Desp,0))+ER$104+IF(p_C5=1,ER$106*ER$108,0))/(1-e_Rech),0)</f>
        <v>169.235621850778</v>
      </c>
      <c r="ES118" s="53" t="n">
        <f aca="false">IF(e_Rech&lt;1,((ES$100+ES$102)*ES$108*(1+IF(p_C5=1,p_Desp,0))+ES$104+IF(p_C5=1,ES$106*ES$108,0))/(1-e_Rech),0)</f>
        <v>169.235621850778</v>
      </c>
      <c r="ET118" s="53" t="n">
        <f aca="false">IF(e_Rech&lt;1,((ET$100+ET$102)*ET$108*(1+IF(p_C5=1,p_Desp,0))+ET$104+IF(p_C5=1,ET$106*ET$108,0))/(1-e_Rech),0)</f>
        <v>169.235621850778</v>
      </c>
      <c r="EU118" s="53" t="n">
        <f aca="false">IF(e_Rech&lt;1,((EU$100+EU$102)*EU$108*(1+IF(p_C5=1,p_Desp,0))+EU$104+IF(p_C5=1,EU$106*EU$108,0))/(1-e_Rech),0)</f>
        <v>170.185384735953</v>
      </c>
      <c r="EV118" s="53" t="n">
        <f aca="false">IF(e_Rech&lt;1,((EV$100+EV$102)*EV$108*(1+IF(p_C5=1,p_Desp,0))+EV$104+IF(p_C5=1,EV$106*EV$108,0))/(1-e_Rech),0)</f>
        <v>170.185384735953</v>
      </c>
      <c r="EW118" s="53" t="n">
        <f aca="false">IF(e_Rech&lt;1,((EW$100+EW$102)*EW$108*(1+IF(p_C5=1,p_Desp,0))+EW$104+IF(p_C5=1,EW$106*EW$108,0))/(1-e_Rech),0)</f>
        <v>170.185384735953</v>
      </c>
      <c r="EX118" s="53" t="n">
        <f aca="false">IF(e_Rech&lt;1,((EX$100+EX$102)*EX$108*(1+IF(p_C5=1,p_Desp,0))+EX$104+IF(p_C5=1,EX$106*EX$108,0))/(1-e_Rech),0)</f>
        <v>170.185384735953</v>
      </c>
      <c r="EY118" s="53" t="n">
        <f aca="false">IF(e_Rech&lt;1,((EY$100+EY$102)*EY$108*(1+IF(p_C5=1,p_Desp,0))+EY$104+IF(p_C5=1,EY$106*EY$108,0))/(1-e_Rech),0)</f>
        <v>170.185384735953</v>
      </c>
      <c r="EZ118" s="53" t="n">
        <f aca="false">IF(e_Rech&lt;1,((EZ$100+EZ$102)*EZ$108*(1+IF(p_C5=1,p_Desp,0))+EZ$104+IF(p_C5=1,EZ$106*EZ$108,0))/(1-e_Rech),0)</f>
        <v>170.185384735953</v>
      </c>
      <c r="FA118" s="53" t="n">
        <f aca="false">IF(e_Rech&lt;1,((FA$100+FA$102)*FA$108*(1+IF(p_C5=1,p_Desp,0))+FA$104+IF(p_C5=1,FA$106*FA$108,0))/(1-e_Rech),0)</f>
        <v>170.185384735953</v>
      </c>
      <c r="FB118" s="53" t="n">
        <f aca="false">IF(e_Rech&lt;1,((FB$100+FB$102)*FB$108*(1+IF(p_C5=1,p_Desp,0))+FB$104+IF(p_C5=1,FB$106*FB$108,0))/(1-e_Rech),0)</f>
        <v>170.185384735953</v>
      </c>
      <c r="FC118" s="53" t="n">
        <f aca="false">IF(e_Rech&lt;1,((FC$100+FC$102)*FC$108*(1+IF(p_C5=1,p_Desp,0))+FC$104+IF(p_C5=1,FC$106*FC$108,0))/(1-e_Rech),0)</f>
        <v>170.185384735953</v>
      </c>
      <c r="FD118" s="53" t="n">
        <f aca="false">IF(e_Rech&lt;1,((FD$100+FD$102)*FD$108*(1+IF(p_C5=1,p_Desp,0))+FD$104+IF(p_C5=1,FD$106*FD$108,0))/(1-e_Rech),0)</f>
        <v>170.185384735953</v>
      </c>
      <c r="FE118" s="53" t="n">
        <f aca="false">IF(e_Rech&lt;1,((FE$100+FE$102)*FE$108*(1+IF(p_C5=1,p_Desp,0))+FE$104+IF(p_C5=1,FE$106*FE$108,0))/(1-e_Rech),0)</f>
        <v>170.185384735953</v>
      </c>
      <c r="FF118" s="53" t="n">
        <f aca="false">IF(e_Rech&lt;1,((FF$100+FF$102)*FF$108*(1+IF(p_C5=1,p_Desp,0))+FF$104+IF(p_C5=1,FF$106*FF$108,0))/(1-e_Rech),0)</f>
        <v>170.185384735953</v>
      </c>
    </row>
    <row r="119" customFormat="false" ht="15" hidden="false" customHeight="false" outlineLevel="0" collapsed="false">
      <c r="A119" s="2" t="s">
        <v>1087</v>
      </c>
      <c r="B119" s="8" t="s">
        <v>1088</v>
      </c>
      <c r="C119" s="8" t="s">
        <v>263</v>
      </c>
      <c r="F119" s="53" t="n">
        <f aca="false">IF(e_Rech&lt;1,((F$101+F$103)*F$108*(1+IF(p_C5=1,p_Desp,0))+F$105+IF(p_C5=1,F$107*F$108,0))/(1-e_Rech),0)</f>
        <v>15.35883</v>
      </c>
      <c r="G119" s="53" t="n">
        <f aca="false">IF(e_Rech&lt;1,((G$101+G$103)*G$108*(1+IF(p_C5=1,p_Desp,0))+G$105+IF(p_C5=1,G$107*G$108,0))/(1-e_Rech),0)</f>
        <v>15.35883</v>
      </c>
      <c r="H119" s="53" t="n">
        <f aca="false">IF(e_Rech&lt;1,((H$101+H$103)*H$108*(1+IF(p_C5=1,p_Desp,0))+H$105+IF(p_C5=1,H$107*H$108,0))/(1-e_Rech),0)</f>
        <v>15.35883</v>
      </c>
      <c r="I119" s="53" t="n">
        <f aca="false">IF(e_Rech&lt;1,((I$101+I$103)*I$108*(1+IF(p_C5=1,p_Desp,0))+I$105+IF(p_C5=1,I$107*I$108,0))/(1-e_Rech),0)</f>
        <v>15.35883</v>
      </c>
      <c r="J119" s="53" t="n">
        <f aca="false">IF(e_Rech&lt;1,((J$101+J$103)*J$108*(1+IF(p_C5=1,p_Desp,0))+J$105+IF(p_C5=1,J$107*J$108,0))/(1-e_Rech),0)</f>
        <v>15.35883</v>
      </c>
      <c r="K119" s="53" t="n">
        <f aca="false">IF(e_Rech&lt;1,((K$101+K$103)*K$108*(1+IF(p_C5=1,p_Desp,0))+K$105+IF(p_C5=1,K$107*K$108,0))/(1-e_Rech),0)</f>
        <v>15.35883</v>
      </c>
      <c r="L119" s="53" t="n">
        <f aca="false">IF(e_Rech&lt;1,((L$101+L$103)*L$108*(1+IF(p_C5=1,p_Desp,0))+L$105+IF(p_C5=1,L$107*L$108,0))/(1-e_Rech),0)</f>
        <v>15.35883</v>
      </c>
      <c r="M119" s="53" t="n">
        <f aca="false">IF(e_Rech&lt;1,((M$101+M$103)*M$108*(1+IF(p_C5=1,p_Desp,0))+M$105+IF(p_C5=1,M$107*M$108,0))/(1-e_Rech),0)</f>
        <v>15.35883</v>
      </c>
      <c r="N119" s="53" t="n">
        <f aca="false">IF(e_Rech&lt;1,((N$101+N$103)*N$108*(1+IF(p_C5=1,p_Desp,0))+N$105+IF(p_C5=1,N$107*N$108,0))/(1-e_Rech),0)</f>
        <v>15.35883</v>
      </c>
      <c r="O119" s="53" t="n">
        <f aca="false">IF(e_Rech&lt;1,((O$101+O$103)*O$108*(1+IF(p_C5=1,p_Desp,0))+O$105+IF(p_C5=1,O$107*O$108,0))/(1-e_Rech),0)</f>
        <v>15.35883</v>
      </c>
      <c r="P119" s="53" t="n">
        <f aca="false">IF(e_Rech&lt;1,((P$101+P$103)*P$108*(1+IF(p_C5=1,p_Desp,0))+P$105+IF(p_C5=1,P$107*P$108,0))/(1-e_Rech),0)</f>
        <v>15.35883</v>
      </c>
      <c r="Q119" s="53" t="n">
        <f aca="false">IF(e_Rech&lt;1,((Q$101+Q$103)*Q$108*(1+IF(p_C5=1,p_Desp,0))+Q$105+IF(p_C5=1,Q$107*Q$108,0))/(1-e_Rech),0)</f>
        <v>15.35883</v>
      </c>
      <c r="R119" s="53" t="n">
        <f aca="false">IF(e_Rech&lt;1,((R$101+R$103)*R$108*(1+IF(p_C5=1,p_Desp,0))+R$105+IF(p_C5=1,R$107*R$108,0))/(1-e_Rech),0)</f>
        <v>15.35883</v>
      </c>
      <c r="S119" s="53" t="n">
        <f aca="false">IF(e_Rech&lt;1,((S$101+S$103)*S$108*(1+IF(p_C5=1,p_Desp,0))+S$105+IF(p_C5=1,S$107*S$108,0))/(1-e_Rech),0)</f>
        <v>15.435153</v>
      </c>
      <c r="T119" s="53" t="n">
        <f aca="false">IF(e_Rech&lt;1,((T$101+T$103)*T$108*(1+IF(p_C5=1,p_Desp,0))+T$105+IF(p_C5=1,T$107*T$108,0))/(1-e_Rech),0)</f>
        <v>15.435153</v>
      </c>
      <c r="U119" s="53" t="n">
        <f aca="false">IF(e_Rech&lt;1,((U$101+U$103)*U$108*(1+IF(p_C5=1,p_Desp,0))+U$105+IF(p_C5=1,U$107*U$108,0))/(1-e_Rech),0)</f>
        <v>15.435153</v>
      </c>
      <c r="V119" s="53" t="n">
        <f aca="false">IF(e_Rech&lt;1,((V$101+V$103)*V$108*(1+IF(p_C5=1,p_Desp,0))+V$105+IF(p_C5=1,V$107*V$108,0))/(1-e_Rech),0)</f>
        <v>15.435153</v>
      </c>
      <c r="W119" s="53" t="n">
        <f aca="false">IF(e_Rech&lt;1,((W$101+W$103)*W$108*(1+IF(p_C5=1,p_Desp,0))+W$105+IF(p_C5=1,W$107*W$108,0))/(1-e_Rech),0)</f>
        <v>15.435153</v>
      </c>
      <c r="X119" s="53" t="n">
        <f aca="false">IF(e_Rech&lt;1,((X$101+X$103)*X$108*(1+IF(p_C5=1,p_Desp,0))+X$105+IF(p_C5=1,X$107*X$108,0))/(1-e_Rech),0)</f>
        <v>15.435153</v>
      </c>
      <c r="Y119" s="53" t="n">
        <f aca="false">IF(e_Rech&lt;1,((Y$101+Y$103)*Y$108*(1+IF(p_C5=1,p_Desp,0))+Y$105+IF(p_C5=1,Y$107*Y$108,0))/(1-e_Rech),0)</f>
        <v>15.435153</v>
      </c>
      <c r="Z119" s="53" t="n">
        <f aca="false">IF(e_Rech&lt;1,((Z$101+Z$103)*Z$108*(1+IF(p_C5=1,p_Desp,0))+Z$105+IF(p_C5=1,Z$107*Z$108,0))/(1-e_Rech),0)</f>
        <v>15.435153</v>
      </c>
      <c r="AA119" s="53" t="n">
        <f aca="false">IF(e_Rech&lt;1,((AA$101+AA$103)*AA$108*(1+IF(p_C5=1,p_Desp,0))+AA$105+IF(p_C5=1,AA$107*AA$108,0))/(1-e_Rech),0)</f>
        <v>15.435153</v>
      </c>
      <c r="AB119" s="53" t="n">
        <f aca="false">IF(e_Rech&lt;1,((AB$101+AB$103)*AB$108*(1+IF(p_C5=1,p_Desp,0))+AB$105+IF(p_C5=1,AB$107*AB$108,0))/(1-e_Rech),0)</f>
        <v>15.435153</v>
      </c>
      <c r="AC119" s="53" t="n">
        <f aca="false">IF(e_Rech&lt;1,((AC$101+AC$103)*AC$108*(1+IF(p_C5=1,p_Desp,0))+AC$105+IF(p_C5=1,AC$107*AC$108,0))/(1-e_Rech),0)</f>
        <v>15.435153</v>
      </c>
      <c r="AD119" s="53" t="n">
        <f aca="false">IF(e_Rech&lt;1,((AD$101+AD$103)*AD$108*(1+IF(p_C5=1,p_Desp,0))+AD$105+IF(p_C5=1,AD$107*AD$108,0))/(1-e_Rech),0)</f>
        <v>15.435153</v>
      </c>
      <c r="AE119" s="53" t="n">
        <f aca="false">IF(e_Rech&lt;1,((AE$101+AE$103)*AE$108*(1+IF(p_C5=1,p_Desp,0))+AE$105+IF(p_C5=1,AE$107*AE$108,0))/(1-e_Rech),0)</f>
        <v>15.51223923</v>
      </c>
      <c r="AF119" s="53" t="n">
        <f aca="false">IF(e_Rech&lt;1,((AF$101+AF$103)*AF$108*(1+IF(p_C5=1,p_Desp,0))+AF$105+IF(p_C5=1,AF$107*AF$108,0))/(1-e_Rech),0)</f>
        <v>15.51223923</v>
      </c>
      <c r="AG119" s="53" t="n">
        <f aca="false">IF(e_Rech&lt;1,((AG$101+AG$103)*AG$108*(1+IF(p_C5=1,p_Desp,0))+AG$105+IF(p_C5=1,AG$107*AG$108,0))/(1-e_Rech),0)</f>
        <v>15.51223923</v>
      </c>
      <c r="AH119" s="53" t="n">
        <f aca="false">IF(e_Rech&lt;1,((AH$101+AH$103)*AH$108*(1+IF(p_C5=1,p_Desp,0))+AH$105+IF(p_C5=1,AH$107*AH$108,0))/(1-e_Rech),0)</f>
        <v>15.51223923</v>
      </c>
      <c r="AI119" s="53" t="n">
        <f aca="false">IF(e_Rech&lt;1,((AI$101+AI$103)*AI$108*(1+IF(p_C5=1,p_Desp,0))+AI$105+IF(p_C5=1,AI$107*AI$108,0))/(1-e_Rech),0)</f>
        <v>15.51223923</v>
      </c>
      <c r="AJ119" s="53" t="n">
        <f aca="false">IF(e_Rech&lt;1,((AJ$101+AJ$103)*AJ$108*(1+IF(p_C5=1,p_Desp,0))+AJ$105+IF(p_C5=1,AJ$107*AJ$108,0))/(1-e_Rech),0)</f>
        <v>15.51223923</v>
      </c>
      <c r="AK119" s="53" t="n">
        <f aca="false">IF(e_Rech&lt;1,((AK$101+AK$103)*AK$108*(1+IF(p_C5=1,p_Desp,0))+AK$105+IF(p_C5=1,AK$107*AK$108,0))/(1-e_Rech),0)</f>
        <v>15.51223923</v>
      </c>
      <c r="AL119" s="53" t="n">
        <f aca="false">IF(e_Rech&lt;1,((AL$101+AL$103)*AL$108*(1+IF(p_C5=1,p_Desp,0))+AL$105+IF(p_C5=1,AL$107*AL$108,0))/(1-e_Rech),0)</f>
        <v>15.51223923</v>
      </c>
      <c r="AM119" s="53" t="n">
        <f aca="false">IF(e_Rech&lt;1,((AM$101+AM$103)*AM$108*(1+IF(p_C5=1,p_Desp,0))+AM$105+IF(p_C5=1,AM$107*AM$108,0))/(1-e_Rech),0)</f>
        <v>15.51223923</v>
      </c>
      <c r="AN119" s="53" t="n">
        <f aca="false">IF(e_Rech&lt;1,((AN$101+AN$103)*AN$108*(1+IF(p_C5=1,p_Desp,0))+AN$105+IF(p_C5=1,AN$107*AN$108,0))/(1-e_Rech),0)</f>
        <v>15.51223923</v>
      </c>
      <c r="AO119" s="53" t="n">
        <f aca="false">IF(e_Rech&lt;1,((AO$101+AO$103)*AO$108*(1+IF(p_C5=1,p_Desp,0))+AO$105+IF(p_C5=1,AO$107*AO$108,0))/(1-e_Rech),0)</f>
        <v>15.51223923</v>
      </c>
      <c r="AP119" s="53" t="n">
        <f aca="false">IF(e_Rech&lt;1,((AP$101+AP$103)*AP$108*(1+IF(p_C5=1,p_Desp,0))+AP$105+IF(p_C5=1,AP$107*AP$108,0))/(1-e_Rech),0)</f>
        <v>15.51223923</v>
      </c>
      <c r="AQ119" s="53" t="n">
        <f aca="false">IF(e_Rech&lt;1,((AQ$101+AQ$103)*AQ$108*(1+IF(p_C5=1,p_Desp,0))+AQ$105+IF(p_C5=1,AQ$107*AQ$108,0))/(1-e_Rech),0)</f>
        <v>15.5900963223</v>
      </c>
      <c r="AR119" s="53" t="n">
        <f aca="false">IF(e_Rech&lt;1,((AR$101+AR$103)*AR$108*(1+IF(p_C5=1,p_Desp,0))+AR$105+IF(p_C5=1,AR$107*AR$108,0))/(1-e_Rech),0)</f>
        <v>15.5900963223</v>
      </c>
      <c r="AS119" s="53" t="n">
        <f aca="false">IF(e_Rech&lt;1,((AS$101+AS$103)*AS$108*(1+IF(p_C5=1,p_Desp,0))+AS$105+IF(p_C5=1,AS$107*AS$108,0))/(1-e_Rech),0)</f>
        <v>15.5900963223</v>
      </c>
      <c r="AT119" s="53" t="n">
        <f aca="false">IF(e_Rech&lt;1,((AT$101+AT$103)*AT$108*(1+IF(p_C5=1,p_Desp,0))+AT$105+IF(p_C5=1,AT$107*AT$108,0))/(1-e_Rech),0)</f>
        <v>15.5900963223</v>
      </c>
      <c r="AU119" s="53" t="n">
        <f aca="false">IF(e_Rech&lt;1,((AU$101+AU$103)*AU$108*(1+IF(p_C5=1,p_Desp,0))+AU$105+IF(p_C5=1,AU$107*AU$108,0))/(1-e_Rech),0)</f>
        <v>15.5900963223</v>
      </c>
      <c r="AV119" s="53" t="n">
        <f aca="false">IF(e_Rech&lt;1,((AV$101+AV$103)*AV$108*(1+IF(p_C5=1,p_Desp,0))+AV$105+IF(p_C5=1,AV$107*AV$108,0))/(1-e_Rech),0)</f>
        <v>15.5900963223</v>
      </c>
      <c r="AW119" s="53" t="n">
        <f aca="false">IF(e_Rech&lt;1,((AW$101+AW$103)*AW$108*(1+IF(p_C5=1,p_Desp,0))+AW$105+IF(p_C5=1,AW$107*AW$108,0))/(1-e_Rech),0)</f>
        <v>15.5900963223</v>
      </c>
      <c r="AX119" s="53" t="n">
        <f aca="false">IF(e_Rech&lt;1,((AX$101+AX$103)*AX$108*(1+IF(p_C5=1,p_Desp,0))+AX$105+IF(p_C5=1,AX$107*AX$108,0))/(1-e_Rech),0)</f>
        <v>15.5900963223</v>
      </c>
      <c r="AY119" s="53" t="n">
        <f aca="false">IF(e_Rech&lt;1,((AY$101+AY$103)*AY$108*(1+IF(p_C5=1,p_Desp,0))+AY$105+IF(p_C5=1,AY$107*AY$108,0))/(1-e_Rech),0)</f>
        <v>15.5900963223</v>
      </c>
      <c r="AZ119" s="53" t="n">
        <f aca="false">IF(e_Rech&lt;1,((AZ$101+AZ$103)*AZ$108*(1+IF(p_C5=1,p_Desp,0))+AZ$105+IF(p_C5=1,AZ$107*AZ$108,0))/(1-e_Rech),0)</f>
        <v>15.5900963223</v>
      </c>
      <c r="BA119" s="53" t="n">
        <f aca="false">IF(e_Rech&lt;1,((BA$101+BA$103)*BA$108*(1+IF(p_C5=1,p_Desp,0))+BA$105+IF(p_C5=1,BA$107*BA$108,0))/(1-e_Rech),0)</f>
        <v>15.5900963223</v>
      </c>
      <c r="BB119" s="53" t="n">
        <f aca="false">IF(e_Rech&lt;1,((BB$101+BB$103)*BB$108*(1+IF(p_C5=1,p_Desp,0))+BB$105+IF(p_C5=1,BB$107*BB$108,0))/(1-e_Rech),0)</f>
        <v>15.5900963223</v>
      </c>
      <c r="BC119" s="53" t="n">
        <f aca="false">IF(e_Rech&lt;1,((BC$101+BC$103)*BC$108*(1+IF(p_C5=1,p_Desp,0))+BC$105+IF(p_C5=1,BC$107*BC$108,0))/(1-e_Rech),0)</f>
        <v>15.668731985523</v>
      </c>
      <c r="BD119" s="53" t="n">
        <f aca="false">IF(e_Rech&lt;1,((BD$101+BD$103)*BD$108*(1+IF(p_C5=1,p_Desp,0))+BD$105+IF(p_C5=1,BD$107*BD$108,0))/(1-e_Rech),0)</f>
        <v>15.668731985523</v>
      </c>
      <c r="BE119" s="53" t="n">
        <f aca="false">IF(e_Rech&lt;1,((BE$101+BE$103)*BE$108*(1+IF(p_C5=1,p_Desp,0))+BE$105+IF(p_C5=1,BE$107*BE$108,0))/(1-e_Rech),0)</f>
        <v>15.668731985523</v>
      </c>
      <c r="BF119" s="53" t="n">
        <f aca="false">IF(e_Rech&lt;1,((BF$101+BF$103)*BF$108*(1+IF(p_C5=1,p_Desp,0))+BF$105+IF(p_C5=1,BF$107*BF$108,0))/(1-e_Rech),0)</f>
        <v>15.668731985523</v>
      </c>
      <c r="BG119" s="53" t="n">
        <f aca="false">IF(e_Rech&lt;1,((BG$101+BG$103)*BG$108*(1+IF(p_C5=1,p_Desp,0))+BG$105+IF(p_C5=1,BG$107*BG$108,0))/(1-e_Rech),0)</f>
        <v>15.668731985523</v>
      </c>
      <c r="BH119" s="53" t="n">
        <f aca="false">IF(e_Rech&lt;1,((BH$101+BH$103)*BH$108*(1+IF(p_C5=1,p_Desp,0))+BH$105+IF(p_C5=1,BH$107*BH$108,0))/(1-e_Rech),0)</f>
        <v>15.668731985523</v>
      </c>
      <c r="BI119" s="53" t="n">
        <f aca="false">IF(e_Rech&lt;1,((BI$101+BI$103)*BI$108*(1+IF(p_C5=1,p_Desp,0))+BI$105+IF(p_C5=1,BI$107*BI$108,0))/(1-e_Rech),0)</f>
        <v>15.668731985523</v>
      </c>
      <c r="BJ119" s="53" t="n">
        <f aca="false">IF(e_Rech&lt;1,((BJ$101+BJ$103)*BJ$108*(1+IF(p_C5=1,p_Desp,0))+BJ$105+IF(p_C5=1,BJ$107*BJ$108,0))/(1-e_Rech),0)</f>
        <v>15.668731985523</v>
      </c>
      <c r="BK119" s="53" t="n">
        <f aca="false">IF(e_Rech&lt;1,((BK$101+BK$103)*BK$108*(1+IF(p_C5=1,p_Desp,0))+BK$105+IF(p_C5=1,BK$107*BK$108,0))/(1-e_Rech),0)</f>
        <v>15.668731985523</v>
      </c>
      <c r="BL119" s="53" t="n">
        <f aca="false">IF(e_Rech&lt;1,((BL$101+BL$103)*BL$108*(1+IF(p_C5=1,p_Desp,0))+BL$105+IF(p_C5=1,BL$107*BL$108,0))/(1-e_Rech),0)</f>
        <v>15.668731985523</v>
      </c>
      <c r="BM119" s="53" t="n">
        <f aca="false">IF(e_Rech&lt;1,((BM$101+BM$103)*BM$108*(1+IF(p_C5=1,p_Desp,0))+BM$105+IF(p_C5=1,BM$107*BM$108,0))/(1-e_Rech),0)</f>
        <v>15.668731985523</v>
      </c>
      <c r="BN119" s="53" t="n">
        <f aca="false">IF(e_Rech&lt;1,((BN$101+BN$103)*BN$108*(1+IF(p_C5=1,p_Desp,0))+BN$105+IF(p_C5=1,BN$107*BN$108,0))/(1-e_Rech),0)</f>
        <v>15.668731985523</v>
      </c>
      <c r="BO119" s="53" t="n">
        <f aca="false">IF(e_Rech&lt;1,((BO$101+BO$103)*BO$108*(1+IF(p_C5=1,p_Desp,0))+BO$105+IF(p_C5=1,BO$107*BO$108,0))/(1-e_Rech),0)</f>
        <v>15.7481540053782</v>
      </c>
      <c r="BP119" s="53" t="n">
        <f aca="false">IF(e_Rech&lt;1,((BP$101+BP$103)*BP$108*(1+IF(p_C5=1,p_Desp,0))+BP$105+IF(p_C5=1,BP$107*BP$108,0))/(1-e_Rech),0)</f>
        <v>15.7481540053782</v>
      </c>
      <c r="BQ119" s="53" t="n">
        <f aca="false">IF(e_Rech&lt;1,((BQ$101+BQ$103)*BQ$108*(1+IF(p_C5=1,p_Desp,0))+BQ$105+IF(p_C5=1,BQ$107*BQ$108,0))/(1-e_Rech),0)</f>
        <v>15.7481540053782</v>
      </c>
      <c r="BR119" s="53" t="n">
        <f aca="false">IF(e_Rech&lt;1,((BR$101+BR$103)*BR$108*(1+IF(p_C5=1,p_Desp,0))+BR$105+IF(p_C5=1,BR$107*BR$108,0))/(1-e_Rech),0)</f>
        <v>15.7481540053782</v>
      </c>
      <c r="BS119" s="53" t="n">
        <f aca="false">IF(e_Rech&lt;1,((BS$101+BS$103)*BS$108*(1+IF(p_C5=1,p_Desp,0))+BS$105+IF(p_C5=1,BS$107*BS$108,0))/(1-e_Rech),0)</f>
        <v>15.7481540053782</v>
      </c>
      <c r="BT119" s="53" t="n">
        <f aca="false">IF(e_Rech&lt;1,((BT$101+BT$103)*BT$108*(1+IF(p_C5=1,p_Desp,0))+BT$105+IF(p_C5=1,BT$107*BT$108,0))/(1-e_Rech),0)</f>
        <v>15.7481540053782</v>
      </c>
      <c r="BU119" s="53" t="n">
        <f aca="false">IF(e_Rech&lt;1,((BU$101+BU$103)*BU$108*(1+IF(p_C5=1,p_Desp,0))+BU$105+IF(p_C5=1,BU$107*BU$108,0))/(1-e_Rech),0)</f>
        <v>15.7481540053782</v>
      </c>
      <c r="BV119" s="53" t="n">
        <f aca="false">IF(e_Rech&lt;1,((BV$101+BV$103)*BV$108*(1+IF(p_C5=1,p_Desp,0))+BV$105+IF(p_C5=1,BV$107*BV$108,0))/(1-e_Rech),0)</f>
        <v>15.7481540053782</v>
      </c>
      <c r="BW119" s="53" t="n">
        <f aca="false">IF(e_Rech&lt;1,((BW$101+BW$103)*BW$108*(1+IF(p_C5=1,p_Desp,0))+BW$105+IF(p_C5=1,BW$107*BW$108,0))/(1-e_Rech),0)</f>
        <v>15.7481540053782</v>
      </c>
      <c r="BX119" s="53" t="n">
        <f aca="false">IF(e_Rech&lt;1,((BX$101+BX$103)*BX$108*(1+IF(p_C5=1,p_Desp,0))+BX$105+IF(p_C5=1,BX$107*BX$108,0))/(1-e_Rech),0)</f>
        <v>15.7481540053782</v>
      </c>
      <c r="BY119" s="53" t="n">
        <f aca="false">IF(e_Rech&lt;1,((BY$101+BY$103)*BY$108*(1+IF(p_C5=1,p_Desp,0))+BY$105+IF(p_C5=1,BY$107*BY$108,0))/(1-e_Rech),0)</f>
        <v>15.7481540053782</v>
      </c>
      <c r="BZ119" s="53" t="n">
        <f aca="false">IF(e_Rech&lt;1,((BZ$101+BZ$103)*BZ$108*(1+IF(p_C5=1,p_Desp,0))+BZ$105+IF(p_C5=1,BZ$107*BZ$108,0))/(1-e_Rech),0)</f>
        <v>15.7481540053782</v>
      </c>
      <c r="CA119" s="53" t="n">
        <f aca="false">IF(e_Rech&lt;1,((CA$101+CA$103)*CA$108*(1+IF(p_C5=1,p_Desp,0))+CA$105+IF(p_C5=1,CA$107*CA$108,0))/(1-e_Rech),0)</f>
        <v>15.828370245432</v>
      </c>
      <c r="CB119" s="53" t="n">
        <f aca="false">IF(e_Rech&lt;1,((CB$101+CB$103)*CB$108*(1+IF(p_C5=1,p_Desp,0))+CB$105+IF(p_C5=1,CB$107*CB$108,0))/(1-e_Rech),0)</f>
        <v>15.828370245432</v>
      </c>
      <c r="CC119" s="53" t="n">
        <f aca="false">IF(e_Rech&lt;1,((CC$101+CC$103)*CC$108*(1+IF(p_C5=1,p_Desp,0))+CC$105+IF(p_C5=1,CC$107*CC$108,0))/(1-e_Rech),0)</f>
        <v>15.828370245432</v>
      </c>
      <c r="CD119" s="53" t="n">
        <f aca="false">IF(e_Rech&lt;1,((CD$101+CD$103)*CD$108*(1+IF(p_C5=1,p_Desp,0))+CD$105+IF(p_C5=1,CD$107*CD$108,0))/(1-e_Rech),0)</f>
        <v>15.828370245432</v>
      </c>
      <c r="CE119" s="53" t="n">
        <f aca="false">IF(e_Rech&lt;1,((CE$101+CE$103)*CE$108*(1+IF(p_C5=1,p_Desp,0))+CE$105+IF(p_C5=1,CE$107*CE$108,0))/(1-e_Rech),0)</f>
        <v>15.828370245432</v>
      </c>
      <c r="CF119" s="53" t="n">
        <f aca="false">IF(e_Rech&lt;1,((CF$101+CF$103)*CF$108*(1+IF(p_C5=1,p_Desp,0))+CF$105+IF(p_C5=1,CF$107*CF$108,0))/(1-e_Rech),0)</f>
        <v>15.828370245432</v>
      </c>
      <c r="CG119" s="53" t="n">
        <f aca="false">IF(e_Rech&lt;1,((CG$101+CG$103)*CG$108*(1+IF(p_C5=1,p_Desp,0))+CG$105+IF(p_C5=1,CG$107*CG$108,0))/(1-e_Rech),0)</f>
        <v>15.828370245432</v>
      </c>
      <c r="CH119" s="53" t="n">
        <f aca="false">IF(e_Rech&lt;1,((CH$101+CH$103)*CH$108*(1+IF(p_C5=1,p_Desp,0))+CH$105+IF(p_C5=1,CH$107*CH$108,0))/(1-e_Rech),0)</f>
        <v>15.828370245432</v>
      </c>
      <c r="CI119" s="53" t="n">
        <f aca="false">IF(e_Rech&lt;1,((CI$101+CI$103)*CI$108*(1+IF(p_C5=1,p_Desp,0))+CI$105+IF(p_C5=1,CI$107*CI$108,0))/(1-e_Rech),0)</f>
        <v>15.828370245432</v>
      </c>
      <c r="CJ119" s="53" t="n">
        <f aca="false">IF(e_Rech&lt;1,((CJ$101+CJ$103)*CJ$108*(1+IF(p_C5=1,p_Desp,0))+CJ$105+IF(p_C5=1,CJ$107*CJ$108,0))/(1-e_Rech),0)</f>
        <v>15.828370245432</v>
      </c>
      <c r="CK119" s="53" t="n">
        <f aca="false">IF(e_Rech&lt;1,((CK$101+CK$103)*CK$108*(1+IF(p_C5=1,p_Desp,0))+CK$105+IF(p_C5=1,CK$107*CK$108,0))/(1-e_Rech),0)</f>
        <v>15.828370245432</v>
      </c>
      <c r="CL119" s="53" t="n">
        <f aca="false">IF(e_Rech&lt;1,((CL$101+CL$103)*CL$108*(1+IF(p_C5=1,p_Desp,0))+CL$105+IF(p_C5=1,CL$107*CL$108,0))/(1-e_Rech),0)</f>
        <v>15.828370245432</v>
      </c>
      <c r="CM119" s="53" t="n">
        <f aca="false">IF(e_Rech&lt;1,((CM$101+CM$103)*CM$108*(1+IF(p_C5=1,p_Desp,0))+CM$105+IF(p_C5=1,CM$107*CM$108,0))/(1-e_Rech),0)</f>
        <v>15.9093886478863</v>
      </c>
      <c r="CN119" s="53" t="n">
        <f aca="false">IF(e_Rech&lt;1,((CN$101+CN$103)*CN$108*(1+IF(p_C5=1,p_Desp,0))+CN$105+IF(p_C5=1,CN$107*CN$108,0))/(1-e_Rech),0)</f>
        <v>15.9093886478863</v>
      </c>
      <c r="CO119" s="53" t="n">
        <f aca="false">IF(e_Rech&lt;1,((CO$101+CO$103)*CO$108*(1+IF(p_C5=1,p_Desp,0))+CO$105+IF(p_C5=1,CO$107*CO$108,0))/(1-e_Rech),0)</f>
        <v>15.9093886478863</v>
      </c>
      <c r="CP119" s="53" t="n">
        <f aca="false">IF(e_Rech&lt;1,((CP$101+CP$103)*CP$108*(1+IF(p_C5=1,p_Desp,0))+CP$105+IF(p_C5=1,CP$107*CP$108,0))/(1-e_Rech),0)</f>
        <v>15.9093886478863</v>
      </c>
      <c r="CQ119" s="53" t="n">
        <f aca="false">IF(e_Rech&lt;1,((CQ$101+CQ$103)*CQ$108*(1+IF(p_C5=1,p_Desp,0))+CQ$105+IF(p_C5=1,CQ$107*CQ$108,0))/(1-e_Rech),0)</f>
        <v>15.9093886478863</v>
      </c>
      <c r="CR119" s="53" t="n">
        <f aca="false">IF(e_Rech&lt;1,((CR$101+CR$103)*CR$108*(1+IF(p_C5=1,p_Desp,0))+CR$105+IF(p_C5=1,CR$107*CR$108,0))/(1-e_Rech),0)</f>
        <v>15.9093886478863</v>
      </c>
      <c r="CS119" s="53" t="n">
        <f aca="false">IF(e_Rech&lt;1,((CS$101+CS$103)*CS$108*(1+IF(p_C5=1,p_Desp,0))+CS$105+IF(p_C5=1,CS$107*CS$108,0))/(1-e_Rech),0)</f>
        <v>15.9093886478863</v>
      </c>
      <c r="CT119" s="53" t="n">
        <f aca="false">IF(e_Rech&lt;1,((CT$101+CT$103)*CT$108*(1+IF(p_C5=1,p_Desp,0))+CT$105+IF(p_C5=1,CT$107*CT$108,0))/(1-e_Rech),0)</f>
        <v>15.9093886478863</v>
      </c>
      <c r="CU119" s="53" t="n">
        <f aca="false">IF(e_Rech&lt;1,((CU$101+CU$103)*CU$108*(1+IF(p_C5=1,p_Desp,0))+CU$105+IF(p_C5=1,CU$107*CU$108,0))/(1-e_Rech),0)</f>
        <v>15.9093886478863</v>
      </c>
      <c r="CV119" s="53" t="n">
        <f aca="false">IF(e_Rech&lt;1,((CV$101+CV$103)*CV$108*(1+IF(p_C5=1,p_Desp,0))+CV$105+IF(p_C5=1,CV$107*CV$108,0))/(1-e_Rech),0)</f>
        <v>15.9093886478863</v>
      </c>
      <c r="CW119" s="53" t="n">
        <f aca="false">IF(e_Rech&lt;1,((CW$101+CW$103)*CW$108*(1+IF(p_C5=1,p_Desp,0))+CW$105+IF(p_C5=1,CW$107*CW$108,0))/(1-e_Rech),0)</f>
        <v>15.9093886478863</v>
      </c>
      <c r="CX119" s="53" t="n">
        <f aca="false">IF(e_Rech&lt;1,((CX$101+CX$103)*CX$108*(1+IF(p_C5=1,p_Desp,0))+CX$105+IF(p_C5=1,CX$107*CX$108,0))/(1-e_Rech),0)</f>
        <v>15.9093886478863</v>
      </c>
      <c r="CY119" s="53" t="n">
        <f aca="false">IF(e_Rech&lt;1,((CY$101+CY$103)*CY$108*(1+IF(p_C5=1,p_Desp,0))+CY$105+IF(p_C5=1,CY$107*CY$108,0))/(1-e_Rech),0)</f>
        <v>15.9912172343652</v>
      </c>
      <c r="CZ119" s="53" t="n">
        <f aca="false">IF(e_Rech&lt;1,((CZ$101+CZ$103)*CZ$108*(1+IF(p_C5=1,p_Desp,0))+CZ$105+IF(p_C5=1,CZ$107*CZ$108,0))/(1-e_Rech),0)</f>
        <v>15.9912172343652</v>
      </c>
      <c r="DA119" s="53" t="n">
        <f aca="false">IF(e_Rech&lt;1,((DA$101+DA$103)*DA$108*(1+IF(p_C5=1,p_Desp,0))+DA$105+IF(p_C5=1,DA$107*DA$108,0))/(1-e_Rech),0)</f>
        <v>15.9912172343652</v>
      </c>
      <c r="DB119" s="53" t="n">
        <f aca="false">IF(e_Rech&lt;1,((DB$101+DB$103)*DB$108*(1+IF(p_C5=1,p_Desp,0))+DB$105+IF(p_C5=1,DB$107*DB$108,0))/(1-e_Rech),0)</f>
        <v>15.9912172343652</v>
      </c>
      <c r="DC119" s="53" t="n">
        <f aca="false">IF(e_Rech&lt;1,((DC$101+DC$103)*DC$108*(1+IF(p_C5=1,p_Desp,0))+DC$105+IF(p_C5=1,DC$107*DC$108,0))/(1-e_Rech),0)</f>
        <v>15.9912172343652</v>
      </c>
      <c r="DD119" s="53" t="n">
        <f aca="false">IF(e_Rech&lt;1,((DD$101+DD$103)*DD$108*(1+IF(p_C5=1,p_Desp,0))+DD$105+IF(p_C5=1,DD$107*DD$108,0))/(1-e_Rech),0)</f>
        <v>15.9912172343652</v>
      </c>
      <c r="DE119" s="53" t="n">
        <f aca="false">IF(e_Rech&lt;1,((DE$101+DE$103)*DE$108*(1+IF(p_C5=1,p_Desp,0))+DE$105+IF(p_C5=1,DE$107*DE$108,0))/(1-e_Rech),0)</f>
        <v>15.9912172343652</v>
      </c>
      <c r="DF119" s="53" t="n">
        <f aca="false">IF(e_Rech&lt;1,((DF$101+DF$103)*DF$108*(1+IF(p_C5=1,p_Desp,0))+DF$105+IF(p_C5=1,DF$107*DF$108,0))/(1-e_Rech),0)</f>
        <v>15.9912172343652</v>
      </c>
      <c r="DG119" s="53" t="n">
        <f aca="false">IF(e_Rech&lt;1,((DG$101+DG$103)*DG$108*(1+IF(p_C5=1,p_Desp,0))+DG$105+IF(p_C5=1,DG$107*DG$108,0))/(1-e_Rech),0)</f>
        <v>15.9912172343652</v>
      </c>
      <c r="DH119" s="53" t="n">
        <f aca="false">IF(e_Rech&lt;1,((DH$101+DH$103)*DH$108*(1+IF(p_C5=1,p_Desp,0))+DH$105+IF(p_C5=1,DH$107*DH$108,0))/(1-e_Rech),0)</f>
        <v>15.9912172343652</v>
      </c>
      <c r="DI119" s="53" t="n">
        <f aca="false">IF(e_Rech&lt;1,((DI$101+DI$103)*DI$108*(1+IF(p_C5=1,p_Desp,0))+DI$105+IF(p_C5=1,DI$107*DI$108,0))/(1-e_Rech),0)</f>
        <v>15.9912172343652</v>
      </c>
      <c r="DJ119" s="53" t="n">
        <f aca="false">IF(e_Rech&lt;1,((DJ$101+DJ$103)*DJ$108*(1+IF(p_C5=1,p_Desp,0))+DJ$105+IF(p_C5=1,DJ$107*DJ$108,0))/(1-e_Rech),0)</f>
        <v>15.9912172343652</v>
      </c>
      <c r="DK119" s="53" t="n">
        <f aca="false">IF(e_Rech&lt;1,((DK$101+DK$103)*DK$108*(1+IF(p_C5=1,p_Desp,0))+DK$105+IF(p_C5=1,DK$107*DK$108,0))/(1-e_Rech),0)</f>
        <v>16.0738641067088</v>
      </c>
      <c r="DL119" s="53" t="n">
        <f aca="false">IF(e_Rech&lt;1,((DL$101+DL$103)*DL$108*(1+IF(p_C5=1,p_Desp,0))+DL$105+IF(p_C5=1,DL$107*DL$108,0))/(1-e_Rech),0)</f>
        <v>16.0738641067088</v>
      </c>
      <c r="DM119" s="53" t="n">
        <f aca="false">IF(e_Rech&lt;1,((DM$101+DM$103)*DM$108*(1+IF(p_C5=1,p_Desp,0))+DM$105+IF(p_C5=1,DM$107*DM$108,0))/(1-e_Rech),0)</f>
        <v>16.0738641067088</v>
      </c>
      <c r="DN119" s="53" t="n">
        <f aca="false">IF(e_Rech&lt;1,((DN$101+DN$103)*DN$108*(1+IF(p_C5=1,p_Desp,0))+DN$105+IF(p_C5=1,DN$107*DN$108,0))/(1-e_Rech),0)</f>
        <v>16.0738641067088</v>
      </c>
      <c r="DO119" s="53" t="n">
        <f aca="false">IF(e_Rech&lt;1,((DO$101+DO$103)*DO$108*(1+IF(p_C5=1,p_Desp,0))+DO$105+IF(p_C5=1,DO$107*DO$108,0))/(1-e_Rech),0)</f>
        <v>16.0738641067088</v>
      </c>
      <c r="DP119" s="53" t="n">
        <f aca="false">IF(e_Rech&lt;1,((DP$101+DP$103)*DP$108*(1+IF(p_C5=1,p_Desp,0))+DP$105+IF(p_C5=1,DP$107*DP$108,0))/(1-e_Rech),0)</f>
        <v>16.0738641067088</v>
      </c>
      <c r="DQ119" s="53" t="n">
        <f aca="false">IF(e_Rech&lt;1,((DQ$101+DQ$103)*DQ$108*(1+IF(p_C5=1,p_Desp,0))+DQ$105+IF(p_C5=1,DQ$107*DQ$108,0))/(1-e_Rech),0)</f>
        <v>16.0738641067088</v>
      </c>
      <c r="DR119" s="53" t="n">
        <f aca="false">IF(e_Rech&lt;1,((DR$101+DR$103)*DR$108*(1+IF(p_C5=1,p_Desp,0))+DR$105+IF(p_C5=1,DR$107*DR$108,0))/(1-e_Rech),0)</f>
        <v>16.0738641067088</v>
      </c>
      <c r="DS119" s="53" t="n">
        <f aca="false">IF(e_Rech&lt;1,((DS$101+DS$103)*DS$108*(1+IF(p_C5=1,p_Desp,0))+DS$105+IF(p_C5=1,DS$107*DS$108,0))/(1-e_Rech),0)</f>
        <v>16.0738641067088</v>
      </c>
      <c r="DT119" s="53" t="n">
        <f aca="false">IF(e_Rech&lt;1,((DT$101+DT$103)*DT$108*(1+IF(p_C5=1,p_Desp,0))+DT$105+IF(p_C5=1,DT$107*DT$108,0))/(1-e_Rech),0)</f>
        <v>16.0738641067088</v>
      </c>
      <c r="DU119" s="53" t="n">
        <f aca="false">IF(e_Rech&lt;1,((DU$101+DU$103)*DU$108*(1+IF(p_C5=1,p_Desp,0))+DU$105+IF(p_C5=1,DU$107*DU$108,0))/(1-e_Rech),0)</f>
        <v>16.0738641067088</v>
      </c>
      <c r="DV119" s="53" t="n">
        <f aca="false">IF(e_Rech&lt;1,((DV$101+DV$103)*DV$108*(1+IF(p_C5=1,p_Desp,0))+DV$105+IF(p_C5=1,DV$107*DV$108,0))/(1-e_Rech),0)</f>
        <v>16.0738641067088</v>
      </c>
      <c r="DW119" s="53" t="n">
        <f aca="false">IF(e_Rech&lt;1,((DW$101+DW$103)*DW$108*(1+IF(p_C5=1,p_Desp,0))+DW$105+IF(p_C5=1,DW$107*DW$108,0))/(1-e_Rech),0)</f>
        <v>16.1573374477759</v>
      </c>
      <c r="DX119" s="53" t="n">
        <f aca="false">IF(e_Rech&lt;1,((DX$101+DX$103)*DX$108*(1+IF(p_C5=1,p_Desp,0))+DX$105+IF(p_C5=1,DX$107*DX$108,0))/(1-e_Rech),0)</f>
        <v>16.1573374477759</v>
      </c>
      <c r="DY119" s="53" t="n">
        <f aca="false">IF(e_Rech&lt;1,((DY$101+DY$103)*DY$108*(1+IF(p_C5=1,p_Desp,0))+DY$105+IF(p_C5=1,DY$107*DY$108,0))/(1-e_Rech),0)</f>
        <v>16.1573374477759</v>
      </c>
      <c r="DZ119" s="53" t="n">
        <f aca="false">IF(e_Rech&lt;1,((DZ$101+DZ$103)*DZ$108*(1+IF(p_C5=1,p_Desp,0))+DZ$105+IF(p_C5=1,DZ$107*DZ$108,0))/(1-e_Rech),0)</f>
        <v>16.1573374477759</v>
      </c>
      <c r="EA119" s="53" t="n">
        <f aca="false">IF(e_Rech&lt;1,((EA$101+EA$103)*EA$108*(1+IF(p_C5=1,p_Desp,0))+EA$105+IF(p_C5=1,EA$107*EA$108,0))/(1-e_Rech),0)</f>
        <v>16.1573374477759</v>
      </c>
      <c r="EB119" s="53" t="n">
        <f aca="false">IF(e_Rech&lt;1,((EB$101+EB$103)*EB$108*(1+IF(p_C5=1,p_Desp,0))+EB$105+IF(p_C5=1,EB$107*EB$108,0))/(1-e_Rech),0)</f>
        <v>16.1573374477759</v>
      </c>
      <c r="EC119" s="53" t="n">
        <f aca="false">IF(e_Rech&lt;1,((EC$101+EC$103)*EC$108*(1+IF(p_C5=1,p_Desp,0))+EC$105+IF(p_C5=1,EC$107*EC$108,0))/(1-e_Rech),0)</f>
        <v>16.1573374477759</v>
      </c>
      <c r="ED119" s="53" t="n">
        <f aca="false">IF(e_Rech&lt;1,((ED$101+ED$103)*ED$108*(1+IF(p_C5=1,p_Desp,0))+ED$105+IF(p_C5=1,ED$107*ED$108,0))/(1-e_Rech),0)</f>
        <v>16.1573374477759</v>
      </c>
      <c r="EE119" s="53" t="n">
        <f aca="false">IF(e_Rech&lt;1,((EE$101+EE$103)*EE$108*(1+IF(p_C5=1,p_Desp,0))+EE$105+IF(p_C5=1,EE$107*EE$108,0))/(1-e_Rech),0)</f>
        <v>16.1573374477759</v>
      </c>
      <c r="EF119" s="53" t="n">
        <f aca="false">IF(e_Rech&lt;1,((EF$101+EF$103)*EF$108*(1+IF(p_C5=1,p_Desp,0))+EF$105+IF(p_C5=1,EF$107*EF$108,0))/(1-e_Rech),0)</f>
        <v>16.1573374477759</v>
      </c>
      <c r="EG119" s="53" t="n">
        <f aca="false">IF(e_Rech&lt;1,((EG$101+EG$103)*EG$108*(1+IF(p_C5=1,p_Desp,0))+EG$105+IF(p_C5=1,EG$107*EG$108,0))/(1-e_Rech),0)</f>
        <v>16.1573374477759</v>
      </c>
      <c r="EH119" s="53" t="n">
        <f aca="false">IF(e_Rech&lt;1,((EH$101+EH$103)*EH$108*(1+IF(p_C5=1,p_Desp,0))+EH$105+IF(p_C5=1,EH$107*EH$108,0))/(1-e_Rech),0)</f>
        <v>16.1573374477759</v>
      </c>
      <c r="EI119" s="53" t="n">
        <f aca="false">IF(e_Rech&lt;1,((EI$101+EI$103)*EI$108*(1+IF(p_C5=1,p_Desp,0))+EI$105+IF(p_C5=1,EI$107*EI$108,0))/(1-e_Rech),0)</f>
        <v>16.2416455222537</v>
      </c>
      <c r="EJ119" s="53" t="n">
        <f aca="false">IF(e_Rech&lt;1,((EJ$101+EJ$103)*EJ$108*(1+IF(p_C5=1,p_Desp,0))+EJ$105+IF(p_C5=1,EJ$107*EJ$108,0))/(1-e_Rech),0)</f>
        <v>16.2416455222537</v>
      </c>
      <c r="EK119" s="53" t="n">
        <f aca="false">IF(e_Rech&lt;1,((EK$101+EK$103)*EK$108*(1+IF(p_C5=1,p_Desp,0))+EK$105+IF(p_C5=1,EK$107*EK$108,0))/(1-e_Rech),0)</f>
        <v>16.2416455222537</v>
      </c>
      <c r="EL119" s="53" t="n">
        <f aca="false">IF(e_Rech&lt;1,((EL$101+EL$103)*EL$108*(1+IF(p_C5=1,p_Desp,0))+EL$105+IF(p_C5=1,EL$107*EL$108,0))/(1-e_Rech),0)</f>
        <v>16.2416455222537</v>
      </c>
      <c r="EM119" s="53" t="n">
        <f aca="false">IF(e_Rech&lt;1,((EM$101+EM$103)*EM$108*(1+IF(p_C5=1,p_Desp,0))+EM$105+IF(p_C5=1,EM$107*EM$108,0))/(1-e_Rech),0)</f>
        <v>16.2416455222537</v>
      </c>
      <c r="EN119" s="53" t="n">
        <f aca="false">IF(e_Rech&lt;1,((EN$101+EN$103)*EN$108*(1+IF(p_C5=1,p_Desp,0))+EN$105+IF(p_C5=1,EN$107*EN$108,0))/(1-e_Rech),0)</f>
        <v>16.2416455222537</v>
      </c>
      <c r="EO119" s="53" t="n">
        <f aca="false">IF(e_Rech&lt;1,((EO$101+EO$103)*EO$108*(1+IF(p_C5=1,p_Desp,0))+EO$105+IF(p_C5=1,EO$107*EO$108,0))/(1-e_Rech),0)</f>
        <v>16.2416455222537</v>
      </c>
      <c r="EP119" s="53" t="n">
        <f aca="false">IF(e_Rech&lt;1,((EP$101+EP$103)*EP$108*(1+IF(p_C5=1,p_Desp,0))+EP$105+IF(p_C5=1,EP$107*EP$108,0))/(1-e_Rech),0)</f>
        <v>16.2416455222537</v>
      </c>
      <c r="EQ119" s="53" t="n">
        <f aca="false">IF(e_Rech&lt;1,((EQ$101+EQ$103)*EQ$108*(1+IF(p_C5=1,p_Desp,0))+EQ$105+IF(p_C5=1,EQ$107*EQ$108,0))/(1-e_Rech),0)</f>
        <v>16.2416455222537</v>
      </c>
      <c r="ER119" s="53" t="n">
        <f aca="false">IF(e_Rech&lt;1,((ER$101+ER$103)*ER$108*(1+IF(p_C5=1,p_Desp,0))+ER$105+IF(p_C5=1,ER$107*ER$108,0))/(1-e_Rech),0)</f>
        <v>16.2416455222537</v>
      </c>
      <c r="ES119" s="53" t="n">
        <f aca="false">IF(e_Rech&lt;1,((ES$101+ES$103)*ES$108*(1+IF(p_C5=1,p_Desp,0))+ES$105+IF(p_C5=1,ES$107*ES$108,0))/(1-e_Rech),0)</f>
        <v>16.2416455222537</v>
      </c>
      <c r="ET119" s="53" t="n">
        <f aca="false">IF(e_Rech&lt;1,((ET$101+ET$103)*ET$108*(1+IF(p_C5=1,p_Desp,0))+ET$105+IF(p_C5=1,ET$107*ET$108,0))/(1-e_Rech),0)</f>
        <v>16.2416455222537</v>
      </c>
      <c r="EU119" s="53" t="n">
        <f aca="false">IF(e_Rech&lt;1,((EU$101+EU$103)*EU$108*(1+IF(p_C5=1,p_Desp,0))+EU$105+IF(p_C5=1,EU$107*EU$108,0))/(1-e_Rech),0)</f>
        <v>16.3267966774762</v>
      </c>
      <c r="EV119" s="53" t="n">
        <f aca="false">IF(e_Rech&lt;1,((EV$101+EV$103)*EV$108*(1+IF(p_C5=1,p_Desp,0))+EV$105+IF(p_C5=1,EV$107*EV$108,0))/(1-e_Rech),0)</f>
        <v>16.3267966774762</v>
      </c>
      <c r="EW119" s="53" t="n">
        <f aca="false">IF(e_Rech&lt;1,((EW$101+EW$103)*EW$108*(1+IF(p_C5=1,p_Desp,0))+EW$105+IF(p_C5=1,EW$107*EW$108,0))/(1-e_Rech),0)</f>
        <v>16.3267966774762</v>
      </c>
      <c r="EX119" s="53" t="n">
        <f aca="false">IF(e_Rech&lt;1,((EX$101+EX$103)*EX$108*(1+IF(p_C5=1,p_Desp,0))+EX$105+IF(p_C5=1,EX$107*EX$108,0))/(1-e_Rech),0)</f>
        <v>16.3267966774762</v>
      </c>
      <c r="EY119" s="53" t="n">
        <f aca="false">IF(e_Rech&lt;1,((EY$101+EY$103)*EY$108*(1+IF(p_C5=1,p_Desp,0))+EY$105+IF(p_C5=1,EY$107*EY$108,0))/(1-e_Rech),0)</f>
        <v>16.3267966774762</v>
      </c>
      <c r="EZ119" s="53" t="n">
        <f aca="false">IF(e_Rech&lt;1,((EZ$101+EZ$103)*EZ$108*(1+IF(p_C5=1,p_Desp,0))+EZ$105+IF(p_C5=1,EZ$107*EZ$108,0))/(1-e_Rech),0)</f>
        <v>16.3267966774762</v>
      </c>
      <c r="FA119" s="53" t="n">
        <f aca="false">IF(e_Rech&lt;1,((FA$101+FA$103)*FA$108*(1+IF(p_C5=1,p_Desp,0))+FA$105+IF(p_C5=1,FA$107*FA$108,0))/(1-e_Rech),0)</f>
        <v>16.3267966774762</v>
      </c>
      <c r="FB119" s="53" t="n">
        <f aca="false">IF(e_Rech&lt;1,((FB$101+FB$103)*FB$108*(1+IF(p_C5=1,p_Desp,0))+FB$105+IF(p_C5=1,FB$107*FB$108,0))/(1-e_Rech),0)</f>
        <v>16.3267966774762</v>
      </c>
      <c r="FC119" s="53" t="n">
        <f aca="false">IF(e_Rech&lt;1,((FC$101+FC$103)*FC$108*(1+IF(p_C5=1,p_Desp,0))+FC$105+IF(p_C5=1,FC$107*FC$108,0))/(1-e_Rech),0)</f>
        <v>16.3267966774762</v>
      </c>
      <c r="FD119" s="53" t="n">
        <f aca="false">IF(e_Rech&lt;1,((FD$101+FD$103)*FD$108*(1+IF(p_C5=1,p_Desp,0))+FD$105+IF(p_C5=1,FD$107*FD$108,0))/(1-e_Rech),0)</f>
        <v>16.3267966774762</v>
      </c>
      <c r="FE119" s="53" t="n">
        <f aca="false">IF(e_Rech&lt;1,((FE$101+FE$103)*FE$108*(1+IF(p_C5=1,p_Desp,0))+FE$105+IF(p_C5=1,FE$107*FE$108,0))/(1-e_Rech),0)</f>
        <v>16.3267966774762</v>
      </c>
      <c r="FF119" s="53" t="n">
        <f aca="false">IF(e_Rech&lt;1,((FF$101+FF$103)*FF$108*(1+IF(p_C5=1,p_Desp,0))+FF$105+IF(p_C5=1,FF$107*FF$108,0))/(1-e_Rech),0)</f>
        <v>16.3267966774762</v>
      </c>
    </row>
    <row r="120" customFormat="false" ht="15" hidden="false" customHeight="false" outlineLevel="0" collapsed="false">
      <c r="A120" s="4"/>
      <c r="B120" s="3" t="s">
        <v>1089</v>
      </c>
      <c r="C120" s="4"/>
      <c r="D120" s="4"/>
      <c r="E120" s="4"/>
    </row>
    <row r="121" customFormat="false" ht="15" hidden="false" customHeight="false" outlineLevel="0" collapsed="false">
      <c r="A121" s="2" t="s">
        <v>1090</v>
      </c>
      <c r="B121" s="8" t="s">
        <v>966</v>
      </c>
      <c r="C121" s="8" t="s">
        <v>255</v>
      </c>
      <c r="E121" s="65" t="n">
        <f aca="false">SUM($F121:$FF121)</f>
        <v>230136.98630137</v>
      </c>
      <c r="F121" s="13" t="n">
        <f aca="false">IF(F$69=1,SUMIFS(dr_USD,dr_Mes,0,dr_Cod,"ENE",dr_Est,"&lt;&gt;Excluido"),IF($E$46="PYG",$F$46/F$71,$F$46)/12*F$74*IF(F$68=1,(1-e_EneVar)+e_EneVar*Produccion_Ventas!F$58/p_KgBaseMes,IF(Calendario!F$14=1,p_EspEne,0)))</f>
        <v>0</v>
      </c>
      <c r="G121" s="13" t="n">
        <f aca="false">IF(G$69=1,SUMIFS(dr_USD,dr_Mes,1,dr_Cod,"ENE",dr_Est,"&lt;&gt;Excluido"),IF($E$46="PYG",$F$46/G$71,$F$46)/12*G$74*IF(G$68=1,(1-e_EneVar)+e_EneVar*Produccion_Ventas!G$58/p_KgBaseMes,IF(Calendario!G$14=1,p_EspEne,0)))</f>
        <v>1917.80821917808</v>
      </c>
      <c r="H121" s="13" t="n">
        <f aca="false">IF(H$69=1,SUMIFS(dr_USD,dr_Mes,2,dr_Cod,"ENE",dr_Est,"&lt;&gt;Excluido"),IF($E$46="PYG",$F$46/H$71,$F$46)/12*H$74*IF(H$68=1,(1-e_EneVar)+e_EneVar*Produccion_Ventas!H$58/p_KgBaseMes,IF(Calendario!H$14=1,p_EspEne,0)))</f>
        <v>1917.80821917808</v>
      </c>
      <c r="I121" s="13" t="n">
        <f aca="false">IF(I$69=1,SUMIFS(dr_USD,dr_Mes,3,dr_Cod,"ENE",dr_Est,"&lt;&gt;Excluido"),IF($E$46="PYG",$F$46/I$71,$F$46)/12*I$74*IF(I$68=1,(1-e_EneVar)+e_EneVar*Produccion_Ventas!I$58/p_KgBaseMes,IF(Calendario!I$14=1,p_EspEne,0)))</f>
        <v>1917.80821917808</v>
      </c>
      <c r="J121" s="13" t="n">
        <f aca="false">IF(J$69=1,SUMIFS(dr_USD,dr_Mes,4,dr_Cod,"ENE",dr_Est,"&lt;&gt;Excluido"),IF($E$46="PYG",$F$46/J$71,$F$46)/12*J$74*IF(J$68=1,(1-e_EneVar)+e_EneVar*Produccion_Ventas!J$58/p_KgBaseMes,IF(Calendario!J$14=1,p_EspEne,0)))</f>
        <v>1917.80821917808</v>
      </c>
      <c r="K121" s="13" t="n">
        <f aca="false">IF(K$69=1,SUMIFS(dr_USD,dr_Mes,5,dr_Cod,"ENE",dr_Est,"&lt;&gt;Excluido"),IF($E$46="PYG",$F$46/K$71,$F$46)/12*K$74*IF(K$68=1,(1-e_EneVar)+e_EneVar*Produccion_Ventas!K$58/p_KgBaseMes,IF(Calendario!K$14=1,p_EspEne,0)))</f>
        <v>1917.80821917808</v>
      </c>
      <c r="L121" s="13" t="n">
        <f aca="false">IF(L$69=1,SUMIFS(dr_USD,dr_Mes,6,dr_Cod,"ENE",dr_Est,"&lt;&gt;Excluido"),IF($E$46="PYG",$F$46/L$71,$F$46)/12*L$74*IF(L$68=1,(1-e_EneVar)+e_EneVar*Produccion_Ventas!L$58/p_KgBaseMes,IF(Calendario!L$14=1,p_EspEne,0)))</f>
        <v>1917.80821917808</v>
      </c>
      <c r="M121" s="13" t="n">
        <f aca="false">IF(M$69=1,SUMIFS(dr_USD,dr_Mes,7,dr_Cod,"ENE",dr_Est,"&lt;&gt;Excluido"),IF($E$46="PYG",$F$46/M$71,$F$46)/12*M$74*IF(M$68=1,(1-e_EneVar)+e_EneVar*Produccion_Ventas!M$58/p_KgBaseMes,IF(Calendario!M$14=1,p_EspEne,0)))</f>
        <v>1917.80821917808</v>
      </c>
      <c r="N121" s="13" t="n">
        <f aca="false">IF(N$69=1,SUMIFS(dr_USD,dr_Mes,8,dr_Cod,"ENE",dr_Est,"&lt;&gt;Excluido"),IF($E$46="PYG",$F$46/N$71,$F$46)/12*N$74*IF(N$68=1,(1-e_EneVar)+e_EneVar*Produccion_Ventas!N$58/p_KgBaseMes,IF(Calendario!N$14=1,p_EspEne,0)))</f>
        <v>1917.80821917808</v>
      </c>
      <c r="O121" s="13" t="n">
        <f aca="false">IF(O$69=1,SUMIFS(dr_USD,dr_Mes,9,dr_Cod,"ENE",dr_Est,"&lt;&gt;Excluido"),IF($E$46="PYG",$F$46/O$71,$F$46)/12*O$74*IF(O$68=1,(1-e_EneVar)+e_EneVar*Produccion_Ventas!O$58/p_KgBaseMes,IF(Calendario!O$14=1,p_EspEne,0)))</f>
        <v>1917.80821917808</v>
      </c>
      <c r="P121" s="13" t="n">
        <f aca="false">IF(P$69=1,SUMIFS(dr_USD,dr_Mes,10,dr_Cod,"ENE",dr_Est,"&lt;&gt;Excluido"),IF($E$46="PYG",$F$46/P$71,$F$46)/12*P$74*IF(P$68=1,(1-e_EneVar)+e_EneVar*Produccion_Ventas!P$58/p_KgBaseMes,IF(Calendario!P$14=1,p_EspEne,0)))</f>
        <v>1917.80821917808</v>
      </c>
      <c r="Q121" s="13" t="n">
        <f aca="false">IF(Q$69=1,SUMIFS(dr_USD,dr_Mes,11,dr_Cod,"ENE",dr_Est,"&lt;&gt;Excluido"),IF($E$46="PYG",$F$46/Q$71,$F$46)/12*Q$74*IF(Q$68=1,(1-e_EneVar)+e_EneVar*Produccion_Ventas!Q$58/p_KgBaseMes,IF(Calendario!Q$14=1,p_EspEne,0)))</f>
        <v>1917.80821917808</v>
      </c>
      <c r="R121" s="13" t="n">
        <f aca="false">IF(R$69=1,SUMIFS(dr_USD,dr_Mes,12,dr_Cod,"ENE",dr_Est,"&lt;&gt;Excluido"),IF($E$46="PYG",$F$46/R$71,$F$46)/12*R$74*IF(R$68=1,(1-e_EneVar)+e_EneVar*Produccion_Ventas!R$58/p_KgBaseMes,IF(Calendario!R$14=1,p_EspEne,0)))</f>
        <v>1917.80821917808</v>
      </c>
      <c r="S121" s="13" t="n">
        <f aca="false">IF(S$69=1,SUMIFS(dr_USD,dr_Mes,13,dr_Cod,"ENE",dr_Est,"&lt;&gt;Excluido"),IF($E$46="PYG",$F$46/S$71,$F$46)/12*S$74*IF(S$68=1,(1-e_EneVar)+e_EneVar*Produccion_Ventas!S$58/p_KgBaseMes,IF(Calendario!S$14=1,p_EspEne,0)))</f>
        <v>1917.80821917808</v>
      </c>
      <c r="T121" s="13" t="n">
        <f aca="false">IF(T$69=1,SUMIFS(dr_USD,dr_Mes,14,dr_Cod,"ENE",dr_Est,"&lt;&gt;Excluido"),IF($E$46="PYG",$F$46/T$71,$F$46)/12*T$74*IF(T$68=1,(1-e_EneVar)+e_EneVar*Produccion_Ventas!T$58/p_KgBaseMes,IF(Calendario!T$14=1,p_EspEne,0)))</f>
        <v>1917.80821917808</v>
      </c>
      <c r="U121" s="13" t="n">
        <f aca="false">IF(U$69=1,SUMIFS(dr_USD,dr_Mes,15,dr_Cod,"ENE",dr_Est,"&lt;&gt;Excluido"),IF($E$46="PYG",$F$46/U$71,$F$46)/12*U$74*IF(U$68=1,(1-e_EneVar)+e_EneVar*Produccion_Ventas!U$58/p_KgBaseMes,IF(Calendario!U$14=1,p_EspEne,0)))</f>
        <v>1917.80821917808</v>
      </c>
      <c r="V121" s="13" t="n">
        <f aca="false">IF(V$69=1,SUMIFS(dr_USD,dr_Mes,16,dr_Cod,"ENE",dr_Est,"&lt;&gt;Excluido"),IF($E$46="PYG",$F$46/V$71,$F$46)/12*V$74*IF(V$68=1,(1-e_EneVar)+e_EneVar*Produccion_Ventas!V$58/p_KgBaseMes,IF(Calendario!V$14=1,p_EspEne,0)))</f>
        <v>1917.80821917808</v>
      </c>
      <c r="W121" s="13" t="n">
        <f aca="false">IF(W$69=1,SUMIFS(dr_USD,dr_Mes,17,dr_Cod,"ENE",dr_Est,"&lt;&gt;Excluido"),IF($E$46="PYG",$F$46/W$71,$F$46)/12*W$74*IF(W$68=1,(1-e_EneVar)+e_EneVar*Produccion_Ventas!W$58/p_KgBaseMes,IF(Calendario!W$14=1,p_EspEne,0)))</f>
        <v>1917.80821917808</v>
      </c>
      <c r="X121" s="13" t="n">
        <f aca="false">IF(X$69=1,SUMIFS(dr_USD,dr_Mes,18,dr_Cod,"ENE",dr_Est,"&lt;&gt;Excluido"),IF($E$46="PYG",$F$46/X$71,$F$46)/12*X$74*IF(X$68=1,(1-e_EneVar)+e_EneVar*Produccion_Ventas!X$58/p_KgBaseMes,IF(Calendario!X$14=1,p_EspEne,0)))</f>
        <v>1917.80821917808</v>
      </c>
      <c r="Y121" s="13" t="n">
        <f aca="false">IF(Y$69=1,SUMIFS(dr_USD,dr_Mes,19,dr_Cod,"ENE",dr_Est,"&lt;&gt;Excluido"),IF($E$46="PYG",$F$46/Y$71,$F$46)/12*Y$74*IF(Y$68=1,(1-e_EneVar)+e_EneVar*Produccion_Ventas!Y$58/p_KgBaseMes,IF(Calendario!Y$14=1,p_EspEne,0)))</f>
        <v>1917.80821917808</v>
      </c>
      <c r="Z121" s="13" t="n">
        <f aca="false">IF(Z$69=1,SUMIFS(dr_USD,dr_Mes,20,dr_Cod,"ENE",dr_Est,"&lt;&gt;Excluido"),IF($E$46="PYG",$F$46/Z$71,$F$46)/12*Z$74*IF(Z$68=1,(1-e_EneVar)+e_EneVar*Produccion_Ventas!Z$58/p_KgBaseMes,IF(Calendario!Z$14=1,p_EspEne,0)))</f>
        <v>1917.80821917808</v>
      </c>
      <c r="AA121" s="13" t="n">
        <f aca="false">IF(AA$69=1,SUMIFS(dr_USD,dr_Mes,21,dr_Cod,"ENE",dr_Est,"&lt;&gt;Excluido"),IF($E$46="PYG",$F$46/AA$71,$F$46)/12*AA$74*IF(AA$68=1,(1-e_EneVar)+e_EneVar*Produccion_Ventas!AA$58/p_KgBaseMes,IF(Calendario!AA$14=1,p_EspEne,0)))</f>
        <v>1917.80821917808</v>
      </c>
      <c r="AB121" s="13" t="n">
        <f aca="false">IF(AB$69=1,SUMIFS(dr_USD,dr_Mes,22,dr_Cod,"ENE",dr_Est,"&lt;&gt;Excluido"),IF($E$46="PYG",$F$46/AB$71,$F$46)/12*AB$74*IF(AB$68=1,(1-e_EneVar)+e_EneVar*Produccion_Ventas!AB$58/p_KgBaseMes,IF(Calendario!AB$14=1,p_EspEne,0)))</f>
        <v>1917.80821917808</v>
      </c>
      <c r="AC121" s="13" t="n">
        <f aca="false">IF(AC$69=1,SUMIFS(dr_USD,dr_Mes,23,dr_Cod,"ENE",dr_Est,"&lt;&gt;Excluido"),IF($E$46="PYG",$F$46/AC$71,$F$46)/12*AC$74*IF(AC$68=1,(1-e_EneVar)+e_EneVar*Produccion_Ventas!AC$58/p_KgBaseMes,IF(Calendario!AC$14=1,p_EspEne,0)))</f>
        <v>1917.80821917808</v>
      </c>
      <c r="AD121" s="13" t="n">
        <f aca="false">IF(AD$69=1,SUMIFS(dr_USD,dr_Mes,24,dr_Cod,"ENE",dr_Est,"&lt;&gt;Excluido"),IF($E$46="PYG",$F$46/AD$71,$F$46)/12*AD$74*IF(AD$68=1,(1-e_EneVar)+e_EneVar*Produccion_Ventas!AD$58/p_KgBaseMes,IF(Calendario!AD$14=1,p_EspEne,0)))</f>
        <v>1917.80821917808</v>
      </c>
      <c r="AE121" s="13" t="n">
        <f aca="false">IF(AE$69=1,SUMIFS(dr_USD,dr_Mes,25,dr_Cod,"ENE",dr_Est,"&lt;&gt;Excluido"),IF($E$46="PYG",$F$46/AE$71,$F$46)/12*AE$74*IF(AE$68=1,(1-e_EneVar)+e_EneVar*Produccion_Ventas!AE$58/p_KgBaseMes,IF(Calendario!AE$14=1,p_EspEne,0)))</f>
        <v>1917.80821917808</v>
      </c>
      <c r="AF121" s="13" t="n">
        <f aca="false">IF(AF$69=1,SUMIFS(dr_USD,dr_Mes,26,dr_Cod,"ENE",dr_Est,"&lt;&gt;Excluido"),IF($E$46="PYG",$F$46/AF$71,$F$46)/12*AF$74*IF(AF$68=1,(1-e_EneVar)+e_EneVar*Produccion_Ventas!AF$58/p_KgBaseMes,IF(Calendario!AF$14=1,p_EspEne,0)))</f>
        <v>1917.80821917808</v>
      </c>
      <c r="AG121" s="13" t="n">
        <f aca="false">IF(AG$69=1,SUMIFS(dr_USD,dr_Mes,27,dr_Cod,"ENE",dr_Est,"&lt;&gt;Excluido"),IF($E$46="PYG",$F$46/AG$71,$F$46)/12*AG$74*IF(AG$68=1,(1-e_EneVar)+e_EneVar*Produccion_Ventas!AG$58/p_KgBaseMes,IF(Calendario!AG$14=1,p_EspEne,0)))</f>
        <v>1917.80821917808</v>
      </c>
      <c r="AH121" s="13" t="n">
        <f aca="false">IF(AH$69=1,SUMIFS(dr_USD,dr_Mes,28,dr_Cod,"ENE",dr_Est,"&lt;&gt;Excluido"),IF($E$46="PYG",$F$46/AH$71,$F$46)/12*AH$74*IF(AH$68=1,(1-e_EneVar)+e_EneVar*Produccion_Ventas!AH$58/p_KgBaseMes,IF(Calendario!AH$14=1,p_EspEne,0)))</f>
        <v>1917.80821917808</v>
      </c>
      <c r="AI121" s="13" t="n">
        <f aca="false">IF(AI$69=1,SUMIFS(dr_USD,dr_Mes,29,dr_Cod,"ENE",dr_Est,"&lt;&gt;Excluido"),IF($E$46="PYG",$F$46/AI$71,$F$46)/12*AI$74*IF(AI$68=1,(1-e_EneVar)+e_EneVar*Produccion_Ventas!AI$58/p_KgBaseMes,IF(Calendario!AI$14=1,p_EspEne,0)))</f>
        <v>1917.80821917808</v>
      </c>
      <c r="AJ121" s="13" t="n">
        <f aca="false">IF(AJ$69=1,SUMIFS(dr_USD,dr_Mes,30,dr_Cod,"ENE",dr_Est,"&lt;&gt;Excluido"),IF($E$46="PYG",$F$46/AJ$71,$F$46)/12*AJ$74*IF(AJ$68=1,(1-e_EneVar)+e_EneVar*Produccion_Ventas!AJ$58/p_KgBaseMes,IF(Calendario!AJ$14=1,p_EspEne,0)))</f>
        <v>1917.80821917808</v>
      </c>
      <c r="AK121" s="13" t="n">
        <f aca="false">IF(AK$69=1,SUMIFS(dr_USD,dr_Mes,31,dr_Cod,"ENE",dr_Est,"&lt;&gt;Excluido"),IF($E$46="PYG",$F$46/AK$71,$F$46)/12*AK$74*IF(AK$68=1,(1-e_EneVar)+e_EneVar*Produccion_Ventas!AK$58/p_KgBaseMes,IF(Calendario!AK$14=1,p_EspEne,0)))</f>
        <v>1917.80821917808</v>
      </c>
      <c r="AL121" s="13" t="n">
        <f aca="false">IF(AL$69=1,SUMIFS(dr_USD,dr_Mes,32,dr_Cod,"ENE",dr_Est,"&lt;&gt;Excluido"),IF($E$46="PYG",$F$46/AL$71,$F$46)/12*AL$74*IF(AL$68=1,(1-e_EneVar)+e_EneVar*Produccion_Ventas!AL$58/p_KgBaseMes,IF(Calendario!AL$14=1,p_EspEne,0)))</f>
        <v>1917.80821917808</v>
      </c>
      <c r="AM121" s="13" t="n">
        <f aca="false">IF(AM$69=1,SUMIFS(dr_USD,dr_Mes,33,dr_Cod,"ENE",dr_Est,"&lt;&gt;Excluido"),IF($E$46="PYG",$F$46/AM$71,$F$46)/12*AM$74*IF(AM$68=1,(1-e_EneVar)+e_EneVar*Produccion_Ventas!AM$58/p_KgBaseMes,IF(Calendario!AM$14=1,p_EspEne,0)))</f>
        <v>1917.80821917808</v>
      </c>
      <c r="AN121" s="13" t="n">
        <f aca="false">IF(AN$69=1,SUMIFS(dr_USD,dr_Mes,34,dr_Cod,"ENE",dr_Est,"&lt;&gt;Excluido"),IF($E$46="PYG",$F$46/AN$71,$F$46)/12*AN$74*IF(AN$68=1,(1-e_EneVar)+e_EneVar*Produccion_Ventas!AN$58/p_KgBaseMes,IF(Calendario!AN$14=1,p_EspEne,0)))</f>
        <v>1917.80821917808</v>
      </c>
      <c r="AO121" s="13" t="n">
        <f aca="false">IF(AO$69=1,SUMIFS(dr_USD,dr_Mes,35,dr_Cod,"ENE",dr_Est,"&lt;&gt;Excluido"),IF($E$46="PYG",$F$46/AO$71,$F$46)/12*AO$74*IF(AO$68=1,(1-e_EneVar)+e_EneVar*Produccion_Ventas!AO$58/p_KgBaseMes,IF(Calendario!AO$14=1,p_EspEne,0)))</f>
        <v>1917.80821917808</v>
      </c>
      <c r="AP121" s="13" t="n">
        <f aca="false">IF(AP$69=1,SUMIFS(dr_USD,dr_Mes,36,dr_Cod,"ENE",dr_Est,"&lt;&gt;Excluido"),IF($E$46="PYG",$F$46/AP$71,$F$46)/12*AP$74*IF(AP$68=1,(1-e_EneVar)+e_EneVar*Produccion_Ventas!AP$58/p_KgBaseMes,IF(Calendario!AP$14=1,p_EspEne,0)))</f>
        <v>1917.80821917808</v>
      </c>
      <c r="AQ121" s="13" t="n">
        <f aca="false">IF(AQ$69=1,SUMIFS(dr_USD,dr_Mes,37,dr_Cod,"ENE",dr_Est,"&lt;&gt;Excluido"),IF($E$46="PYG",$F$46/AQ$71,$F$46)/12*AQ$74*IF(AQ$68=1,(1-e_EneVar)+e_EneVar*Produccion_Ventas!AQ$58/p_KgBaseMes,IF(Calendario!AQ$14=1,p_EspEne,0)))</f>
        <v>1917.80821917808</v>
      </c>
      <c r="AR121" s="13" t="n">
        <f aca="false">IF(AR$69=1,SUMIFS(dr_USD,dr_Mes,38,dr_Cod,"ENE",dr_Est,"&lt;&gt;Excluido"),IF($E$46="PYG",$F$46/AR$71,$F$46)/12*AR$74*IF(AR$68=1,(1-e_EneVar)+e_EneVar*Produccion_Ventas!AR$58/p_KgBaseMes,IF(Calendario!AR$14=1,p_EspEne,0)))</f>
        <v>1917.80821917808</v>
      </c>
      <c r="AS121" s="13" t="n">
        <f aca="false">IF(AS$69=1,SUMIFS(dr_USD,dr_Mes,39,dr_Cod,"ENE",dr_Est,"&lt;&gt;Excluido"),IF($E$46="PYG",$F$46/AS$71,$F$46)/12*AS$74*IF(AS$68=1,(1-e_EneVar)+e_EneVar*Produccion_Ventas!AS$58/p_KgBaseMes,IF(Calendario!AS$14=1,p_EspEne,0)))</f>
        <v>1917.80821917808</v>
      </c>
      <c r="AT121" s="13" t="n">
        <f aca="false">IF(AT$69=1,SUMIFS(dr_USD,dr_Mes,40,dr_Cod,"ENE",dr_Est,"&lt;&gt;Excluido"),IF($E$46="PYG",$F$46/AT$71,$F$46)/12*AT$74*IF(AT$68=1,(1-e_EneVar)+e_EneVar*Produccion_Ventas!AT$58/p_KgBaseMes,IF(Calendario!AT$14=1,p_EspEne,0)))</f>
        <v>1917.80821917808</v>
      </c>
      <c r="AU121" s="13" t="n">
        <f aca="false">IF(AU$69=1,SUMIFS(dr_USD,dr_Mes,41,dr_Cod,"ENE",dr_Est,"&lt;&gt;Excluido"),IF($E$46="PYG",$F$46/AU$71,$F$46)/12*AU$74*IF(AU$68=1,(1-e_EneVar)+e_EneVar*Produccion_Ventas!AU$58/p_KgBaseMes,IF(Calendario!AU$14=1,p_EspEne,0)))</f>
        <v>1917.80821917808</v>
      </c>
      <c r="AV121" s="13" t="n">
        <f aca="false">IF(AV$69=1,SUMIFS(dr_USD,dr_Mes,42,dr_Cod,"ENE",dr_Est,"&lt;&gt;Excluido"),IF($E$46="PYG",$F$46/AV$71,$F$46)/12*AV$74*IF(AV$68=1,(1-e_EneVar)+e_EneVar*Produccion_Ventas!AV$58/p_KgBaseMes,IF(Calendario!AV$14=1,p_EspEne,0)))</f>
        <v>1917.80821917808</v>
      </c>
      <c r="AW121" s="13" t="n">
        <f aca="false">IF(AW$69=1,SUMIFS(dr_USD,dr_Mes,43,dr_Cod,"ENE",dr_Est,"&lt;&gt;Excluido"),IF($E$46="PYG",$F$46/AW$71,$F$46)/12*AW$74*IF(AW$68=1,(1-e_EneVar)+e_EneVar*Produccion_Ventas!AW$58/p_KgBaseMes,IF(Calendario!AW$14=1,p_EspEne,0)))</f>
        <v>1917.80821917808</v>
      </c>
      <c r="AX121" s="13" t="n">
        <f aca="false">IF(AX$69=1,SUMIFS(dr_USD,dr_Mes,44,dr_Cod,"ENE",dr_Est,"&lt;&gt;Excluido"),IF($E$46="PYG",$F$46/AX$71,$F$46)/12*AX$74*IF(AX$68=1,(1-e_EneVar)+e_EneVar*Produccion_Ventas!AX$58/p_KgBaseMes,IF(Calendario!AX$14=1,p_EspEne,0)))</f>
        <v>1917.80821917808</v>
      </c>
      <c r="AY121" s="13" t="n">
        <f aca="false">IF(AY$69=1,SUMIFS(dr_USD,dr_Mes,45,dr_Cod,"ENE",dr_Est,"&lt;&gt;Excluido"),IF($E$46="PYG",$F$46/AY$71,$F$46)/12*AY$74*IF(AY$68=1,(1-e_EneVar)+e_EneVar*Produccion_Ventas!AY$58/p_KgBaseMes,IF(Calendario!AY$14=1,p_EspEne,0)))</f>
        <v>1917.80821917808</v>
      </c>
      <c r="AZ121" s="13" t="n">
        <f aca="false">IF(AZ$69=1,SUMIFS(dr_USD,dr_Mes,46,dr_Cod,"ENE",dr_Est,"&lt;&gt;Excluido"),IF($E$46="PYG",$F$46/AZ$71,$F$46)/12*AZ$74*IF(AZ$68=1,(1-e_EneVar)+e_EneVar*Produccion_Ventas!AZ$58/p_KgBaseMes,IF(Calendario!AZ$14=1,p_EspEne,0)))</f>
        <v>1917.80821917808</v>
      </c>
      <c r="BA121" s="13" t="n">
        <f aca="false">IF(BA$69=1,SUMIFS(dr_USD,dr_Mes,47,dr_Cod,"ENE",dr_Est,"&lt;&gt;Excluido"),IF($E$46="PYG",$F$46/BA$71,$F$46)/12*BA$74*IF(BA$68=1,(1-e_EneVar)+e_EneVar*Produccion_Ventas!BA$58/p_KgBaseMes,IF(Calendario!BA$14=1,p_EspEne,0)))</f>
        <v>1917.80821917808</v>
      </c>
      <c r="BB121" s="13" t="n">
        <f aca="false">IF(BB$69=1,SUMIFS(dr_USD,dr_Mes,48,dr_Cod,"ENE",dr_Est,"&lt;&gt;Excluido"),IF($E$46="PYG",$F$46/BB$71,$F$46)/12*BB$74*IF(BB$68=1,(1-e_EneVar)+e_EneVar*Produccion_Ventas!BB$58/p_KgBaseMes,IF(Calendario!BB$14=1,p_EspEne,0)))</f>
        <v>1917.80821917808</v>
      </c>
      <c r="BC121" s="13" t="n">
        <f aca="false">IF(BC$69=1,SUMIFS(dr_USD,dr_Mes,49,dr_Cod,"ENE",dr_Est,"&lt;&gt;Excluido"),IF($E$46="PYG",$F$46/BC$71,$F$46)/12*BC$74*IF(BC$68=1,(1-e_EneVar)+e_EneVar*Produccion_Ventas!BC$58/p_KgBaseMes,IF(Calendario!BC$14=1,p_EspEne,0)))</f>
        <v>1917.80821917808</v>
      </c>
      <c r="BD121" s="13" t="n">
        <f aca="false">IF(BD$69=1,SUMIFS(dr_USD,dr_Mes,50,dr_Cod,"ENE",dr_Est,"&lt;&gt;Excluido"),IF($E$46="PYG",$F$46/BD$71,$F$46)/12*BD$74*IF(BD$68=1,(1-e_EneVar)+e_EneVar*Produccion_Ventas!BD$58/p_KgBaseMes,IF(Calendario!BD$14=1,p_EspEne,0)))</f>
        <v>1917.80821917808</v>
      </c>
      <c r="BE121" s="13" t="n">
        <f aca="false">IF(BE$69=1,SUMIFS(dr_USD,dr_Mes,51,dr_Cod,"ENE",dr_Est,"&lt;&gt;Excluido"),IF($E$46="PYG",$F$46/BE$71,$F$46)/12*BE$74*IF(BE$68=1,(1-e_EneVar)+e_EneVar*Produccion_Ventas!BE$58/p_KgBaseMes,IF(Calendario!BE$14=1,p_EspEne,0)))</f>
        <v>1917.80821917808</v>
      </c>
      <c r="BF121" s="13" t="n">
        <f aca="false">IF(BF$69=1,SUMIFS(dr_USD,dr_Mes,52,dr_Cod,"ENE",dr_Est,"&lt;&gt;Excluido"),IF($E$46="PYG",$F$46/BF$71,$F$46)/12*BF$74*IF(BF$68=1,(1-e_EneVar)+e_EneVar*Produccion_Ventas!BF$58/p_KgBaseMes,IF(Calendario!BF$14=1,p_EspEne,0)))</f>
        <v>1917.80821917808</v>
      </c>
      <c r="BG121" s="13" t="n">
        <f aca="false">IF(BG$69=1,SUMIFS(dr_USD,dr_Mes,53,dr_Cod,"ENE",dr_Est,"&lt;&gt;Excluido"),IF($E$46="PYG",$F$46/BG$71,$F$46)/12*BG$74*IF(BG$68=1,(1-e_EneVar)+e_EneVar*Produccion_Ventas!BG$58/p_KgBaseMes,IF(Calendario!BG$14=1,p_EspEne,0)))</f>
        <v>1917.80821917808</v>
      </c>
      <c r="BH121" s="13" t="n">
        <f aca="false">IF(BH$69=1,SUMIFS(dr_USD,dr_Mes,54,dr_Cod,"ENE",dr_Est,"&lt;&gt;Excluido"),IF($E$46="PYG",$F$46/BH$71,$F$46)/12*BH$74*IF(BH$68=1,(1-e_EneVar)+e_EneVar*Produccion_Ventas!BH$58/p_KgBaseMes,IF(Calendario!BH$14=1,p_EspEne,0)))</f>
        <v>1917.80821917808</v>
      </c>
      <c r="BI121" s="13" t="n">
        <f aca="false">IF(BI$69=1,SUMIFS(dr_USD,dr_Mes,55,dr_Cod,"ENE",dr_Est,"&lt;&gt;Excluido"),IF($E$46="PYG",$F$46/BI$71,$F$46)/12*BI$74*IF(BI$68=1,(1-e_EneVar)+e_EneVar*Produccion_Ventas!BI$58/p_KgBaseMes,IF(Calendario!BI$14=1,p_EspEne,0)))</f>
        <v>1917.80821917808</v>
      </c>
      <c r="BJ121" s="13" t="n">
        <f aca="false">IF(BJ$69=1,SUMIFS(dr_USD,dr_Mes,56,dr_Cod,"ENE",dr_Est,"&lt;&gt;Excluido"),IF($E$46="PYG",$F$46/BJ$71,$F$46)/12*BJ$74*IF(BJ$68=1,(1-e_EneVar)+e_EneVar*Produccion_Ventas!BJ$58/p_KgBaseMes,IF(Calendario!BJ$14=1,p_EspEne,0)))</f>
        <v>1917.80821917808</v>
      </c>
      <c r="BK121" s="13" t="n">
        <f aca="false">IF(BK$69=1,SUMIFS(dr_USD,dr_Mes,57,dr_Cod,"ENE",dr_Est,"&lt;&gt;Excluido"),IF($E$46="PYG",$F$46/BK$71,$F$46)/12*BK$74*IF(BK$68=1,(1-e_EneVar)+e_EneVar*Produccion_Ventas!BK$58/p_KgBaseMes,IF(Calendario!BK$14=1,p_EspEne,0)))</f>
        <v>1917.80821917808</v>
      </c>
      <c r="BL121" s="13" t="n">
        <f aca="false">IF(BL$69=1,SUMIFS(dr_USD,dr_Mes,58,dr_Cod,"ENE",dr_Est,"&lt;&gt;Excluido"),IF($E$46="PYG",$F$46/BL$71,$F$46)/12*BL$74*IF(BL$68=1,(1-e_EneVar)+e_EneVar*Produccion_Ventas!BL$58/p_KgBaseMes,IF(Calendario!BL$14=1,p_EspEne,0)))</f>
        <v>1917.80821917808</v>
      </c>
      <c r="BM121" s="13" t="n">
        <f aca="false">IF(BM$69=1,SUMIFS(dr_USD,dr_Mes,59,dr_Cod,"ENE",dr_Est,"&lt;&gt;Excluido"),IF($E$46="PYG",$F$46/BM$71,$F$46)/12*BM$74*IF(BM$68=1,(1-e_EneVar)+e_EneVar*Produccion_Ventas!BM$58/p_KgBaseMes,IF(Calendario!BM$14=1,p_EspEne,0)))</f>
        <v>1917.80821917808</v>
      </c>
      <c r="BN121" s="13" t="n">
        <f aca="false">IF(BN$69=1,SUMIFS(dr_USD,dr_Mes,60,dr_Cod,"ENE",dr_Est,"&lt;&gt;Excluido"),IF($E$46="PYG",$F$46/BN$71,$F$46)/12*BN$74*IF(BN$68=1,(1-e_EneVar)+e_EneVar*Produccion_Ventas!BN$58/p_KgBaseMes,IF(Calendario!BN$14=1,p_EspEne,0)))</f>
        <v>1917.80821917808</v>
      </c>
      <c r="BO121" s="13" t="n">
        <f aca="false">IF(BO$69=1,SUMIFS(dr_USD,dr_Mes,61,dr_Cod,"ENE",dr_Est,"&lt;&gt;Excluido"),IF($E$46="PYG",$F$46/BO$71,$F$46)/12*BO$74*IF(BO$68=1,(1-e_EneVar)+e_EneVar*Produccion_Ventas!BO$58/p_KgBaseMes,IF(Calendario!BO$14=1,p_EspEne,0)))</f>
        <v>1917.80821917808</v>
      </c>
      <c r="BP121" s="13" t="n">
        <f aca="false">IF(BP$69=1,SUMIFS(dr_USD,dr_Mes,62,dr_Cod,"ENE",dr_Est,"&lt;&gt;Excluido"),IF($E$46="PYG",$F$46/BP$71,$F$46)/12*BP$74*IF(BP$68=1,(1-e_EneVar)+e_EneVar*Produccion_Ventas!BP$58/p_KgBaseMes,IF(Calendario!BP$14=1,p_EspEne,0)))</f>
        <v>1917.80821917808</v>
      </c>
      <c r="BQ121" s="13" t="n">
        <f aca="false">IF(BQ$69=1,SUMIFS(dr_USD,dr_Mes,63,dr_Cod,"ENE",dr_Est,"&lt;&gt;Excluido"),IF($E$46="PYG",$F$46/BQ$71,$F$46)/12*BQ$74*IF(BQ$68=1,(1-e_EneVar)+e_EneVar*Produccion_Ventas!BQ$58/p_KgBaseMes,IF(Calendario!BQ$14=1,p_EspEne,0)))</f>
        <v>1917.80821917808</v>
      </c>
      <c r="BR121" s="13" t="n">
        <f aca="false">IF(BR$69=1,SUMIFS(dr_USD,dr_Mes,64,dr_Cod,"ENE",dr_Est,"&lt;&gt;Excluido"),IF($E$46="PYG",$F$46/BR$71,$F$46)/12*BR$74*IF(BR$68=1,(1-e_EneVar)+e_EneVar*Produccion_Ventas!BR$58/p_KgBaseMes,IF(Calendario!BR$14=1,p_EspEne,0)))</f>
        <v>1917.80821917808</v>
      </c>
      <c r="BS121" s="13" t="n">
        <f aca="false">IF(BS$69=1,SUMIFS(dr_USD,dr_Mes,65,dr_Cod,"ENE",dr_Est,"&lt;&gt;Excluido"),IF($E$46="PYG",$F$46/BS$71,$F$46)/12*BS$74*IF(BS$68=1,(1-e_EneVar)+e_EneVar*Produccion_Ventas!BS$58/p_KgBaseMes,IF(Calendario!BS$14=1,p_EspEne,0)))</f>
        <v>1917.80821917808</v>
      </c>
      <c r="BT121" s="13" t="n">
        <f aca="false">IF(BT$69=1,SUMIFS(dr_USD,dr_Mes,66,dr_Cod,"ENE",dr_Est,"&lt;&gt;Excluido"),IF($E$46="PYG",$F$46/BT$71,$F$46)/12*BT$74*IF(BT$68=1,(1-e_EneVar)+e_EneVar*Produccion_Ventas!BT$58/p_KgBaseMes,IF(Calendario!BT$14=1,p_EspEne,0)))</f>
        <v>1917.80821917808</v>
      </c>
      <c r="BU121" s="13" t="n">
        <f aca="false">IF(BU$69=1,SUMIFS(dr_USD,dr_Mes,67,dr_Cod,"ENE",dr_Est,"&lt;&gt;Excluido"),IF($E$46="PYG",$F$46/BU$71,$F$46)/12*BU$74*IF(BU$68=1,(1-e_EneVar)+e_EneVar*Produccion_Ventas!BU$58/p_KgBaseMes,IF(Calendario!BU$14=1,p_EspEne,0)))</f>
        <v>1917.80821917808</v>
      </c>
      <c r="BV121" s="13" t="n">
        <f aca="false">IF(BV$69=1,SUMIFS(dr_USD,dr_Mes,68,dr_Cod,"ENE",dr_Est,"&lt;&gt;Excluido"),IF($E$46="PYG",$F$46/BV$71,$F$46)/12*BV$74*IF(BV$68=1,(1-e_EneVar)+e_EneVar*Produccion_Ventas!BV$58/p_KgBaseMes,IF(Calendario!BV$14=1,p_EspEne,0)))</f>
        <v>1917.80821917808</v>
      </c>
      <c r="BW121" s="13" t="n">
        <f aca="false">IF(BW$69=1,SUMIFS(dr_USD,dr_Mes,69,dr_Cod,"ENE",dr_Est,"&lt;&gt;Excluido"),IF($E$46="PYG",$F$46/BW$71,$F$46)/12*BW$74*IF(BW$68=1,(1-e_EneVar)+e_EneVar*Produccion_Ventas!BW$58/p_KgBaseMes,IF(Calendario!BW$14=1,p_EspEne,0)))</f>
        <v>1917.80821917808</v>
      </c>
      <c r="BX121" s="13" t="n">
        <f aca="false">IF(BX$69=1,SUMIFS(dr_USD,dr_Mes,70,dr_Cod,"ENE",dr_Est,"&lt;&gt;Excluido"),IF($E$46="PYG",$F$46/BX$71,$F$46)/12*BX$74*IF(BX$68=1,(1-e_EneVar)+e_EneVar*Produccion_Ventas!BX$58/p_KgBaseMes,IF(Calendario!BX$14=1,p_EspEne,0)))</f>
        <v>1917.80821917808</v>
      </c>
      <c r="BY121" s="13" t="n">
        <f aca="false">IF(BY$69=1,SUMIFS(dr_USD,dr_Mes,71,dr_Cod,"ENE",dr_Est,"&lt;&gt;Excluido"),IF($E$46="PYG",$F$46/BY$71,$F$46)/12*BY$74*IF(BY$68=1,(1-e_EneVar)+e_EneVar*Produccion_Ventas!BY$58/p_KgBaseMes,IF(Calendario!BY$14=1,p_EspEne,0)))</f>
        <v>1917.80821917808</v>
      </c>
      <c r="BZ121" s="13" t="n">
        <f aca="false">IF(BZ$69=1,SUMIFS(dr_USD,dr_Mes,72,dr_Cod,"ENE",dr_Est,"&lt;&gt;Excluido"),IF($E$46="PYG",$F$46/BZ$71,$F$46)/12*BZ$74*IF(BZ$68=1,(1-e_EneVar)+e_EneVar*Produccion_Ventas!BZ$58/p_KgBaseMes,IF(Calendario!BZ$14=1,p_EspEne,0)))</f>
        <v>1917.80821917808</v>
      </c>
      <c r="CA121" s="13" t="n">
        <f aca="false">IF(CA$69=1,SUMIFS(dr_USD,dr_Mes,73,dr_Cod,"ENE",dr_Est,"&lt;&gt;Excluido"),IF($E$46="PYG",$F$46/CA$71,$F$46)/12*CA$74*IF(CA$68=1,(1-e_EneVar)+e_EneVar*Produccion_Ventas!CA$58/p_KgBaseMes,IF(Calendario!CA$14=1,p_EspEne,0)))</f>
        <v>1917.80821917808</v>
      </c>
      <c r="CB121" s="13" t="n">
        <f aca="false">IF(CB$69=1,SUMIFS(dr_USD,dr_Mes,74,dr_Cod,"ENE",dr_Est,"&lt;&gt;Excluido"),IF($E$46="PYG",$F$46/CB$71,$F$46)/12*CB$74*IF(CB$68=1,(1-e_EneVar)+e_EneVar*Produccion_Ventas!CB$58/p_KgBaseMes,IF(Calendario!CB$14=1,p_EspEne,0)))</f>
        <v>1917.80821917808</v>
      </c>
      <c r="CC121" s="13" t="n">
        <f aca="false">IF(CC$69=1,SUMIFS(dr_USD,dr_Mes,75,dr_Cod,"ENE",dr_Est,"&lt;&gt;Excluido"),IF($E$46="PYG",$F$46/CC$71,$F$46)/12*CC$74*IF(CC$68=1,(1-e_EneVar)+e_EneVar*Produccion_Ventas!CC$58/p_KgBaseMes,IF(Calendario!CC$14=1,p_EspEne,0)))</f>
        <v>1917.80821917808</v>
      </c>
      <c r="CD121" s="13" t="n">
        <f aca="false">IF(CD$69=1,SUMIFS(dr_USD,dr_Mes,76,dr_Cod,"ENE",dr_Est,"&lt;&gt;Excluido"),IF($E$46="PYG",$F$46/CD$71,$F$46)/12*CD$74*IF(CD$68=1,(1-e_EneVar)+e_EneVar*Produccion_Ventas!CD$58/p_KgBaseMes,IF(Calendario!CD$14=1,p_EspEne,0)))</f>
        <v>1917.80821917808</v>
      </c>
      <c r="CE121" s="13" t="n">
        <f aca="false">IF(CE$69=1,SUMIFS(dr_USD,dr_Mes,77,dr_Cod,"ENE",dr_Est,"&lt;&gt;Excluido"),IF($E$46="PYG",$F$46/CE$71,$F$46)/12*CE$74*IF(CE$68=1,(1-e_EneVar)+e_EneVar*Produccion_Ventas!CE$58/p_KgBaseMes,IF(Calendario!CE$14=1,p_EspEne,0)))</f>
        <v>1917.80821917808</v>
      </c>
      <c r="CF121" s="13" t="n">
        <f aca="false">IF(CF$69=1,SUMIFS(dr_USD,dr_Mes,78,dr_Cod,"ENE",dr_Est,"&lt;&gt;Excluido"),IF($E$46="PYG",$F$46/CF$71,$F$46)/12*CF$74*IF(CF$68=1,(1-e_EneVar)+e_EneVar*Produccion_Ventas!CF$58/p_KgBaseMes,IF(Calendario!CF$14=1,p_EspEne,0)))</f>
        <v>1917.80821917808</v>
      </c>
      <c r="CG121" s="13" t="n">
        <f aca="false">IF(CG$69=1,SUMIFS(dr_USD,dr_Mes,79,dr_Cod,"ENE",dr_Est,"&lt;&gt;Excluido"),IF($E$46="PYG",$F$46/CG$71,$F$46)/12*CG$74*IF(CG$68=1,(1-e_EneVar)+e_EneVar*Produccion_Ventas!CG$58/p_KgBaseMes,IF(Calendario!CG$14=1,p_EspEne,0)))</f>
        <v>1917.80821917808</v>
      </c>
      <c r="CH121" s="13" t="n">
        <f aca="false">IF(CH$69=1,SUMIFS(dr_USD,dr_Mes,80,dr_Cod,"ENE",dr_Est,"&lt;&gt;Excluido"),IF($E$46="PYG",$F$46/CH$71,$F$46)/12*CH$74*IF(CH$68=1,(1-e_EneVar)+e_EneVar*Produccion_Ventas!CH$58/p_KgBaseMes,IF(Calendario!CH$14=1,p_EspEne,0)))</f>
        <v>1917.80821917808</v>
      </c>
      <c r="CI121" s="13" t="n">
        <f aca="false">IF(CI$69=1,SUMIFS(dr_USD,dr_Mes,81,dr_Cod,"ENE",dr_Est,"&lt;&gt;Excluido"),IF($E$46="PYG",$F$46/CI$71,$F$46)/12*CI$74*IF(CI$68=1,(1-e_EneVar)+e_EneVar*Produccion_Ventas!CI$58/p_KgBaseMes,IF(Calendario!CI$14=1,p_EspEne,0)))</f>
        <v>1917.80821917808</v>
      </c>
      <c r="CJ121" s="13" t="n">
        <f aca="false">IF(CJ$69=1,SUMIFS(dr_USD,dr_Mes,82,dr_Cod,"ENE",dr_Est,"&lt;&gt;Excluido"),IF($E$46="PYG",$F$46/CJ$71,$F$46)/12*CJ$74*IF(CJ$68=1,(1-e_EneVar)+e_EneVar*Produccion_Ventas!CJ$58/p_KgBaseMes,IF(Calendario!CJ$14=1,p_EspEne,0)))</f>
        <v>1917.80821917808</v>
      </c>
      <c r="CK121" s="13" t="n">
        <f aca="false">IF(CK$69=1,SUMIFS(dr_USD,dr_Mes,83,dr_Cod,"ENE",dr_Est,"&lt;&gt;Excluido"),IF($E$46="PYG",$F$46/CK$71,$F$46)/12*CK$74*IF(CK$68=1,(1-e_EneVar)+e_EneVar*Produccion_Ventas!CK$58/p_KgBaseMes,IF(Calendario!CK$14=1,p_EspEne,0)))</f>
        <v>1917.80821917808</v>
      </c>
      <c r="CL121" s="13" t="n">
        <f aca="false">IF(CL$69=1,SUMIFS(dr_USD,dr_Mes,84,dr_Cod,"ENE",dr_Est,"&lt;&gt;Excluido"),IF($E$46="PYG",$F$46/CL$71,$F$46)/12*CL$74*IF(CL$68=1,(1-e_EneVar)+e_EneVar*Produccion_Ventas!CL$58/p_KgBaseMes,IF(Calendario!CL$14=1,p_EspEne,0)))</f>
        <v>1917.80821917808</v>
      </c>
      <c r="CM121" s="13" t="n">
        <f aca="false">IF(CM$69=1,SUMIFS(dr_USD,dr_Mes,85,dr_Cod,"ENE",dr_Est,"&lt;&gt;Excluido"),IF($E$46="PYG",$F$46/CM$71,$F$46)/12*CM$74*IF(CM$68=1,(1-e_EneVar)+e_EneVar*Produccion_Ventas!CM$58/p_KgBaseMes,IF(Calendario!CM$14=1,p_EspEne,0)))</f>
        <v>1917.80821917808</v>
      </c>
      <c r="CN121" s="13" t="n">
        <f aca="false">IF(CN$69=1,SUMIFS(dr_USD,dr_Mes,86,dr_Cod,"ENE",dr_Est,"&lt;&gt;Excluido"),IF($E$46="PYG",$F$46/CN$71,$F$46)/12*CN$74*IF(CN$68=1,(1-e_EneVar)+e_EneVar*Produccion_Ventas!CN$58/p_KgBaseMes,IF(Calendario!CN$14=1,p_EspEne,0)))</f>
        <v>1917.80821917808</v>
      </c>
      <c r="CO121" s="13" t="n">
        <f aca="false">IF(CO$69=1,SUMIFS(dr_USD,dr_Mes,87,dr_Cod,"ENE",dr_Est,"&lt;&gt;Excluido"),IF($E$46="PYG",$F$46/CO$71,$F$46)/12*CO$74*IF(CO$68=1,(1-e_EneVar)+e_EneVar*Produccion_Ventas!CO$58/p_KgBaseMes,IF(Calendario!CO$14=1,p_EspEne,0)))</f>
        <v>1917.80821917808</v>
      </c>
      <c r="CP121" s="13" t="n">
        <f aca="false">IF(CP$69=1,SUMIFS(dr_USD,dr_Mes,88,dr_Cod,"ENE",dr_Est,"&lt;&gt;Excluido"),IF($E$46="PYG",$F$46/CP$71,$F$46)/12*CP$74*IF(CP$68=1,(1-e_EneVar)+e_EneVar*Produccion_Ventas!CP$58/p_KgBaseMes,IF(Calendario!CP$14=1,p_EspEne,0)))</f>
        <v>1917.80821917808</v>
      </c>
      <c r="CQ121" s="13" t="n">
        <f aca="false">IF(CQ$69=1,SUMIFS(dr_USD,dr_Mes,89,dr_Cod,"ENE",dr_Est,"&lt;&gt;Excluido"),IF($E$46="PYG",$F$46/CQ$71,$F$46)/12*CQ$74*IF(CQ$68=1,(1-e_EneVar)+e_EneVar*Produccion_Ventas!CQ$58/p_KgBaseMes,IF(Calendario!CQ$14=1,p_EspEne,0)))</f>
        <v>1917.80821917808</v>
      </c>
      <c r="CR121" s="13" t="n">
        <f aca="false">IF(CR$69=1,SUMIFS(dr_USD,dr_Mes,90,dr_Cod,"ENE",dr_Est,"&lt;&gt;Excluido"),IF($E$46="PYG",$F$46/CR$71,$F$46)/12*CR$74*IF(CR$68=1,(1-e_EneVar)+e_EneVar*Produccion_Ventas!CR$58/p_KgBaseMes,IF(Calendario!CR$14=1,p_EspEne,0)))</f>
        <v>1917.80821917808</v>
      </c>
      <c r="CS121" s="13" t="n">
        <f aca="false">IF(CS$69=1,SUMIFS(dr_USD,dr_Mes,91,dr_Cod,"ENE",dr_Est,"&lt;&gt;Excluido"),IF($E$46="PYG",$F$46/CS$71,$F$46)/12*CS$74*IF(CS$68=1,(1-e_EneVar)+e_EneVar*Produccion_Ventas!CS$58/p_KgBaseMes,IF(Calendario!CS$14=1,p_EspEne,0)))</f>
        <v>1917.80821917808</v>
      </c>
      <c r="CT121" s="13" t="n">
        <f aca="false">IF(CT$69=1,SUMIFS(dr_USD,dr_Mes,92,dr_Cod,"ENE",dr_Est,"&lt;&gt;Excluido"),IF($E$46="PYG",$F$46/CT$71,$F$46)/12*CT$74*IF(CT$68=1,(1-e_EneVar)+e_EneVar*Produccion_Ventas!CT$58/p_KgBaseMes,IF(Calendario!CT$14=1,p_EspEne,0)))</f>
        <v>1917.80821917808</v>
      </c>
      <c r="CU121" s="13" t="n">
        <f aca="false">IF(CU$69=1,SUMIFS(dr_USD,dr_Mes,93,dr_Cod,"ENE",dr_Est,"&lt;&gt;Excluido"),IF($E$46="PYG",$F$46/CU$71,$F$46)/12*CU$74*IF(CU$68=1,(1-e_EneVar)+e_EneVar*Produccion_Ventas!CU$58/p_KgBaseMes,IF(Calendario!CU$14=1,p_EspEne,0)))</f>
        <v>1917.80821917808</v>
      </c>
      <c r="CV121" s="13" t="n">
        <f aca="false">IF(CV$69=1,SUMIFS(dr_USD,dr_Mes,94,dr_Cod,"ENE",dr_Est,"&lt;&gt;Excluido"),IF($E$46="PYG",$F$46/CV$71,$F$46)/12*CV$74*IF(CV$68=1,(1-e_EneVar)+e_EneVar*Produccion_Ventas!CV$58/p_KgBaseMes,IF(Calendario!CV$14=1,p_EspEne,0)))</f>
        <v>1917.80821917808</v>
      </c>
      <c r="CW121" s="13" t="n">
        <f aca="false">IF(CW$69=1,SUMIFS(dr_USD,dr_Mes,95,dr_Cod,"ENE",dr_Est,"&lt;&gt;Excluido"),IF($E$46="PYG",$F$46/CW$71,$F$46)/12*CW$74*IF(CW$68=1,(1-e_EneVar)+e_EneVar*Produccion_Ventas!CW$58/p_KgBaseMes,IF(Calendario!CW$14=1,p_EspEne,0)))</f>
        <v>1917.80821917808</v>
      </c>
      <c r="CX121" s="13" t="n">
        <f aca="false">IF(CX$69=1,SUMIFS(dr_USD,dr_Mes,96,dr_Cod,"ENE",dr_Est,"&lt;&gt;Excluido"),IF($E$46="PYG",$F$46/CX$71,$F$46)/12*CX$74*IF(CX$68=1,(1-e_EneVar)+e_EneVar*Produccion_Ventas!CX$58/p_KgBaseMes,IF(Calendario!CX$14=1,p_EspEne,0)))</f>
        <v>1917.80821917808</v>
      </c>
      <c r="CY121" s="13" t="n">
        <f aca="false">IF(CY$69=1,SUMIFS(dr_USD,dr_Mes,97,dr_Cod,"ENE",dr_Est,"&lt;&gt;Excluido"),IF($E$46="PYG",$F$46/CY$71,$F$46)/12*CY$74*IF(CY$68=1,(1-e_EneVar)+e_EneVar*Produccion_Ventas!CY$58/p_KgBaseMes,IF(Calendario!CY$14=1,p_EspEne,0)))</f>
        <v>1917.80821917808</v>
      </c>
      <c r="CZ121" s="13" t="n">
        <f aca="false">IF(CZ$69=1,SUMIFS(dr_USD,dr_Mes,98,dr_Cod,"ENE",dr_Est,"&lt;&gt;Excluido"),IF($E$46="PYG",$F$46/CZ$71,$F$46)/12*CZ$74*IF(CZ$68=1,(1-e_EneVar)+e_EneVar*Produccion_Ventas!CZ$58/p_KgBaseMes,IF(Calendario!CZ$14=1,p_EspEne,0)))</f>
        <v>1917.80821917808</v>
      </c>
      <c r="DA121" s="13" t="n">
        <f aca="false">IF(DA$69=1,SUMIFS(dr_USD,dr_Mes,99,dr_Cod,"ENE",dr_Est,"&lt;&gt;Excluido"),IF($E$46="PYG",$F$46/DA$71,$F$46)/12*DA$74*IF(DA$68=1,(1-e_EneVar)+e_EneVar*Produccion_Ventas!DA$58/p_KgBaseMes,IF(Calendario!DA$14=1,p_EspEne,0)))</f>
        <v>1917.80821917808</v>
      </c>
      <c r="DB121" s="13" t="n">
        <f aca="false">IF(DB$69=1,SUMIFS(dr_USD,dr_Mes,100,dr_Cod,"ENE",dr_Est,"&lt;&gt;Excluido"),IF($E$46="PYG",$F$46/DB$71,$F$46)/12*DB$74*IF(DB$68=1,(1-e_EneVar)+e_EneVar*Produccion_Ventas!DB$58/p_KgBaseMes,IF(Calendario!DB$14=1,p_EspEne,0)))</f>
        <v>1917.80821917808</v>
      </c>
      <c r="DC121" s="13" t="n">
        <f aca="false">IF(DC$69=1,SUMIFS(dr_USD,dr_Mes,101,dr_Cod,"ENE",dr_Est,"&lt;&gt;Excluido"),IF($E$46="PYG",$F$46/DC$71,$F$46)/12*DC$74*IF(DC$68=1,(1-e_EneVar)+e_EneVar*Produccion_Ventas!DC$58/p_KgBaseMes,IF(Calendario!DC$14=1,p_EspEne,0)))</f>
        <v>1917.80821917808</v>
      </c>
      <c r="DD121" s="13" t="n">
        <f aca="false">IF(DD$69=1,SUMIFS(dr_USD,dr_Mes,102,dr_Cod,"ENE",dr_Est,"&lt;&gt;Excluido"),IF($E$46="PYG",$F$46/DD$71,$F$46)/12*DD$74*IF(DD$68=1,(1-e_EneVar)+e_EneVar*Produccion_Ventas!DD$58/p_KgBaseMes,IF(Calendario!DD$14=1,p_EspEne,0)))</f>
        <v>1917.80821917808</v>
      </c>
      <c r="DE121" s="13" t="n">
        <f aca="false">IF(DE$69=1,SUMIFS(dr_USD,dr_Mes,103,dr_Cod,"ENE",dr_Est,"&lt;&gt;Excluido"),IF($E$46="PYG",$F$46/DE$71,$F$46)/12*DE$74*IF(DE$68=1,(1-e_EneVar)+e_EneVar*Produccion_Ventas!DE$58/p_KgBaseMes,IF(Calendario!DE$14=1,p_EspEne,0)))</f>
        <v>1917.80821917808</v>
      </c>
      <c r="DF121" s="13" t="n">
        <f aca="false">IF(DF$69=1,SUMIFS(dr_USD,dr_Mes,104,dr_Cod,"ENE",dr_Est,"&lt;&gt;Excluido"),IF($E$46="PYG",$F$46/DF$71,$F$46)/12*DF$74*IF(DF$68=1,(1-e_EneVar)+e_EneVar*Produccion_Ventas!DF$58/p_KgBaseMes,IF(Calendario!DF$14=1,p_EspEne,0)))</f>
        <v>1917.80821917808</v>
      </c>
      <c r="DG121" s="13" t="n">
        <f aca="false">IF(DG$69=1,SUMIFS(dr_USD,dr_Mes,105,dr_Cod,"ENE",dr_Est,"&lt;&gt;Excluido"),IF($E$46="PYG",$F$46/DG$71,$F$46)/12*DG$74*IF(DG$68=1,(1-e_EneVar)+e_EneVar*Produccion_Ventas!DG$58/p_KgBaseMes,IF(Calendario!DG$14=1,p_EspEne,0)))</f>
        <v>1917.80821917808</v>
      </c>
      <c r="DH121" s="13" t="n">
        <f aca="false">IF(DH$69=1,SUMIFS(dr_USD,dr_Mes,106,dr_Cod,"ENE",dr_Est,"&lt;&gt;Excluido"),IF($E$46="PYG",$F$46/DH$71,$F$46)/12*DH$74*IF(DH$68=1,(1-e_EneVar)+e_EneVar*Produccion_Ventas!DH$58/p_KgBaseMes,IF(Calendario!DH$14=1,p_EspEne,0)))</f>
        <v>1917.80821917808</v>
      </c>
      <c r="DI121" s="13" t="n">
        <f aca="false">IF(DI$69=1,SUMIFS(dr_USD,dr_Mes,107,dr_Cod,"ENE",dr_Est,"&lt;&gt;Excluido"),IF($E$46="PYG",$F$46/DI$71,$F$46)/12*DI$74*IF(DI$68=1,(1-e_EneVar)+e_EneVar*Produccion_Ventas!DI$58/p_KgBaseMes,IF(Calendario!DI$14=1,p_EspEne,0)))</f>
        <v>1917.80821917808</v>
      </c>
      <c r="DJ121" s="13" t="n">
        <f aca="false">IF(DJ$69=1,SUMIFS(dr_USD,dr_Mes,108,dr_Cod,"ENE",dr_Est,"&lt;&gt;Excluido"),IF($E$46="PYG",$F$46/DJ$71,$F$46)/12*DJ$74*IF(DJ$68=1,(1-e_EneVar)+e_EneVar*Produccion_Ventas!DJ$58/p_KgBaseMes,IF(Calendario!DJ$14=1,p_EspEne,0)))</f>
        <v>1917.80821917808</v>
      </c>
      <c r="DK121" s="13" t="n">
        <f aca="false">IF(DK$69=1,SUMIFS(dr_USD,dr_Mes,109,dr_Cod,"ENE",dr_Est,"&lt;&gt;Excluido"),IF($E$46="PYG",$F$46/DK$71,$F$46)/12*DK$74*IF(DK$68=1,(1-e_EneVar)+e_EneVar*Produccion_Ventas!DK$58/p_KgBaseMes,IF(Calendario!DK$14=1,p_EspEne,0)))</f>
        <v>1917.80821917808</v>
      </c>
      <c r="DL121" s="13" t="n">
        <f aca="false">IF(DL$69=1,SUMIFS(dr_USD,dr_Mes,110,dr_Cod,"ENE",dr_Est,"&lt;&gt;Excluido"),IF($E$46="PYG",$F$46/DL$71,$F$46)/12*DL$74*IF(DL$68=1,(1-e_EneVar)+e_EneVar*Produccion_Ventas!DL$58/p_KgBaseMes,IF(Calendario!DL$14=1,p_EspEne,0)))</f>
        <v>1917.80821917808</v>
      </c>
      <c r="DM121" s="13" t="n">
        <f aca="false">IF(DM$69=1,SUMIFS(dr_USD,dr_Mes,111,dr_Cod,"ENE",dr_Est,"&lt;&gt;Excluido"),IF($E$46="PYG",$F$46/DM$71,$F$46)/12*DM$74*IF(DM$68=1,(1-e_EneVar)+e_EneVar*Produccion_Ventas!DM$58/p_KgBaseMes,IF(Calendario!DM$14=1,p_EspEne,0)))</f>
        <v>1917.80821917808</v>
      </c>
      <c r="DN121" s="13" t="n">
        <f aca="false">IF(DN$69=1,SUMIFS(dr_USD,dr_Mes,112,dr_Cod,"ENE",dr_Est,"&lt;&gt;Excluido"),IF($E$46="PYG",$F$46/DN$71,$F$46)/12*DN$74*IF(DN$68=1,(1-e_EneVar)+e_EneVar*Produccion_Ventas!DN$58/p_KgBaseMes,IF(Calendario!DN$14=1,p_EspEne,0)))</f>
        <v>1917.80821917808</v>
      </c>
      <c r="DO121" s="13" t="n">
        <f aca="false">IF(DO$69=1,SUMIFS(dr_USD,dr_Mes,113,dr_Cod,"ENE",dr_Est,"&lt;&gt;Excluido"),IF($E$46="PYG",$F$46/DO$71,$F$46)/12*DO$74*IF(DO$68=1,(1-e_EneVar)+e_EneVar*Produccion_Ventas!DO$58/p_KgBaseMes,IF(Calendario!DO$14=1,p_EspEne,0)))</f>
        <v>1917.80821917808</v>
      </c>
      <c r="DP121" s="13" t="n">
        <f aca="false">IF(DP$69=1,SUMIFS(dr_USD,dr_Mes,114,dr_Cod,"ENE",dr_Est,"&lt;&gt;Excluido"),IF($E$46="PYG",$F$46/DP$71,$F$46)/12*DP$74*IF(DP$68=1,(1-e_EneVar)+e_EneVar*Produccion_Ventas!DP$58/p_KgBaseMes,IF(Calendario!DP$14=1,p_EspEne,0)))</f>
        <v>1917.80821917808</v>
      </c>
      <c r="DQ121" s="13" t="n">
        <f aca="false">IF(DQ$69=1,SUMIFS(dr_USD,dr_Mes,115,dr_Cod,"ENE",dr_Est,"&lt;&gt;Excluido"),IF($E$46="PYG",$F$46/DQ$71,$F$46)/12*DQ$74*IF(DQ$68=1,(1-e_EneVar)+e_EneVar*Produccion_Ventas!DQ$58/p_KgBaseMes,IF(Calendario!DQ$14=1,p_EspEne,0)))</f>
        <v>1917.80821917808</v>
      </c>
      <c r="DR121" s="13" t="n">
        <f aca="false">IF(DR$69=1,SUMIFS(dr_USD,dr_Mes,116,dr_Cod,"ENE",dr_Est,"&lt;&gt;Excluido"),IF($E$46="PYG",$F$46/DR$71,$F$46)/12*DR$74*IF(DR$68=1,(1-e_EneVar)+e_EneVar*Produccion_Ventas!DR$58/p_KgBaseMes,IF(Calendario!DR$14=1,p_EspEne,0)))</f>
        <v>1917.80821917808</v>
      </c>
      <c r="DS121" s="13" t="n">
        <f aca="false">IF(DS$69=1,SUMIFS(dr_USD,dr_Mes,117,dr_Cod,"ENE",dr_Est,"&lt;&gt;Excluido"),IF($E$46="PYG",$F$46/DS$71,$F$46)/12*DS$74*IF(DS$68=1,(1-e_EneVar)+e_EneVar*Produccion_Ventas!DS$58/p_KgBaseMes,IF(Calendario!DS$14=1,p_EspEne,0)))</f>
        <v>1917.80821917808</v>
      </c>
      <c r="DT121" s="13" t="n">
        <f aca="false">IF(DT$69=1,SUMIFS(dr_USD,dr_Mes,118,dr_Cod,"ENE",dr_Est,"&lt;&gt;Excluido"),IF($E$46="PYG",$F$46/DT$71,$F$46)/12*DT$74*IF(DT$68=1,(1-e_EneVar)+e_EneVar*Produccion_Ventas!DT$58/p_KgBaseMes,IF(Calendario!DT$14=1,p_EspEne,0)))</f>
        <v>1917.80821917808</v>
      </c>
      <c r="DU121" s="13" t="n">
        <f aca="false">IF(DU$69=1,SUMIFS(dr_USD,dr_Mes,119,dr_Cod,"ENE",dr_Est,"&lt;&gt;Excluido"),IF($E$46="PYG",$F$46/DU$71,$F$46)/12*DU$74*IF(DU$68=1,(1-e_EneVar)+e_EneVar*Produccion_Ventas!DU$58/p_KgBaseMes,IF(Calendario!DU$14=1,p_EspEne,0)))</f>
        <v>1917.80821917808</v>
      </c>
      <c r="DV121" s="13" t="n">
        <f aca="false">IF(DV$69=1,SUMIFS(dr_USD,dr_Mes,120,dr_Cod,"ENE",dr_Est,"&lt;&gt;Excluido"),IF($E$46="PYG",$F$46/DV$71,$F$46)/12*DV$74*IF(DV$68=1,(1-e_EneVar)+e_EneVar*Produccion_Ventas!DV$58/p_KgBaseMes,IF(Calendario!DV$14=1,p_EspEne,0)))</f>
        <v>1917.80821917808</v>
      </c>
      <c r="DW121" s="13" t="n">
        <f aca="false">IF(DW$69=1,SUMIFS(dr_USD,dr_Mes,121,dr_Cod,"ENE",dr_Est,"&lt;&gt;Excluido"),IF($E$46="PYG",$F$46/DW$71,$F$46)/12*DW$74*IF(DW$68=1,(1-e_EneVar)+e_EneVar*Produccion_Ventas!DW$58/p_KgBaseMes,IF(Calendario!DW$14=1,p_EspEne,0)))</f>
        <v>0</v>
      </c>
      <c r="DX121" s="13" t="n">
        <f aca="false">IF(DX$69=1,SUMIFS(dr_USD,dr_Mes,122,dr_Cod,"ENE",dr_Est,"&lt;&gt;Excluido"),IF($E$46="PYG",$F$46/DX$71,$F$46)/12*DX$74*IF(DX$68=1,(1-e_EneVar)+e_EneVar*Produccion_Ventas!DX$58/p_KgBaseMes,IF(Calendario!DX$14=1,p_EspEne,0)))</f>
        <v>0</v>
      </c>
      <c r="DY121" s="13" t="n">
        <f aca="false">IF(DY$69=1,SUMIFS(dr_USD,dr_Mes,123,dr_Cod,"ENE",dr_Est,"&lt;&gt;Excluido"),IF($E$46="PYG",$F$46/DY$71,$F$46)/12*DY$74*IF(DY$68=1,(1-e_EneVar)+e_EneVar*Produccion_Ventas!DY$58/p_KgBaseMes,IF(Calendario!DY$14=1,p_EspEne,0)))</f>
        <v>0</v>
      </c>
      <c r="DZ121" s="13" t="n">
        <f aca="false">IF(DZ$69=1,SUMIFS(dr_USD,dr_Mes,124,dr_Cod,"ENE",dr_Est,"&lt;&gt;Excluido"),IF($E$46="PYG",$F$46/DZ$71,$F$46)/12*DZ$74*IF(DZ$68=1,(1-e_EneVar)+e_EneVar*Produccion_Ventas!DZ$58/p_KgBaseMes,IF(Calendario!DZ$14=1,p_EspEne,0)))</f>
        <v>0</v>
      </c>
      <c r="EA121" s="13" t="n">
        <f aca="false">IF(EA$69=1,SUMIFS(dr_USD,dr_Mes,125,dr_Cod,"ENE",dr_Est,"&lt;&gt;Excluido"),IF($E$46="PYG",$F$46/EA$71,$F$46)/12*EA$74*IF(EA$68=1,(1-e_EneVar)+e_EneVar*Produccion_Ventas!EA$58/p_KgBaseMes,IF(Calendario!EA$14=1,p_EspEne,0)))</f>
        <v>0</v>
      </c>
      <c r="EB121" s="13" t="n">
        <f aca="false">IF(EB$69=1,SUMIFS(dr_USD,dr_Mes,126,dr_Cod,"ENE",dr_Est,"&lt;&gt;Excluido"),IF($E$46="PYG",$F$46/EB$71,$F$46)/12*EB$74*IF(EB$68=1,(1-e_EneVar)+e_EneVar*Produccion_Ventas!EB$58/p_KgBaseMes,IF(Calendario!EB$14=1,p_EspEne,0)))</f>
        <v>0</v>
      </c>
      <c r="EC121" s="13" t="n">
        <f aca="false">IF(EC$69=1,SUMIFS(dr_USD,dr_Mes,127,dr_Cod,"ENE",dr_Est,"&lt;&gt;Excluido"),IF($E$46="PYG",$F$46/EC$71,$F$46)/12*EC$74*IF(EC$68=1,(1-e_EneVar)+e_EneVar*Produccion_Ventas!EC$58/p_KgBaseMes,IF(Calendario!EC$14=1,p_EspEne,0)))</f>
        <v>0</v>
      </c>
      <c r="ED121" s="13" t="n">
        <f aca="false">IF(ED$69=1,SUMIFS(dr_USD,dr_Mes,128,dr_Cod,"ENE",dr_Est,"&lt;&gt;Excluido"),IF($E$46="PYG",$F$46/ED$71,$F$46)/12*ED$74*IF(ED$68=1,(1-e_EneVar)+e_EneVar*Produccion_Ventas!ED$58/p_KgBaseMes,IF(Calendario!ED$14=1,p_EspEne,0)))</f>
        <v>0</v>
      </c>
      <c r="EE121" s="13" t="n">
        <f aca="false">IF(EE$69=1,SUMIFS(dr_USD,dr_Mes,129,dr_Cod,"ENE",dr_Est,"&lt;&gt;Excluido"),IF($E$46="PYG",$F$46/EE$71,$F$46)/12*EE$74*IF(EE$68=1,(1-e_EneVar)+e_EneVar*Produccion_Ventas!EE$58/p_KgBaseMes,IF(Calendario!EE$14=1,p_EspEne,0)))</f>
        <v>0</v>
      </c>
      <c r="EF121" s="13" t="n">
        <f aca="false">IF(EF$69=1,SUMIFS(dr_USD,dr_Mes,130,dr_Cod,"ENE",dr_Est,"&lt;&gt;Excluido"),IF($E$46="PYG",$F$46/EF$71,$F$46)/12*EF$74*IF(EF$68=1,(1-e_EneVar)+e_EneVar*Produccion_Ventas!EF$58/p_KgBaseMes,IF(Calendario!EF$14=1,p_EspEne,0)))</f>
        <v>0</v>
      </c>
      <c r="EG121" s="13" t="n">
        <f aca="false">IF(EG$69=1,SUMIFS(dr_USD,dr_Mes,131,dr_Cod,"ENE",dr_Est,"&lt;&gt;Excluido"),IF($E$46="PYG",$F$46/EG$71,$F$46)/12*EG$74*IF(EG$68=1,(1-e_EneVar)+e_EneVar*Produccion_Ventas!EG$58/p_KgBaseMes,IF(Calendario!EG$14=1,p_EspEne,0)))</f>
        <v>0</v>
      </c>
      <c r="EH121" s="13" t="n">
        <f aca="false">IF(EH$69=1,SUMIFS(dr_USD,dr_Mes,132,dr_Cod,"ENE",dr_Est,"&lt;&gt;Excluido"),IF($E$46="PYG",$F$46/EH$71,$F$46)/12*EH$74*IF(EH$68=1,(1-e_EneVar)+e_EneVar*Produccion_Ventas!EH$58/p_KgBaseMes,IF(Calendario!EH$14=1,p_EspEne,0)))</f>
        <v>0</v>
      </c>
      <c r="EI121" s="13" t="n">
        <f aca="false">IF(EI$69=1,SUMIFS(dr_USD,dr_Mes,133,dr_Cod,"ENE",dr_Est,"&lt;&gt;Excluido"),IF($E$46="PYG",$F$46/EI$71,$F$46)/12*EI$74*IF(EI$68=1,(1-e_EneVar)+e_EneVar*Produccion_Ventas!EI$58/p_KgBaseMes,IF(Calendario!EI$14=1,p_EspEne,0)))</f>
        <v>0</v>
      </c>
      <c r="EJ121" s="13" t="n">
        <f aca="false">IF(EJ$69=1,SUMIFS(dr_USD,dr_Mes,134,dr_Cod,"ENE",dr_Est,"&lt;&gt;Excluido"),IF($E$46="PYG",$F$46/EJ$71,$F$46)/12*EJ$74*IF(EJ$68=1,(1-e_EneVar)+e_EneVar*Produccion_Ventas!EJ$58/p_KgBaseMes,IF(Calendario!EJ$14=1,p_EspEne,0)))</f>
        <v>0</v>
      </c>
      <c r="EK121" s="13" t="n">
        <f aca="false">IF(EK$69=1,SUMIFS(dr_USD,dr_Mes,135,dr_Cod,"ENE",dr_Est,"&lt;&gt;Excluido"),IF($E$46="PYG",$F$46/EK$71,$F$46)/12*EK$74*IF(EK$68=1,(1-e_EneVar)+e_EneVar*Produccion_Ventas!EK$58/p_KgBaseMes,IF(Calendario!EK$14=1,p_EspEne,0)))</f>
        <v>0</v>
      </c>
      <c r="EL121" s="13" t="n">
        <f aca="false">IF(EL$69=1,SUMIFS(dr_USD,dr_Mes,136,dr_Cod,"ENE",dr_Est,"&lt;&gt;Excluido"),IF($E$46="PYG",$F$46/EL$71,$F$46)/12*EL$74*IF(EL$68=1,(1-e_EneVar)+e_EneVar*Produccion_Ventas!EL$58/p_KgBaseMes,IF(Calendario!EL$14=1,p_EspEne,0)))</f>
        <v>0</v>
      </c>
      <c r="EM121" s="13" t="n">
        <f aca="false">IF(EM$69=1,SUMIFS(dr_USD,dr_Mes,137,dr_Cod,"ENE",dr_Est,"&lt;&gt;Excluido"),IF($E$46="PYG",$F$46/EM$71,$F$46)/12*EM$74*IF(EM$68=1,(1-e_EneVar)+e_EneVar*Produccion_Ventas!EM$58/p_KgBaseMes,IF(Calendario!EM$14=1,p_EspEne,0)))</f>
        <v>0</v>
      </c>
      <c r="EN121" s="13" t="n">
        <f aca="false">IF(EN$69=1,SUMIFS(dr_USD,dr_Mes,138,dr_Cod,"ENE",dr_Est,"&lt;&gt;Excluido"),IF($E$46="PYG",$F$46/EN$71,$F$46)/12*EN$74*IF(EN$68=1,(1-e_EneVar)+e_EneVar*Produccion_Ventas!EN$58/p_KgBaseMes,IF(Calendario!EN$14=1,p_EspEne,0)))</f>
        <v>0</v>
      </c>
      <c r="EO121" s="13" t="n">
        <f aca="false">IF(EO$69=1,SUMIFS(dr_USD,dr_Mes,139,dr_Cod,"ENE",dr_Est,"&lt;&gt;Excluido"),IF($E$46="PYG",$F$46/EO$71,$F$46)/12*EO$74*IF(EO$68=1,(1-e_EneVar)+e_EneVar*Produccion_Ventas!EO$58/p_KgBaseMes,IF(Calendario!EO$14=1,p_EspEne,0)))</f>
        <v>0</v>
      </c>
      <c r="EP121" s="13" t="n">
        <f aca="false">IF(EP$69=1,SUMIFS(dr_USD,dr_Mes,140,dr_Cod,"ENE",dr_Est,"&lt;&gt;Excluido"),IF($E$46="PYG",$F$46/EP$71,$F$46)/12*EP$74*IF(EP$68=1,(1-e_EneVar)+e_EneVar*Produccion_Ventas!EP$58/p_KgBaseMes,IF(Calendario!EP$14=1,p_EspEne,0)))</f>
        <v>0</v>
      </c>
      <c r="EQ121" s="13" t="n">
        <f aca="false">IF(EQ$69=1,SUMIFS(dr_USD,dr_Mes,141,dr_Cod,"ENE",dr_Est,"&lt;&gt;Excluido"),IF($E$46="PYG",$F$46/EQ$71,$F$46)/12*EQ$74*IF(EQ$68=1,(1-e_EneVar)+e_EneVar*Produccion_Ventas!EQ$58/p_KgBaseMes,IF(Calendario!EQ$14=1,p_EspEne,0)))</f>
        <v>0</v>
      </c>
      <c r="ER121" s="13" t="n">
        <f aca="false">IF(ER$69=1,SUMIFS(dr_USD,dr_Mes,142,dr_Cod,"ENE",dr_Est,"&lt;&gt;Excluido"),IF($E$46="PYG",$F$46/ER$71,$F$46)/12*ER$74*IF(ER$68=1,(1-e_EneVar)+e_EneVar*Produccion_Ventas!ER$58/p_KgBaseMes,IF(Calendario!ER$14=1,p_EspEne,0)))</f>
        <v>0</v>
      </c>
      <c r="ES121" s="13" t="n">
        <f aca="false">IF(ES$69=1,SUMIFS(dr_USD,dr_Mes,143,dr_Cod,"ENE",dr_Est,"&lt;&gt;Excluido"),IF($E$46="PYG",$F$46/ES$71,$F$46)/12*ES$74*IF(ES$68=1,(1-e_EneVar)+e_EneVar*Produccion_Ventas!ES$58/p_KgBaseMes,IF(Calendario!ES$14=1,p_EspEne,0)))</f>
        <v>0</v>
      </c>
      <c r="ET121" s="13" t="n">
        <f aca="false">IF(ET$69=1,SUMIFS(dr_USD,dr_Mes,144,dr_Cod,"ENE",dr_Est,"&lt;&gt;Excluido"),IF($E$46="PYG",$F$46/ET$71,$F$46)/12*ET$74*IF(ET$68=1,(1-e_EneVar)+e_EneVar*Produccion_Ventas!ET$58/p_KgBaseMes,IF(Calendario!ET$14=1,p_EspEne,0)))</f>
        <v>0</v>
      </c>
      <c r="EU121" s="13" t="n">
        <f aca="false">IF(EU$69=1,SUMIFS(dr_USD,dr_Mes,145,dr_Cod,"ENE",dr_Est,"&lt;&gt;Excluido"),IF($E$46="PYG",$F$46/EU$71,$F$46)/12*EU$74*IF(EU$68=1,(1-e_EneVar)+e_EneVar*Produccion_Ventas!EU$58/p_KgBaseMes,IF(Calendario!EU$14=1,p_EspEne,0)))</f>
        <v>0</v>
      </c>
      <c r="EV121" s="13" t="n">
        <f aca="false">IF(EV$69=1,SUMIFS(dr_USD,dr_Mes,146,dr_Cod,"ENE",dr_Est,"&lt;&gt;Excluido"),IF($E$46="PYG",$F$46/EV$71,$F$46)/12*EV$74*IF(EV$68=1,(1-e_EneVar)+e_EneVar*Produccion_Ventas!EV$58/p_KgBaseMes,IF(Calendario!EV$14=1,p_EspEne,0)))</f>
        <v>0</v>
      </c>
      <c r="EW121" s="13" t="n">
        <f aca="false">IF(EW$69=1,SUMIFS(dr_USD,dr_Mes,147,dr_Cod,"ENE",dr_Est,"&lt;&gt;Excluido"),IF($E$46="PYG",$F$46/EW$71,$F$46)/12*EW$74*IF(EW$68=1,(1-e_EneVar)+e_EneVar*Produccion_Ventas!EW$58/p_KgBaseMes,IF(Calendario!EW$14=1,p_EspEne,0)))</f>
        <v>0</v>
      </c>
      <c r="EX121" s="13" t="n">
        <f aca="false">IF(EX$69=1,SUMIFS(dr_USD,dr_Mes,148,dr_Cod,"ENE",dr_Est,"&lt;&gt;Excluido"),IF($E$46="PYG",$F$46/EX$71,$F$46)/12*EX$74*IF(EX$68=1,(1-e_EneVar)+e_EneVar*Produccion_Ventas!EX$58/p_KgBaseMes,IF(Calendario!EX$14=1,p_EspEne,0)))</f>
        <v>0</v>
      </c>
      <c r="EY121" s="13" t="n">
        <f aca="false">IF(EY$69=1,SUMIFS(dr_USD,dr_Mes,149,dr_Cod,"ENE",dr_Est,"&lt;&gt;Excluido"),IF($E$46="PYG",$F$46/EY$71,$F$46)/12*EY$74*IF(EY$68=1,(1-e_EneVar)+e_EneVar*Produccion_Ventas!EY$58/p_KgBaseMes,IF(Calendario!EY$14=1,p_EspEne,0)))</f>
        <v>0</v>
      </c>
      <c r="EZ121" s="13" t="n">
        <f aca="false">IF(EZ$69=1,SUMIFS(dr_USD,dr_Mes,150,dr_Cod,"ENE",dr_Est,"&lt;&gt;Excluido"),IF($E$46="PYG",$F$46/EZ$71,$F$46)/12*EZ$74*IF(EZ$68=1,(1-e_EneVar)+e_EneVar*Produccion_Ventas!EZ$58/p_KgBaseMes,IF(Calendario!EZ$14=1,p_EspEne,0)))</f>
        <v>0</v>
      </c>
      <c r="FA121" s="13" t="n">
        <f aca="false">IF(FA$69=1,SUMIFS(dr_USD,dr_Mes,151,dr_Cod,"ENE",dr_Est,"&lt;&gt;Excluido"),IF($E$46="PYG",$F$46/FA$71,$F$46)/12*FA$74*IF(FA$68=1,(1-e_EneVar)+e_EneVar*Produccion_Ventas!FA$58/p_KgBaseMes,IF(Calendario!FA$14=1,p_EspEne,0)))</f>
        <v>0</v>
      </c>
      <c r="FB121" s="13" t="n">
        <f aca="false">IF(FB$69=1,SUMIFS(dr_USD,dr_Mes,152,dr_Cod,"ENE",dr_Est,"&lt;&gt;Excluido"),IF($E$46="PYG",$F$46/FB$71,$F$46)/12*FB$74*IF(FB$68=1,(1-e_EneVar)+e_EneVar*Produccion_Ventas!FB$58/p_KgBaseMes,IF(Calendario!FB$14=1,p_EspEne,0)))</f>
        <v>0</v>
      </c>
      <c r="FC121" s="13" t="n">
        <f aca="false">IF(FC$69=1,SUMIFS(dr_USD,dr_Mes,153,dr_Cod,"ENE",dr_Est,"&lt;&gt;Excluido"),IF($E$46="PYG",$F$46/FC$71,$F$46)/12*FC$74*IF(FC$68=1,(1-e_EneVar)+e_EneVar*Produccion_Ventas!FC$58/p_KgBaseMes,IF(Calendario!FC$14=1,p_EspEne,0)))</f>
        <v>0</v>
      </c>
      <c r="FD121" s="13" t="n">
        <f aca="false">IF(FD$69=1,SUMIFS(dr_USD,dr_Mes,154,dr_Cod,"ENE",dr_Est,"&lt;&gt;Excluido"),IF($E$46="PYG",$F$46/FD$71,$F$46)/12*FD$74*IF(FD$68=1,(1-e_EneVar)+e_EneVar*Produccion_Ventas!FD$58/p_KgBaseMes,IF(Calendario!FD$14=1,p_EspEne,0)))</f>
        <v>0</v>
      </c>
      <c r="FE121" s="13" t="n">
        <f aca="false">IF(FE$69=1,SUMIFS(dr_USD,dr_Mes,155,dr_Cod,"ENE",dr_Est,"&lt;&gt;Excluido"),IF($E$46="PYG",$F$46/FE$71,$F$46)/12*FE$74*IF(FE$68=1,(1-e_EneVar)+e_EneVar*Produccion_Ventas!FE$58/p_KgBaseMes,IF(Calendario!FE$14=1,p_EspEne,0)))</f>
        <v>0</v>
      </c>
      <c r="FF121" s="13" t="n">
        <f aca="false">IF(FF$69=1,SUMIFS(dr_USD,dr_Mes,156,dr_Cod,"ENE",dr_Est,"&lt;&gt;Excluido"),IF($E$46="PYG",$F$46/FF$71,$F$46)/12*FF$74*IF(FF$68=1,(1-e_EneVar)+e_EneVar*Produccion_Ventas!FF$58/p_KgBaseMes,IF(Calendario!FF$14=1,p_EspEne,0)))</f>
        <v>0</v>
      </c>
    </row>
    <row r="122" customFormat="false" ht="15" hidden="false" customHeight="false" outlineLevel="0" collapsed="false">
      <c r="A122" s="2" t="s">
        <v>1091</v>
      </c>
      <c r="B122" s="8" t="s">
        <v>973</v>
      </c>
      <c r="C122" s="8" t="s">
        <v>255</v>
      </c>
      <c r="E122" s="65" t="n">
        <f aca="false">SUM($F122:$FF122)</f>
        <v>323817.2</v>
      </c>
      <c r="F122" s="13" t="n">
        <f aca="false">IF(F$69=1,SUMIFS(dr_USD,dr_Mes,0,dr_Cod,"MAN",dr_Est,"&lt;&gt;Excluido"),IF($E$47="PYG",$F$47/F$71,$F$47)/12*(1+p_ManInc*(MAX(1,F$67)-1))*F$74*F$76)</f>
        <v>0</v>
      </c>
      <c r="G122" s="13" t="n">
        <f aca="false">IF(G$69=1,SUMIFS(dr_USD,dr_Mes,1,dr_Cod,"MAN",dr_Est,"&lt;&gt;Excluido"),IF($E$47="PYG",$F$47/G$71,$F$47)/12*(1+p_ManInc*(MAX(1,G$67)-1))*G$74*G$76)</f>
        <v>2475.66666666667</v>
      </c>
      <c r="H122" s="13" t="n">
        <f aca="false">IF(H$69=1,SUMIFS(dr_USD,dr_Mes,2,dr_Cod,"MAN",dr_Est,"&lt;&gt;Excluido"),IF($E$47="PYG",$F$47/H$71,$F$47)/12*(1+p_ManInc*(MAX(1,H$67)-1))*H$74*H$76)</f>
        <v>2475.66666666667</v>
      </c>
      <c r="I122" s="13" t="n">
        <f aca="false">IF(I$69=1,SUMIFS(dr_USD,dr_Mes,3,dr_Cod,"MAN",dr_Est,"&lt;&gt;Excluido"),IF($E$47="PYG",$F$47/I$71,$F$47)/12*(1+p_ManInc*(MAX(1,I$67)-1))*I$74*I$76)</f>
        <v>2475.66666666667</v>
      </c>
      <c r="J122" s="13" t="n">
        <f aca="false">IF(J$69=1,SUMIFS(dr_USD,dr_Mes,4,dr_Cod,"MAN",dr_Est,"&lt;&gt;Excluido"),IF($E$47="PYG",$F$47/J$71,$F$47)/12*(1+p_ManInc*(MAX(1,J$67)-1))*J$74*J$76)</f>
        <v>2475.66666666667</v>
      </c>
      <c r="K122" s="13" t="n">
        <f aca="false">IF(K$69=1,SUMIFS(dr_USD,dr_Mes,5,dr_Cod,"MAN",dr_Est,"&lt;&gt;Excluido"),IF($E$47="PYG",$F$47/K$71,$F$47)/12*(1+p_ManInc*(MAX(1,K$67)-1))*K$74*K$76)</f>
        <v>2475.66666666667</v>
      </c>
      <c r="L122" s="13" t="n">
        <f aca="false">IF(L$69=1,SUMIFS(dr_USD,dr_Mes,6,dr_Cod,"MAN",dr_Est,"&lt;&gt;Excluido"),IF($E$47="PYG",$F$47/L$71,$F$47)/12*(1+p_ManInc*(MAX(1,L$67)-1))*L$74*L$76)</f>
        <v>2475.66666666667</v>
      </c>
      <c r="M122" s="13" t="n">
        <f aca="false">IF(M$69=1,SUMIFS(dr_USD,dr_Mes,7,dr_Cod,"MAN",dr_Est,"&lt;&gt;Excluido"),IF($E$47="PYG",$F$47/M$71,$F$47)/12*(1+p_ManInc*(MAX(1,M$67)-1))*M$74*M$76)</f>
        <v>2475.66666666667</v>
      </c>
      <c r="N122" s="13" t="n">
        <f aca="false">IF(N$69=1,SUMIFS(dr_USD,dr_Mes,8,dr_Cod,"MAN",dr_Est,"&lt;&gt;Excluido"),IF($E$47="PYG",$F$47/N$71,$F$47)/12*(1+p_ManInc*(MAX(1,N$67)-1))*N$74*N$76)</f>
        <v>2475.66666666667</v>
      </c>
      <c r="O122" s="13" t="n">
        <f aca="false">IF(O$69=1,SUMIFS(dr_USD,dr_Mes,9,dr_Cod,"MAN",dr_Est,"&lt;&gt;Excluido"),IF($E$47="PYG",$F$47/O$71,$F$47)/12*(1+p_ManInc*(MAX(1,O$67)-1))*O$74*O$76)</f>
        <v>2475.66666666667</v>
      </c>
      <c r="P122" s="13" t="n">
        <f aca="false">IF(P$69=1,SUMIFS(dr_USD,dr_Mes,10,dr_Cod,"MAN",dr_Est,"&lt;&gt;Excluido"),IF($E$47="PYG",$F$47/P$71,$F$47)/12*(1+p_ManInc*(MAX(1,P$67)-1))*P$74*P$76)</f>
        <v>2475.66666666667</v>
      </c>
      <c r="Q122" s="13" t="n">
        <f aca="false">IF(Q$69=1,SUMIFS(dr_USD,dr_Mes,11,dr_Cod,"MAN",dr_Est,"&lt;&gt;Excluido"),IF($E$47="PYG",$F$47/Q$71,$F$47)/12*(1+p_ManInc*(MAX(1,Q$67)-1))*Q$74*Q$76)</f>
        <v>2475.66666666667</v>
      </c>
      <c r="R122" s="13" t="n">
        <f aca="false">IF(R$69=1,SUMIFS(dr_USD,dr_Mes,12,dr_Cod,"MAN",dr_Est,"&lt;&gt;Excluido"),IF($E$47="PYG",$F$47/R$71,$F$47)/12*(1+p_ManInc*(MAX(1,R$67)-1))*R$74*R$76)</f>
        <v>2475.66666666667</v>
      </c>
      <c r="S122" s="13" t="n">
        <f aca="false">IF(S$69=1,SUMIFS(dr_USD,dr_Mes,13,dr_Cod,"MAN",dr_Est,"&lt;&gt;Excluido"),IF($E$47="PYG",$F$47/S$71,$F$47)/12*(1+p_ManInc*(MAX(1,S$67)-1))*S$74*S$76)</f>
        <v>2525.18</v>
      </c>
      <c r="T122" s="13" t="n">
        <f aca="false">IF(T$69=1,SUMIFS(dr_USD,dr_Mes,14,dr_Cod,"MAN",dr_Est,"&lt;&gt;Excluido"),IF($E$47="PYG",$F$47/T$71,$F$47)/12*(1+p_ManInc*(MAX(1,T$67)-1))*T$74*T$76)</f>
        <v>2525.18</v>
      </c>
      <c r="U122" s="13" t="n">
        <f aca="false">IF(U$69=1,SUMIFS(dr_USD,dr_Mes,15,dr_Cod,"MAN",dr_Est,"&lt;&gt;Excluido"),IF($E$47="PYG",$F$47/U$71,$F$47)/12*(1+p_ManInc*(MAX(1,U$67)-1))*U$74*U$76)</f>
        <v>2525.18</v>
      </c>
      <c r="V122" s="13" t="n">
        <f aca="false">IF(V$69=1,SUMIFS(dr_USD,dr_Mes,16,dr_Cod,"MAN",dr_Est,"&lt;&gt;Excluido"),IF($E$47="PYG",$F$47/V$71,$F$47)/12*(1+p_ManInc*(MAX(1,V$67)-1))*V$74*V$76)</f>
        <v>2525.18</v>
      </c>
      <c r="W122" s="13" t="n">
        <f aca="false">IF(W$69=1,SUMIFS(dr_USD,dr_Mes,17,dr_Cod,"MAN",dr_Est,"&lt;&gt;Excluido"),IF($E$47="PYG",$F$47/W$71,$F$47)/12*(1+p_ManInc*(MAX(1,W$67)-1))*W$74*W$76)</f>
        <v>2525.18</v>
      </c>
      <c r="X122" s="13" t="n">
        <f aca="false">IF(X$69=1,SUMIFS(dr_USD,dr_Mes,18,dr_Cod,"MAN",dr_Est,"&lt;&gt;Excluido"),IF($E$47="PYG",$F$47/X$71,$F$47)/12*(1+p_ManInc*(MAX(1,X$67)-1))*X$74*X$76)</f>
        <v>2525.18</v>
      </c>
      <c r="Y122" s="13" t="n">
        <f aca="false">IF(Y$69=1,SUMIFS(dr_USD,dr_Mes,19,dr_Cod,"MAN",dr_Est,"&lt;&gt;Excluido"),IF($E$47="PYG",$F$47/Y$71,$F$47)/12*(1+p_ManInc*(MAX(1,Y$67)-1))*Y$74*Y$76)</f>
        <v>2525.18</v>
      </c>
      <c r="Z122" s="13" t="n">
        <f aca="false">IF(Z$69=1,SUMIFS(dr_USD,dr_Mes,20,dr_Cod,"MAN",dr_Est,"&lt;&gt;Excluido"),IF($E$47="PYG",$F$47/Z$71,$F$47)/12*(1+p_ManInc*(MAX(1,Z$67)-1))*Z$74*Z$76)</f>
        <v>2525.18</v>
      </c>
      <c r="AA122" s="13" t="n">
        <f aca="false">IF(AA$69=1,SUMIFS(dr_USD,dr_Mes,21,dr_Cod,"MAN",dr_Est,"&lt;&gt;Excluido"),IF($E$47="PYG",$F$47/AA$71,$F$47)/12*(1+p_ManInc*(MAX(1,AA$67)-1))*AA$74*AA$76)</f>
        <v>2525.18</v>
      </c>
      <c r="AB122" s="13" t="n">
        <f aca="false">IF(AB$69=1,SUMIFS(dr_USD,dr_Mes,22,dr_Cod,"MAN",dr_Est,"&lt;&gt;Excluido"),IF($E$47="PYG",$F$47/AB$71,$F$47)/12*(1+p_ManInc*(MAX(1,AB$67)-1))*AB$74*AB$76)</f>
        <v>2525.18</v>
      </c>
      <c r="AC122" s="13" t="n">
        <f aca="false">IF(AC$69=1,SUMIFS(dr_USD,dr_Mes,23,dr_Cod,"MAN",dr_Est,"&lt;&gt;Excluido"),IF($E$47="PYG",$F$47/AC$71,$F$47)/12*(1+p_ManInc*(MAX(1,AC$67)-1))*AC$74*AC$76)</f>
        <v>2525.18</v>
      </c>
      <c r="AD122" s="13" t="n">
        <f aca="false">IF(AD$69=1,SUMIFS(dr_USD,dr_Mes,24,dr_Cod,"MAN",dr_Est,"&lt;&gt;Excluido"),IF($E$47="PYG",$F$47/AD$71,$F$47)/12*(1+p_ManInc*(MAX(1,AD$67)-1))*AD$74*AD$76)</f>
        <v>2525.18</v>
      </c>
      <c r="AE122" s="13" t="n">
        <f aca="false">IF(AE$69=1,SUMIFS(dr_USD,dr_Mes,25,dr_Cod,"MAN",dr_Est,"&lt;&gt;Excluido"),IF($E$47="PYG",$F$47/AE$71,$F$47)/12*(1+p_ManInc*(MAX(1,AE$67)-1))*AE$74*AE$76)</f>
        <v>2574.69333333333</v>
      </c>
      <c r="AF122" s="13" t="n">
        <f aca="false">IF(AF$69=1,SUMIFS(dr_USD,dr_Mes,26,dr_Cod,"MAN",dr_Est,"&lt;&gt;Excluido"),IF($E$47="PYG",$F$47/AF$71,$F$47)/12*(1+p_ManInc*(MAX(1,AF$67)-1))*AF$74*AF$76)</f>
        <v>2574.69333333333</v>
      </c>
      <c r="AG122" s="13" t="n">
        <f aca="false">IF(AG$69=1,SUMIFS(dr_USD,dr_Mes,27,dr_Cod,"MAN",dr_Est,"&lt;&gt;Excluido"),IF($E$47="PYG",$F$47/AG$71,$F$47)/12*(1+p_ManInc*(MAX(1,AG$67)-1))*AG$74*AG$76)</f>
        <v>2574.69333333333</v>
      </c>
      <c r="AH122" s="13" t="n">
        <f aca="false">IF(AH$69=1,SUMIFS(dr_USD,dr_Mes,28,dr_Cod,"MAN",dr_Est,"&lt;&gt;Excluido"),IF($E$47="PYG",$F$47/AH$71,$F$47)/12*(1+p_ManInc*(MAX(1,AH$67)-1))*AH$74*AH$76)</f>
        <v>2574.69333333333</v>
      </c>
      <c r="AI122" s="13" t="n">
        <f aca="false">IF(AI$69=1,SUMIFS(dr_USD,dr_Mes,29,dr_Cod,"MAN",dr_Est,"&lt;&gt;Excluido"),IF($E$47="PYG",$F$47/AI$71,$F$47)/12*(1+p_ManInc*(MAX(1,AI$67)-1))*AI$74*AI$76)</f>
        <v>2574.69333333333</v>
      </c>
      <c r="AJ122" s="13" t="n">
        <f aca="false">IF(AJ$69=1,SUMIFS(dr_USD,dr_Mes,30,dr_Cod,"MAN",dr_Est,"&lt;&gt;Excluido"),IF($E$47="PYG",$F$47/AJ$71,$F$47)/12*(1+p_ManInc*(MAX(1,AJ$67)-1))*AJ$74*AJ$76)</f>
        <v>2574.69333333333</v>
      </c>
      <c r="AK122" s="13" t="n">
        <f aca="false">IF(AK$69=1,SUMIFS(dr_USD,dr_Mes,31,dr_Cod,"MAN",dr_Est,"&lt;&gt;Excluido"),IF($E$47="PYG",$F$47/AK$71,$F$47)/12*(1+p_ManInc*(MAX(1,AK$67)-1))*AK$74*AK$76)</f>
        <v>2574.69333333333</v>
      </c>
      <c r="AL122" s="13" t="n">
        <f aca="false">IF(AL$69=1,SUMIFS(dr_USD,dr_Mes,32,dr_Cod,"MAN",dr_Est,"&lt;&gt;Excluido"),IF($E$47="PYG",$F$47/AL$71,$F$47)/12*(1+p_ManInc*(MAX(1,AL$67)-1))*AL$74*AL$76)</f>
        <v>2574.69333333333</v>
      </c>
      <c r="AM122" s="13" t="n">
        <f aca="false">IF(AM$69=1,SUMIFS(dr_USD,dr_Mes,33,dr_Cod,"MAN",dr_Est,"&lt;&gt;Excluido"),IF($E$47="PYG",$F$47/AM$71,$F$47)/12*(1+p_ManInc*(MAX(1,AM$67)-1))*AM$74*AM$76)</f>
        <v>2574.69333333333</v>
      </c>
      <c r="AN122" s="13" t="n">
        <f aca="false">IF(AN$69=1,SUMIFS(dr_USD,dr_Mes,34,dr_Cod,"MAN",dr_Est,"&lt;&gt;Excluido"),IF($E$47="PYG",$F$47/AN$71,$F$47)/12*(1+p_ManInc*(MAX(1,AN$67)-1))*AN$74*AN$76)</f>
        <v>2574.69333333333</v>
      </c>
      <c r="AO122" s="13" t="n">
        <f aca="false">IF(AO$69=1,SUMIFS(dr_USD,dr_Mes,35,dr_Cod,"MAN",dr_Est,"&lt;&gt;Excluido"),IF($E$47="PYG",$F$47/AO$71,$F$47)/12*(1+p_ManInc*(MAX(1,AO$67)-1))*AO$74*AO$76)</f>
        <v>2574.69333333333</v>
      </c>
      <c r="AP122" s="13" t="n">
        <f aca="false">IF(AP$69=1,SUMIFS(dr_USD,dr_Mes,36,dr_Cod,"MAN",dr_Est,"&lt;&gt;Excluido"),IF($E$47="PYG",$F$47/AP$71,$F$47)/12*(1+p_ManInc*(MAX(1,AP$67)-1))*AP$74*AP$76)</f>
        <v>2574.69333333333</v>
      </c>
      <c r="AQ122" s="13" t="n">
        <f aca="false">IF(AQ$69=1,SUMIFS(dr_USD,dr_Mes,37,dr_Cod,"MAN",dr_Est,"&lt;&gt;Excluido"),IF($E$47="PYG",$F$47/AQ$71,$F$47)/12*(1+p_ManInc*(MAX(1,AQ$67)-1))*AQ$74*AQ$76)</f>
        <v>2624.20666666667</v>
      </c>
      <c r="AR122" s="13" t="n">
        <f aca="false">IF(AR$69=1,SUMIFS(dr_USD,dr_Mes,38,dr_Cod,"MAN",dr_Est,"&lt;&gt;Excluido"),IF($E$47="PYG",$F$47/AR$71,$F$47)/12*(1+p_ManInc*(MAX(1,AR$67)-1))*AR$74*AR$76)</f>
        <v>2624.20666666667</v>
      </c>
      <c r="AS122" s="13" t="n">
        <f aca="false">IF(AS$69=1,SUMIFS(dr_USD,dr_Mes,39,dr_Cod,"MAN",dr_Est,"&lt;&gt;Excluido"),IF($E$47="PYG",$F$47/AS$71,$F$47)/12*(1+p_ManInc*(MAX(1,AS$67)-1))*AS$74*AS$76)</f>
        <v>2624.20666666667</v>
      </c>
      <c r="AT122" s="13" t="n">
        <f aca="false">IF(AT$69=1,SUMIFS(dr_USD,dr_Mes,40,dr_Cod,"MAN",dr_Est,"&lt;&gt;Excluido"),IF($E$47="PYG",$F$47/AT$71,$F$47)/12*(1+p_ManInc*(MAX(1,AT$67)-1))*AT$74*AT$76)</f>
        <v>2624.20666666667</v>
      </c>
      <c r="AU122" s="13" t="n">
        <f aca="false">IF(AU$69=1,SUMIFS(dr_USD,dr_Mes,41,dr_Cod,"MAN",dr_Est,"&lt;&gt;Excluido"),IF($E$47="PYG",$F$47/AU$71,$F$47)/12*(1+p_ManInc*(MAX(1,AU$67)-1))*AU$74*AU$76)</f>
        <v>2624.20666666667</v>
      </c>
      <c r="AV122" s="13" t="n">
        <f aca="false">IF(AV$69=1,SUMIFS(dr_USD,dr_Mes,42,dr_Cod,"MAN",dr_Est,"&lt;&gt;Excluido"),IF($E$47="PYG",$F$47/AV$71,$F$47)/12*(1+p_ManInc*(MAX(1,AV$67)-1))*AV$74*AV$76)</f>
        <v>2624.20666666667</v>
      </c>
      <c r="AW122" s="13" t="n">
        <f aca="false">IF(AW$69=1,SUMIFS(dr_USD,dr_Mes,43,dr_Cod,"MAN",dr_Est,"&lt;&gt;Excluido"),IF($E$47="PYG",$F$47/AW$71,$F$47)/12*(1+p_ManInc*(MAX(1,AW$67)-1))*AW$74*AW$76)</f>
        <v>2624.20666666667</v>
      </c>
      <c r="AX122" s="13" t="n">
        <f aca="false">IF(AX$69=1,SUMIFS(dr_USD,dr_Mes,44,dr_Cod,"MAN",dr_Est,"&lt;&gt;Excluido"),IF($E$47="PYG",$F$47/AX$71,$F$47)/12*(1+p_ManInc*(MAX(1,AX$67)-1))*AX$74*AX$76)</f>
        <v>2624.20666666667</v>
      </c>
      <c r="AY122" s="13" t="n">
        <f aca="false">IF(AY$69=1,SUMIFS(dr_USD,dr_Mes,45,dr_Cod,"MAN",dr_Est,"&lt;&gt;Excluido"),IF($E$47="PYG",$F$47/AY$71,$F$47)/12*(1+p_ManInc*(MAX(1,AY$67)-1))*AY$74*AY$76)</f>
        <v>2624.20666666667</v>
      </c>
      <c r="AZ122" s="13" t="n">
        <f aca="false">IF(AZ$69=1,SUMIFS(dr_USD,dr_Mes,46,dr_Cod,"MAN",dr_Est,"&lt;&gt;Excluido"),IF($E$47="PYG",$F$47/AZ$71,$F$47)/12*(1+p_ManInc*(MAX(1,AZ$67)-1))*AZ$74*AZ$76)</f>
        <v>2624.20666666667</v>
      </c>
      <c r="BA122" s="13" t="n">
        <f aca="false">IF(BA$69=1,SUMIFS(dr_USD,dr_Mes,47,dr_Cod,"MAN",dr_Est,"&lt;&gt;Excluido"),IF($E$47="PYG",$F$47/BA$71,$F$47)/12*(1+p_ManInc*(MAX(1,BA$67)-1))*BA$74*BA$76)</f>
        <v>2624.20666666667</v>
      </c>
      <c r="BB122" s="13" t="n">
        <f aca="false">IF(BB$69=1,SUMIFS(dr_USD,dr_Mes,48,dr_Cod,"MAN",dr_Est,"&lt;&gt;Excluido"),IF($E$47="PYG",$F$47/BB$71,$F$47)/12*(1+p_ManInc*(MAX(1,BB$67)-1))*BB$74*BB$76)</f>
        <v>2624.20666666667</v>
      </c>
      <c r="BC122" s="13" t="n">
        <f aca="false">IF(BC$69=1,SUMIFS(dr_USD,dr_Mes,49,dr_Cod,"MAN",dr_Est,"&lt;&gt;Excluido"),IF($E$47="PYG",$F$47/BC$71,$F$47)/12*(1+p_ManInc*(MAX(1,BC$67)-1))*BC$74*BC$76)</f>
        <v>2673.72</v>
      </c>
      <c r="BD122" s="13" t="n">
        <f aca="false">IF(BD$69=1,SUMIFS(dr_USD,dr_Mes,50,dr_Cod,"MAN",dr_Est,"&lt;&gt;Excluido"),IF($E$47="PYG",$F$47/BD$71,$F$47)/12*(1+p_ManInc*(MAX(1,BD$67)-1))*BD$74*BD$76)</f>
        <v>2673.72</v>
      </c>
      <c r="BE122" s="13" t="n">
        <f aca="false">IF(BE$69=1,SUMIFS(dr_USD,dr_Mes,51,dr_Cod,"MAN",dr_Est,"&lt;&gt;Excluido"),IF($E$47="PYG",$F$47/BE$71,$F$47)/12*(1+p_ManInc*(MAX(1,BE$67)-1))*BE$74*BE$76)</f>
        <v>2673.72</v>
      </c>
      <c r="BF122" s="13" t="n">
        <f aca="false">IF(BF$69=1,SUMIFS(dr_USD,dr_Mes,52,dr_Cod,"MAN",dr_Est,"&lt;&gt;Excluido"),IF($E$47="PYG",$F$47/BF$71,$F$47)/12*(1+p_ManInc*(MAX(1,BF$67)-1))*BF$74*BF$76)</f>
        <v>2673.72</v>
      </c>
      <c r="BG122" s="13" t="n">
        <f aca="false">IF(BG$69=1,SUMIFS(dr_USD,dr_Mes,53,dr_Cod,"MAN",dr_Est,"&lt;&gt;Excluido"),IF($E$47="PYG",$F$47/BG$71,$F$47)/12*(1+p_ManInc*(MAX(1,BG$67)-1))*BG$74*BG$76)</f>
        <v>2673.72</v>
      </c>
      <c r="BH122" s="13" t="n">
        <f aca="false">IF(BH$69=1,SUMIFS(dr_USD,dr_Mes,54,dr_Cod,"MAN",dr_Est,"&lt;&gt;Excluido"),IF($E$47="PYG",$F$47/BH$71,$F$47)/12*(1+p_ManInc*(MAX(1,BH$67)-1))*BH$74*BH$76)</f>
        <v>2673.72</v>
      </c>
      <c r="BI122" s="13" t="n">
        <f aca="false">IF(BI$69=1,SUMIFS(dr_USD,dr_Mes,55,dr_Cod,"MAN",dr_Est,"&lt;&gt;Excluido"),IF($E$47="PYG",$F$47/BI$71,$F$47)/12*(1+p_ManInc*(MAX(1,BI$67)-1))*BI$74*BI$76)</f>
        <v>2673.72</v>
      </c>
      <c r="BJ122" s="13" t="n">
        <f aca="false">IF(BJ$69=1,SUMIFS(dr_USD,dr_Mes,56,dr_Cod,"MAN",dr_Est,"&lt;&gt;Excluido"),IF($E$47="PYG",$F$47/BJ$71,$F$47)/12*(1+p_ManInc*(MAX(1,BJ$67)-1))*BJ$74*BJ$76)</f>
        <v>2673.72</v>
      </c>
      <c r="BK122" s="13" t="n">
        <f aca="false">IF(BK$69=1,SUMIFS(dr_USD,dr_Mes,57,dr_Cod,"MAN",dr_Est,"&lt;&gt;Excluido"),IF($E$47="PYG",$F$47/BK$71,$F$47)/12*(1+p_ManInc*(MAX(1,BK$67)-1))*BK$74*BK$76)</f>
        <v>2673.72</v>
      </c>
      <c r="BL122" s="13" t="n">
        <f aca="false">IF(BL$69=1,SUMIFS(dr_USD,dr_Mes,58,dr_Cod,"MAN",dr_Est,"&lt;&gt;Excluido"),IF($E$47="PYG",$F$47/BL$71,$F$47)/12*(1+p_ManInc*(MAX(1,BL$67)-1))*BL$74*BL$76)</f>
        <v>2673.72</v>
      </c>
      <c r="BM122" s="13" t="n">
        <f aca="false">IF(BM$69=1,SUMIFS(dr_USD,dr_Mes,59,dr_Cod,"MAN",dr_Est,"&lt;&gt;Excluido"),IF($E$47="PYG",$F$47/BM$71,$F$47)/12*(1+p_ManInc*(MAX(1,BM$67)-1))*BM$74*BM$76)</f>
        <v>2673.72</v>
      </c>
      <c r="BN122" s="13" t="n">
        <f aca="false">IF(BN$69=1,SUMIFS(dr_USD,dr_Mes,60,dr_Cod,"MAN",dr_Est,"&lt;&gt;Excluido"),IF($E$47="PYG",$F$47/BN$71,$F$47)/12*(1+p_ManInc*(MAX(1,BN$67)-1))*BN$74*BN$76)</f>
        <v>2673.72</v>
      </c>
      <c r="BO122" s="13" t="n">
        <f aca="false">IF(BO$69=1,SUMIFS(dr_USD,dr_Mes,61,dr_Cod,"MAN",dr_Est,"&lt;&gt;Excluido"),IF($E$47="PYG",$F$47/BO$71,$F$47)/12*(1+p_ManInc*(MAX(1,BO$67)-1))*BO$74*BO$76)</f>
        <v>2723.23333333333</v>
      </c>
      <c r="BP122" s="13" t="n">
        <f aca="false">IF(BP$69=1,SUMIFS(dr_USD,dr_Mes,62,dr_Cod,"MAN",dr_Est,"&lt;&gt;Excluido"),IF($E$47="PYG",$F$47/BP$71,$F$47)/12*(1+p_ManInc*(MAX(1,BP$67)-1))*BP$74*BP$76)</f>
        <v>2723.23333333333</v>
      </c>
      <c r="BQ122" s="13" t="n">
        <f aca="false">IF(BQ$69=1,SUMIFS(dr_USD,dr_Mes,63,dr_Cod,"MAN",dr_Est,"&lt;&gt;Excluido"),IF($E$47="PYG",$F$47/BQ$71,$F$47)/12*(1+p_ManInc*(MAX(1,BQ$67)-1))*BQ$74*BQ$76)</f>
        <v>2723.23333333333</v>
      </c>
      <c r="BR122" s="13" t="n">
        <f aca="false">IF(BR$69=1,SUMIFS(dr_USD,dr_Mes,64,dr_Cod,"MAN",dr_Est,"&lt;&gt;Excluido"),IF($E$47="PYG",$F$47/BR$71,$F$47)/12*(1+p_ManInc*(MAX(1,BR$67)-1))*BR$74*BR$76)</f>
        <v>2723.23333333333</v>
      </c>
      <c r="BS122" s="13" t="n">
        <f aca="false">IF(BS$69=1,SUMIFS(dr_USD,dr_Mes,65,dr_Cod,"MAN",dr_Est,"&lt;&gt;Excluido"),IF($E$47="PYG",$F$47/BS$71,$F$47)/12*(1+p_ManInc*(MAX(1,BS$67)-1))*BS$74*BS$76)</f>
        <v>2723.23333333333</v>
      </c>
      <c r="BT122" s="13" t="n">
        <f aca="false">IF(BT$69=1,SUMIFS(dr_USD,dr_Mes,66,dr_Cod,"MAN",dr_Est,"&lt;&gt;Excluido"),IF($E$47="PYG",$F$47/BT$71,$F$47)/12*(1+p_ManInc*(MAX(1,BT$67)-1))*BT$74*BT$76)</f>
        <v>2723.23333333333</v>
      </c>
      <c r="BU122" s="13" t="n">
        <f aca="false">IF(BU$69=1,SUMIFS(dr_USD,dr_Mes,67,dr_Cod,"MAN",dr_Est,"&lt;&gt;Excluido"),IF($E$47="PYG",$F$47/BU$71,$F$47)/12*(1+p_ManInc*(MAX(1,BU$67)-1))*BU$74*BU$76)</f>
        <v>2723.23333333333</v>
      </c>
      <c r="BV122" s="13" t="n">
        <f aca="false">IF(BV$69=1,SUMIFS(dr_USD,dr_Mes,68,dr_Cod,"MAN",dr_Est,"&lt;&gt;Excluido"),IF($E$47="PYG",$F$47/BV$71,$F$47)/12*(1+p_ManInc*(MAX(1,BV$67)-1))*BV$74*BV$76)</f>
        <v>2723.23333333333</v>
      </c>
      <c r="BW122" s="13" t="n">
        <f aca="false">IF(BW$69=1,SUMIFS(dr_USD,dr_Mes,69,dr_Cod,"MAN",dr_Est,"&lt;&gt;Excluido"),IF($E$47="PYG",$F$47/BW$71,$F$47)/12*(1+p_ManInc*(MAX(1,BW$67)-1))*BW$74*BW$76)</f>
        <v>2723.23333333333</v>
      </c>
      <c r="BX122" s="13" t="n">
        <f aca="false">IF(BX$69=1,SUMIFS(dr_USD,dr_Mes,70,dr_Cod,"MAN",dr_Est,"&lt;&gt;Excluido"),IF($E$47="PYG",$F$47/BX$71,$F$47)/12*(1+p_ManInc*(MAX(1,BX$67)-1))*BX$74*BX$76)</f>
        <v>2723.23333333333</v>
      </c>
      <c r="BY122" s="13" t="n">
        <f aca="false">IF(BY$69=1,SUMIFS(dr_USD,dr_Mes,71,dr_Cod,"MAN",dr_Est,"&lt;&gt;Excluido"),IF($E$47="PYG",$F$47/BY$71,$F$47)/12*(1+p_ManInc*(MAX(1,BY$67)-1))*BY$74*BY$76)</f>
        <v>2723.23333333333</v>
      </c>
      <c r="BZ122" s="13" t="n">
        <f aca="false">IF(BZ$69=1,SUMIFS(dr_USD,dr_Mes,72,dr_Cod,"MAN",dr_Est,"&lt;&gt;Excluido"),IF($E$47="PYG",$F$47/BZ$71,$F$47)/12*(1+p_ManInc*(MAX(1,BZ$67)-1))*BZ$74*BZ$76)</f>
        <v>2723.23333333333</v>
      </c>
      <c r="CA122" s="13" t="n">
        <f aca="false">IF(CA$69=1,SUMIFS(dr_USD,dr_Mes,73,dr_Cod,"MAN",dr_Est,"&lt;&gt;Excluido"),IF($E$47="PYG",$F$47/CA$71,$F$47)/12*(1+p_ManInc*(MAX(1,CA$67)-1))*CA$74*CA$76)</f>
        <v>2772.74666666667</v>
      </c>
      <c r="CB122" s="13" t="n">
        <f aca="false">IF(CB$69=1,SUMIFS(dr_USD,dr_Mes,74,dr_Cod,"MAN",dr_Est,"&lt;&gt;Excluido"),IF($E$47="PYG",$F$47/CB$71,$F$47)/12*(1+p_ManInc*(MAX(1,CB$67)-1))*CB$74*CB$76)</f>
        <v>2772.74666666667</v>
      </c>
      <c r="CC122" s="13" t="n">
        <f aca="false">IF(CC$69=1,SUMIFS(dr_USD,dr_Mes,75,dr_Cod,"MAN",dr_Est,"&lt;&gt;Excluido"),IF($E$47="PYG",$F$47/CC$71,$F$47)/12*(1+p_ManInc*(MAX(1,CC$67)-1))*CC$74*CC$76)</f>
        <v>2772.74666666667</v>
      </c>
      <c r="CD122" s="13" t="n">
        <f aca="false">IF(CD$69=1,SUMIFS(dr_USD,dr_Mes,76,dr_Cod,"MAN",dr_Est,"&lt;&gt;Excluido"),IF($E$47="PYG",$F$47/CD$71,$F$47)/12*(1+p_ManInc*(MAX(1,CD$67)-1))*CD$74*CD$76)</f>
        <v>2772.74666666667</v>
      </c>
      <c r="CE122" s="13" t="n">
        <f aca="false">IF(CE$69=1,SUMIFS(dr_USD,dr_Mes,77,dr_Cod,"MAN",dr_Est,"&lt;&gt;Excluido"),IF($E$47="PYG",$F$47/CE$71,$F$47)/12*(1+p_ManInc*(MAX(1,CE$67)-1))*CE$74*CE$76)</f>
        <v>2772.74666666667</v>
      </c>
      <c r="CF122" s="13" t="n">
        <f aca="false">IF(CF$69=1,SUMIFS(dr_USD,dr_Mes,78,dr_Cod,"MAN",dr_Est,"&lt;&gt;Excluido"),IF($E$47="PYG",$F$47/CF$71,$F$47)/12*(1+p_ManInc*(MAX(1,CF$67)-1))*CF$74*CF$76)</f>
        <v>2772.74666666667</v>
      </c>
      <c r="CG122" s="13" t="n">
        <f aca="false">IF(CG$69=1,SUMIFS(dr_USD,dr_Mes,79,dr_Cod,"MAN",dr_Est,"&lt;&gt;Excluido"),IF($E$47="PYG",$F$47/CG$71,$F$47)/12*(1+p_ManInc*(MAX(1,CG$67)-1))*CG$74*CG$76)</f>
        <v>2772.74666666667</v>
      </c>
      <c r="CH122" s="13" t="n">
        <f aca="false">IF(CH$69=1,SUMIFS(dr_USD,dr_Mes,80,dr_Cod,"MAN",dr_Est,"&lt;&gt;Excluido"),IF($E$47="PYG",$F$47/CH$71,$F$47)/12*(1+p_ManInc*(MAX(1,CH$67)-1))*CH$74*CH$76)</f>
        <v>2772.74666666667</v>
      </c>
      <c r="CI122" s="13" t="n">
        <f aca="false">IF(CI$69=1,SUMIFS(dr_USD,dr_Mes,81,dr_Cod,"MAN",dr_Est,"&lt;&gt;Excluido"),IF($E$47="PYG",$F$47/CI$71,$F$47)/12*(1+p_ManInc*(MAX(1,CI$67)-1))*CI$74*CI$76)</f>
        <v>2772.74666666667</v>
      </c>
      <c r="CJ122" s="13" t="n">
        <f aca="false">IF(CJ$69=1,SUMIFS(dr_USD,dr_Mes,82,dr_Cod,"MAN",dr_Est,"&lt;&gt;Excluido"),IF($E$47="PYG",$F$47/CJ$71,$F$47)/12*(1+p_ManInc*(MAX(1,CJ$67)-1))*CJ$74*CJ$76)</f>
        <v>2772.74666666667</v>
      </c>
      <c r="CK122" s="13" t="n">
        <f aca="false">IF(CK$69=1,SUMIFS(dr_USD,dr_Mes,83,dr_Cod,"MAN",dr_Est,"&lt;&gt;Excluido"),IF($E$47="PYG",$F$47/CK$71,$F$47)/12*(1+p_ManInc*(MAX(1,CK$67)-1))*CK$74*CK$76)</f>
        <v>2772.74666666667</v>
      </c>
      <c r="CL122" s="13" t="n">
        <f aca="false">IF(CL$69=1,SUMIFS(dr_USD,dr_Mes,84,dr_Cod,"MAN",dr_Est,"&lt;&gt;Excluido"),IF($E$47="PYG",$F$47/CL$71,$F$47)/12*(1+p_ManInc*(MAX(1,CL$67)-1))*CL$74*CL$76)</f>
        <v>2772.74666666667</v>
      </c>
      <c r="CM122" s="13" t="n">
        <f aca="false">IF(CM$69=1,SUMIFS(dr_USD,dr_Mes,85,dr_Cod,"MAN",dr_Est,"&lt;&gt;Excluido"),IF($E$47="PYG",$F$47/CM$71,$F$47)/12*(1+p_ManInc*(MAX(1,CM$67)-1))*CM$74*CM$76)</f>
        <v>2822.26</v>
      </c>
      <c r="CN122" s="13" t="n">
        <f aca="false">IF(CN$69=1,SUMIFS(dr_USD,dr_Mes,86,dr_Cod,"MAN",dr_Est,"&lt;&gt;Excluido"),IF($E$47="PYG",$F$47/CN$71,$F$47)/12*(1+p_ManInc*(MAX(1,CN$67)-1))*CN$74*CN$76)</f>
        <v>2822.26</v>
      </c>
      <c r="CO122" s="13" t="n">
        <f aca="false">IF(CO$69=1,SUMIFS(dr_USD,dr_Mes,87,dr_Cod,"MAN",dr_Est,"&lt;&gt;Excluido"),IF($E$47="PYG",$F$47/CO$71,$F$47)/12*(1+p_ManInc*(MAX(1,CO$67)-1))*CO$74*CO$76)</f>
        <v>2822.26</v>
      </c>
      <c r="CP122" s="13" t="n">
        <f aca="false">IF(CP$69=1,SUMIFS(dr_USD,dr_Mes,88,dr_Cod,"MAN",dr_Est,"&lt;&gt;Excluido"),IF($E$47="PYG",$F$47/CP$71,$F$47)/12*(1+p_ManInc*(MAX(1,CP$67)-1))*CP$74*CP$76)</f>
        <v>2822.26</v>
      </c>
      <c r="CQ122" s="13" t="n">
        <f aca="false">IF(CQ$69=1,SUMIFS(dr_USD,dr_Mes,89,dr_Cod,"MAN",dr_Est,"&lt;&gt;Excluido"),IF($E$47="PYG",$F$47/CQ$71,$F$47)/12*(1+p_ManInc*(MAX(1,CQ$67)-1))*CQ$74*CQ$76)</f>
        <v>2822.26</v>
      </c>
      <c r="CR122" s="13" t="n">
        <f aca="false">IF(CR$69=1,SUMIFS(dr_USD,dr_Mes,90,dr_Cod,"MAN",dr_Est,"&lt;&gt;Excluido"),IF($E$47="PYG",$F$47/CR$71,$F$47)/12*(1+p_ManInc*(MAX(1,CR$67)-1))*CR$74*CR$76)</f>
        <v>2822.26</v>
      </c>
      <c r="CS122" s="13" t="n">
        <f aca="false">IF(CS$69=1,SUMIFS(dr_USD,dr_Mes,91,dr_Cod,"MAN",dr_Est,"&lt;&gt;Excluido"),IF($E$47="PYG",$F$47/CS$71,$F$47)/12*(1+p_ManInc*(MAX(1,CS$67)-1))*CS$74*CS$76)</f>
        <v>2822.26</v>
      </c>
      <c r="CT122" s="13" t="n">
        <f aca="false">IF(CT$69=1,SUMIFS(dr_USD,dr_Mes,92,dr_Cod,"MAN",dr_Est,"&lt;&gt;Excluido"),IF($E$47="PYG",$F$47/CT$71,$F$47)/12*(1+p_ManInc*(MAX(1,CT$67)-1))*CT$74*CT$76)</f>
        <v>2822.26</v>
      </c>
      <c r="CU122" s="13" t="n">
        <f aca="false">IF(CU$69=1,SUMIFS(dr_USD,dr_Mes,93,dr_Cod,"MAN",dr_Est,"&lt;&gt;Excluido"),IF($E$47="PYG",$F$47/CU$71,$F$47)/12*(1+p_ManInc*(MAX(1,CU$67)-1))*CU$74*CU$76)</f>
        <v>2822.26</v>
      </c>
      <c r="CV122" s="13" t="n">
        <f aca="false">IF(CV$69=1,SUMIFS(dr_USD,dr_Mes,94,dr_Cod,"MAN",dr_Est,"&lt;&gt;Excluido"),IF($E$47="PYG",$F$47/CV$71,$F$47)/12*(1+p_ManInc*(MAX(1,CV$67)-1))*CV$74*CV$76)</f>
        <v>2822.26</v>
      </c>
      <c r="CW122" s="13" t="n">
        <f aca="false">IF(CW$69=1,SUMIFS(dr_USD,dr_Mes,95,dr_Cod,"MAN",dr_Est,"&lt;&gt;Excluido"),IF($E$47="PYG",$F$47/CW$71,$F$47)/12*(1+p_ManInc*(MAX(1,CW$67)-1))*CW$74*CW$76)</f>
        <v>2822.26</v>
      </c>
      <c r="CX122" s="13" t="n">
        <f aca="false">IF(CX$69=1,SUMIFS(dr_USD,dr_Mes,96,dr_Cod,"MAN",dr_Est,"&lt;&gt;Excluido"),IF($E$47="PYG",$F$47/CX$71,$F$47)/12*(1+p_ManInc*(MAX(1,CX$67)-1))*CX$74*CX$76)</f>
        <v>2822.26</v>
      </c>
      <c r="CY122" s="13" t="n">
        <f aca="false">IF(CY$69=1,SUMIFS(dr_USD,dr_Mes,97,dr_Cod,"MAN",dr_Est,"&lt;&gt;Excluido"),IF($E$47="PYG",$F$47/CY$71,$F$47)/12*(1+p_ManInc*(MAX(1,CY$67)-1))*CY$74*CY$76)</f>
        <v>2871.77333333333</v>
      </c>
      <c r="CZ122" s="13" t="n">
        <f aca="false">IF(CZ$69=1,SUMIFS(dr_USD,dr_Mes,98,dr_Cod,"MAN",dr_Est,"&lt;&gt;Excluido"),IF($E$47="PYG",$F$47/CZ$71,$F$47)/12*(1+p_ManInc*(MAX(1,CZ$67)-1))*CZ$74*CZ$76)</f>
        <v>2871.77333333333</v>
      </c>
      <c r="DA122" s="13" t="n">
        <f aca="false">IF(DA$69=1,SUMIFS(dr_USD,dr_Mes,99,dr_Cod,"MAN",dr_Est,"&lt;&gt;Excluido"),IF($E$47="PYG",$F$47/DA$71,$F$47)/12*(1+p_ManInc*(MAX(1,DA$67)-1))*DA$74*DA$76)</f>
        <v>2871.77333333333</v>
      </c>
      <c r="DB122" s="13" t="n">
        <f aca="false">IF(DB$69=1,SUMIFS(dr_USD,dr_Mes,100,dr_Cod,"MAN",dr_Est,"&lt;&gt;Excluido"),IF($E$47="PYG",$F$47/DB$71,$F$47)/12*(1+p_ManInc*(MAX(1,DB$67)-1))*DB$74*DB$76)</f>
        <v>2871.77333333333</v>
      </c>
      <c r="DC122" s="13" t="n">
        <f aca="false">IF(DC$69=1,SUMIFS(dr_USD,dr_Mes,101,dr_Cod,"MAN",dr_Est,"&lt;&gt;Excluido"),IF($E$47="PYG",$F$47/DC$71,$F$47)/12*(1+p_ManInc*(MAX(1,DC$67)-1))*DC$74*DC$76)</f>
        <v>2871.77333333333</v>
      </c>
      <c r="DD122" s="13" t="n">
        <f aca="false">IF(DD$69=1,SUMIFS(dr_USD,dr_Mes,102,dr_Cod,"MAN",dr_Est,"&lt;&gt;Excluido"),IF($E$47="PYG",$F$47/DD$71,$F$47)/12*(1+p_ManInc*(MAX(1,DD$67)-1))*DD$74*DD$76)</f>
        <v>2871.77333333333</v>
      </c>
      <c r="DE122" s="13" t="n">
        <f aca="false">IF(DE$69=1,SUMIFS(dr_USD,dr_Mes,103,dr_Cod,"MAN",dr_Est,"&lt;&gt;Excluido"),IF($E$47="PYG",$F$47/DE$71,$F$47)/12*(1+p_ManInc*(MAX(1,DE$67)-1))*DE$74*DE$76)</f>
        <v>2871.77333333333</v>
      </c>
      <c r="DF122" s="13" t="n">
        <f aca="false">IF(DF$69=1,SUMIFS(dr_USD,dr_Mes,104,dr_Cod,"MAN",dr_Est,"&lt;&gt;Excluido"),IF($E$47="PYG",$F$47/DF$71,$F$47)/12*(1+p_ManInc*(MAX(1,DF$67)-1))*DF$74*DF$76)</f>
        <v>2871.77333333333</v>
      </c>
      <c r="DG122" s="13" t="n">
        <f aca="false">IF(DG$69=1,SUMIFS(dr_USD,dr_Mes,105,dr_Cod,"MAN",dr_Est,"&lt;&gt;Excluido"),IF($E$47="PYG",$F$47/DG$71,$F$47)/12*(1+p_ManInc*(MAX(1,DG$67)-1))*DG$74*DG$76)</f>
        <v>2871.77333333333</v>
      </c>
      <c r="DH122" s="13" t="n">
        <f aca="false">IF(DH$69=1,SUMIFS(dr_USD,dr_Mes,106,dr_Cod,"MAN",dr_Est,"&lt;&gt;Excluido"),IF($E$47="PYG",$F$47/DH$71,$F$47)/12*(1+p_ManInc*(MAX(1,DH$67)-1))*DH$74*DH$76)</f>
        <v>2871.77333333333</v>
      </c>
      <c r="DI122" s="13" t="n">
        <f aca="false">IF(DI$69=1,SUMIFS(dr_USD,dr_Mes,107,dr_Cod,"MAN",dr_Est,"&lt;&gt;Excluido"),IF($E$47="PYG",$F$47/DI$71,$F$47)/12*(1+p_ManInc*(MAX(1,DI$67)-1))*DI$74*DI$76)</f>
        <v>2871.77333333333</v>
      </c>
      <c r="DJ122" s="13" t="n">
        <f aca="false">IF(DJ$69=1,SUMIFS(dr_USD,dr_Mes,108,dr_Cod,"MAN",dr_Est,"&lt;&gt;Excluido"),IF($E$47="PYG",$F$47/DJ$71,$F$47)/12*(1+p_ManInc*(MAX(1,DJ$67)-1))*DJ$74*DJ$76)</f>
        <v>2871.77333333333</v>
      </c>
      <c r="DK122" s="13" t="n">
        <f aca="false">IF(DK$69=1,SUMIFS(dr_USD,dr_Mes,109,dr_Cod,"MAN",dr_Est,"&lt;&gt;Excluido"),IF($E$47="PYG",$F$47/DK$71,$F$47)/12*(1+p_ManInc*(MAX(1,DK$67)-1))*DK$74*DK$76)</f>
        <v>2921.28666666667</v>
      </c>
      <c r="DL122" s="13" t="n">
        <f aca="false">IF(DL$69=1,SUMIFS(dr_USD,dr_Mes,110,dr_Cod,"MAN",dr_Est,"&lt;&gt;Excluido"),IF($E$47="PYG",$F$47/DL$71,$F$47)/12*(1+p_ManInc*(MAX(1,DL$67)-1))*DL$74*DL$76)</f>
        <v>2921.28666666667</v>
      </c>
      <c r="DM122" s="13" t="n">
        <f aca="false">IF(DM$69=1,SUMIFS(dr_USD,dr_Mes,111,dr_Cod,"MAN",dr_Est,"&lt;&gt;Excluido"),IF($E$47="PYG",$F$47/DM$71,$F$47)/12*(1+p_ManInc*(MAX(1,DM$67)-1))*DM$74*DM$76)</f>
        <v>2921.28666666667</v>
      </c>
      <c r="DN122" s="13" t="n">
        <f aca="false">IF(DN$69=1,SUMIFS(dr_USD,dr_Mes,112,dr_Cod,"MAN",dr_Est,"&lt;&gt;Excluido"),IF($E$47="PYG",$F$47/DN$71,$F$47)/12*(1+p_ManInc*(MAX(1,DN$67)-1))*DN$74*DN$76)</f>
        <v>2921.28666666667</v>
      </c>
      <c r="DO122" s="13" t="n">
        <f aca="false">IF(DO$69=1,SUMIFS(dr_USD,dr_Mes,113,dr_Cod,"MAN",dr_Est,"&lt;&gt;Excluido"),IF($E$47="PYG",$F$47/DO$71,$F$47)/12*(1+p_ManInc*(MAX(1,DO$67)-1))*DO$74*DO$76)</f>
        <v>2921.28666666667</v>
      </c>
      <c r="DP122" s="13" t="n">
        <f aca="false">IF(DP$69=1,SUMIFS(dr_USD,dr_Mes,114,dr_Cod,"MAN",dr_Est,"&lt;&gt;Excluido"),IF($E$47="PYG",$F$47/DP$71,$F$47)/12*(1+p_ManInc*(MAX(1,DP$67)-1))*DP$74*DP$76)</f>
        <v>2921.28666666667</v>
      </c>
      <c r="DQ122" s="13" t="n">
        <f aca="false">IF(DQ$69=1,SUMIFS(dr_USD,dr_Mes,115,dr_Cod,"MAN",dr_Est,"&lt;&gt;Excluido"),IF($E$47="PYG",$F$47/DQ$71,$F$47)/12*(1+p_ManInc*(MAX(1,DQ$67)-1))*DQ$74*DQ$76)</f>
        <v>2921.28666666667</v>
      </c>
      <c r="DR122" s="13" t="n">
        <f aca="false">IF(DR$69=1,SUMIFS(dr_USD,dr_Mes,116,dr_Cod,"MAN",dr_Est,"&lt;&gt;Excluido"),IF($E$47="PYG",$F$47/DR$71,$F$47)/12*(1+p_ManInc*(MAX(1,DR$67)-1))*DR$74*DR$76)</f>
        <v>2921.28666666667</v>
      </c>
      <c r="DS122" s="13" t="n">
        <f aca="false">IF(DS$69=1,SUMIFS(dr_USD,dr_Mes,117,dr_Cod,"MAN",dr_Est,"&lt;&gt;Excluido"),IF($E$47="PYG",$F$47/DS$71,$F$47)/12*(1+p_ManInc*(MAX(1,DS$67)-1))*DS$74*DS$76)</f>
        <v>2921.28666666667</v>
      </c>
      <c r="DT122" s="13" t="n">
        <f aca="false">IF(DT$69=1,SUMIFS(dr_USD,dr_Mes,118,dr_Cod,"MAN",dr_Est,"&lt;&gt;Excluido"),IF($E$47="PYG",$F$47/DT$71,$F$47)/12*(1+p_ManInc*(MAX(1,DT$67)-1))*DT$74*DT$76)</f>
        <v>2921.28666666667</v>
      </c>
      <c r="DU122" s="13" t="n">
        <f aca="false">IF(DU$69=1,SUMIFS(dr_USD,dr_Mes,119,dr_Cod,"MAN",dr_Est,"&lt;&gt;Excluido"),IF($E$47="PYG",$F$47/DU$71,$F$47)/12*(1+p_ManInc*(MAX(1,DU$67)-1))*DU$74*DU$76)</f>
        <v>2921.28666666667</v>
      </c>
      <c r="DV122" s="13" t="n">
        <f aca="false">IF(DV$69=1,SUMIFS(dr_USD,dr_Mes,120,dr_Cod,"MAN",dr_Est,"&lt;&gt;Excluido"),IF($E$47="PYG",$F$47/DV$71,$F$47)/12*(1+p_ManInc*(MAX(1,DV$67)-1))*DV$74*DV$76)</f>
        <v>2921.28666666667</v>
      </c>
      <c r="DW122" s="13" t="n">
        <f aca="false">IF(DW$69=1,SUMIFS(dr_USD,dr_Mes,121,dr_Cod,"MAN",dr_Est,"&lt;&gt;Excluido"),IF($E$47="PYG",$F$47/DW$71,$F$47)/12*(1+p_ManInc*(MAX(1,DW$67)-1))*DW$74*DW$76)</f>
        <v>0</v>
      </c>
      <c r="DX122" s="13" t="n">
        <f aca="false">IF(DX$69=1,SUMIFS(dr_USD,dr_Mes,122,dr_Cod,"MAN",dr_Est,"&lt;&gt;Excluido"),IF($E$47="PYG",$F$47/DX$71,$F$47)/12*(1+p_ManInc*(MAX(1,DX$67)-1))*DX$74*DX$76)</f>
        <v>0</v>
      </c>
      <c r="DY122" s="13" t="n">
        <f aca="false">IF(DY$69=1,SUMIFS(dr_USD,dr_Mes,123,dr_Cod,"MAN",dr_Est,"&lt;&gt;Excluido"),IF($E$47="PYG",$F$47/DY$71,$F$47)/12*(1+p_ManInc*(MAX(1,DY$67)-1))*DY$74*DY$76)</f>
        <v>0</v>
      </c>
      <c r="DZ122" s="13" t="n">
        <f aca="false">IF(DZ$69=1,SUMIFS(dr_USD,dr_Mes,124,dr_Cod,"MAN",dr_Est,"&lt;&gt;Excluido"),IF($E$47="PYG",$F$47/DZ$71,$F$47)/12*(1+p_ManInc*(MAX(1,DZ$67)-1))*DZ$74*DZ$76)</f>
        <v>0</v>
      </c>
      <c r="EA122" s="13" t="n">
        <f aca="false">IF(EA$69=1,SUMIFS(dr_USD,dr_Mes,125,dr_Cod,"MAN",dr_Est,"&lt;&gt;Excluido"),IF($E$47="PYG",$F$47/EA$71,$F$47)/12*(1+p_ManInc*(MAX(1,EA$67)-1))*EA$74*EA$76)</f>
        <v>0</v>
      </c>
      <c r="EB122" s="13" t="n">
        <f aca="false">IF(EB$69=1,SUMIFS(dr_USD,dr_Mes,126,dr_Cod,"MAN",dr_Est,"&lt;&gt;Excluido"),IF($E$47="PYG",$F$47/EB$71,$F$47)/12*(1+p_ManInc*(MAX(1,EB$67)-1))*EB$74*EB$76)</f>
        <v>0</v>
      </c>
      <c r="EC122" s="13" t="n">
        <f aca="false">IF(EC$69=1,SUMIFS(dr_USD,dr_Mes,127,dr_Cod,"MAN",dr_Est,"&lt;&gt;Excluido"),IF($E$47="PYG",$F$47/EC$71,$F$47)/12*(1+p_ManInc*(MAX(1,EC$67)-1))*EC$74*EC$76)</f>
        <v>0</v>
      </c>
      <c r="ED122" s="13" t="n">
        <f aca="false">IF(ED$69=1,SUMIFS(dr_USD,dr_Mes,128,dr_Cod,"MAN",dr_Est,"&lt;&gt;Excluido"),IF($E$47="PYG",$F$47/ED$71,$F$47)/12*(1+p_ManInc*(MAX(1,ED$67)-1))*ED$74*ED$76)</f>
        <v>0</v>
      </c>
      <c r="EE122" s="13" t="n">
        <f aca="false">IF(EE$69=1,SUMIFS(dr_USD,dr_Mes,129,dr_Cod,"MAN",dr_Est,"&lt;&gt;Excluido"),IF($E$47="PYG",$F$47/EE$71,$F$47)/12*(1+p_ManInc*(MAX(1,EE$67)-1))*EE$74*EE$76)</f>
        <v>0</v>
      </c>
      <c r="EF122" s="13" t="n">
        <f aca="false">IF(EF$69=1,SUMIFS(dr_USD,dr_Mes,130,dr_Cod,"MAN",dr_Est,"&lt;&gt;Excluido"),IF($E$47="PYG",$F$47/EF$71,$F$47)/12*(1+p_ManInc*(MAX(1,EF$67)-1))*EF$74*EF$76)</f>
        <v>0</v>
      </c>
      <c r="EG122" s="13" t="n">
        <f aca="false">IF(EG$69=1,SUMIFS(dr_USD,dr_Mes,131,dr_Cod,"MAN",dr_Est,"&lt;&gt;Excluido"),IF($E$47="PYG",$F$47/EG$71,$F$47)/12*(1+p_ManInc*(MAX(1,EG$67)-1))*EG$74*EG$76)</f>
        <v>0</v>
      </c>
      <c r="EH122" s="13" t="n">
        <f aca="false">IF(EH$69=1,SUMIFS(dr_USD,dr_Mes,132,dr_Cod,"MAN",dr_Est,"&lt;&gt;Excluido"),IF($E$47="PYG",$F$47/EH$71,$F$47)/12*(1+p_ManInc*(MAX(1,EH$67)-1))*EH$74*EH$76)</f>
        <v>0</v>
      </c>
      <c r="EI122" s="13" t="n">
        <f aca="false">IF(EI$69=1,SUMIFS(dr_USD,dr_Mes,133,dr_Cod,"MAN",dr_Est,"&lt;&gt;Excluido"),IF($E$47="PYG",$F$47/EI$71,$F$47)/12*(1+p_ManInc*(MAX(1,EI$67)-1))*EI$74*EI$76)</f>
        <v>0</v>
      </c>
      <c r="EJ122" s="13" t="n">
        <f aca="false">IF(EJ$69=1,SUMIFS(dr_USD,dr_Mes,134,dr_Cod,"MAN",dr_Est,"&lt;&gt;Excluido"),IF($E$47="PYG",$F$47/EJ$71,$F$47)/12*(1+p_ManInc*(MAX(1,EJ$67)-1))*EJ$74*EJ$76)</f>
        <v>0</v>
      </c>
      <c r="EK122" s="13" t="n">
        <f aca="false">IF(EK$69=1,SUMIFS(dr_USD,dr_Mes,135,dr_Cod,"MAN",dr_Est,"&lt;&gt;Excluido"),IF($E$47="PYG",$F$47/EK$71,$F$47)/12*(1+p_ManInc*(MAX(1,EK$67)-1))*EK$74*EK$76)</f>
        <v>0</v>
      </c>
      <c r="EL122" s="13" t="n">
        <f aca="false">IF(EL$69=1,SUMIFS(dr_USD,dr_Mes,136,dr_Cod,"MAN",dr_Est,"&lt;&gt;Excluido"),IF($E$47="PYG",$F$47/EL$71,$F$47)/12*(1+p_ManInc*(MAX(1,EL$67)-1))*EL$74*EL$76)</f>
        <v>0</v>
      </c>
      <c r="EM122" s="13" t="n">
        <f aca="false">IF(EM$69=1,SUMIFS(dr_USD,dr_Mes,137,dr_Cod,"MAN",dr_Est,"&lt;&gt;Excluido"),IF($E$47="PYG",$F$47/EM$71,$F$47)/12*(1+p_ManInc*(MAX(1,EM$67)-1))*EM$74*EM$76)</f>
        <v>0</v>
      </c>
      <c r="EN122" s="13" t="n">
        <f aca="false">IF(EN$69=1,SUMIFS(dr_USD,dr_Mes,138,dr_Cod,"MAN",dr_Est,"&lt;&gt;Excluido"),IF($E$47="PYG",$F$47/EN$71,$F$47)/12*(1+p_ManInc*(MAX(1,EN$67)-1))*EN$74*EN$76)</f>
        <v>0</v>
      </c>
      <c r="EO122" s="13" t="n">
        <f aca="false">IF(EO$69=1,SUMIFS(dr_USD,dr_Mes,139,dr_Cod,"MAN",dr_Est,"&lt;&gt;Excluido"),IF($E$47="PYG",$F$47/EO$71,$F$47)/12*(1+p_ManInc*(MAX(1,EO$67)-1))*EO$74*EO$76)</f>
        <v>0</v>
      </c>
      <c r="EP122" s="13" t="n">
        <f aca="false">IF(EP$69=1,SUMIFS(dr_USD,dr_Mes,140,dr_Cod,"MAN",dr_Est,"&lt;&gt;Excluido"),IF($E$47="PYG",$F$47/EP$71,$F$47)/12*(1+p_ManInc*(MAX(1,EP$67)-1))*EP$74*EP$76)</f>
        <v>0</v>
      </c>
      <c r="EQ122" s="13" t="n">
        <f aca="false">IF(EQ$69=1,SUMIFS(dr_USD,dr_Mes,141,dr_Cod,"MAN",dr_Est,"&lt;&gt;Excluido"),IF($E$47="PYG",$F$47/EQ$71,$F$47)/12*(1+p_ManInc*(MAX(1,EQ$67)-1))*EQ$74*EQ$76)</f>
        <v>0</v>
      </c>
      <c r="ER122" s="13" t="n">
        <f aca="false">IF(ER$69=1,SUMIFS(dr_USD,dr_Mes,142,dr_Cod,"MAN",dr_Est,"&lt;&gt;Excluido"),IF($E$47="PYG",$F$47/ER$71,$F$47)/12*(1+p_ManInc*(MAX(1,ER$67)-1))*ER$74*ER$76)</f>
        <v>0</v>
      </c>
      <c r="ES122" s="13" t="n">
        <f aca="false">IF(ES$69=1,SUMIFS(dr_USD,dr_Mes,143,dr_Cod,"MAN",dr_Est,"&lt;&gt;Excluido"),IF($E$47="PYG",$F$47/ES$71,$F$47)/12*(1+p_ManInc*(MAX(1,ES$67)-1))*ES$74*ES$76)</f>
        <v>0</v>
      </c>
      <c r="ET122" s="13" t="n">
        <f aca="false">IF(ET$69=1,SUMIFS(dr_USD,dr_Mes,144,dr_Cod,"MAN",dr_Est,"&lt;&gt;Excluido"),IF($E$47="PYG",$F$47/ET$71,$F$47)/12*(1+p_ManInc*(MAX(1,ET$67)-1))*ET$74*ET$76)</f>
        <v>0</v>
      </c>
      <c r="EU122" s="13" t="n">
        <f aca="false">IF(EU$69=1,SUMIFS(dr_USD,dr_Mes,145,dr_Cod,"MAN",dr_Est,"&lt;&gt;Excluido"),IF($E$47="PYG",$F$47/EU$71,$F$47)/12*(1+p_ManInc*(MAX(1,EU$67)-1))*EU$74*EU$76)</f>
        <v>0</v>
      </c>
      <c r="EV122" s="13" t="n">
        <f aca="false">IF(EV$69=1,SUMIFS(dr_USD,dr_Mes,146,dr_Cod,"MAN",dr_Est,"&lt;&gt;Excluido"),IF($E$47="PYG",$F$47/EV$71,$F$47)/12*(1+p_ManInc*(MAX(1,EV$67)-1))*EV$74*EV$76)</f>
        <v>0</v>
      </c>
      <c r="EW122" s="13" t="n">
        <f aca="false">IF(EW$69=1,SUMIFS(dr_USD,dr_Mes,147,dr_Cod,"MAN",dr_Est,"&lt;&gt;Excluido"),IF($E$47="PYG",$F$47/EW$71,$F$47)/12*(1+p_ManInc*(MAX(1,EW$67)-1))*EW$74*EW$76)</f>
        <v>0</v>
      </c>
      <c r="EX122" s="13" t="n">
        <f aca="false">IF(EX$69=1,SUMIFS(dr_USD,dr_Mes,148,dr_Cod,"MAN",dr_Est,"&lt;&gt;Excluido"),IF($E$47="PYG",$F$47/EX$71,$F$47)/12*(1+p_ManInc*(MAX(1,EX$67)-1))*EX$74*EX$76)</f>
        <v>0</v>
      </c>
      <c r="EY122" s="13" t="n">
        <f aca="false">IF(EY$69=1,SUMIFS(dr_USD,dr_Mes,149,dr_Cod,"MAN",dr_Est,"&lt;&gt;Excluido"),IF($E$47="PYG",$F$47/EY$71,$F$47)/12*(1+p_ManInc*(MAX(1,EY$67)-1))*EY$74*EY$76)</f>
        <v>0</v>
      </c>
      <c r="EZ122" s="13" t="n">
        <f aca="false">IF(EZ$69=1,SUMIFS(dr_USD,dr_Mes,150,dr_Cod,"MAN",dr_Est,"&lt;&gt;Excluido"),IF($E$47="PYG",$F$47/EZ$71,$F$47)/12*(1+p_ManInc*(MAX(1,EZ$67)-1))*EZ$74*EZ$76)</f>
        <v>0</v>
      </c>
      <c r="FA122" s="13" t="n">
        <f aca="false">IF(FA$69=1,SUMIFS(dr_USD,dr_Mes,151,dr_Cod,"MAN",dr_Est,"&lt;&gt;Excluido"),IF($E$47="PYG",$F$47/FA$71,$F$47)/12*(1+p_ManInc*(MAX(1,FA$67)-1))*FA$74*FA$76)</f>
        <v>0</v>
      </c>
      <c r="FB122" s="13" t="n">
        <f aca="false">IF(FB$69=1,SUMIFS(dr_USD,dr_Mes,152,dr_Cod,"MAN",dr_Est,"&lt;&gt;Excluido"),IF($E$47="PYG",$F$47/FB$71,$F$47)/12*(1+p_ManInc*(MAX(1,FB$67)-1))*FB$74*FB$76)</f>
        <v>0</v>
      </c>
      <c r="FC122" s="13" t="n">
        <f aca="false">IF(FC$69=1,SUMIFS(dr_USD,dr_Mes,153,dr_Cod,"MAN",dr_Est,"&lt;&gt;Excluido"),IF($E$47="PYG",$F$47/FC$71,$F$47)/12*(1+p_ManInc*(MAX(1,FC$67)-1))*FC$74*FC$76)</f>
        <v>0</v>
      </c>
      <c r="FD122" s="13" t="n">
        <f aca="false">IF(FD$69=1,SUMIFS(dr_USD,dr_Mes,154,dr_Cod,"MAN",dr_Est,"&lt;&gt;Excluido"),IF($E$47="PYG",$F$47/FD$71,$F$47)/12*(1+p_ManInc*(MAX(1,FD$67)-1))*FD$74*FD$76)</f>
        <v>0</v>
      </c>
      <c r="FE122" s="13" t="n">
        <f aca="false">IF(FE$69=1,SUMIFS(dr_USD,dr_Mes,155,dr_Cod,"MAN",dr_Est,"&lt;&gt;Excluido"),IF($E$47="PYG",$F$47/FE$71,$F$47)/12*(1+p_ManInc*(MAX(1,FE$67)-1))*FE$74*FE$76)</f>
        <v>0</v>
      </c>
      <c r="FF122" s="13" t="n">
        <f aca="false">IF(FF$69=1,SUMIFS(dr_USD,dr_Mes,156,dr_Cod,"MAN",dr_Est,"&lt;&gt;Excluido"),IF($E$47="PYG",$F$47/FF$71,$F$47)/12*(1+p_ManInc*(MAX(1,FF$67)-1))*FF$74*FF$76)</f>
        <v>0</v>
      </c>
    </row>
    <row r="123" customFormat="false" ht="15" hidden="false" customHeight="false" outlineLevel="0" collapsed="false">
      <c r="A123" s="2" t="s">
        <v>1092</v>
      </c>
      <c r="B123" s="8" t="s">
        <v>1093</v>
      </c>
      <c r="C123" s="8" t="s">
        <v>255</v>
      </c>
      <c r="E123" s="65" t="n">
        <f aca="false">SUM($F123:$FF123)</f>
        <v>522330.829264744</v>
      </c>
      <c r="F123" s="13" t="n">
        <f aca="false">IF(F$69=1,SUMIFS(dr_USD,dr_Mes,0,dr_Cod,"PKG",dr_Est,"&lt;&gt;Excluido"),IF(F$68=1,p_Pkg*(F$110+F$111+F$112+F$113+F$79+F$80+F$81),0))</f>
        <v>0</v>
      </c>
      <c r="G123" s="13" t="n">
        <f aca="false">IF(G$69=1,SUMIFS(dr_USD,dr_Mes,1,dr_Cod,"PKG",dr_Est,"&lt;&gt;Excluido"),IF(G$68=1,p_Pkg*(G$110+G$111+G$112+G$113+G$79+G$80+G$81),0))</f>
        <v>3555.21716664703</v>
      </c>
      <c r="H123" s="13" t="n">
        <f aca="false">IF(H$69=1,SUMIFS(dr_USD,dr_Mes,2,dr_Cod,"PKG",dr_Est,"&lt;&gt;Excluido"),IF(H$68=1,p_Pkg*(H$110+H$111+H$112+H$113+H$79+H$80+H$81),0))</f>
        <v>2756.29059130457</v>
      </c>
      <c r="I123" s="13" t="n">
        <f aca="false">IF(I$69=1,SUMIFS(dr_USD,dr_Mes,3,dr_Cod,"PKG",dr_Est,"&lt;&gt;Excluido"),IF(I$68=1,p_Pkg*(I$110+I$111+I$112+I$113+I$79+I$80+I$81),0))</f>
        <v>2756.29059130457</v>
      </c>
      <c r="J123" s="13" t="n">
        <f aca="false">IF(J$69=1,SUMIFS(dr_USD,dr_Mes,4,dr_Cod,"PKG",dr_Est,"&lt;&gt;Excluido"),IF(J$68=1,p_Pkg*(J$110+J$111+J$112+J$113+J$79+J$80+J$81),0))</f>
        <v>2756.29059130457</v>
      </c>
      <c r="K123" s="13" t="n">
        <f aca="false">IF(K$69=1,SUMIFS(dr_USD,dr_Mes,5,dr_Cod,"PKG",dr_Est,"&lt;&gt;Excluido"),IF(K$68=1,p_Pkg*(K$110+K$111+K$112+K$113+K$79+K$80+K$81),0))</f>
        <v>2756.29059130457</v>
      </c>
      <c r="L123" s="13" t="n">
        <f aca="false">IF(L$69=1,SUMIFS(dr_USD,dr_Mes,6,dr_Cod,"PKG",dr_Est,"&lt;&gt;Excluido"),IF(L$68=1,p_Pkg*(L$110+L$111+L$112+L$113+L$79+L$80+L$81),0))</f>
        <v>2756.29059130457</v>
      </c>
      <c r="M123" s="13" t="n">
        <f aca="false">IF(M$69=1,SUMIFS(dr_USD,dr_Mes,7,dr_Cod,"PKG",dr_Est,"&lt;&gt;Excluido"),IF(M$68=1,p_Pkg*(M$110+M$111+M$112+M$113+M$79+M$80+M$81),0))</f>
        <v>2756.29059130457</v>
      </c>
      <c r="N123" s="13" t="n">
        <f aca="false">IF(N$69=1,SUMIFS(dr_USD,dr_Mes,8,dr_Cod,"PKG",dr_Est,"&lt;&gt;Excluido"),IF(N$68=1,p_Pkg*(N$110+N$111+N$112+N$113+N$79+N$80+N$81),0))</f>
        <v>2756.29059130457</v>
      </c>
      <c r="O123" s="13" t="n">
        <f aca="false">IF(O$69=1,SUMIFS(dr_USD,dr_Mes,9,dr_Cod,"PKG",dr_Est,"&lt;&gt;Excluido"),IF(O$68=1,p_Pkg*(O$110+O$111+O$112+O$113+O$79+O$80+O$81),0))</f>
        <v>2756.29059130457</v>
      </c>
      <c r="P123" s="13" t="n">
        <f aca="false">IF(P$69=1,SUMIFS(dr_USD,dr_Mes,10,dr_Cod,"PKG",dr_Est,"&lt;&gt;Excluido"),IF(P$68=1,p_Pkg*(P$110+P$111+P$112+P$113+P$79+P$80+P$81),0))</f>
        <v>2756.29059130457</v>
      </c>
      <c r="Q123" s="13" t="n">
        <f aca="false">IF(Q$69=1,SUMIFS(dr_USD,dr_Mes,11,dr_Cod,"PKG",dr_Est,"&lt;&gt;Excluido"),IF(Q$68=1,p_Pkg*(Q$110+Q$111+Q$112+Q$113+Q$79+Q$80+Q$81),0))</f>
        <v>2756.29059130457</v>
      </c>
      <c r="R123" s="13" t="n">
        <f aca="false">IF(R$69=1,SUMIFS(dr_USD,dr_Mes,12,dr_Cod,"PKG",dr_Est,"&lt;&gt;Excluido"),IF(R$68=1,p_Pkg*(R$110+R$111+R$112+R$113+R$79+R$80+R$81),0))</f>
        <v>2966.29004335936</v>
      </c>
      <c r="S123" s="13" t="n">
        <f aca="false">IF(S$69=1,SUMIFS(dr_USD,dr_Mes,13,dr_Cod,"PKG",dr_Est,"&lt;&gt;Excluido"),IF(S$68=1,p_Pkg*(S$110+S$111+S$112+S$113+S$79+S$80+S$81),0))</f>
        <v>3410.9276746379</v>
      </c>
      <c r="T123" s="13" t="n">
        <f aca="false">IF(T$69=1,SUMIFS(dr_USD,dr_Mes,14,dr_Cod,"PKG",dr_Est,"&lt;&gt;Excluido"),IF(T$68=1,p_Pkg*(T$110+T$111+T$112+T$113+T$79+T$80+T$81),0))</f>
        <v>3410.9276746379</v>
      </c>
      <c r="U123" s="13" t="n">
        <f aca="false">IF(U$69=1,SUMIFS(dr_USD,dr_Mes,15,dr_Cod,"PKG",dr_Est,"&lt;&gt;Excluido"),IF(U$68=1,p_Pkg*(U$110+U$111+U$112+U$113+U$79+U$80+U$81),0))</f>
        <v>3410.9276746379</v>
      </c>
      <c r="V123" s="13" t="n">
        <f aca="false">IF(V$69=1,SUMIFS(dr_USD,dr_Mes,16,dr_Cod,"PKG",dr_Est,"&lt;&gt;Excluido"),IF(V$68=1,p_Pkg*(V$110+V$111+V$112+V$113+V$79+V$80+V$81),0))</f>
        <v>3410.9276746379</v>
      </c>
      <c r="W123" s="13" t="n">
        <f aca="false">IF(W$69=1,SUMIFS(dr_USD,dr_Mes,17,dr_Cod,"PKG",dr_Est,"&lt;&gt;Excluido"),IF(W$68=1,p_Pkg*(W$110+W$111+W$112+W$113+W$79+W$80+W$81),0))</f>
        <v>3410.9276746379</v>
      </c>
      <c r="X123" s="13" t="n">
        <f aca="false">IF(X$69=1,SUMIFS(dr_USD,dr_Mes,18,dr_Cod,"PKG",dr_Est,"&lt;&gt;Excluido"),IF(X$68=1,p_Pkg*(X$110+X$111+X$112+X$113+X$79+X$80+X$81),0))</f>
        <v>3410.9276746379</v>
      </c>
      <c r="Y123" s="13" t="n">
        <f aca="false">IF(Y$69=1,SUMIFS(dr_USD,dr_Mes,19,dr_Cod,"PKG",dr_Est,"&lt;&gt;Excluido"),IF(Y$68=1,p_Pkg*(Y$110+Y$111+Y$112+Y$113+Y$79+Y$80+Y$81),0))</f>
        <v>3410.9276746379</v>
      </c>
      <c r="Z123" s="13" t="n">
        <f aca="false">IF(Z$69=1,SUMIFS(dr_USD,dr_Mes,20,dr_Cod,"PKG",dr_Est,"&lt;&gt;Excluido"),IF(Z$68=1,p_Pkg*(Z$110+Z$111+Z$112+Z$113+Z$79+Z$80+Z$81),0))</f>
        <v>3410.9276746379</v>
      </c>
      <c r="AA123" s="13" t="n">
        <f aca="false">IF(AA$69=1,SUMIFS(dr_USD,dr_Mes,21,dr_Cod,"PKG",dr_Est,"&lt;&gt;Excluido"),IF(AA$68=1,p_Pkg*(AA$110+AA$111+AA$112+AA$113+AA$79+AA$80+AA$81),0))</f>
        <v>3410.9276746379</v>
      </c>
      <c r="AB123" s="13" t="n">
        <f aca="false">IF(AB$69=1,SUMIFS(dr_USD,dr_Mes,22,dr_Cod,"PKG",dr_Est,"&lt;&gt;Excluido"),IF(AB$68=1,p_Pkg*(AB$110+AB$111+AB$112+AB$113+AB$79+AB$80+AB$81),0))</f>
        <v>3410.9276746379</v>
      </c>
      <c r="AC123" s="13" t="n">
        <f aca="false">IF(AC$69=1,SUMIFS(dr_USD,dr_Mes,23,dr_Cod,"PKG",dr_Est,"&lt;&gt;Excluido"),IF(AC$68=1,p_Pkg*(AC$110+AC$111+AC$112+AC$113+AC$79+AC$80+AC$81),0))</f>
        <v>3410.9276746379</v>
      </c>
      <c r="AD123" s="13" t="n">
        <f aca="false">IF(AD$69=1,SUMIFS(dr_USD,dr_Mes,24,dr_Cod,"PKG",dr_Est,"&lt;&gt;Excluido"),IF(AD$68=1,p_Pkg*(AD$110+AD$111+AD$112+AD$113+AD$79+AD$80+AD$81),0))</f>
        <v>3622.01246915845</v>
      </c>
      <c r="AE123" s="13" t="n">
        <f aca="false">IF(AE$69=1,SUMIFS(dr_USD,dr_Mes,25,dr_Cod,"PKG",dr_Est,"&lt;&gt;Excluido"),IF(AE$68=1,p_Pkg*(AE$110+AE$111+AE$112+AE$113+AE$79+AE$80+AE$81),0))</f>
        <v>4098.8133364089</v>
      </c>
      <c r="AF123" s="13" t="n">
        <f aca="false">IF(AF$69=1,SUMIFS(dr_USD,dr_Mes,26,dr_Cod,"PKG",dr_Est,"&lt;&gt;Excluido"),IF(AF$68=1,p_Pkg*(AF$110+AF$111+AF$112+AF$113+AF$79+AF$80+AF$81),0))</f>
        <v>4098.8133364089</v>
      </c>
      <c r="AG123" s="13" t="n">
        <f aca="false">IF(AG$69=1,SUMIFS(dr_USD,dr_Mes,27,dr_Cod,"PKG",dr_Est,"&lt;&gt;Excluido"),IF(AG$68=1,p_Pkg*(AG$110+AG$111+AG$112+AG$113+AG$79+AG$80+AG$81),0))</f>
        <v>4098.8133364089</v>
      </c>
      <c r="AH123" s="13" t="n">
        <f aca="false">IF(AH$69=1,SUMIFS(dr_USD,dr_Mes,28,dr_Cod,"PKG",dr_Est,"&lt;&gt;Excluido"),IF(AH$68=1,p_Pkg*(AH$110+AH$111+AH$112+AH$113+AH$79+AH$80+AH$81),0))</f>
        <v>4098.8133364089</v>
      </c>
      <c r="AI123" s="13" t="n">
        <f aca="false">IF(AI$69=1,SUMIFS(dr_USD,dr_Mes,29,dr_Cod,"PKG",dr_Est,"&lt;&gt;Excluido"),IF(AI$68=1,p_Pkg*(AI$110+AI$111+AI$112+AI$113+AI$79+AI$80+AI$81),0))</f>
        <v>4098.8133364089</v>
      </c>
      <c r="AJ123" s="13" t="n">
        <f aca="false">IF(AJ$69=1,SUMIFS(dr_USD,dr_Mes,30,dr_Cod,"PKG",dr_Est,"&lt;&gt;Excluido"),IF(AJ$68=1,p_Pkg*(AJ$110+AJ$111+AJ$112+AJ$113+AJ$79+AJ$80+AJ$81),0))</f>
        <v>4098.8133364089</v>
      </c>
      <c r="AK123" s="13" t="n">
        <f aca="false">IF(AK$69=1,SUMIFS(dr_USD,dr_Mes,31,dr_Cod,"PKG",dr_Est,"&lt;&gt;Excluido"),IF(AK$68=1,p_Pkg*(AK$110+AK$111+AK$112+AK$113+AK$79+AK$80+AK$81),0))</f>
        <v>4098.8133364089</v>
      </c>
      <c r="AL123" s="13" t="n">
        <f aca="false">IF(AL$69=1,SUMIFS(dr_USD,dr_Mes,32,dr_Cod,"PKG",dr_Est,"&lt;&gt;Excluido"),IF(AL$68=1,p_Pkg*(AL$110+AL$111+AL$112+AL$113+AL$79+AL$80+AL$81),0))</f>
        <v>4098.8133364089</v>
      </c>
      <c r="AM123" s="13" t="n">
        <f aca="false">IF(AM$69=1,SUMIFS(dr_USD,dr_Mes,33,dr_Cod,"PKG",dr_Est,"&lt;&gt;Excluido"),IF(AM$68=1,p_Pkg*(AM$110+AM$111+AM$112+AM$113+AM$79+AM$80+AM$81),0))</f>
        <v>4098.8133364089</v>
      </c>
      <c r="AN123" s="13" t="n">
        <f aca="false">IF(AN$69=1,SUMIFS(dr_USD,dr_Mes,34,dr_Cod,"PKG",dr_Est,"&lt;&gt;Excluido"),IF(AN$68=1,p_Pkg*(AN$110+AN$111+AN$112+AN$113+AN$79+AN$80+AN$81),0))</f>
        <v>4098.8133364089</v>
      </c>
      <c r="AO123" s="13" t="n">
        <f aca="false">IF(AO$69=1,SUMIFS(dr_USD,dr_Mes,35,dr_Cod,"PKG",dr_Est,"&lt;&gt;Excluido"),IF(AO$68=1,p_Pkg*(AO$110+AO$111+AO$112+AO$113+AO$79+AO$80+AO$81),0))</f>
        <v>4098.8133364089</v>
      </c>
      <c r="AP123" s="13" t="n">
        <f aca="false">IF(AP$69=1,SUMIFS(dr_USD,dr_Mes,36,dr_Cod,"PKG",dr_Est,"&lt;&gt;Excluido"),IF(AP$68=1,p_Pkg*(AP$110+AP$111+AP$112+AP$113+AP$79+AP$80+AP$81),0))</f>
        <v>4269.5150364089</v>
      </c>
      <c r="AQ123" s="13" t="n">
        <f aca="false">IF(AQ$69=1,SUMIFS(dr_USD,dr_Mes,37,dr_Cod,"PKG",dr_Est,"&lt;&gt;Excluido"),IF(AQ$68=1,p_Pkg*(AQ$110+AQ$111+AQ$112+AQ$113+AQ$79+AQ$80+AQ$81),0))</f>
        <v>4661.52811116121</v>
      </c>
      <c r="AR123" s="13" t="n">
        <f aca="false">IF(AR$69=1,SUMIFS(dr_USD,dr_Mes,38,dr_Cod,"PKG",dr_Est,"&lt;&gt;Excluido"),IF(AR$68=1,p_Pkg*(AR$110+AR$111+AR$112+AR$113+AR$79+AR$80+AR$81),0))</f>
        <v>4661.52811116121</v>
      </c>
      <c r="AS123" s="13" t="n">
        <f aca="false">IF(AS$69=1,SUMIFS(dr_USD,dr_Mes,39,dr_Cod,"PKG",dr_Est,"&lt;&gt;Excluido"),IF(AS$68=1,p_Pkg*(AS$110+AS$111+AS$112+AS$113+AS$79+AS$80+AS$81),0))</f>
        <v>4661.52811116121</v>
      </c>
      <c r="AT123" s="13" t="n">
        <f aca="false">IF(AT$69=1,SUMIFS(dr_USD,dr_Mes,40,dr_Cod,"PKG",dr_Est,"&lt;&gt;Excluido"),IF(AT$68=1,p_Pkg*(AT$110+AT$111+AT$112+AT$113+AT$79+AT$80+AT$81),0))</f>
        <v>4661.52811116121</v>
      </c>
      <c r="AU123" s="13" t="n">
        <f aca="false">IF(AU$69=1,SUMIFS(dr_USD,dr_Mes,41,dr_Cod,"PKG",dr_Est,"&lt;&gt;Excluido"),IF(AU$68=1,p_Pkg*(AU$110+AU$111+AU$112+AU$113+AU$79+AU$80+AU$81),0))</f>
        <v>4661.52811116121</v>
      </c>
      <c r="AV123" s="13" t="n">
        <f aca="false">IF(AV$69=1,SUMIFS(dr_USD,dr_Mes,42,dr_Cod,"PKG",dr_Est,"&lt;&gt;Excluido"),IF(AV$68=1,p_Pkg*(AV$110+AV$111+AV$112+AV$113+AV$79+AV$80+AV$81),0))</f>
        <v>4661.52811116121</v>
      </c>
      <c r="AW123" s="13" t="n">
        <f aca="false">IF(AW$69=1,SUMIFS(dr_USD,dr_Mes,43,dr_Cod,"PKG",dr_Est,"&lt;&gt;Excluido"),IF(AW$68=1,p_Pkg*(AW$110+AW$111+AW$112+AW$113+AW$79+AW$80+AW$81),0))</f>
        <v>4661.52811116121</v>
      </c>
      <c r="AX123" s="13" t="n">
        <f aca="false">IF(AX$69=1,SUMIFS(dr_USD,dr_Mes,44,dr_Cod,"PKG",dr_Est,"&lt;&gt;Excluido"),IF(AX$68=1,p_Pkg*(AX$110+AX$111+AX$112+AX$113+AX$79+AX$80+AX$81),0))</f>
        <v>4661.52811116121</v>
      </c>
      <c r="AY123" s="13" t="n">
        <f aca="false">IF(AY$69=1,SUMIFS(dr_USD,dr_Mes,45,dr_Cod,"PKG",dr_Est,"&lt;&gt;Excluido"),IF(AY$68=1,p_Pkg*(AY$110+AY$111+AY$112+AY$113+AY$79+AY$80+AY$81),0))</f>
        <v>4661.52811116121</v>
      </c>
      <c r="AZ123" s="13" t="n">
        <f aca="false">IF(AZ$69=1,SUMIFS(dr_USD,dr_Mes,46,dr_Cod,"PKG",dr_Est,"&lt;&gt;Excluido"),IF(AZ$68=1,p_Pkg*(AZ$110+AZ$111+AZ$112+AZ$113+AZ$79+AZ$80+AZ$81),0))</f>
        <v>4661.52811116121</v>
      </c>
      <c r="BA123" s="13" t="n">
        <f aca="false">IF(BA$69=1,SUMIFS(dr_USD,dr_Mes,47,dr_Cod,"PKG",dr_Est,"&lt;&gt;Excluido"),IF(BA$68=1,p_Pkg*(BA$110+BA$111+BA$112+BA$113+BA$79+BA$80+BA$81),0))</f>
        <v>4661.52811116121</v>
      </c>
      <c r="BB123" s="13" t="n">
        <f aca="false">IF(BB$69=1,SUMIFS(dr_USD,dr_Mes,48,dr_Cod,"PKG",dr_Est,"&lt;&gt;Excluido"),IF(BB$68=1,p_Pkg*(BB$110+BB$111+BB$112+BB$113+BB$79+BB$80+BB$81),0))</f>
        <v>4661.52811116121</v>
      </c>
      <c r="BC123" s="13" t="n">
        <f aca="false">IF(BC$69=1,SUMIFS(dr_USD,dr_Mes,49,dr_Cod,"PKG",dr_Est,"&lt;&gt;Excluido"),IF(BC$68=1,p_Pkg*(BC$110+BC$111+BC$112+BC$113+BC$79+BC$80+BC$81),0))</f>
        <v>4709.89503230243</v>
      </c>
      <c r="BD123" s="13" t="n">
        <f aca="false">IF(BD$69=1,SUMIFS(dr_USD,dr_Mes,50,dr_Cod,"PKG",dr_Est,"&lt;&gt;Excluido"),IF(BD$68=1,p_Pkg*(BD$110+BD$111+BD$112+BD$113+BD$79+BD$80+BD$81),0))</f>
        <v>4709.89503230243</v>
      </c>
      <c r="BE123" s="13" t="n">
        <f aca="false">IF(BE$69=1,SUMIFS(dr_USD,dr_Mes,51,dr_Cod,"PKG",dr_Est,"&lt;&gt;Excluido"),IF(BE$68=1,p_Pkg*(BE$110+BE$111+BE$112+BE$113+BE$79+BE$80+BE$81),0))</f>
        <v>4709.89503230243</v>
      </c>
      <c r="BF123" s="13" t="n">
        <f aca="false">IF(BF$69=1,SUMIFS(dr_USD,dr_Mes,52,dr_Cod,"PKG",dr_Est,"&lt;&gt;Excluido"),IF(BF$68=1,p_Pkg*(BF$110+BF$111+BF$112+BF$113+BF$79+BF$80+BF$81),0))</f>
        <v>4709.89503230243</v>
      </c>
      <c r="BG123" s="13" t="n">
        <f aca="false">IF(BG$69=1,SUMIFS(dr_USD,dr_Mes,53,dr_Cod,"PKG",dr_Est,"&lt;&gt;Excluido"),IF(BG$68=1,p_Pkg*(BG$110+BG$111+BG$112+BG$113+BG$79+BG$80+BG$81),0))</f>
        <v>4709.89503230243</v>
      </c>
      <c r="BH123" s="13" t="n">
        <f aca="false">IF(BH$69=1,SUMIFS(dr_USD,dr_Mes,54,dr_Cod,"PKG",dr_Est,"&lt;&gt;Excluido"),IF(BH$68=1,p_Pkg*(BH$110+BH$111+BH$112+BH$113+BH$79+BH$80+BH$81),0))</f>
        <v>4709.89503230243</v>
      </c>
      <c r="BI123" s="13" t="n">
        <f aca="false">IF(BI$69=1,SUMIFS(dr_USD,dr_Mes,55,dr_Cod,"PKG",dr_Est,"&lt;&gt;Excluido"),IF(BI$68=1,p_Pkg*(BI$110+BI$111+BI$112+BI$113+BI$79+BI$80+BI$81),0))</f>
        <v>4709.89503230243</v>
      </c>
      <c r="BJ123" s="13" t="n">
        <f aca="false">IF(BJ$69=1,SUMIFS(dr_USD,dr_Mes,56,dr_Cod,"PKG",dr_Est,"&lt;&gt;Excluido"),IF(BJ$68=1,p_Pkg*(BJ$110+BJ$111+BJ$112+BJ$113+BJ$79+BJ$80+BJ$81),0))</f>
        <v>4709.89503230243</v>
      </c>
      <c r="BK123" s="13" t="n">
        <f aca="false">IF(BK$69=1,SUMIFS(dr_USD,dr_Mes,57,dr_Cod,"PKG",dr_Est,"&lt;&gt;Excluido"),IF(BK$68=1,p_Pkg*(BK$110+BK$111+BK$112+BK$113+BK$79+BK$80+BK$81),0))</f>
        <v>4709.89503230243</v>
      </c>
      <c r="BL123" s="13" t="n">
        <f aca="false">IF(BL$69=1,SUMIFS(dr_USD,dr_Mes,58,dr_Cod,"PKG",dr_Est,"&lt;&gt;Excluido"),IF(BL$68=1,p_Pkg*(BL$110+BL$111+BL$112+BL$113+BL$79+BL$80+BL$81),0))</f>
        <v>4709.89503230243</v>
      </c>
      <c r="BM123" s="13" t="n">
        <f aca="false">IF(BM$69=1,SUMIFS(dr_USD,dr_Mes,59,dr_Cod,"PKG",dr_Est,"&lt;&gt;Excluido"),IF(BM$68=1,p_Pkg*(BM$110+BM$111+BM$112+BM$113+BM$79+BM$80+BM$81),0))</f>
        <v>4709.89503230243</v>
      </c>
      <c r="BN123" s="13" t="n">
        <f aca="false">IF(BN$69=1,SUMIFS(dr_USD,dr_Mes,60,dr_Cod,"PKG",dr_Est,"&lt;&gt;Excluido"),IF(BN$68=1,p_Pkg*(BN$110+BN$111+BN$112+BN$113+BN$79+BN$80+BN$81),0))</f>
        <v>4709.89503230243</v>
      </c>
      <c r="BO123" s="13" t="n">
        <f aca="false">IF(BO$69=1,SUMIFS(dr_USD,dr_Mes,61,dr_Cod,"PKG",dr_Est,"&lt;&gt;Excluido"),IF(BO$68=1,p_Pkg*(BO$110+BO$111+BO$112+BO$113+BO$79+BO$80+BO$81),0))</f>
        <v>4732.65694426616</v>
      </c>
      <c r="BP123" s="13" t="n">
        <f aca="false">IF(BP$69=1,SUMIFS(dr_USD,dr_Mes,62,dr_Cod,"PKG",dr_Est,"&lt;&gt;Excluido"),IF(BP$68=1,p_Pkg*(BP$110+BP$111+BP$112+BP$113+BP$79+BP$80+BP$81),0))</f>
        <v>4732.65694426616</v>
      </c>
      <c r="BQ123" s="13" t="n">
        <f aca="false">IF(BQ$69=1,SUMIFS(dr_USD,dr_Mes,63,dr_Cod,"PKG",dr_Est,"&lt;&gt;Excluido"),IF(BQ$68=1,p_Pkg*(BQ$110+BQ$111+BQ$112+BQ$113+BQ$79+BQ$80+BQ$81),0))</f>
        <v>4732.65694426616</v>
      </c>
      <c r="BR123" s="13" t="n">
        <f aca="false">IF(BR$69=1,SUMIFS(dr_USD,dr_Mes,64,dr_Cod,"PKG",dr_Est,"&lt;&gt;Excluido"),IF(BR$68=1,p_Pkg*(BR$110+BR$111+BR$112+BR$113+BR$79+BR$80+BR$81),0))</f>
        <v>4732.65694426616</v>
      </c>
      <c r="BS123" s="13" t="n">
        <f aca="false">IF(BS$69=1,SUMIFS(dr_USD,dr_Mes,65,dr_Cod,"PKG",dr_Est,"&lt;&gt;Excluido"),IF(BS$68=1,p_Pkg*(BS$110+BS$111+BS$112+BS$113+BS$79+BS$80+BS$81),0))</f>
        <v>4732.65694426616</v>
      </c>
      <c r="BT123" s="13" t="n">
        <f aca="false">IF(BT$69=1,SUMIFS(dr_USD,dr_Mes,66,dr_Cod,"PKG",dr_Est,"&lt;&gt;Excluido"),IF(BT$68=1,p_Pkg*(BT$110+BT$111+BT$112+BT$113+BT$79+BT$80+BT$81),0))</f>
        <v>4732.65694426616</v>
      </c>
      <c r="BU123" s="13" t="n">
        <f aca="false">IF(BU$69=1,SUMIFS(dr_USD,dr_Mes,67,dr_Cod,"PKG",dr_Est,"&lt;&gt;Excluido"),IF(BU$68=1,p_Pkg*(BU$110+BU$111+BU$112+BU$113+BU$79+BU$80+BU$81),0))</f>
        <v>4732.65694426616</v>
      </c>
      <c r="BV123" s="13" t="n">
        <f aca="false">IF(BV$69=1,SUMIFS(dr_USD,dr_Mes,68,dr_Cod,"PKG",dr_Est,"&lt;&gt;Excluido"),IF(BV$68=1,p_Pkg*(BV$110+BV$111+BV$112+BV$113+BV$79+BV$80+BV$81),0))</f>
        <v>4732.65694426616</v>
      </c>
      <c r="BW123" s="13" t="n">
        <f aca="false">IF(BW$69=1,SUMIFS(dr_USD,dr_Mes,69,dr_Cod,"PKG",dr_Est,"&lt;&gt;Excluido"),IF(BW$68=1,p_Pkg*(BW$110+BW$111+BW$112+BW$113+BW$79+BW$80+BW$81),0))</f>
        <v>4732.65694426616</v>
      </c>
      <c r="BX123" s="13" t="n">
        <f aca="false">IF(BX$69=1,SUMIFS(dr_USD,dr_Mes,70,dr_Cod,"PKG",dr_Est,"&lt;&gt;Excluido"),IF(BX$68=1,p_Pkg*(BX$110+BX$111+BX$112+BX$113+BX$79+BX$80+BX$81),0))</f>
        <v>4732.65694426616</v>
      </c>
      <c r="BY123" s="13" t="n">
        <f aca="false">IF(BY$69=1,SUMIFS(dr_USD,dr_Mes,71,dr_Cod,"PKG",dr_Est,"&lt;&gt;Excluido"),IF(BY$68=1,p_Pkg*(BY$110+BY$111+BY$112+BY$113+BY$79+BY$80+BY$81),0))</f>
        <v>4732.65694426616</v>
      </c>
      <c r="BZ123" s="13" t="n">
        <f aca="false">IF(BZ$69=1,SUMIFS(dr_USD,dr_Mes,72,dr_Cod,"PKG",dr_Est,"&lt;&gt;Excluido"),IF(BZ$68=1,p_Pkg*(BZ$110+BZ$111+BZ$112+BZ$113+BZ$79+BZ$80+BZ$81),0))</f>
        <v>4732.65694426616</v>
      </c>
      <c r="CA123" s="13" t="n">
        <f aca="false">IF(CA$69=1,SUMIFS(dr_USD,dr_Mes,73,dr_Cod,"PKG",dr_Est,"&lt;&gt;Excluido"),IF(CA$68=1,p_Pkg*(CA$110+CA$111+CA$112+CA$113+CA$79+CA$80+CA$81),0))</f>
        <v>4755.64647534954</v>
      </c>
      <c r="CB123" s="13" t="n">
        <f aca="false">IF(CB$69=1,SUMIFS(dr_USD,dr_Mes,74,dr_Cod,"PKG",dr_Est,"&lt;&gt;Excluido"),IF(CB$68=1,p_Pkg*(CB$110+CB$111+CB$112+CB$113+CB$79+CB$80+CB$81),0))</f>
        <v>4755.64647534954</v>
      </c>
      <c r="CC123" s="13" t="n">
        <f aca="false">IF(CC$69=1,SUMIFS(dr_USD,dr_Mes,75,dr_Cod,"PKG",dr_Est,"&lt;&gt;Excluido"),IF(CC$68=1,p_Pkg*(CC$110+CC$111+CC$112+CC$113+CC$79+CC$80+CC$81),0))</f>
        <v>4755.64647534954</v>
      </c>
      <c r="CD123" s="13" t="n">
        <f aca="false">IF(CD$69=1,SUMIFS(dr_USD,dr_Mes,76,dr_Cod,"PKG",dr_Est,"&lt;&gt;Excluido"),IF(CD$68=1,p_Pkg*(CD$110+CD$111+CD$112+CD$113+CD$79+CD$80+CD$81),0))</f>
        <v>4755.64647534954</v>
      </c>
      <c r="CE123" s="13" t="n">
        <f aca="false">IF(CE$69=1,SUMIFS(dr_USD,dr_Mes,77,dr_Cod,"PKG",dr_Est,"&lt;&gt;Excluido"),IF(CE$68=1,p_Pkg*(CE$110+CE$111+CE$112+CE$113+CE$79+CE$80+CE$81),0))</f>
        <v>4755.64647534954</v>
      </c>
      <c r="CF123" s="13" t="n">
        <f aca="false">IF(CF$69=1,SUMIFS(dr_USD,dr_Mes,78,dr_Cod,"PKG",dr_Est,"&lt;&gt;Excluido"),IF(CF$68=1,p_Pkg*(CF$110+CF$111+CF$112+CF$113+CF$79+CF$80+CF$81),0))</f>
        <v>4755.64647534954</v>
      </c>
      <c r="CG123" s="13" t="n">
        <f aca="false">IF(CG$69=1,SUMIFS(dr_USD,dr_Mes,79,dr_Cod,"PKG",dr_Est,"&lt;&gt;Excluido"),IF(CG$68=1,p_Pkg*(CG$110+CG$111+CG$112+CG$113+CG$79+CG$80+CG$81),0))</f>
        <v>4755.64647534954</v>
      </c>
      <c r="CH123" s="13" t="n">
        <f aca="false">IF(CH$69=1,SUMIFS(dr_USD,dr_Mes,80,dr_Cod,"PKG",dr_Est,"&lt;&gt;Excluido"),IF(CH$68=1,p_Pkg*(CH$110+CH$111+CH$112+CH$113+CH$79+CH$80+CH$81),0))</f>
        <v>4755.64647534954</v>
      </c>
      <c r="CI123" s="13" t="n">
        <f aca="false">IF(CI$69=1,SUMIFS(dr_USD,dr_Mes,81,dr_Cod,"PKG",dr_Est,"&lt;&gt;Excluido"),IF(CI$68=1,p_Pkg*(CI$110+CI$111+CI$112+CI$113+CI$79+CI$80+CI$81),0))</f>
        <v>4755.64647534954</v>
      </c>
      <c r="CJ123" s="13" t="n">
        <f aca="false">IF(CJ$69=1,SUMIFS(dr_USD,dr_Mes,82,dr_Cod,"PKG",dr_Est,"&lt;&gt;Excluido"),IF(CJ$68=1,p_Pkg*(CJ$110+CJ$111+CJ$112+CJ$113+CJ$79+CJ$80+CJ$81),0))</f>
        <v>4755.64647534954</v>
      </c>
      <c r="CK123" s="13" t="n">
        <f aca="false">IF(CK$69=1,SUMIFS(dr_USD,dr_Mes,83,dr_Cod,"PKG",dr_Est,"&lt;&gt;Excluido"),IF(CK$68=1,p_Pkg*(CK$110+CK$111+CK$112+CK$113+CK$79+CK$80+CK$81),0))</f>
        <v>4755.64647534954</v>
      </c>
      <c r="CL123" s="13" t="n">
        <f aca="false">IF(CL$69=1,SUMIFS(dr_USD,dr_Mes,84,dr_Cod,"PKG",dr_Est,"&lt;&gt;Excluido"),IF(CL$68=1,p_Pkg*(CL$110+CL$111+CL$112+CL$113+CL$79+CL$80+CL$81),0))</f>
        <v>4755.64647534954</v>
      </c>
      <c r="CM123" s="13" t="n">
        <f aca="false">IF(CM$69=1,SUMIFS(dr_USD,dr_Mes,85,dr_Cod,"PKG",dr_Est,"&lt;&gt;Excluido"),IF(CM$68=1,p_Pkg*(CM$110+CM$111+CM$112+CM$113+CM$79+CM$80+CM$81),0))</f>
        <v>4778.86590174375</v>
      </c>
      <c r="CN123" s="13" t="n">
        <f aca="false">IF(CN$69=1,SUMIFS(dr_USD,dr_Mes,86,dr_Cod,"PKG",dr_Est,"&lt;&gt;Excluido"),IF(CN$68=1,p_Pkg*(CN$110+CN$111+CN$112+CN$113+CN$79+CN$80+CN$81),0))</f>
        <v>4778.86590174375</v>
      </c>
      <c r="CO123" s="13" t="n">
        <f aca="false">IF(CO$69=1,SUMIFS(dr_USD,dr_Mes,87,dr_Cod,"PKG",dr_Est,"&lt;&gt;Excluido"),IF(CO$68=1,p_Pkg*(CO$110+CO$111+CO$112+CO$113+CO$79+CO$80+CO$81),0))</f>
        <v>4778.86590174375</v>
      </c>
      <c r="CP123" s="13" t="n">
        <f aca="false">IF(CP$69=1,SUMIFS(dr_USD,dr_Mes,88,dr_Cod,"PKG",dr_Est,"&lt;&gt;Excluido"),IF(CP$68=1,p_Pkg*(CP$110+CP$111+CP$112+CP$113+CP$79+CP$80+CP$81),0))</f>
        <v>4778.86590174375</v>
      </c>
      <c r="CQ123" s="13" t="n">
        <f aca="false">IF(CQ$69=1,SUMIFS(dr_USD,dr_Mes,89,dr_Cod,"PKG",dr_Est,"&lt;&gt;Excluido"),IF(CQ$68=1,p_Pkg*(CQ$110+CQ$111+CQ$112+CQ$113+CQ$79+CQ$80+CQ$81),0))</f>
        <v>4778.86590174375</v>
      </c>
      <c r="CR123" s="13" t="n">
        <f aca="false">IF(CR$69=1,SUMIFS(dr_USD,dr_Mes,90,dr_Cod,"PKG",dr_Est,"&lt;&gt;Excluido"),IF(CR$68=1,p_Pkg*(CR$110+CR$111+CR$112+CR$113+CR$79+CR$80+CR$81),0))</f>
        <v>4778.86590174375</v>
      </c>
      <c r="CS123" s="13" t="n">
        <f aca="false">IF(CS$69=1,SUMIFS(dr_USD,dr_Mes,91,dr_Cod,"PKG",dr_Est,"&lt;&gt;Excluido"),IF(CS$68=1,p_Pkg*(CS$110+CS$111+CS$112+CS$113+CS$79+CS$80+CS$81),0))</f>
        <v>4778.86590174375</v>
      </c>
      <c r="CT123" s="13" t="n">
        <f aca="false">IF(CT$69=1,SUMIFS(dr_USD,dr_Mes,92,dr_Cod,"PKG",dr_Est,"&lt;&gt;Excluido"),IF(CT$68=1,p_Pkg*(CT$110+CT$111+CT$112+CT$113+CT$79+CT$80+CT$81),0))</f>
        <v>4778.86590174375</v>
      </c>
      <c r="CU123" s="13" t="n">
        <f aca="false">IF(CU$69=1,SUMIFS(dr_USD,dr_Mes,93,dr_Cod,"PKG",dr_Est,"&lt;&gt;Excluido"),IF(CU$68=1,p_Pkg*(CU$110+CU$111+CU$112+CU$113+CU$79+CU$80+CU$81),0))</f>
        <v>4778.86590174375</v>
      </c>
      <c r="CV123" s="13" t="n">
        <f aca="false">IF(CV$69=1,SUMIFS(dr_USD,dr_Mes,94,dr_Cod,"PKG",dr_Est,"&lt;&gt;Excluido"),IF(CV$68=1,p_Pkg*(CV$110+CV$111+CV$112+CV$113+CV$79+CV$80+CV$81),0))</f>
        <v>4778.86590174375</v>
      </c>
      <c r="CW123" s="13" t="n">
        <f aca="false">IF(CW$69=1,SUMIFS(dr_USD,dr_Mes,95,dr_Cod,"PKG",dr_Est,"&lt;&gt;Excluido"),IF(CW$68=1,p_Pkg*(CW$110+CW$111+CW$112+CW$113+CW$79+CW$80+CW$81),0))</f>
        <v>4778.86590174375</v>
      </c>
      <c r="CX123" s="13" t="n">
        <f aca="false">IF(CX$69=1,SUMIFS(dr_USD,dr_Mes,96,dr_Cod,"PKG",dr_Est,"&lt;&gt;Excluido"),IF(CX$68=1,p_Pkg*(CX$110+CX$111+CX$112+CX$113+CX$79+CX$80+CX$81),0))</f>
        <v>4778.86590174375</v>
      </c>
      <c r="CY123" s="13" t="n">
        <f aca="false">IF(CY$69=1,SUMIFS(dr_USD,dr_Mes,97,dr_Cod,"PKG",dr_Est,"&lt;&gt;Excluido"),IF(CY$68=1,p_Pkg*(CY$110+CY$111+CY$112+CY$113+CY$79+CY$80+CY$81),0))</f>
        <v>4802.3175224019</v>
      </c>
      <c r="CZ123" s="13" t="n">
        <f aca="false">IF(CZ$69=1,SUMIFS(dr_USD,dr_Mes,98,dr_Cod,"PKG",dr_Est,"&lt;&gt;Excluido"),IF(CZ$68=1,p_Pkg*(CZ$110+CZ$111+CZ$112+CZ$113+CZ$79+CZ$80+CZ$81),0))</f>
        <v>4802.3175224019</v>
      </c>
      <c r="DA123" s="13" t="n">
        <f aca="false">IF(DA$69=1,SUMIFS(dr_USD,dr_Mes,99,dr_Cod,"PKG",dr_Est,"&lt;&gt;Excluido"),IF(DA$68=1,p_Pkg*(DA$110+DA$111+DA$112+DA$113+DA$79+DA$80+DA$81),0))</f>
        <v>4802.3175224019</v>
      </c>
      <c r="DB123" s="13" t="n">
        <f aca="false">IF(DB$69=1,SUMIFS(dr_USD,dr_Mes,100,dr_Cod,"PKG",dr_Est,"&lt;&gt;Excluido"),IF(DB$68=1,p_Pkg*(DB$110+DB$111+DB$112+DB$113+DB$79+DB$80+DB$81),0))</f>
        <v>4802.3175224019</v>
      </c>
      <c r="DC123" s="13" t="n">
        <f aca="false">IF(DC$69=1,SUMIFS(dr_USD,dr_Mes,101,dr_Cod,"PKG",dr_Est,"&lt;&gt;Excluido"),IF(DC$68=1,p_Pkg*(DC$110+DC$111+DC$112+DC$113+DC$79+DC$80+DC$81),0))</f>
        <v>4802.3175224019</v>
      </c>
      <c r="DD123" s="13" t="n">
        <f aca="false">IF(DD$69=1,SUMIFS(dr_USD,dr_Mes,102,dr_Cod,"PKG",dr_Est,"&lt;&gt;Excluido"),IF(DD$68=1,p_Pkg*(DD$110+DD$111+DD$112+DD$113+DD$79+DD$80+DD$81),0))</f>
        <v>4802.3175224019</v>
      </c>
      <c r="DE123" s="13" t="n">
        <f aca="false">IF(DE$69=1,SUMIFS(dr_USD,dr_Mes,103,dr_Cod,"PKG",dr_Est,"&lt;&gt;Excluido"),IF(DE$68=1,p_Pkg*(DE$110+DE$111+DE$112+DE$113+DE$79+DE$80+DE$81),0))</f>
        <v>4802.3175224019</v>
      </c>
      <c r="DF123" s="13" t="n">
        <f aca="false">IF(DF$69=1,SUMIFS(dr_USD,dr_Mes,104,dr_Cod,"PKG",dr_Est,"&lt;&gt;Excluido"),IF(DF$68=1,p_Pkg*(DF$110+DF$111+DF$112+DF$113+DF$79+DF$80+DF$81),0))</f>
        <v>4802.3175224019</v>
      </c>
      <c r="DG123" s="13" t="n">
        <f aca="false">IF(DG$69=1,SUMIFS(dr_USD,dr_Mes,105,dr_Cod,"PKG",dr_Est,"&lt;&gt;Excluido"),IF(DG$68=1,p_Pkg*(DG$110+DG$111+DG$112+DG$113+DG$79+DG$80+DG$81),0))</f>
        <v>4802.3175224019</v>
      </c>
      <c r="DH123" s="13" t="n">
        <f aca="false">IF(DH$69=1,SUMIFS(dr_USD,dr_Mes,106,dr_Cod,"PKG",dr_Est,"&lt;&gt;Excluido"),IF(DH$68=1,p_Pkg*(DH$110+DH$111+DH$112+DH$113+DH$79+DH$80+DH$81),0))</f>
        <v>4802.3175224019</v>
      </c>
      <c r="DI123" s="13" t="n">
        <f aca="false">IF(DI$69=1,SUMIFS(dr_USD,dr_Mes,107,dr_Cod,"PKG",dr_Est,"&lt;&gt;Excluido"),IF(DI$68=1,p_Pkg*(DI$110+DI$111+DI$112+DI$113+DI$79+DI$80+DI$81),0))</f>
        <v>4802.3175224019</v>
      </c>
      <c r="DJ123" s="13" t="n">
        <f aca="false">IF(DJ$69=1,SUMIFS(dr_USD,dr_Mes,108,dr_Cod,"PKG",dr_Est,"&lt;&gt;Excluido"),IF(DJ$68=1,p_Pkg*(DJ$110+DJ$111+DJ$112+DJ$113+DJ$79+DJ$80+DJ$81),0))</f>
        <v>4802.3175224019</v>
      </c>
      <c r="DK123" s="13" t="n">
        <f aca="false">IF(DK$69=1,SUMIFS(dr_USD,dr_Mes,109,dr_Cod,"PKG",dr_Est,"&lt;&gt;Excluido"),IF(DK$68=1,p_Pkg*(DK$110+DK$111+DK$112+DK$113+DK$79+DK$80+DK$81),0))</f>
        <v>4826.00365926663</v>
      </c>
      <c r="DL123" s="13" t="n">
        <f aca="false">IF(DL$69=1,SUMIFS(dr_USD,dr_Mes,110,dr_Cod,"PKG",dr_Est,"&lt;&gt;Excluido"),IF(DL$68=1,p_Pkg*(DL$110+DL$111+DL$112+DL$113+DL$79+DL$80+DL$81),0))</f>
        <v>4826.00365926663</v>
      </c>
      <c r="DM123" s="13" t="n">
        <f aca="false">IF(DM$69=1,SUMIFS(dr_USD,dr_Mes,111,dr_Cod,"PKG",dr_Est,"&lt;&gt;Excluido"),IF(DM$68=1,p_Pkg*(DM$110+DM$111+DM$112+DM$113+DM$79+DM$80+DM$81),0))</f>
        <v>4826.00365926663</v>
      </c>
      <c r="DN123" s="13" t="n">
        <f aca="false">IF(DN$69=1,SUMIFS(dr_USD,dr_Mes,112,dr_Cod,"PKG",dr_Est,"&lt;&gt;Excluido"),IF(DN$68=1,p_Pkg*(DN$110+DN$111+DN$112+DN$113+DN$79+DN$80+DN$81),0))</f>
        <v>4826.00365926663</v>
      </c>
      <c r="DO123" s="13" t="n">
        <f aca="false">IF(DO$69=1,SUMIFS(dr_USD,dr_Mes,113,dr_Cod,"PKG",dr_Est,"&lt;&gt;Excluido"),IF(DO$68=1,p_Pkg*(DO$110+DO$111+DO$112+DO$113+DO$79+DO$80+DO$81),0))</f>
        <v>4826.00365926663</v>
      </c>
      <c r="DP123" s="13" t="n">
        <f aca="false">IF(DP$69=1,SUMIFS(dr_USD,dr_Mes,114,dr_Cod,"PKG",dr_Est,"&lt;&gt;Excluido"),IF(DP$68=1,p_Pkg*(DP$110+DP$111+DP$112+DP$113+DP$79+DP$80+DP$81),0))</f>
        <v>4826.00365926663</v>
      </c>
      <c r="DQ123" s="13" t="n">
        <f aca="false">IF(DQ$69=1,SUMIFS(dr_USD,dr_Mes,115,dr_Cod,"PKG",dr_Est,"&lt;&gt;Excluido"),IF(DQ$68=1,p_Pkg*(DQ$110+DQ$111+DQ$112+DQ$113+DQ$79+DQ$80+DQ$81),0))</f>
        <v>4826.00365926663</v>
      </c>
      <c r="DR123" s="13" t="n">
        <f aca="false">IF(DR$69=1,SUMIFS(dr_USD,dr_Mes,116,dr_Cod,"PKG",dr_Est,"&lt;&gt;Excluido"),IF(DR$68=1,p_Pkg*(DR$110+DR$111+DR$112+DR$113+DR$79+DR$80+DR$81),0))</f>
        <v>4826.00365926663</v>
      </c>
      <c r="DS123" s="13" t="n">
        <f aca="false">IF(DS$69=1,SUMIFS(dr_USD,dr_Mes,117,dr_Cod,"PKG",dr_Est,"&lt;&gt;Excluido"),IF(DS$68=1,p_Pkg*(DS$110+DS$111+DS$112+DS$113+DS$79+DS$80+DS$81),0))</f>
        <v>4826.00365926663</v>
      </c>
      <c r="DT123" s="13" t="n">
        <f aca="false">IF(DT$69=1,SUMIFS(dr_USD,dr_Mes,118,dr_Cod,"PKG",dr_Est,"&lt;&gt;Excluido"),IF(DT$68=1,p_Pkg*(DT$110+DT$111+DT$112+DT$113+DT$79+DT$80+DT$81),0))</f>
        <v>4826.00365926663</v>
      </c>
      <c r="DU123" s="13" t="n">
        <f aca="false">IF(DU$69=1,SUMIFS(dr_USD,dr_Mes,119,dr_Cod,"PKG",dr_Est,"&lt;&gt;Excluido"),IF(DU$68=1,p_Pkg*(DU$110+DU$111+DU$112+DU$113+DU$79+DU$80+DU$81),0))</f>
        <v>4826.00365926663</v>
      </c>
      <c r="DV123" s="13" t="n">
        <f aca="false">IF(DV$69=1,SUMIFS(dr_USD,dr_Mes,120,dr_Cod,"PKG",dr_Est,"&lt;&gt;Excluido"),IF(DV$68=1,p_Pkg*(DV$110+DV$111+DV$112+DV$113+DV$79+DV$80+DV$81),0))</f>
        <v>3370.77741597744</v>
      </c>
      <c r="DW123" s="13" t="n">
        <f aca="false">IF(DW$69=1,SUMIFS(dr_USD,dr_Mes,121,dr_Cod,"PKG",dr_Est,"&lt;&gt;Excluido"),IF(DW$68=1,p_Pkg*(DW$110+DW$111+DW$112+DW$113+DW$79+DW$80+DW$81),0))</f>
        <v>0</v>
      </c>
      <c r="DX123" s="13" t="n">
        <f aca="false">IF(DX$69=1,SUMIFS(dr_USD,dr_Mes,122,dr_Cod,"PKG",dr_Est,"&lt;&gt;Excluido"),IF(DX$68=1,p_Pkg*(DX$110+DX$111+DX$112+DX$113+DX$79+DX$80+DX$81),0))</f>
        <v>0</v>
      </c>
      <c r="DY123" s="13" t="n">
        <f aca="false">IF(DY$69=1,SUMIFS(dr_USD,dr_Mes,123,dr_Cod,"PKG",dr_Est,"&lt;&gt;Excluido"),IF(DY$68=1,p_Pkg*(DY$110+DY$111+DY$112+DY$113+DY$79+DY$80+DY$81),0))</f>
        <v>0</v>
      </c>
      <c r="DZ123" s="13" t="n">
        <f aca="false">IF(DZ$69=1,SUMIFS(dr_USD,dr_Mes,124,dr_Cod,"PKG",dr_Est,"&lt;&gt;Excluido"),IF(DZ$68=1,p_Pkg*(DZ$110+DZ$111+DZ$112+DZ$113+DZ$79+DZ$80+DZ$81),0))</f>
        <v>0</v>
      </c>
      <c r="EA123" s="13" t="n">
        <f aca="false">IF(EA$69=1,SUMIFS(dr_USD,dr_Mes,125,dr_Cod,"PKG",dr_Est,"&lt;&gt;Excluido"),IF(EA$68=1,p_Pkg*(EA$110+EA$111+EA$112+EA$113+EA$79+EA$80+EA$81),0))</f>
        <v>0</v>
      </c>
      <c r="EB123" s="13" t="n">
        <f aca="false">IF(EB$69=1,SUMIFS(dr_USD,dr_Mes,126,dr_Cod,"PKG",dr_Est,"&lt;&gt;Excluido"),IF(EB$68=1,p_Pkg*(EB$110+EB$111+EB$112+EB$113+EB$79+EB$80+EB$81),0))</f>
        <v>0</v>
      </c>
      <c r="EC123" s="13" t="n">
        <f aca="false">IF(EC$69=1,SUMIFS(dr_USD,dr_Mes,127,dr_Cod,"PKG",dr_Est,"&lt;&gt;Excluido"),IF(EC$68=1,p_Pkg*(EC$110+EC$111+EC$112+EC$113+EC$79+EC$80+EC$81),0))</f>
        <v>0</v>
      </c>
      <c r="ED123" s="13" t="n">
        <f aca="false">IF(ED$69=1,SUMIFS(dr_USD,dr_Mes,128,dr_Cod,"PKG",dr_Est,"&lt;&gt;Excluido"),IF(ED$68=1,p_Pkg*(ED$110+ED$111+ED$112+ED$113+ED$79+ED$80+ED$81),0))</f>
        <v>0</v>
      </c>
      <c r="EE123" s="13" t="n">
        <f aca="false">IF(EE$69=1,SUMIFS(dr_USD,dr_Mes,129,dr_Cod,"PKG",dr_Est,"&lt;&gt;Excluido"),IF(EE$68=1,p_Pkg*(EE$110+EE$111+EE$112+EE$113+EE$79+EE$80+EE$81),0))</f>
        <v>0</v>
      </c>
      <c r="EF123" s="13" t="n">
        <f aca="false">IF(EF$69=1,SUMIFS(dr_USD,dr_Mes,130,dr_Cod,"PKG",dr_Est,"&lt;&gt;Excluido"),IF(EF$68=1,p_Pkg*(EF$110+EF$111+EF$112+EF$113+EF$79+EF$80+EF$81),0))</f>
        <v>0</v>
      </c>
      <c r="EG123" s="13" t="n">
        <f aca="false">IF(EG$69=1,SUMIFS(dr_USD,dr_Mes,131,dr_Cod,"PKG",dr_Est,"&lt;&gt;Excluido"),IF(EG$68=1,p_Pkg*(EG$110+EG$111+EG$112+EG$113+EG$79+EG$80+EG$81),0))</f>
        <v>0</v>
      </c>
      <c r="EH123" s="13" t="n">
        <f aca="false">IF(EH$69=1,SUMIFS(dr_USD,dr_Mes,132,dr_Cod,"PKG",dr_Est,"&lt;&gt;Excluido"),IF(EH$68=1,p_Pkg*(EH$110+EH$111+EH$112+EH$113+EH$79+EH$80+EH$81),0))</f>
        <v>0</v>
      </c>
      <c r="EI123" s="13" t="n">
        <f aca="false">IF(EI$69=1,SUMIFS(dr_USD,dr_Mes,133,dr_Cod,"PKG",dr_Est,"&lt;&gt;Excluido"),IF(EI$68=1,p_Pkg*(EI$110+EI$111+EI$112+EI$113+EI$79+EI$80+EI$81),0))</f>
        <v>0</v>
      </c>
      <c r="EJ123" s="13" t="n">
        <f aca="false">IF(EJ$69=1,SUMIFS(dr_USD,dr_Mes,134,dr_Cod,"PKG",dr_Est,"&lt;&gt;Excluido"),IF(EJ$68=1,p_Pkg*(EJ$110+EJ$111+EJ$112+EJ$113+EJ$79+EJ$80+EJ$81),0))</f>
        <v>0</v>
      </c>
      <c r="EK123" s="13" t="n">
        <f aca="false">IF(EK$69=1,SUMIFS(dr_USD,dr_Mes,135,dr_Cod,"PKG",dr_Est,"&lt;&gt;Excluido"),IF(EK$68=1,p_Pkg*(EK$110+EK$111+EK$112+EK$113+EK$79+EK$80+EK$81),0))</f>
        <v>0</v>
      </c>
      <c r="EL123" s="13" t="n">
        <f aca="false">IF(EL$69=1,SUMIFS(dr_USD,dr_Mes,136,dr_Cod,"PKG",dr_Est,"&lt;&gt;Excluido"),IF(EL$68=1,p_Pkg*(EL$110+EL$111+EL$112+EL$113+EL$79+EL$80+EL$81),0))</f>
        <v>0</v>
      </c>
      <c r="EM123" s="13" t="n">
        <f aca="false">IF(EM$69=1,SUMIFS(dr_USD,dr_Mes,137,dr_Cod,"PKG",dr_Est,"&lt;&gt;Excluido"),IF(EM$68=1,p_Pkg*(EM$110+EM$111+EM$112+EM$113+EM$79+EM$80+EM$81),0))</f>
        <v>0</v>
      </c>
      <c r="EN123" s="13" t="n">
        <f aca="false">IF(EN$69=1,SUMIFS(dr_USD,dr_Mes,138,dr_Cod,"PKG",dr_Est,"&lt;&gt;Excluido"),IF(EN$68=1,p_Pkg*(EN$110+EN$111+EN$112+EN$113+EN$79+EN$80+EN$81),0))</f>
        <v>0</v>
      </c>
      <c r="EO123" s="13" t="n">
        <f aca="false">IF(EO$69=1,SUMIFS(dr_USD,dr_Mes,139,dr_Cod,"PKG",dr_Est,"&lt;&gt;Excluido"),IF(EO$68=1,p_Pkg*(EO$110+EO$111+EO$112+EO$113+EO$79+EO$80+EO$81),0))</f>
        <v>0</v>
      </c>
      <c r="EP123" s="13" t="n">
        <f aca="false">IF(EP$69=1,SUMIFS(dr_USD,dr_Mes,140,dr_Cod,"PKG",dr_Est,"&lt;&gt;Excluido"),IF(EP$68=1,p_Pkg*(EP$110+EP$111+EP$112+EP$113+EP$79+EP$80+EP$81),0))</f>
        <v>0</v>
      </c>
      <c r="EQ123" s="13" t="n">
        <f aca="false">IF(EQ$69=1,SUMIFS(dr_USD,dr_Mes,141,dr_Cod,"PKG",dr_Est,"&lt;&gt;Excluido"),IF(EQ$68=1,p_Pkg*(EQ$110+EQ$111+EQ$112+EQ$113+EQ$79+EQ$80+EQ$81),0))</f>
        <v>0</v>
      </c>
      <c r="ER123" s="13" t="n">
        <f aca="false">IF(ER$69=1,SUMIFS(dr_USD,dr_Mes,142,dr_Cod,"PKG",dr_Est,"&lt;&gt;Excluido"),IF(ER$68=1,p_Pkg*(ER$110+ER$111+ER$112+ER$113+ER$79+ER$80+ER$81),0))</f>
        <v>0</v>
      </c>
      <c r="ES123" s="13" t="n">
        <f aca="false">IF(ES$69=1,SUMIFS(dr_USD,dr_Mes,143,dr_Cod,"PKG",dr_Est,"&lt;&gt;Excluido"),IF(ES$68=1,p_Pkg*(ES$110+ES$111+ES$112+ES$113+ES$79+ES$80+ES$81),0))</f>
        <v>0</v>
      </c>
      <c r="ET123" s="13" t="n">
        <f aca="false">IF(ET$69=1,SUMIFS(dr_USD,dr_Mes,144,dr_Cod,"PKG",dr_Est,"&lt;&gt;Excluido"),IF(ET$68=1,p_Pkg*(ET$110+ET$111+ET$112+ET$113+ET$79+ET$80+ET$81),0))</f>
        <v>0</v>
      </c>
      <c r="EU123" s="13" t="n">
        <f aca="false">IF(EU$69=1,SUMIFS(dr_USD,dr_Mes,145,dr_Cod,"PKG",dr_Est,"&lt;&gt;Excluido"),IF(EU$68=1,p_Pkg*(EU$110+EU$111+EU$112+EU$113+EU$79+EU$80+EU$81),0))</f>
        <v>0</v>
      </c>
      <c r="EV123" s="13" t="n">
        <f aca="false">IF(EV$69=1,SUMIFS(dr_USD,dr_Mes,146,dr_Cod,"PKG",dr_Est,"&lt;&gt;Excluido"),IF(EV$68=1,p_Pkg*(EV$110+EV$111+EV$112+EV$113+EV$79+EV$80+EV$81),0))</f>
        <v>0</v>
      </c>
      <c r="EW123" s="13" t="n">
        <f aca="false">IF(EW$69=1,SUMIFS(dr_USD,dr_Mes,147,dr_Cod,"PKG",dr_Est,"&lt;&gt;Excluido"),IF(EW$68=1,p_Pkg*(EW$110+EW$111+EW$112+EW$113+EW$79+EW$80+EW$81),0))</f>
        <v>0</v>
      </c>
      <c r="EX123" s="13" t="n">
        <f aca="false">IF(EX$69=1,SUMIFS(dr_USD,dr_Mes,148,dr_Cod,"PKG",dr_Est,"&lt;&gt;Excluido"),IF(EX$68=1,p_Pkg*(EX$110+EX$111+EX$112+EX$113+EX$79+EX$80+EX$81),0))</f>
        <v>0</v>
      </c>
      <c r="EY123" s="13" t="n">
        <f aca="false">IF(EY$69=1,SUMIFS(dr_USD,dr_Mes,149,dr_Cod,"PKG",dr_Est,"&lt;&gt;Excluido"),IF(EY$68=1,p_Pkg*(EY$110+EY$111+EY$112+EY$113+EY$79+EY$80+EY$81),0))</f>
        <v>0</v>
      </c>
      <c r="EZ123" s="13" t="n">
        <f aca="false">IF(EZ$69=1,SUMIFS(dr_USD,dr_Mes,150,dr_Cod,"PKG",dr_Est,"&lt;&gt;Excluido"),IF(EZ$68=1,p_Pkg*(EZ$110+EZ$111+EZ$112+EZ$113+EZ$79+EZ$80+EZ$81),0))</f>
        <v>0</v>
      </c>
      <c r="FA123" s="13" t="n">
        <f aca="false">IF(FA$69=1,SUMIFS(dr_USD,dr_Mes,151,dr_Cod,"PKG",dr_Est,"&lt;&gt;Excluido"),IF(FA$68=1,p_Pkg*(FA$110+FA$111+FA$112+FA$113+FA$79+FA$80+FA$81),0))</f>
        <v>0</v>
      </c>
      <c r="FB123" s="13" t="n">
        <f aca="false">IF(FB$69=1,SUMIFS(dr_USD,dr_Mes,152,dr_Cod,"PKG",dr_Est,"&lt;&gt;Excluido"),IF(FB$68=1,p_Pkg*(FB$110+FB$111+FB$112+FB$113+FB$79+FB$80+FB$81),0))</f>
        <v>0</v>
      </c>
      <c r="FC123" s="13" t="n">
        <f aca="false">IF(FC$69=1,SUMIFS(dr_USD,dr_Mes,153,dr_Cod,"PKG",dr_Est,"&lt;&gt;Excluido"),IF(FC$68=1,p_Pkg*(FC$110+FC$111+FC$112+FC$113+FC$79+FC$80+FC$81),0))</f>
        <v>0</v>
      </c>
      <c r="FD123" s="13" t="n">
        <f aca="false">IF(FD$69=1,SUMIFS(dr_USD,dr_Mes,154,dr_Cod,"PKG",dr_Est,"&lt;&gt;Excluido"),IF(FD$68=1,p_Pkg*(FD$110+FD$111+FD$112+FD$113+FD$79+FD$80+FD$81),0))</f>
        <v>0</v>
      </c>
      <c r="FE123" s="13" t="n">
        <f aca="false">IF(FE$69=1,SUMIFS(dr_USD,dr_Mes,155,dr_Cod,"PKG",dr_Est,"&lt;&gt;Excluido"),IF(FE$68=1,p_Pkg*(FE$110+FE$111+FE$112+FE$113+FE$79+FE$80+FE$81),0))</f>
        <v>0</v>
      </c>
      <c r="FF123" s="13" t="n">
        <f aca="false">IF(FF$69=1,SUMIFS(dr_USD,dr_Mes,156,dr_Cod,"PKG",dr_Est,"&lt;&gt;Excluido"),IF(FF$68=1,p_Pkg*(FF$110+FF$111+FF$112+FF$113+FF$79+FF$80+FF$81),0))</f>
        <v>0</v>
      </c>
    </row>
    <row r="124" customFormat="false" ht="15" hidden="false" customHeight="false" outlineLevel="0" collapsed="false">
      <c r="A124" s="2" t="s">
        <v>1094</v>
      </c>
      <c r="B124" s="8" t="s">
        <v>1095</v>
      </c>
      <c r="C124" s="8" t="s">
        <v>255</v>
      </c>
      <c r="E124" s="65" t="n">
        <f aca="false">SUM($F124:$FF124)</f>
        <v>2851091.95189933</v>
      </c>
      <c r="F124" s="13" t="n">
        <f aca="false">IF(F$69=1,SUMIFS(dr_USD,dr_Mes,0,dr_Cod,"IMPP",dr_Est,"&lt;&gt;Excluido"),p_ImpP*(F$110+F$111+F$112+F$113+F$114+F$123+F$82+F$88+F$121+F$122+F$126))</f>
        <v>0</v>
      </c>
      <c r="G124" s="13" t="n">
        <f aca="false">IF(G$69=1,SUMIFS(dr_USD,dr_Mes,1,dr_Cod,"IMPP",dr_Est,"&lt;&gt;Excluido"),p_ImpP*(G$110+G$111+G$112+G$113+G$114+G$123+G$82+G$88+G$121+G$122+G$126))</f>
        <v>19612.3343189383</v>
      </c>
      <c r="H124" s="13" t="n">
        <f aca="false">IF(H$69=1,SUMIFS(dr_USD,dr_Mes,2,dr_Cod,"IMPP",dr_Est,"&lt;&gt;Excluido"),p_ImpP*(H$110+H$111+H$112+H$113+H$114+H$123+H$82+H$88+H$121+H$122+H$126))</f>
        <v>15479.5330586643</v>
      </c>
      <c r="I124" s="13" t="n">
        <f aca="false">IF(I$69=1,SUMIFS(dr_USD,dr_Mes,3,dr_Cod,"IMPP",dr_Est,"&lt;&gt;Excluido"),p_ImpP*(I$110+I$111+I$112+I$113+I$114+I$123+I$82+I$88+I$121+I$122+I$126))</f>
        <v>15479.5330586643</v>
      </c>
      <c r="J124" s="13" t="n">
        <f aca="false">IF(J$69=1,SUMIFS(dr_USD,dr_Mes,4,dr_Cod,"IMPP",dr_Est,"&lt;&gt;Excluido"),p_ImpP*(J$110+J$111+J$112+J$113+J$114+J$123+J$82+J$88+J$121+J$122+J$126))</f>
        <v>15479.5330586643</v>
      </c>
      <c r="K124" s="13" t="n">
        <f aca="false">IF(K$69=1,SUMIFS(dr_USD,dr_Mes,5,dr_Cod,"IMPP",dr_Est,"&lt;&gt;Excluido"),p_ImpP*(K$110+K$111+K$112+K$113+K$114+K$123+K$82+K$88+K$121+K$122+K$126))</f>
        <v>15479.5330586643</v>
      </c>
      <c r="L124" s="13" t="n">
        <f aca="false">IF(L$69=1,SUMIFS(dr_USD,dr_Mes,6,dr_Cod,"IMPP",dr_Est,"&lt;&gt;Excluido"),p_ImpP*(L$110+L$111+L$112+L$113+L$114+L$123+L$82+L$88+L$121+L$122+L$126))</f>
        <v>15479.5330586643</v>
      </c>
      <c r="M124" s="13" t="n">
        <f aca="false">IF(M$69=1,SUMIFS(dr_USD,dr_Mes,7,dr_Cod,"IMPP",dr_Est,"&lt;&gt;Excluido"),p_ImpP*(M$110+M$111+M$112+M$113+M$114+M$123+M$82+M$88+M$121+M$122+M$126))</f>
        <v>15479.5330586643</v>
      </c>
      <c r="N124" s="13" t="n">
        <f aca="false">IF(N$69=1,SUMIFS(dr_USD,dr_Mes,8,dr_Cod,"IMPP",dr_Est,"&lt;&gt;Excluido"),p_ImpP*(N$110+N$111+N$112+N$113+N$114+N$123+N$82+N$88+N$121+N$122+N$126))</f>
        <v>15479.5330586643</v>
      </c>
      <c r="O124" s="13" t="n">
        <f aca="false">IF(O$69=1,SUMIFS(dr_USD,dr_Mes,9,dr_Cod,"IMPP",dr_Est,"&lt;&gt;Excluido"),p_ImpP*(O$110+O$111+O$112+O$113+O$114+O$123+O$82+O$88+O$121+O$122+O$126))</f>
        <v>15479.5330586643</v>
      </c>
      <c r="P124" s="13" t="n">
        <f aca="false">IF(P$69=1,SUMIFS(dr_USD,dr_Mes,10,dr_Cod,"IMPP",dr_Est,"&lt;&gt;Excluido"),p_ImpP*(P$110+P$111+P$112+P$113+P$114+P$123+P$82+P$88+P$121+P$122+P$126))</f>
        <v>15479.5330586643</v>
      </c>
      <c r="Q124" s="13" t="n">
        <f aca="false">IF(Q$69=1,SUMIFS(dr_USD,dr_Mes,11,dr_Cod,"IMPP",dr_Est,"&lt;&gt;Excluido"),p_ImpP*(Q$110+Q$111+Q$112+Q$113+Q$114+Q$123+Q$82+Q$88+Q$121+Q$122+Q$126))</f>
        <v>15479.5330586643</v>
      </c>
      <c r="R124" s="13" t="n">
        <f aca="false">IF(R$69=1,SUMIFS(dr_USD,dr_Mes,12,dr_Cod,"IMPP",dr_Est,"&lt;&gt;Excluido"),p_ImpP*(R$110+R$111+R$112+R$113+R$114+R$123+R$82+R$88+R$121+R$122+R$126))</f>
        <v>16565.8454970205</v>
      </c>
      <c r="S124" s="13" t="n">
        <f aca="false">IF(S$69=1,SUMIFS(dr_USD,dr_Mes,13,dr_Cod,"IMPP",dr_Est,"&lt;&gt;Excluido"),p_ImpP*(S$110+S$111+S$112+S$113+S$114+S$123+S$82+S$88+S$121+S$122+S$126))</f>
        <v>18874.377225331</v>
      </c>
      <c r="T124" s="13" t="n">
        <f aca="false">IF(T$69=1,SUMIFS(dr_USD,dr_Mes,14,dr_Cod,"IMPP",dr_Est,"&lt;&gt;Excluido"),p_ImpP*(T$110+T$111+T$112+T$113+T$114+T$123+T$82+T$88+T$121+T$122+T$126))</f>
        <v>18874.377225331</v>
      </c>
      <c r="U124" s="13" t="n">
        <f aca="false">IF(U$69=1,SUMIFS(dr_USD,dr_Mes,15,dr_Cod,"IMPP",dr_Est,"&lt;&gt;Excluido"),p_ImpP*(U$110+U$111+U$112+U$113+U$114+U$123+U$82+U$88+U$121+U$122+U$126))</f>
        <v>18874.377225331</v>
      </c>
      <c r="V124" s="13" t="n">
        <f aca="false">IF(V$69=1,SUMIFS(dr_USD,dr_Mes,16,dr_Cod,"IMPP",dr_Est,"&lt;&gt;Excluido"),p_ImpP*(V$110+V$111+V$112+V$113+V$114+V$123+V$82+V$88+V$121+V$122+V$126))</f>
        <v>18874.377225331</v>
      </c>
      <c r="W124" s="13" t="n">
        <f aca="false">IF(W$69=1,SUMIFS(dr_USD,dr_Mes,17,dr_Cod,"IMPP",dr_Est,"&lt;&gt;Excluido"),p_ImpP*(W$110+W$111+W$112+W$113+W$114+W$123+W$82+W$88+W$121+W$122+W$126))</f>
        <v>18874.377225331</v>
      </c>
      <c r="X124" s="13" t="n">
        <f aca="false">IF(X$69=1,SUMIFS(dr_USD,dr_Mes,18,dr_Cod,"IMPP",dr_Est,"&lt;&gt;Excluido"),p_ImpP*(X$110+X$111+X$112+X$113+X$114+X$123+X$82+X$88+X$121+X$122+X$126))</f>
        <v>18874.377225331</v>
      </c>
      <c r="Y124" s="13" t="n">
        <f aca="false">IF(Y$69=1,SUMIFS(dr_USD,dr_Mes,19,dr_Cod,"IMPP",dr_Est,"&lt;&gt;Excluido"),p_ImpP*(Y$110+Y$111+Y$112+Y$113+Y$114+Y$123+Y$82+Y$88+Y$121+Y$122+Y$126))</f>
        <v>18874.377225331</v>
      </c>
      <c r="Z124" s="13" t="n">
        <f aca="false">IF(Z$69=1,SUMIFS(dr_USD,dr_Mes,20,dr_Cod,"IMPP",dr_Est,"&lt;&gt;Excluido"),p_ImpP*(Z$110+Z$111+Z$112+Z$113+Z$114+Z$123+Z$82+Z$88+Z$121+Z$122+Z$126))</f>
        <v>18874.377225331</v>
      </c>
      <c r="AA124" s="13" t="n">
        <f aca="false">IF(AA$69=1,SUMIFS(dr_USD,dr_Mes,21,dr_Cod,"IMPP",dr_Est,"&lt;&gt;Excluido"),p_ImpP*(AA$110+AA$111+AA$112+AA$113+AA$114+AA$123+AA$82+AA$88+AA$121+AA$122+AA$126))</f>
        <v>18874.377225331</v>
      </c>
      <c r="AB124" s="13" t="n">
        <f aca="false">IF(AB$69=1,SUMIFS(dr_USD,dr_Mes,22,dr_Cod,"IMPP",dr_Est,"&lt;&gt;Excluido"),p_ImpP*(AB$110+AB$111+AB$112+AB$113+AB$114+AB$123+AB$82+AB$88+AB$121+AB$122+AB$126))</f>
        <v>18874.377225331</v>
      </c>
      <c r="AC124" s="13" t="n">
        <f aca="false">IF(AC$69=1,SUMIFS(dr_USD,dr_Mes,23,dr_Cod,"IMPP",dr_Est,"&lt;&gt;Excluido"),p_ImpP*(AC$110+AC$111+AC$112+AC$113+AC$114+AC$123+AC$82+AC$88+AC$121+AC$122+AC$126))</f>
        <v>18874.377225331</v>
      </c>
      <c r="AD124" s="13" t="n">
        <f aca="false">IF(AD$69=1,SUMIFS(dr_USD,dr_Mes,24,dr_Cod,"IMPP",dr_Est,"&lt;&gt;Excluido"),p_ImpP*(AD$110+AD$111+AD$112+AD$113+AD$114+AD$123+AD$82+AD$88+AD$121+AD$122+AD$126))</f>
        <v>19966.3334445091</v>
      </c>
      <c r="AE124" s="13" t="n">
        <f aca="false">IF(AE$69=1,SUMIFS(dr_USD,dr_Mes,25,dr_Cod,"IMPP",dr_Est,"&lt;&gt;Excluido"),p_ImpP*(AE$110+AE$111+AE$112+AE$113+AE$114+AE$123+AE$82+AE$88+AE$121+AE$122+AE$126))</f>
        <v>22438.2547856079</v>
      </c>
      <c r="AF124" s="13" t="n">
        <f aca="false">IF(AF$69=1,SUMIFS(dr_USD,dr_Mes,26,dr_Cod,"IMPP",dr_Est,"&lt;&gt;Excluido"),p_ImpP*(AF$110+AF$111+AF$112+AF$113+AF$114+AF$123+AF$82+AF$88+AF$121+AF$122+AF$126))</f>
        <v>22438.2547856079</v>
      </c>
      <c r="AG124" s="13" t="n">
        <f aca="false">IF(AG$69=1,SUMIFS(dr_USD,dr_Mes,27,dr_Cod,"IMPP",dr_Est,"&lt;&gt;Excluido"),p_ImpP*(AG$110+AG$111+AG$112+AG$113+AG$114+AG$123+AG$82+AG$88+AG$121+AG$122+AG$126))</f>
        <v>22438.2547856079</v>
      </c>
      <c r="AH124" s="13" t="n">
        <f aca="false">IF(AH$69=1,SUMIFS(dr_USD,dr_Mes,28,dr_Cod,"IMPP",dr_Est,"&lt;&gt;Excluido"),p_ImpP*(AH$110+AH$111+AH$112+AH$113+AH$114+AH$123+AH$82+AH$88+AH$121+AH$122+AH$126))</f>
        <v>22438.2547856079</v>
      </c>
      <c r="AI124" s="13" t="n">
        <f aca="false">IF(AI$69=1,SUMIFS(dr_USD,dr_Mes,29,dr_Cod,"IMPP",dr_Est,"&lt;&gt;Excluido"),p_ImpP*(AI$110+AI$111+AI$112+AI$113+AI$114+AI$123+AI$82+AI$88+AI$121+AI$122+AI$126))</f>
        <v>22438.2547856079</v>
      </c>
      <c r="AJ124" s="13" t="n">
        <f aca="false">IF(AJ$69=1,SUMIFS(dr_USD,dr_Mes,30,dr_Cod,"IMPP",dr_Est,"&lt;&gt;Excluido"),p_ImpP*(AJ$110+AJ$111+AJ$112+AJ$113+AJ$114+AJ$123+AJ$82+AJ$88+AJ$121+AJ$122+AJ$126))</f>
        <v>22438.2547856079</v>
      </c>
      <c r="AK124" s="13" t="n">
        <f aca="false">IF(AK$69=1,SUMIFS(dr_USD,dr_Mes,31,dr_Cod,"IMPP",dr_Est,"&lt;&gt;Excluido"),p_ImpP*(AK$110+AK$111+AK$112+AK$113+AK$114+AK$123+AK$82+AK$88+AK$121+AK$122+AK$126))</f>
        <v>22438.2547856079</v>
      </c>
      <c r="AL124" s="13" t="n">
        <f aca="false">IF(AL$69=1,SUMIFS(dr_USD,dr_Mes,32,dr_Cod,"IMPP",dr_Est,"&lt;&gt;Excluido"),p_ImpP*(AL$110+AL$111+AL$112+AL$113+AL$114+AL$123+AL$82+AL$88+AL$121+AL$122+AL$126))</f>
        <v>22438.2547856079</v>
      </c>
      <c r="AM124" s="13" t="n">
        <f aca="false">IF(AM$69=1,SUMIFS(dr_USD,dr_Mes,33,dr_Cod,"IMPP",dr_Est,"&lt;&gt;Excluido"),p_ImpP*(AM$110+AM$111+AM$112+AM$113+AM$114+AM$123+AM$82+AM$88+AM$121+AM$122+AM$126))</f>
        <v>22438.2547856079</v>
      </c>
      <c r="AN124" s="13" t="n">
        <f aca="false">IF(AN$69=1,SUMIFS(dr_USD,dr_Mes,34,dr_Cod,"IMPP",dr_Est,"&lt;&gt;Excluido"),p_ImpP*(AN$110+AN$111+AN$112+AN$113+AN$114+AN$123+AN$82+AN$88+AN$121+AN$122+AN$126))</f>
        <v>22438.2547856079</v>
      </c>
      <c r="AO124" s="13" t="n">
        <f aca="false">IF(AO$69=1,SUMIFS(dr_USD,dr_Mes,35,dr_Cod,"IMPP",dr_Est,"&lt;&gt;Excluido"),p_ImpP*(AO$110+AO$111+AO$112+AO$113+AO$114+AO$123+AO$82+AO$88+AO$121+AO$122+AO$126))</f>
        <v>22438.2547856079</v>
      </c>
      <c r="AP124" s="13" t="n">
        <f aca="false">IF(AP$69=1,SUMIFS(dr_USD,dr_Mes,36,dr_Cod,"IMPP",dr_Est,"&lt;&gt;Excluido"),p_ImpP*(AP$110+AP$111+AP$112+AP$113+AP$114+AP$123+AP$82+AP$88+AP$121+AP$122+AP$126))</f>
        <v>23321.3408310873</v>
      </c>
      <c r="AQ124" s="13" t="n">
        <f aca="false">IF(AQ$69=1,SUMIFS(dr_USD,dr_Mes,37,dr_Cod,"IMPP",dr_Est,"&lt;&gt;Excluido"),p_ImpP*(AQ$110+AQ$111+AQ$112+AQ$113+AQ$114+AQ$123+AQ$82+AQ$88+AQ$121+AQ$122+AQ$126))</f>
        <v>25354.5699707133</v>
      </c>
      <c r="AR124" s="13" t="n">
        <f aca="false">IF(AR$69=1,SUMIFS(dr_USD,dr_Mes,38,dr_Cod,"IMPP",dr_Est,"&lt;&gt;Excluido"),p_ImpP*(AR$110+AR$111+AR$112+AR$113+AR$114+AR$123+AR$82+AR$88+AR$121+AR$122+AR$126))</f>
        <v>25354.5699707133</v>
      </c>
      <c r="AS124" s="13" t="n">
        <f aca="false">IF(AS$69=1,SUMIFS(dr_USD,dr_Mes,39,dr_Cod,"IMPP",dr_Est,"&lt;&gt;Excluido"),p_ImpP*(AS$110+AS$111+AS$112+AS$113+AS$114+AS$123+AS$82+AS$88+AS$121+AS$122+AS$126))</f>
        <v>25354.5699707133</v>
      </c>
      <c r="AT124" s="13" t="n">
        <f aca="false">IF(AT$69=1,SUMIFS(dr_USD,dr_Mes,40,dr_Cod,"IMPP",dr_Est,"&lt;&gt;Excluido"),p_ImpP*(AT$110+AT$111+AT$112+AT$113+AT$114+AT$123+AT$82+AT$88+AT$121+AT$122+AT$126))</f>
        <v>25354.5699707133</v>
      </c>
      <c r="AU124" s="13" t="n">
        <f aca="false">IF(AU$69=1,SUMIFS(dr_USD,dr_Mes,41,dr_Cod,"IMPP",dr_Est,"&lt;&gt;Excluido"),p_ImpP*(AU$110+AU$111+AU$112+AU$113+AU$114+AU$123+AU$82+AU$88+AU$121+AU$122+AU$126))</f>
        <v>25354.5699707133</v>
      </c>
      <c r="AV124" s="13" t="n">
        <f aca="false">IF(AV$69=1,SUMIFS(dr_USD,dr_Mes,42,dr_Cod,"IMPP",dr_Est,"&lt;&gt;Excluido"),p_ImpP*(AV$110+AV$111+AV$112+AV$113+AV$114+AV$123+AV$82+AV$88+AV$121+AV$122+AV$126))</f>
        <v>25354.5699707133</v>
      </c>
      <c r="AW124" s="13" t="n">
        <f aca="false">IF(AW$69=1,SUMIFS(dr_USD,dr_Mes,43,dr_Cod,"IMPP",dr_Est,"&lt;&gt;Excluido"),p_ImpP*(AW$110+AW$111+AW$112+AW$113+AW$114+AW$123+AW$82+AW$88+AW$121+AW$122+AW$126))</f>
        <v>25354.5699707133</v>
      </c>
      <c r="AX124" s="13" t="n">
        <f aca="false">IF(AX$69=1,SUMIFS(dr_USD,dr_Mes,44,dr_Cod,"IMPP",dr_Est,"&lt;&gt;Excluido"),p_ImpP*(AX$110+AX$111+AX$112+AX$113+AX$114+AX$123+AX$82+AX$88+AX$121+AX$122+AX$126))</f>
        <v>25354.5699707133</v>
      </c>
      <c r="AY124" s="13" t="n">
        <f aca="false">IF(AY$69=1,SUMIFS(dr_USD,dr_Mes,45,dr_Cod,"IMPP",dr_Est,"&lt;&gt;Excluido"),p_ImpP*(AY$110+AY$111+AY$112+AY$113+AY$114+AY$123+AY$82+AY$88+AY$121+AY$122+AY$126))</f>
        <v>25354.5699707133</v>
      </c>
      <c r="AZ124" s="13" t="n">
        <f aca="false">IF(AZ$69=1,SUMIFS(dr_USD,dr_Mes,46,dr_Cod,"IMPP",dr_Est,"&lt;&gt;Excluido"),p_ImpP*(AZ$110+AZ$111+AZ$112+AZ$113+AZ$114+AZ$123+AZ$82+AZ$88+AZ$121+AZ$122+AZ$126))</f>
        <v>25354.5699707133</v>
      </c>
      <c r="BA124" s="13" t="n">
        <f aca="false">IF(BA$69=1,SUMIFS(dr_USD,dr_Mes,47,dr_Cod,"IMPP",dr_Est,"&lt;&gt;Excluido"),p_ImpP*(BA$110+BA$111+BA$112+BA$113+BA$114+BA$123+BA$82+BA$88+BA$121+BA$122+BA$126))</f>
        <v>25354.5699707133</v>
      </c>
      <c r="BB124" s="13" t="n">
        <f aca="false">IF(BB$69=1,SUMIFS(dr_USD,dr_Mes,48,dr_Cod,"IMPP",dr_Est,"&lt;&gt;Excluido"),p_ImpP*(BB$110+BB$111+BB$112+BB$113+BB$114+BB$123+BB$82+BB$88+BB$121+BB$122+BB$126))</f>
        <v>25354.5699707133</v>
      </c>
      <c r="BC124" s="13" t="n">
        <f aca="false">IF(BC$69=1,SUMIFS(dr_USD,dr_Mes,49,dr_Cod,"IMPP",dr_Est,"&lt;&gt;Excluido"),p_ImpP*(BC$110+BC$111+BC$112+BC$113+BC$114+BC$123+BC$82+BC$88+BC$121+BC$122+BC$126))</f>
        <v>25605.0409643442</v>
      </c>
      <c r="BD124" s="13" t="n">
        <f aca="false">IF(BD$69=1,SUMIFS(dr_USD,dr_Mes,50,dr_Cod,"IMPP",dr_Est,"&lt;&gt;Excluido"),p_ImpP*(BD$110+BD$111+BD$112+BD$113+BD$114+BD$123+BD$82+BD$88+BD$121+BD$122+BD$126))</f>
        <v>25605.0409643442</v>
      </c>
      <c r="BE124" s="13" t="n">
        <f aca="false">IF(BE$69=1,SUMIFS(dr_USD,dr_Mes,51,dr_Cod,"IMPP",dr_Est,"&lt;&gt;Excluido"),p_ImpP*(BE$110+BE$111+BE$112+BE$113+BE$114+BE$123+BE$82+BE$88+BE$121+BE$122+BE$126))</f>
        <v>25605.0409643442</v>
      </c>
      <c r="BF124" s="13" t="n">
        <f aca="false">IF(BF$69=1,SUMIFS(dr_USD,dr_Mes,52,dr_Cod,"IMPP",dr_Est,"&lt;&gt;Excluido"),p_ImpP*(BF$110+BF$111+BF$112+BF$113+BF$114+BF$123+BF$82+BF$88+BF$121+BF$122+BF$126))</f>
        <v>25605.0409643442</v>
      </c>
      <c r="BG124" s="13" t="n">
        <f aca="false">IF(BG$69=1,SUMIFS(dr_USD,dr_Mes,53,dr_Cod,"IMPP",dr_Est,"&lt;&gt;Excluido"),p_ImpP*(BG$110+BG$111+BG$112+BG$113+BG$114+BG$123+BG$82+BG$88+BG$121+BG$122+BG$126))</f>
        <v>25605.0409643442</v>
      </c>
      <c r="BH124" s="13" t="n">
        <f aca="false">IF(BH$69=1,SUMIFS(dr_USD,dr_Mes,54,dr_Cod,"IMPP",dr_Est,"&lt;&gt;Excluido"),p_ImpP*(BH$110+BH$111+BH$112+BH$113+BH$114+BH$123+BH$82+BH$88+BH$121+BH$122+BH$126))</f>
        <v>25605.0409643442</v>
      </c>
      <c r="BI124" s="13" t="n">
        <f aca="false">IF(BI$69=1,SUMIFS(dr_USD,dr_Mes,55,dr_Cod,"IMPP",dr_Est,"&lt;&gt;Excluido"),p_ImpP*(BI$110+BI$111+BI$112+BI$113+BI$114+BI$123+BI$82+BI$88+BI$121+BI$122+BI$126))</f>
        <v>25605.0409643442</v>
      </c>
      <c r="BJ124" s="13" t="n">
        <f aca="false">IF(BJ$69=1,SUMIFS(dr_USD,dr_Mes,56,dr_Cod,"IMPP",dr_Est,"&lt;&gt;Excluido"),p_ImpP*(BJ$110+BJ$111+BJ$112+BJ$113+BJ$114+BJ$123+BJ$82+BJ$88+BJ$121+BJ$122+BJ$126))</f>
        <v>25605.0409643442</v>
      </c>
      <c r="BK124" s="13" t="n">
        <f aca="false">IF(BK$69=1,SUMIFS(dr_USD,dr_Mes,57,dr_Cod,"IMPP",dr_Est,"&lt;&gt;Excluido"),p_ImpP*(BK$110+BK$111+BK$112+BK$113+BK$114+BK$123+BK$82+BK$88+BK$121+BK$122+BK$126))</f>
        <v>25605.0409643442</v>
      </c>
      <c r="BL124" s="13" t="n">
        <f aca="false">IF(BL$69=1,SUMIFS(dr_USD,dr_Mes,58,dr_Cod,"IMPP",dr_Est,"&lt;&gt;Excluido"),p_ImpP*(BL$110+BL$111+BL$112+BL$113+BL$114+BL$123+BL$82+BL$88+BL$121+BL$122+BL$126))</f>
        <v>25605.0409643442</v>
      </c>
      <c r="BM124" s="13" t="n">
        <f aca="false">IF(BM$69=1,SUMIFS(dr_USD,dr_Mes,59,dr_Cod,"IMPP",dr_Est,"&lt;&gt;Excluido"),p_ImpP*(BM$110+BM$111+BM$112+BM$113+BM$114+BM$123+BM$82+BM$88+BM$121+BM$122+BM$126))</f>
        <v>25605.0409643442</v>
      </c>
      <c r="BN124" s="13" t="n">
        <f aca="false">IF(BN$69=1,SUMIFS(dr_USD,dr_Mes,60,dr_Cod,"IMPP",dr_Est,"&lt;&gt;Excluido"),p_ImpP*(BN$110+BN$111+BN$112+BN$113+BN$114+BN$123+BN$82+BN$88+BN$121+BN$122+BN$126))</f>
        <v>25605.0409643442</v>
      </c>
      <c r="BO124" s="13" t="n">
        <f aca="false">IF(BO$69=1,SUMIFS(dr_USD,dr_Mes,61,dr_Cod,"IMPP",dr_Est,"&lt;&gt;Excluido"),p_ImpP*(BO$110+BO$111+BO$112+BO$113+BO$114+BO$123+BO$82+BO$88+BO$121+BO$122+BO$126))</f>
        <v>25726.2440853808</v>
      </c>
      <c r="BP124" s="13" t="n">
        <f aca="false">IF(BP$69=1,SUMIFS(dr_USD,dr_Mes,62,dr_Cod,"IMPP",dr_Est,"&lt;&gt;Excluido"),p_ImpP*(BP$110+BP$111+BP$112+BP$113+BP$114+BP$123+BP$82+BP$88+BP$121+BP$122+BP$126))</f>
        <v>25726.2440853808</v>
      </c>
      <c r="BQ124" s="13" t="n">
        <f aca="false">IF(BQ$69=1,SUMIFS(dr_USD,dr_Mes,63,dr_Cod,"IMPP",dr_Est,"&lt;&gt;Excluido"),p_ImpP*(BQ$110+BQ$111+BQ$112+BQ$113+BQ$114+BQ$123+BQ$82+BQ$88+BQ$121+BQ$122+BQ$126))</f>
        <v>25726.2440853808</v>
      </c>
      <c r="BR124" s="13" t="n">
        <f aca="false">IF(BR$69=1,SUMIFS(dr_USD,dr_Mes,64,dr_Cod,"IMPP",dr_Est,"&lt;&gt;Excluido"),p_ImpP*(BR$110+BR$111+BR$112+BR$113+BR$114+BR$123+BR$82+BR$88+BR$121+BR$122+BR$126))</f>
        <v>25726.2440853808</v>
      </c>
      <c r="BS124" s="13" t="n">
        <f aca="false">IF(BS$69=1,SUMIFS(dr_USD,dr_Mes,65,dr_Cod,"IMPP",dr_Est,"&lt;&gt;Excluido"),p_ImpP*(BS$110+BS$111+BS$112+BS$113+BS$114+BS$123+BS$82+BS$88+BS$121+BS$122+BS$126))</f>
        <v>25726.2440853808</v>
      </c>
      <c r="BT124" s="13" t="n">
        <f aca="false">IF(BT$69=1,SUMIFS(dr_USD,dr_Mes,66,dr_Cod,"IMPP",dr_Est,"&lt;&gt;Excluido"),p_ImpP*(BT$110+BT$111+BT$112+BT$113+BT$114+BT$123+BT$82+BT$88+BT$121+BT$122+BT$126))</f>
        <v>25726.2440853808</v>
      </c>
      <c r="BU124" s="13" t="n">
        <f aca="false">IF(BU$69=1,SUMIFS(dr_USD,dr_Mes,67,dr_Cod,"IMPP",dr_Est,"&lt;&gt;Excluido"),p_ImpP*(BU$110+BU$111+BU$112+BU$113+BU$114+BU$123+BU$82+BU$88+BU$121+BU$122+BU$126))</f>
        <v>25726.2440853808</v>
      </c>
      <c r="BV124" s="13" t="n">
        <f aca="false">IF(BV$69=1,SUMIFS(dr_USD,dr_Mes,68,dr_Cod,"IMPP",dr_Est,"&lt;&gt;Excluido"),p_ImpP*(BV$110+BV$111+BV$112+BV$113+BV$114+BV$123+BV$82+BV$88+BV$121+BV$122+BV$126))</f>
        <v>25726.2440853808</v>
      </c>
      <c r="BW124" s="13" t="n">
        <f aca="false">IF(BW$69=1,SUMIFS(dr_USD,dr_Mes,69,dr_Cod,"IMPP",dr_Est,"&lt;&gt;Excluido"),p_ImpP*(BW$110+BW$111+BW$112+BW$113+BW$114+BW$123+BW$82+BW$88+BW$121+BW$122+BW$126))</f>
        <v>25726.2440853808</v>
      </c>
      <c r="BX124" s="13" t="n">
        <f aca="false">IF(BX$69=1,SUMIFS(dr_USD,dr_Mes,70,dr_Cod,"IMPP",dr_Est,"&lt;&gt;Excluido"),p_ImpP*(BX$110+BX$111+BX$112+BX$113+BX$114+BX$123+BX$82+BX$88+BX$121+BX$122+BX$126))</f>
        <v>25726.2440853808</v>
      </c>
      <c r="BY124" s="13" t="n">
        <f aca="false">IF(BY$69=1,SUMIFS(dr_USD,dr_Mes,71,dr_Cod,"IMPP",dr_Est,"&lt;&gt;Excluido"),p_ImpP*(BY$110+BY$111+BY$112+BY$113+BY$114+BY$123+BY$82+BY$88+BY$121+BY$122+BY$126))</f>
        <v>25726.2440853808</v>
      </c>
      <c r="BZ124" s="13" t="n">
        <f aca="false">IF(BZ$69=1,SUMIFS(dr_USD,dr_Mes,72,dr_Cod,"IMPP",dr_Est,"&lt;&gt;Excluido"),p_ImpP*(BZ$110+BZ$111+BZ$112+BZ$113+BZ$114+BZ$123+BZ$82+BZ$88+BZ$121+BZ$122+BZ$126))</f>
        <v>25726.2440853808</v>
      </c>
      <c r="CA124" s="13" t="n">
        <f aca="false">IF(CA$69=1,SUMIFS(dr_USD,dr_Mes,73,dr_Cod,"IMPP",dr_Est,"&lt;&gt;Excluido"),p_ImpP*(CA$110+CA$111+CA$112+CA$113+CA$114+CA$123+CA$82+CA$88+CA$121+CA$122+CA$126))</f>
        <v>25848.6344809611</v>
      </c>
      <c r="CB124" s="13" t="n">
        <f aca="false">IF(CB$69=1,SUMIFS(dr_USD,dr_Mes,74,dr_Cod,"IMPP",dr_Est,"&lt;&gt;Excluido"),p_ImpP*(CB$110+CB$111+CB$112+CB$113+CB$114+CB$123+CB$82+CB$88+CB$121+CB$122+CB$126))</f>
        <v>25848.6344809611</v>
      </c>
      <c r="CC124" s="13" t="n">
        <f aca="false">IF(CC$69=1,SUMIFS(dr_USD,dr_Mes,75,dr_Cod,"IMPP",dr_Est,"&lt;&gt;Excluido"),p_ImpP*(CC$110+CC$111+CC$112+CC$113+CC$114+CC$123+CC$82+CC$88+CC$121+CC$122+CC$126))</f>
        <v>25848.6344809611</v>
      </c>
      <c r="CD124" s="13" t="n">
        <f aca="false">IF(CD$69=1,SUMIFS(dr_USD,dr_Mes,76,dr_Cod,"IMPP",dr_Est,"&lt;&gt;Excluido"),p_ImpP*(CD$110+CD$111+CD$112+CD$113+CD$114+CD$123+CD$82+CD$88+CD$121+CD$122+CD$126))</f>
        <v>25848.6344809611</v>
      </c>
      <c r="CE124" s="13" t="n">
        <f aca="false">IF(CE$69=1,SUMIFS(dr_USD,dr_Mes,77,dr_Cod,"IMPP",dr_Est,"&lt;&gt;Excluido"),p_ImpP*(CE$110+CE$111+CE$112+CE$113+CE$114+CE$123+CE$82+CE$88+CE$121+CE$122+CE$126))</f>
        <v>25848.6344809611</v>
      </c>
      <c r="CF124" s="13" t="n">
        <f aca="false">IF(CF$69=1,SUMIFS(dr_USD,dr_Mes,78,dr_Cod,"IMPP",dr_Est,"&lt;&gt;Excluido"),p_ImpP*(CF$110+CF$111+CF$112+CF$113+CF$114+CF$123+CF$82+CF$88+CF$121+CF$122+CF$126))</f>
        <v>25848.6344809611</v>
      </c>
      <c r="CG124" s="13" t="n">
        <f aca="false">IF(CG$69=1,SUMIFS(dr_USD,dr_Mes,79,dr_Cod,"IMPP",dr_Est,"&lt;&gt;Excluido"),p_ImpP*(CG$110+CG$111+CG$112+CG$113+CG$114+CG$123+CG$82+CG$88+CG$121+CG$122+CG$126))</f>
        <v>25848.6344809611</v>
      </c>
      <c r="CH124" s="13" t="n">
        <f aca="false">IF(CH$69=1,SUMIFS(dr_USD,dr_Mes,80,dr_Cod,"IMPP",dr_Est,"&lt;&gt;Excluido"),p_ImpP*(CH$110+CH$111+CH$112+CH$113+CH$114+CH$123+CH$82+CH$88+CH$121+CH$122+CH$126))</f>
        <v>25848.6344809611</v>
      </c>
      <c r="CI124" s="13" t="n">
        <f aca="false">IF(CI$69=1,SUMIFS(dr_USD,dr_Mes,81,dr_Cod,"IMPP",dr_Est,"&lt;&gt;Excluido"),p_ImpP*(CI$110+CI$111+CI$112+CI$113+CI$114+CI$123+CI$82+CI$88+CI$121+CI$122+CI$126))</f>
        <v>25848.6344809611</v>
      </c>
      <c r="CJ124" s="13" t="n">
        <f aca="false">IF(CJ$69=1,SUMIFS(dr_USD,dr_Mes,82,dr_Cod,"IMPP",dr_Est,"&lt;&gt;Excluido"),p_ImpP*(CJ$110+CJ$111+CJ$112+CJ$113+CJ$114+CJ$123+CJ$82+CJ$88+CJ$121+CJ$122+CJ$126))</f>
        <v>25848.6344809611</v>
      </c>
      <c r="CK124" s="13" t="n">
        <f aca="false">IF(CK$69=1,SUMIFS(dr_USD,dr_Mes,83,dr_Cod,"IMPP",dr_Est,"&lt;&gt;Excluido"),p_ImpP*(CK$110+CK$111+CK$112+CK$113+CK$114+CK$123+CK$82+CK$88+CK$121+CK$122+CK$126))</f>
        <v>25848.6344809611</v>
      </c>
      <c r="CL124" s="13" t="n">
        <f aca="false">IF(CL$69=1,SUMIFS(dr_USD,dr_Mes,84,dr_Cod,"IMPP",dr_Est,"&lt;&gt;Excluido"),p_ImpP*(CL$110+CL$111+CL$112+CL$113+CL$114+CL$123+CL$82+CL$88+CL$121+CL$122+CL$126))</f>
        <v>25848.6344809611</v>
      </c>
      <c r="CM124" s="13" t="n">
        <f aca="false">IF(CM$69=1,SUMIFS(dr_USD,dr_Mes,85,dr_Cod,"IMPP",dr_Est,"&lt;&gt;Excluido"),p_ImpP*(CM$110+CM$111+CM$112+CM$113+CM$114+CM$123+CM$82+CM$88+CM$121+CM$122+CM$126))</f>
        <v>25972.2240238305</v>
      </c>
      <c r="CN124" s="13" t="n">
        <f aca="false">IF(CN$69=1,SUMIFS(dr_USD,dr_Mes,86,dr_Cod,"IMPP",dr_Est,"&lt;&gt;Excluido"),p_ImpP*(CN$110+CN$111+CN$112+CN$113+CN$114+CN$123+CN$82+CN$88+CN$121+CN$122+CN$126))</f>
        <v>25972.2240238305</v>
      </c>
      <c r="CO124" s="13" t="n">
        <f aca="false">IF(CO$69=1,SUMIFS(dr_USD,dr_Mes,87,dr_Cod,"IMPP",dr_Est,"&lt;&gt;Excluido"),p_ImpP*(CO$110+CO$111+CO$112+CO$113+CO$114+CO$123+CO$82+CO$88+CO$121+CO$122+CO$126))</f>
        <v>25972.2240238305</v>
      </c>
      <c r="CP124" s="13" t="n">
        <f aca="false">IF(CP$69=1,SUMIFS(dr_USD,dr_Mes,88,dr_Cod,"IMPP",dr_Est,"&lt;&gt;Excluido"),p_ImpP*(CP$110+CP$111+CP$112+CP$113+CP$114+CP$123+CP$82+CP$88+CP$121+CP$122+CP$126))</f>
        <v>25972.2240238305</v>
      </c>
      <c r="CQ124" s="13" t="n">
        <f aca="false">IF(CQ$69=1,SUMIFS(dr_USD,dr_Mes,89,dr_Cod,"IMPP",dr_Est,"&lt;&gt;Excluido"),p_ImpP*(CQ$110+CQ$111+CQ$112+CQ$113+CQ$114+CQ$123+CQ$82+CQ$88+CQ$121+CQ$122+CQ$126))</f>
        <v>25972.2240238305</v>
      </c>
      <c r="CR124" s="13" t="n">
        <f aca="false">IF(CR$69=1,SUMIFS(dr_USD,dr_Mes,90,dr_Cod,"IMPP",dr_Est,"&lt;&gt;Excluido"),p_ImpP*(CR$110+CR$111+CR$112+CR$113+CR$114+CR$123+CR$82+CR$88+CR$121+CR$122+CR$126))</f>
        <v>25972.2240238305</v>
      </c>
      <c r="CS124" s="13" t="n">
        <f aca="false">IF(CS$69=1,SUMIFS(dr_USD,dr_Mes,91,dr_Cod,"IMPP",dr_Est,"&lt;&gt;Excluido"),p_ImpP*(CS$110+CS$111+CS$112+CS$113+CS$114+CS$123+CS$82+CS$88+CS$121+CS$122+CS$126))</f>
        <v>25972.2240238305</v>
      </c>
      <c r="CT124" s="13" t="n">
        <f aca="false">IF(CT$69=1,SUMIFS(dr_USD,dr_Mes,92,dr_Cod,"IMPP",dr_Est,"&lt;&gt;Excluido"),p_ImpP*(CT$110+CT$111+CT$112+CT$113+CT$114+CT$123+CT$82+CT$88+CT$121+CT$122+CT$126))</f>
        <v>25972.2240238305</v>
      </c>
      <c r="CU124" s="13" t="n">
        <f aca="false">IF(CU$69=1,SUMIFS(dr_USD,dr_Mes,93,dr_Cod,"IMPP",dr_Est,"&lt;&gt;Excluido"),p_ImpP*(CU$110+CU$111+CU$112+CU$113+CU$114+CU$123+CU$82+CU$88+CU$121+CU$122+CU$126))</f>
        <v>25972.2240238305</v>
      </c>
      <c r="CV124" s="13" t="n">
        <f aca="false">IF(CV$69=1,SUMIFS(dr_USD,dr_Mes,94,dr_Cod,"IMPP",dr_Est,"&lt;&gt;Excluido"),p_ImpP*(CV$110+CV$111+CV$112+CV$113+CV$114+CV$123+CV$82+CV$88+CV$121+CV$122+CV$126))</f>
        <v>25972.2240238305</v>
      </c>
      <c r="CW124" s="13" t="n">
        <f aca="false">IF(CW$69=1,SUMIFS(dr_USD,dr_Mes,95,dr_Cod,"IMPP",dr_Est,"&lt;&gt;Excluido"),p_ImpP*(CW$110+CW$111+CW$112+CW$113+CW$114+CW$123+CW$82+CW$88+CW$121+CW$122+CW$126))</f>
        <v>25972.2240238305</v>
      </c>
      <c r="CX124" s="13" t="n">
        <f aca="false">IF(CX$69=1,SUMIFS(dr_USD,dr_Mes,96,dr_Cod,"IMPP",dr_Est,"&lt;&gt;Excluido"),p_ImpP*(CX$110+CX$111+CX$112+CX$113+CX$114+CX$123+CX$82+CX$88+CX$121+CX$122+CX$126))</f>
        <v>25972.2240238305</v>
      </c>
      <c r="CY124" s="13" t="n">
        <f aca="false">IF(CY$69=1,SUMIFS(dr_USD,dr_Mes,97,dr_Cod,"IMPP",dr_Est,"&lt;&gt;Excluido"),p_ImpP*(CY$110+CY$111+CY$112+CY$113+CY$114+CY$123+CY$82+CY$88+CY$121+CY$122+CY$126))</f>
        <v>26097.024705462</v>
      </c>
      <c r="CZ124" s="13" t="n">
        <f aca="false">IF(CZ$69=1,SUMIFS(dr_USD,dr_Mes,98,dr_Cod,"IMPP",dr_Est,"&lt;&gt;Excluido"),p_ImpP*(CZ$110+CZ$111+CZ$112+CZ$113+CZ$114+CZ$123+CZ$82+CZ$88+CZ$121+CZ$122+CZ$126))</f>
        <v>26097.024705462</v>
      </c>
      <c r="DA124" s="13" t="n">
        <f aca="false">IF(DA$69=1,SUMIFS(dr_USD,dr_Mes,99,dr_Cod,"IMPP",dr_Est,"&lt;&gt;Excluido"),p_ImpP*(DA$110+DA$111+DA$112+DA$113+DA$114+DA$123+DA$82+DA$88+DA$121+DA$122+DA$126))</f>
        <v>26097.024705462</v>
      </c>
      <c r="DB124" s="13" t="n">
        <f aca="false">IF(DB$69=1,SUMIFS(dr_USD,dr_Mes,100,dr_Cod,"IMPP",dr_Est,"&lt;&gt;Excluido"),p_ImpP*(DB$110+DB$111+DB$112+DB$113+DB$114+DB$123+DB$82+DB$88+DB$121+DB$122+DB$126))</f>
        <v>26097.024705462</v>
      </c>
      <c r="DC124" s="13" t="n">
        <f aca="false">IF(DC$69=1,SUMIFS(dr_USD,dr_Mes,101,dr_Cod,"IMPP",dr_Est,"&lt;&gt;Excluido"),p_ImpP*(DC$110+DC$111+DC$112+DC$113+DC$114+DC$123+DC$82+DC$88+DC$121+DC$122+DC$126))</f>
        <v>26097.024705462</v>
      </c>
      <c r="DD124" s="13" t="n">
        <f aca="false">IF(DD$69=1,SUMIFS(dr_USD,dr_Mes,102,dr_Cod,"IMPP",dr_Est,"&lt;&gt;Excluido"),p_ImpP*(DD$110+DD$111+DD$112+DD$113+DD$114+DD$123+DD$82+DD$88+DD$121+DD$122+DD$126))</f>
        <v>26097.024705462</v>
      </c>
      <c r="DE124" s="13" t="n">
        <f aca="false">IF(DE$69=1,SUMIFS(dr_USD,dr_Mes,103,dr_Cod,"IMPP",dr_Est,"&lt;&gt;Excluido"),p_ImpP*(DE$110+DE$111+DE$112+DE$113+DE$114+DE$123+DE$82+DE$88+DE$121+DE$122+DE$126))</f>
        <v>26097.024705462</v>
      </c>
      <c r="DF124" s="13" t="n">
        <f aca="false">IF(DF$69=1,SUMIFS(dr_USD,dr_Mes,104,dr_Cod,"IMPP",dr_Est,"&lt;&gt;Excluido"),p_ImpP*(DF$110+DF$111+DF$112+DF$113+DF$114+DF$123+DF$82+DF$88+DF$121+DF$122+DF$126))</f>
        <v>26097.024705462</v>
      </c>
      <c r="DG124" s="13" t="n">
        <f aca="false">IF(DG$69=1,SUMIFS(dr_USD,dr_Mes,105,dr_Cod,"IMPP",dr_Est,"&lt;&gt;Excluido"),p_ImpP*(DG$110+DG$111+DG$112+DG$113+DG$114+DG$123+DG$82+DG$88+DG$121+DG$122+DG$126))</f>
        <v>26097.024705462</v>
      </c>
      <c r="DH124" s="13" t="n">
        <f aca="false">IF(DH$69=1,SUMIFS(dr_USD,dr_Mes,106,dr_Cod,"IMPP",dr_Est,"&lt;&gt;Excluido"),p_ImpP*(DH$110+DH$111+DH$112+DH$113+DH$114+DH$123+DH$82+DH$88+DH$121+DH$122+DH$126))</f>
        <v>26097.024705462</v>
      </c>
      <c r="DI124" s="13" t="n">
        <f aca="false">IF(DI$69=1,SUMIFS(dr_USD,dr_Mes,107,dr_Cod,"IMPP",dr_Est,"&lt;&gt;Excluido"),p_ImpP*(DI$110+DI$111+DI$112+DI$113+DI$114+DI$123+DI$82+DI$88+DI$121+DI$122+DI$126))</f>
        <v>26097.024705462</v>
      </c>
      <c r="DJ124" s="13" t="n">
        <f aca="false">IF(DJ$69=1,SUMIFS(dr_USD,dr_Mes,108,dr_Cod,"IMPP",dr_Est,"&lt;&gt;Excluido"),p_ImpP*(DJ$110+DJ$111+DJ$112+DJ$113+DJ$114+DJ$123+DJ$82+DJ$88+DJ$121+DJ$122+DJ$126))</f>
        <v>26097.024705462</v>
      </c>
      <c r="DK124" s="13" t="n">
        <f aca="false">IF(DK$69=1,SUMIFS(dr_USD,dr_Mes,109,dr_Cod,"IMPP",dr_Est,"&lt;&gt;Excluido"),p_ImpP*(DK$110+DK$111+DK$112+DK$113+DK$114+DK$123+DK$82+DK$88+DK$121+DK$122+DK$126))</f>
        <v>26223.0486372431</v>
      </c>
      <c r="DL124" s="13" t="n">
        <f aca="false">IF(DL$69=1,SUMIFS(dr_USD,dr_Mes,110,dr_Cod,"IMPP",dr_Est,"&lt;&gt;Excluido"),p_ImpP*(DL$110+DL$111+DL$112+DL$113+DL$114+DL$123+DL$82+DL$88+DL$121+DL$122+DL$126))</f>
        <v>26223.0486372431</v>
      </c>
      <c r="DM124" s="13" t="n">
        <f aca="false">IF(DM$69=1,SUMIFS(dr_USD,dr_Mes,111,dr_Cod,"IMPP",dr_Est,"&lt;&gt;Excluido"),p_ImpP*(DM$110+DM$111+DM$112+DM$113+DM$114+DM$123+DM$82+DM$88+DM$121+DM$122+DM$126))</f>
        <v>26223.0486372431</v>
      </c>
      <c r="DN124" s="13" t="n">
        <f aca="false">IF(DN$69=1,SUMIFS(dr_USD,dr_Mes,112,dr_Cod,"IMPP",dr_Est,"&lt;&gt;Excluido"),p_ImpP*(DN$110+DN$111+DN$112+DN$113+DN$114+DN$123+DN$82+DN$88+DN$121+DN$122+DN$126))</f>
        <v>26223.0486372431</v>
      </c>
      <c r="DO124" s="13" t="n">
        <f aca="false">IF(DO$69=1,SUMIFS(dr_USD,dr_Mes,113,dr_Cod,"IMPP",dr_Est,"&lt;&gt;Excluido"),p_ImpP*(DO$110+DO$111+DO$112+DO$113+DO$114+DO$123+DO$82+DO$88+DO$121+DO$122+DO$126))</f>
        <v>26223.0486372431</v>
      </c>
      <c r="DP124" s="13" t="n">
        <f aca="false">IF(DP$69=1,SUMIFS(dr_USD,dr_Mes,114,dr_Cod,"IMPP",dr_Est,"&lt;&gt;Excluido"),p_ImpP*(DP$110+DP$111+DP$112+DP$113+DP$114+DP$123+DP$82+DP$88+DP$121+DP$122+DP$126))</f>
        <v>26223.0486372431</v>
      </c>
      <c r="DQ124" s="13" t="n">
        <f aca="false">IF(DQ$69=1,SUMIFS(dr_USD,dr_Mes,115,dr_Cod,"IMPP",dr_Est,"&lt;&gt;Excluido"),p_ImpP*(DQ$110+DQ$111+DQ$112+DQ$113+DQ$114+DQ$123+DQ$82+DQ$88+DQ$121+DQ$122+DQ$126))</f>
        <v>26223.0486372431</v>
      </c>
      <c r="DR124" s="13" t="n">
        <f aca="false">IF(DR$69=1,SUMIFS(dr_USD,dr_Mes,116,dr_Cod,"IMPP",dr_Est,"&lt;&gt;Excluido"),p_ImpP*(DR$110+DR$111+DR$112+DR$113+DR$114+DR$123+DR$82+DR$88+DR$121+DR$122+DR$126))</f>
        <v>26223.0486372431</v>
      </c>
      <c r="DS124" s="13" t="n">
        <f aca="false">IF(DS$69=1,SUMIFS(dr_USD,dr_Mes,117,dr_Cod,"IMPP",dr_Est,"&lt;&gt;Excluido"),p_ImpP*(DS$110+DS$111+DS$112+DS$113+DS$114+DS$123+DS$82+DS$88+DS$121+DS$122+DS$126))</f>
        <v>26223.0486372431</v>
      </c>
      <c r="DT124" s="13" t="n">
        <f aca="false">IF(DT$69=1,SUMIFS(dr_USD,dr_Mes,118,dr_Cod,"IMPP",dr_Est,"&lt;&gt;Excluido"),p_ImpP*(DT$110+DT$111+DT$112+DT$113+DT$114+DT$123+DT$82+DT$88+DT$121+DT$122+DT$126))</f>
        <v>26223.0486372431</v>
      </c>
      <c r="DU124" s="13" t="n">
        <f aca="false">IF(DU$69=1,SUMIFS(dr_USD,dr_Mes,119,dr_Cod,"IMPP",dr_Est,"&lt;&gt;Excluido"),p_ImpP*(DU$110+DU$111+DU$112+DU$113+DU$114+DU$123+DU$82+DU$88+DU$121+DU$122+DU$126))</f>
        <v>26223.0486372431</v>
      </c>
      <c r="DV124" s="13" t="n">
        <f aca="false">IF(DV$69=1,SUMIFS(dr_USD,dr_Mes,120,dr_Cod,"IMPP",dr_Est,"&lt;&gt;Excluido"),p_ImpP*(DV$110+DV$111+DV$112+DV$113+DV$114+DV$123+DV$82+DV$88+DV$121+DV$122+DV$126))</f>
        <v>18693.4213228243</v>
      </c>
      <c r="DW124" s="13" t="n">
        <f aca="false">IF(DW$69=1,SUMIFS(dr_USD,dr_Mes,121,dr_Cod,"IMPP",dr_Est,"&lt;&gt;Excluido"),p_ImpP*(DW$110+DW$111+DW$112+DW$113+DW$114+DW$123+DW$82+DW$88+DW$121+DW$122+DW$126))</f>
        <v>0</v>
      </c>
      <c r="DX124" s="13" t="n">
        <f aca="false">IF(DX$69=1,SUMIFS(dr_USD,dr_Mes,122,dr_Cod,"IMPP",dr_Est,"&lt;&gt;Excluido"),p_ImpP*(DX$110+DX$111+DX$112+DX$113+DX$114+DX$123+DX$82+DX$88+DX$121+DX$122+DX$126))</f>
        <v>0</v>
      </c>
      <c r="DY124" s="13" t="n">
        <f aca="false">IF(DY$69=1,SUMIFS(dr_USD,dr_Mes,123,dr_Cod,"IMPP",dr_Est,"&lt;&gt;Excluido"),p_ImpP*(DY$110+DY$111+DY$112+DY$113+DY$114+DY$123+DY$82+DY$88+DY$121+DY$122+DY$126))</f>
        <v>0</v>
      </c>
      <c r="DZ124" s="13" t="n">
        <f aca="false">IF(DZ$69=1,SUMIFS(dr_USD,dr_Mes,124,dr_Cod,"IMPP",dr_Est,"&lt;&gt;Excluido"),p_ImpP*(DZ$110+DZ$111+DZ$112+DZ$113+DZ$114+DZ$123+DZ$82+DZ$88+DZ$121+DZ$122+DZ$126))</f>
        <v>0</v>
      </c>
      <c r="EA124" s="13" t="n">
        <f aca="false">IF(EA$69=1,SUMIFS(dr_USD,dr_Mes,125,dr_Cod,"IMPP",dr_Est,"&lt;&gt;Excluido"),p_ImpP*(EA$110+EA$111+EA$112+EA$113+EA$114+EA$123+EA$82+EA$88+EA$121+EA$122+EA$126))</f>
        <v>0</v>
      </c>
      <c r="EB124" s="13" t="n">
        <f aca="false">IF(EB$69=1,SUMIFS(dr_USD,dr_Mes,126,dr_Cod,"IMPP",dr_Est,"&lt;&gt;Excluido"),p_ImpP*(EB$110+EB$111+EB$112+EB$113+EB$114+EB$123+EB$82+EB$88+EB$121+EB$122+EB$126))</f>
        <v>0</v>
      </c>
      <c r="EC124" s="13" t="n">
        <f aca="false">IF(EC$69=1,SUMIFS(dr_USD,dr_Mes,127,dr_Cod,"IMPP",dr_Est,"&lt;&gt;Excluido"),p_ImpP*(EC$110+EC$111+EC$112+EC$113+EC$114+EC$123+EC$82+EC$88+EC$121+EC$122+EC$126))</f>
        <v>0</v>
      </c>
      <c r="ED124" s="13" t="n">
        <f aca="false">IF(ED$69=1,SUMIFS(dr_USD,dr_Mes,128,dr_Cod,"IMPP",dr_Est,"&lt;&gt;Excluido"),p_ImpP*(ED$110+ED$111+ED$112+ED$113+ED$114+ED$123+ED$82+ED$88+ED$121+ED$122+ED$126))</f>
        <v>0</v>
      </c>
      <c r="EE124" s="13" t="n">
        <f aca="false">IF(EE$69=1,SUMIFS(dr_USD,dr_Mes,129,dr_Cod,"IMPP",dr_Est,"&lt;&gt;Excluido"),p_ImpP*(EE$110+EE$111+EE$112+EE$113+EE$114+EE$123+EE$82+EE$88+EE$121+EE$122+EE$126))</f>
        <v>0</v>
      </c>
      <c r="EF124" s="13" t="n">
        <f aca="false">IF(EF$69=1,SUMIFS(dr_USD,dr_Mes,130,dr_Cod,"IMPP",dr_Est,"&lt;&gt;Excluido"),p_ImpP*(EF$110+EF$111+EF$112+EF$113+EF$114+EF$123+EF$82+EF$88+EF$121+EF$122+EF$126))</f>
        <v>0</v>
      </c>
      <c r="EG124" s="13" t="n">
        <f aca="false">IF(EG$69=1,SUMIFS(dr_USD,dr_Mes,131,dr_Cod,"IMPP",dr_Est,"&lt;&gt;Excluido"),p_ImpP*(EG$110+EG$111+EG$112+EG$113+EG$114+EG$123+EG$82+EG$88+EG$121+EG$122+EG$126))</f>
        <v>0</v>
      </c>
      <c r="EH124" s="13" t="n">
        <f aca="false">IF(EH$69=1,SUMIFS(dr_USD,dr_Mes,132,dr_Cod,"IMPP",dr_Est,"&lt;&gt;Excluido"),p_ImpP*(EH$110+EH$111+EH$112+EH$113+EH$114+EH$123+EH$82+EH$88+EH$121+EH$122+EH$126))</f>
        <v>0</v>
      </c>
      <c r="EI124" s="13" t="n">
        <f aca="false">IF(EI$69=1,SUMIFS(dr_USD,dr_Mes,133,dr_Cod,"IMPP",dr_Est,"&lt;&gt;Excluido"),p_ImpP*(EI$110+EI$111+EI$112+EI$113+EI$114+EI$123+EI$82+EI$88+EI$121+EI$122+EI$126))</f>
        <v>0</v>
      </c>
      <c r="EJ124" s="13" t="n">
        <f aca="false">IF(EJ$69=1,SUMIFS(dr_USD,dr_Mes,134,dr_Cod,"IMPP",dr_Est,"&lt;&gt;Excluido"),p_ImpP*(EJ$110+EJ$111+EJ$112+EJ$113+EJ$114+EJ$123+EJ$82+EJ$88+EJ$121+EJ$122+EJ$126))</f>
        <v>0</v>
      </c>
      <c r="EK124" s="13" t="n">
        <f aca="false">IF(EK$69=1,SUMIFS(dr_USD,dr_Mes,135,dr_Cod,"IMPP",dr_Est,"&lt;&gt;Excluido"),p_ImpP*(EK$110+EK$111+EK$112+EK$113+EK$114+EK$123+EK$82+EK$88+EK$121+EK$122+EK$126))</f>
        <v>0</v>
      </c>
      <c r="EL124" s="13" t="n">
        <f aca="false">IF(EL$69=1,SUMIFS(dr_USD,dr_Mes,136,dr_Cod,"IMPP",dr_Est,"&lt;&gt;Excluido"),p_ImpP*(EL$110+EL$111+EL$112+EL$113+EL$114+EL$123+EL$82+EL$88+EL$121+EL$122+EL$126))</f>
        <v>0</v>
      </c>
      <c r="EM124" s="13" t="n">
        <f aca="false">IF(EM$69=1,SUMIFS(dr_USD,dr_Mes,137,dr_Cod,"IMPP",dr_Est,"&lt;&gt;Excluido"),p_ImpP*(EM$110+EM$111+EM$112+EM$113+EM$114+EM$123+EM$82+EM$88+EM$121+EM$122+EM$126))</f>
        <v>0</v>
      </c>
      <c r="EN124" s="13" t="n">
        <f aca="false">IF(EN$69=1,SUMIFS(dr_USD,dr_Mes,138,dr_Cod,"IMPP",dr_Est,"&lt;&gt;Excluido"),p_ImpP*(EN$110+EN$111+EN$112+EN$113+EN$114+EN$123+EN$82+EN$88+EN$121+EN$122+EN$126))</f>
        <v>0</v>
      </c>
      <c r="EO124" s="13" t="n">
        <f aca="false">IF(EO$69=1,SUMIFS(dr_USD,dr_Mes,139,dr_Cod,"IMPP",dr_Est,"&lt;&gt;Excluido"),p_ImpP*(EO$110+EO$111+EO$112+EO$113+EO$114+EO$123+EO$82+EO$88+EO$121+EO$122+EO$126))</f>
        <v>0</v>
      </c>
      <c r="EP124" s="13" t="n">
        <f aca="false">IF(EP$69=1,SUMIFS(dr_USD,dr_Mes,140,dr_Cod,"IMPP",dr_Est,"&lt;&gt;Excluido"),p_ImpP*(EP$110+EP$111+EP$112+EP$113+EP$114+EP$123+EP$82+EP$88+EP$121+EP$122+EP$126))</f>
        <v>0</v>
      </c>
      <c r="EQ124" s="13" t="n">
        <f aca="false">IF(EQ$69=1,SUMIFS(dr_USD,dr_Mes,141,dr_Cod,"IMPP",dr_Est,"&lt;&gt;Excluido"),p_ImpP*(EQ$110+EQ$111+EQ$112+EQ$113+EQ$114+EQ$123+EQ$82+EQ$88+EQ$121+EQ$122+EQ$126))</f>
        <v>0</v>
      </c>
      <c r="ER124" s="13" t="n">
        <f aca="false">IF(ER$69=1,SUMIFS(dr_USD,dr_Mes,142,dr_Cod,"IMPP",dr_Est,"&lt;&gt;Excluido"),p_ImpP*(ER$110+ER$111+ER$112+ER$113+ER$114+ER$123+ER$82+ER$88+ER$121+ER$122+ER$126))</f>
        <v>0</v>
      </c>
      <c r="ES124" s="13" t="n">
        <f aca="false">IF(ES$69=1,SUMIFS(dr_USD,dr_Mes,143,dr_Cod,"IMPP",dr_Est,"&lt;&gt;Excluido"),p_ImpP*(ES$110+ES$111+ES$112+ES$113+ES$114+ES$123+ES$82+ES$88+ES$121+ES$122+ES$126))</f>
        <v>0</v>
      </c>
      <c r="ET124" s="13" t="n">
        <f aca="false">IF(ET$69=1,SUMIFS(dr_USD,dr_Mes,144,dr_Cod,"IMPP",dr_Est,"&lt;&gt;Excluido"),p_ImpP*(ET$110+ET$111+ET$112+ET$113+ET$114+ET$123+ET$82+ET$88+ET$121+ET$122+ET$126))</f>
        <v>0</v>
      </c>
      <c r="EU124" s="13" t="n">
        <f aca="false">IF(EU$69=1,SUMIFS(dr_USD,dr_Mes,145,dr_Cod,"IMPP",dr_Est,"&lt;&gt;Excluido"),p_ImpP*(EU$110+EU$111+EU$112+EU$113+EU$114+EU$123+EU$82+EU$88+EU$121+EU$122+EU$126))</f>
        <v>0</v>
      </c>
      <c r="EV124" s="13" t="n">
        <f aca="false">IF(EV$69=1,SUMIFS(dr_USD,dr_Mes,146,dr_Cod,"IMPP",dr_Est,"&lt;&gt;Excluido"),p_ImpP*(EV$110+EV$111+EV$112+EV$113+EV$114+EV$123+EV$82+EV$88+EV$121+EV$122+EV$126))</f>
        <v>0</v>
      </c>
      <c r="EW124" s="13" t="n">
        <f aca="false">IF(EW$69=1,SUMIFS(dr_USD,dr_Mes,147,dr_Cod,"IMPP",dr_Est,"&lt;&gt;Excluido"),p_ImpP*(EW$110+EW$111+EW$112+EW$113+EW$114+EW$123+EW$82+EW$88+EW$121+EW$122+EW$126))</f>
        <v>0</v>
      </c>
      <c r="EX124" s="13" t="n">
        <f aca="false">IF(EX$69=1,SUMIFS(dr_USD,dr_Mes,148,dr_Cod,"IMPP",dr_Est,"&lt;&gt;Excluido"),p_ImpP*(EX$110+EX$111+EX$112+EX$113+EX$114+EX$123+EX$82+EX$88+EX$121+EX$122+EX$126))</f>
        <v>0</v>
      </c>
      <c r="EY124" s="13" t="n">
        <f aca="false">IF(EY$69=1,SUMIFS(dr_USD,dr_Mes,149,dr_Cod,"IMPP",dr_Est,"&lt;&gt;Excluido"),p_ImpP*(EY$110+EY$111+EY$112+EY$113+EY$114+EY$123+EY$82+EY$88+EY$121+EY$122+EY$126))</f>
        <v>0</v>
      </c>
      <c r="EZ124" s="13" t="n">
        <f aca="false">IF(EZ$69=1,SUMIFS(dr_USD,dr_Mes,150,dr_Cod,"IMPP",dr_Est,"&lt;&gt;Excluido"),p_ImpP*(EZ$110+EZ$111+EZ$112+EZ$113+EZ$114+EZ$123+EZ$82+EZ$88+EZ$121+EZ$122+EZ$126))</f>
        <v>0</v>
      </c>
      <c r="FA124" s="13" t="n">
        <f aca="false">IF(FA$69=1,SUMIFS(dr_USD,dr_Mes,151,dr_Cod,"IMPP",dr_Est,"&lt;&gt;Excluido"),p_ImpP*(FA$110+FA$111+FA$112+FA$113+FA$114+FA$123+FA$82+FA$88+FA$121+FA$122+FA$126))</f>
        <v>0</v>
      </c>
      <c r="FB124" s="13" t="n">
        <f aca="false">IF(FB$69=1,SUMIFS(dr_USD,dr_Mes,152,dr_Cod,"IMPP",dr_Est,"&lt;&gt;Excluido"),p_ImpP*(FB$110+FB$111+FB$112+FB$113+FB$114+FB$123+FB$82+FB$88+FB$121+FB$122+FB$126))</f>
        <v>0</v>
      </c>
      <c r="FC124" s="13" t="n">
        <f aca="false">IF(FC$69=1,SUMIFS(dr_USD,dr_Mes,153,dr_Cod,"IMPP",dr_Est,"&lt;&gt;Excluido"),p_ImpP*(FC$110+FC$111+FC$112+FC$113+FC$114+FC$123+FC$82+FC$88+FC$121+FC$122+FC$126))</f>
        <v>0</v>
      </c>
      <c r="FD124" s="13" t="n">
        <f aca="false">IF(FD$69=1,SUMIFS(dr_USD,dr_Mes,154,dr_Cod,"IMPP",dr_Est,"&lt;&gt;Excluido"),p_ImpP*(FD$110+FD$111+FD$112+FD$113+FD$114+FD$123+FD$82+FD$88+FD$121+FD$122+FD$126))</f>
        <v>0</v>
      </c>
      <c r="FE124" s="13" t="n">
        <f aca="false">IF(FE$69=1,SUMIFS(dr_USD,dr_Mes,155,dr_Cod,"IMPP",dr_Est,"&lt;&gt;Excluido"),p_ImpP*(FE$110+FE$111+FE$112+FE$113+FE$114+FE$123+FE$82+FE$88+FE$121+FE$122+FE$126))</f>
        <v>0</v>
      </c>
      <c r="FF124" s="13" t="n">
        <f aca="false">IF(FF$69=1,SUMIFS(dr_USD,dr_Mes,156,dr_Cod,"IMPP",dr_Est,"&lt;&gt;Excluido"),p_ImpP*(FF$110+FF$111+FF$112+FF$113+FF$114+FF$123+FF$82+FF$88+FF$121+FF$122+FF$126))</f>
        <v>0</v>
      </c>
    </row>
    <row r="125" customFormat="false" ht="15" hidden="false" customHeight="false" outlineLevel="0" collapsed="false">
      <c r="A125" s="4"/>
      <c r="B125" s="3" t="s">
        <v>1096</v>
      </c>
      <c r="C125" s="4"/>
      <c r="D125" s="4"/>
      <c r="E125" s="4"/>
    </row>
    <row r="126" customFormat="false" ht="15" hidden="false" customHeight="false" outlineLevel="0" collapsed="false">
      <c r="A126" s="2" t="s">
        <v>1097</v>
      </c>
      <c r="B126" s="8" t="s">
        <v>1098</v>
      </c>
      <c r="C126" s="8" t="s">
        <v>255</v>
      </c>
      <c r="E126" s="65" t="n">
        <f aca="false">SUM($F126:$FF126)</f>
        <v>81222.4477216454</v>
      </c>
      <c r="F126" s="13" t="n">
        <f aca="false">IF(F$69=1,SUMIFS(dr_USD,dr_Mes,0,dr_Cod,"SEGC",dr_Est,"&lt;&gt;Excluido"),p_SegCau*Produccion_Ventas!F$55)</f>
        <v>0</v>
      </c>
      <c r="G126" s="13" t="n">
        <f aca="false">IF(G$69=1,SUMIFS(dr_USD,dr_Mes,1,dr_Cod,"SEGC",dr_Est,"&lt;&gt;Excluido"),p_SegCau*Produccion_Ventas!G$55)</f>
        <v>404.166666666667</v>
      </c>
      <c r="H126" s="13" t="n">
        <f aca="false">IF(H$69=1,SUMIFS(dr_USD,dr_Mes,2,dr_Cod,"SEGC",dr_Est,"&lt;&gt;Excluido"),p_SegCau*Produccion_Ventas!H$55)</f>
        <v>404.166666666667</v>
      </c>
      <c r="I126" s="13" t="n">
        <f aca="false">IF(I$69=1,SUMIFS(dr_USD,dr_Mes,3,dr_Cod,"SEGC",dr_Est,"&lt;&gt;Excluido"),p_SegCau*Produccion_Ventas!I$55)</f>
        <v>404.166666666667</v>
      </c>
      <c r="J126" s="13" t="n">
        <f aca="false">IF(J$69=1,SUMIFS(dr_USD,dr_Mes,4,dr_Cod,"SEGC",dr_Est,"&lt;&gt;Excluido"),p_SegCau*Produccion_Ventas!J$55)</f>
        <v>404.166666666667</v>
      </c>
      <c r="K126" s="13" t="n">
        <f aca="false">IF(K$69=1,SUMIFS(dr_USD,dr_Mes,5,dr_Cod,"SEGC",dr_Est,"&lt;&gt;Excluido"),p_SegCau*Produccion_Ventas!K$55)</f>
        <v>404.166666666667</v>
      </c>
      <c r="L126" s="13" t="n">
        <f aca="false">IF(L$69=1,SUMIFS(dr_USD,dr_Mes,6,dr_Cod,"SEGC",dr_Est,"&lt;&gt;Excluido"),p_SegCau*Produccion_Ventas!L$55)</f>
        <v>404.166666666667</v>
      </c>
      <c r="M126" s="13" t="n">
        <f aca="false">IF(M$69=1,SUMIFS(dr_USD,dr_Mes,7,dr_Cod,"SEGC",dr_Est,"&lt;&gt;Excluido"),p_SegCau*Produccion_Ventas!M$55)</f>
        <v>404.166666666667</v>
      </c>
      <c r="N126" s="13" t="n">
        <f aca="false">IF(N$69=1,SUMIFS(dr_USD,dr_Mes,8,dr_Cod,"SEGC",dr_Est,"&lt;&gt;Excluido"),p_SegCau*Produccion_Ventas!N$55)</f>
        <v>404.166666666667</v>
      </c>
      <c r="O126" s="13" t="n">
        <f aca="false">IF(O$69=1,SUMIFS(dr_USD,dr_Mes,9,dr_Cod,"SEGC",dr_Est,"&lt;&gt;Excluido"),p_SegCau*Produccion_Ventas!O$55)</f>
        <v>404.166666666667</v>
      </c>
      <c r="P126" s="13" t="n">
        <f aca="false">IF(P$69=1,SUMIFS(dr_USD,dr_Mes,10,dr_Cod,"SEGC",dr_Est,"&lt;&gt;Excluido"),p_SegCau*Produccion_Ventas!P$55)</f>
        <v>404.166666666667</v>
      </c>
      <c r="Q126" s="13" t="n">
        <f aca="false">IF(Q$69=1,SUMIFS(dr_USD,dr_Mes,11,dr_Cod,"SEGC",dr_Est,"&lt;&gt;Excluido"),p_SegCau*Produccion_Ventas!Q$55)</f>
        <v>404.166666666667</v>
      </c>
      <c r="R126" s="13" t="n">
        <f aca="false">IF(R$69=1,SUMIFS(dr_USD,dr_Mes,12,dr_Cod,"SEGC",dr_Est,"&lt;&gt;Excluido"),p_SegCau*Produccion_Ventas!R$55)</f>
        <v>404.166666666667</v>
      </c>
      <c r="S126" s="13" t="n">
        <f aca="false">IF(S$69=1,SUMIFS(dr_USD,dr_Mes,13,dr_Cod,"SEGC",dr_Est,"&lt;&gt;Excluido"),p_SegCau*Produccion_Ventas!S$55)</f>
        <v>515.1</v>
      </c>
      <c r="T126" s="13" t="n">
        <f aca="false">IF(T$69=1,SUMIFS(dr_USD,dr_Mes,14,dr_Cod,"SEGC",dr_Est,"&lt;&gt;Excluido"),p_SegCau*Produccion_Ventas!T$55)</f>
        <v>515.1</v>
      </c>
      <c r="U126" s="13" t="n">
        <f aca="false">IF(U$69=1,SUMIFS(dr_USD,dr_Mes,15,dr_Cod,"SEGC",dr_Est,"&lt;&gt;Excluido"),p_SegCau*Produccion_Ventas!U$55)</f>
        <v>515.1</v>
      </c>
      <c r="V126" s="13" t="n">
        <f aca="false">IF(V$69=1,SUMIFS(dr_USD,dr_Mes,16,dr_Cod,"SEGC",dr_Est,"&lt;&gt;Excluido"),p_SegCau*Produccion_Ventas!V$55)</f>
        <v>515.1</v>
      </c>
      <c r="W126" s="13" t="n">
        <f aca="false">IF(W$69=1,SUMIFS(dr_USD,dr_Mes,17,dr_Cod,"SEGC",dr_Est,"&lt;&gt;Excluido"),p_SegCau*Produccion_Ventas!W$55)</f>
        <v>515.1</v>
      </c>
      <c r="X126" s="13" t="n">
        <f aca="false">IF(X$69=1,SUMIFS(dr_USD,dr_Mes,18,dr_Cod,"SEGC",dr_Est,"&lt;&gt;Excluido"),p_SegCau*Produccion_Ventas!X$55)</f>
        <v>515.1</v>
      </c>
      <c r="Y126" s="13" t="n">
        <f aca="false">IF(Y$69=1,SUMIFS(dr_USD,dr_Mes,19,dr_Cod,"SEGC",dr_Est,"&lt;&gt;Excluido"),p_SegCau*Produccion_Ventas!Y$55)</f>
        <v>515.1</v>
      </c>
      <c r="Z126" s="13" t="n">
        <f aca="false">IF(Z$69=1,SUMIFS(dr_USD,dr_Mes,20,dr_Cod,"SEGC",dr_Est,"&lt;&gt;Excluido"),p_SegCau*Produccion_Ventas!Z$55)</f>
        <v>515.1</v>
      </c>
      <c r="AA126" s="13" t="n">
        <f aca="false">IF(AA$69=1,SUMIFS(dr_USD,dr_Mes,21,dr_Cod,"SEGC",dr_Est,"&lt;&gt;Excluido"),p_SegCau*Produccion_Ventas!AA$55)</f>
        <v>515.1</v>
      </c>
      <c r="AB126" s="13" t="n">
        <f aca="false">IF(AB$69=1,SUMIFS(dr_USD,dr_Mes,22,dr_Cod,"SEGC",dr_Est,"&lt;&gt;Excluido"),p_SegCau*Produccion_Ventas!AB$55)</f>
        <v>515.1</v>
      </c>
      <c r="AC126" s="13" t="n">
        <f aca="false">IF(AC$69=1,SUMIFS(dr_USD,dr_Mes,23,dr_Cod,"SEGC",dr_Est,"&lt;&gt;Excluido"),p_SegCau*Produccion_Ventas!AC$55)</f>
        <v>515.1</v>
      </c>
      <c r="AD126" s="13" t="n">
        <f aca="false">IF(AD$69=1,SUMIFS(dr_USD,dr_Mes,24,dr_Cod,"SEGC",dr_Est,"&lt;&gt;Excluido"),p_SegCau*Produccion_Ventas!AD$55)</f>
        <v>515.1</v>
      </c>
      <c r="AE126" s="13" t="n">
        <f aca="false">IF(AE$69=1,SUMIFS(dr_USD,dr_Mes,25,dr_Cod,"SEGC",dr_Est,"&lt;&gt;Excluido"),p_SegCau*Produccion_Ventas!AE$55)</f>
        <v>628.211583333333</v>
      </c>
      <c r="AF126" s="13" t="n">
        <f aca="false">IF(AF$69=1,SUMIFS(dr_USD,dr_Mes,26,dr_Cod,"SEGC",dr_Est,"&lt;&gt;Excluido"),p_SegCau*Produccion_Ventas!AF$55)</f>
        <v>628.211583333333</v>
      </c>
      <c r="AG126" s="13" t="n">
        <f aca="false">IF(AG$69=1,SUMIFS(dr_USD,dr_Mes,27,dr_Cod,"SEGC",dr_Est,"&lt;&gt;Excluido"),p_SegCau*Produccion_Ventas!AG$55)</f>
        <v>628.211583333333</v>
      </c>
      <c r="AH126" s="13" t="n">
        <f aca="false">IF(AH$69=1,SUMIFS(dr_USD,dr_Mes,28,dr_Cod,"SEGC",dr_Est,"&lt;&gt;Excluido"),p_SegCau*Produccion_Ventas!AH$55)</f>
        <v>628.211583333333</v>
      </c>
      <c r="AI126" s="13" t="n">
        <f aca="false">IF(AI$69=1,SUMIFS(dr_USD,dr_Mes,29,dr_Cod,"SEGC",dr_Est,"&lt;&gt;Excluido"),p_SegCau*Produccion_Ventas!AI$55)</f>
        <v>628.211583333333</v>
      </c>
      <c r="AJ126" s="13" t="n">
        <f aca="false">IF(AJ$69=1,SUMIFS(dr_USD,dr_Mes,30,dr_Cod,"SEGC",dr_Est,"&lt;&gt;Excluido"),p_SegCau*Produccion_Ventas!AJ$55)</f>
        <v>628.211583333333</v>
      </c>
      <c r="AK126" s="13" t="n">
        <f aca="false">IF(AK$69=1,SUMIFS(dr_USD,dr_Mes,31,dr_Cod,"SEGC",dr_Est,"&lt;&gt;Excluido"),p_SegCau*Produccion_Ventas!AK$55)</f>
        <v>628.211583333333</v>
      </c>
      <c r="AL126" s="13" t="n">
        <f aca="false">IF(AL$69=1,SUMIFS(dr_USD,dr_Mes,32,dr_Cod,"SEGC",dr_Est,"&lt;&gt;Excluido"),p_SegCau*Produccion_Ventas!AL$55)</f>
        <v>628.211583333333</v>
      </c>
      <c r="AM126" s="13" t="n">
        <f aca="false">IF(AM$69=1,SUMIFS(dr_USD,dr_Mes,33,dr_Cod,"SEGC",dr_Est,"&lt;&gt;Excluido"),p_SegCau*Produccion_Ventas!AM$55)</f>
        <v>628.211583333333</v>
      </c>
      <c r="AN126" s="13" t="n">
        <f aca="false">IF(AN$69=1,SUMIFS(dr_USD,dr_Mes,34,dr_Cod,"SEGC",dr_Est,"&lt;&gt;Excluido"),p_SegCau*Produccion_Ventas!AN$55)</f>
        <v>628.211583333333</v>
      </c>
      <c r="AO126" s="13" t="n">
        <f aca="false">IF(AO$69=1,SUMIFS(dr_USD,dr_Mes,35,dr_Cod,"SEGC",dr_Est,"&lt;&gt;Excluido"),p_SegCau*Produccion_Ventas!AO$55)</f>
        <v>628.211583333333</v>
      </c>
      <c r="AP126" s="13" t="n">
        <f aca="false">IF(AP$69=1,SUMIFS(dr_USD,dr_Mes,36,dr_Cod,"SEGC",dr_Est,"&lt;&gt;Excluido"),p_SegCau*Produccion_Ventas!AP$55)</f>
        <v>628.211583333333</v>
      </c>
      <c r="AQ126" s="13" t="n">
        <f aca="false">IF(AQ$69=1,SUMIFS(dr_USD,dr_Mes,37,dr_Cod,"SEGC",dr_Est,"&lt;&gt;Excluido"),p_SegCau*Produccion_Ventas!AQ$55)</f>
        <v>723.7864525</v>
      </c>
      <c r="AR126" s="13" t="n">
        <f aca="false">IF(AR$69=1,SUMIFS(dr_USD,dr_Mes,38,dr_Cod,"SEGC",dr_Est,"&lt;&gt;Excluido"),p_SegCau*Produccion_Ventas!AR$55)</f>
        <v>723.7864525</v>
      </c>
      <c r="AS126" s="13" t="n">
        <f aca="false">IF(AS$69=1,SUMIFS(dr_USD,dr_Mes,39,dr_Cod,"SEGC",dr_Est,"&lt;&gt;Excluido"),p_SegCau*Produccion_Ventas!AS$55)</f>
        <v>723.7864525</v>
      </c>
      <c r="AT126" s="13" t="n">
        <f aca="false">IF(AT$69=1,SUMIFS(dr_USD,dr_Mes,40,dr_Cod,"SEGC",dr_Est,"&lt;&gt;Excluido"),p_SegCau*Produccion_Ventas!AT$55)</f>
        <v>723.7864525</v>
      </c>
      <c r="AU126" s="13" t="n">
        <f aca="false">IF(AU$69=1,SUMIFS(dr_USD,dr_Mes,41,dr_Cod,"SEGC",dr_Est,"&lt;&gt;Excluido"),p_SegCau*Produccion_Ventas!AU$55)</f>
        <v>723.7864525</v>
      </c>
      <c r="AV126" s="13" t="n">
        <f aca="false">IF(AV$69=1,SUMIFS(dr_USD,dr_Mes,42,dr_Cod,"SEGC",dr_Est,"&lt;&gt;Excluido"),p_SegCau*Produccion_Ventas!AV$55)</f>
        <v>723.7864525</v>
      </c>
      <c r="AW126" s="13" t="n">
        <f aca="false">IF(AW$69=1,SUMIFS(dr_USD,dr_Mes,43,dr_Cod,"SEGC",dr_Est,"&lt;&gt;Excluido"),p_SegCau*Produccion_Ventas!AW$55)</f>
        <v>723.7864525</v>
      </c>
      <c r="AX126" s="13" t="n">
        <f aca="false">IF(AX$69=1,SUMIFS(dr_USD,dr_Mes,44,dr_Cod,"SEGC",dr_Est,"&lt;&gt;Excluido"),p_SegCau*Produccion_Ventas!AX$55)</f>
        <v>723.7864525</v>
      </c>
      <c r="AY126" s="13" t="n">
        <f aca="false">IF(AY$69=1,SUMIFS(dr_USD,dr_Mes,45,dr_Cod,"SEGC",dr_Est,"&lt;&gt;Excluido"),p_SegCau*Produccion_Ventas!AY$55)</f>
        <v>723.7864525</v>
      </c>
      <c r="AZ126" s="13" t="n">
        <f aca="false">IF(AZ$69=1,SUMIFS(dr_USD,dr_Mes,46,dr_Cod,"SEGC",dr_Est,"&lt;&gt;Excluido"),p_SegCau*Produccion_Ventas!AZ$55)</f>
        <v>723.7864525</v>
      </c>
      <c r="BA126" s="13" t="n">
        <f aca="false">IF(BA$69=1,SUMIFS(dr_USD,dr_Mes,47,dr_Cod,"SEGC",dr_Est,"&lt;&gt;Excluido"),p_SegCau*Produccion_Ventas!BA$55)</f>
        <v>723.7864525</v>
      </c>
      <c r="BB126" s="13" t="n">
        <f aca="false">IF(BB$69=1,SUMIFS(dr_USD,dr_Mes,48,dr_Cod,"SEGC",dr_Est,"&lt;&gt;Excluido"),p_SegCau*Produccion_Ventas!BB$55)</f>
        <v>723.7864525</v>
      </c>
      <c r="BC126" s="13" t="n">
        <f aca="false">IF(BC$69=1,SUMIFS(dr_USD,dr_Mes,49,dr_Cod,"SEGC",dr_Est,"&lt;&gt;Excluido"),p_SegCau*Produccion_Ventas!BC$55)</f>
        <v>731.024317025</v>
      </c>
      <c r="BD126" s="13" t="n">
        <f aca="false">IF(BD$69=1,SUMIFS(dr_USD,dr_Mes,50,dr_Cod,"SEGC",dr_Est,"&lt;&gt;Excluido"),p_SegCau*Produccion_Ventas!BD$55)</f>
        <v>731.024317025</v>
      </c>
      <c r="BE126" s="13" t="n">
        <f aca="false">IF(BE$69=1,SUMIFS(dr_USD,dr_Mes,51,dr_Cod,"SEGC",dr_Est,"&lt;&gt;Excluido"),p_SegCau*Produccion_Ventas!BE$55)</f>
        <v>731.024317025</v>
      </c>
      <c r="BF126" s="13" t="n">
        <f aca="false">IF(BF$69=1,SUMIFS(dr_USD,dr_Mes,52,dr_Cod,"SEGC",dr_Est,"&lt;&gt;Excluido"),p_SegCau*Produccion_Ventas!BF$55)</f>
        <v>731.024317025</v>
      </c>
      <c r="BG126" s="13" t="n">
        <f aca="false">IF(BG$69=1,SUMIFS(dr_USD,dr_Mes,53,dr_Cod,"SEGC",dr_Est,"&lt;&gt;Excluido"),p_SegCau*Produccion_Ventas!BG$55)</f>
        <v>731.024317025</v>
      </c>
      <c r="BH126" s="13" t="n">
        <f aca="false">IF(BH$69=1,SUMIFS(dr_USD,dr_Mes,54,dr_Cod,"SEGC",dr_Est,"&lt;&gt;Excluido"),p_SegCau*Produccion_Ventas!BH$55)</f>
        <v>731.024317025</v>
      </c>
      <c r="BI126" s="13" t="n">
        <f aca="false">IF(BI$69=1,SUMIFS(dr_USD,dr_Mes,55,dr_Cod,"SEGC",dr_Est,"&lt;&gt;Excluido"),p_SegCau*Produccion_Ventas!BI$55)</f>
        <v>731.024317025</v>
      </c>
      <c r="BJ126" s="13" t="n">
        <f aca="false">IF(BJ$69=1,SUMIFS(dr_USD,dr_Mes,56,dr_Cod,"SEGC",dr_Est,"&lt;&gt;Excluido"),p_SegCau*Produccion_Ventas!BJ$55)</f>
        <v>731.024317025</v>
      </c>
      <c r="BK126" s="13" t="n">
        <f aca="false">IF(BK$69=1,SUMIFS(dr_USD,dr_Mes,57,dr_Cod,"SEGC",dr_Est,"&lt;&gt;Excluido"),p_SegCau*Produccion_Ventas!BK$55)</f>
        <v>731.024317025</v>
      </c>
      <c r="BL126" s="13" t="n">
        <f aca="false">IF(BL$69=1,SUMIFS(dr_USD,dr_Mes,58,dr_Cod,"SEGC",dr_Est,"&lt;&gt;Excluido"),p_SegCau*Produccion_Ventas!BL$55)</f>
        <v>731.024317025</v>
      </c>
      <c r="BM126" s="13" t="n">
        <f aca="false">IF(BM$69=1,SUMIFS(dr_USD,dr_Mes,59,dr_Cod,"SEGC",dr_Est,"&lt;&gt;Excluido"),p_SegCau*Produccion_Ventas!BM$55)</f>
        <v>731.024317025</v>
      </c>
      <c r="BN126" s="13" t="n">
        <f aca="false">IF(BN$69=1,SUMIFS(dr_USD,dr_Mes,60,dr_Cod,"SEGC",dr_Est,"&lt;&gt;Excluido"),p_SegCau*Produccion_Ventas!BN$55)</f>
        <v>731.024317025</v>
      </c>
      <c r="BO126" s="13" t="n">
        <f aca="false">IF(BO$69=1,SUMIFS(dr_USD,dr_Mes,61,dr_Cod,"SEGC",dr_Est,"&lt;&gt;Excluido"),p_SegCau*Produccion_Ventas!BO$55)</f>
        <v>738.33456019525</v>
      </c>
      <c r="BP126" s="13" t="n">
        <f aca="false">IF(BP$69=1,SUMIFS(dr_USD,dr_Mes,62,dr_Cod,"SEGC",dr_Est,"&lt;&gt;Excluido"),p_SegCau*Produccion_Ventas!BP$55)</f>
        <v>738.33456019525</v>
      </c>
      <c r="BQ126" s="13" t="n">
        <f aca="false">IF(BQ$69=1,SUMIFS(dr_USD,dr_Mes,63,dr_Cod,"SEGC",dr_Est,"&lt;&gt;Excluido"),p_SegCau*Produccion_Ventas!BQ$55)</f>
        <v>738.33456019525</v>
      </c>
      <c r="BR126" s="13" t="n">
        <f aca="false">IF(BR$69=1,SUMIFS(dr_USD,dr_Mes,64,dr_Cod,"SEGC",dr_Est,"&lt;&gt;Excluido"),p_SegCau*Produccion_Ventas!BR$55)</f>
        <v>738.33456019525</v>
      </c>
      <c r="BS126" s="13" t="n">
        <f aca="false">IF(BS$69=1,SUMIFS(dr_USD,dr_Mes,65,dr_Cod,"SEGC",dr_Est,"&lt;&gt;Excluido"),p_SegCau*Produccion_Ventas!BS$55)</f>
        <v>738.33456019525</v>
      </c>
      <c r="BT126" s="13" t="n">
        <f aca="false">IF(BT$69=1,SUMIFS(dr_USD,dr_Mes,66,dr_Cod,"SEGC",dr_Est,"&lt;&gt;Excluido"),p_SegCau*Produccion_Ventas!BT$55)</f>
        <v>738.33456019525</v>
      </c>
      <c r="BU126" s="13" t="n">
        <f aca="false">IF(BU$69=1,SUMIFS(dr_USD,dr_Mes,67,dr_Cod,"SEGC",dr_Est,"&lt;&gt;Excluido"),p_SegCau*Produccion_Ventas!BU$55)</f>
        <v>738.33456019525</v>
      </c>
      <c r="BV126" s="13" t="n">
        <f aca="false">IF(BV$69=1,SUMIFS(dr_USD,dr_Mes,68,dr_Cod,"SEGC",dr_Est,"&lt;&gt;Excluido"),p_SegCau*Produccion_Ventas!BV$55)</f>
        <v>738.33456019525</v>
      </c>
      <c r="BW126" s="13" t="n">
        <f aca="false">IF(BW$69=1,SUMIFS(dr_USD,dr_Mes,69,dr_Cod,"SEGC",dr_Est,"&lt;&gt;Excluido"),p_SegCau*Produccion_Ventas!BW$55)</f>
        <v>738.33456019525</v>
      </c>
      <c r="BX126" s="13" t="n">
        <f aca="false">IF(BX$69=1,SUMIFS(dr_USD,dr_Mes,70,dr_Cod,"SEGC",dr_Est,"&lt;&gt;Excluido"),p_SegCau*Produccion_Ventas!BX$55)</f>
        <v>738.33456019525</v>
      </c>
      <c r="BY126" s="13" t="n">
        <f aca="false">IF(BY$69=1,SUMIFS(dr_USD,dr_Mes,71,dr_Cod,"SEGC",dr_Est,"&lt;&gt;Excluido"),p_SegCau*Produccion_Ventas!BY$55)</f>
        <v>738.33456019525</v>
      </c>
      <c r="BZ126" s="13" t="n">
        <f aca="false">IF(BZ$69=1,SUMIFS(dr_USD,dr_Mes,72,dr_Cod,"SEGC",dr_Est,"&lt;&gt;Excluido"),p_SegCau*Produccion_Ventas!BZ$55)</f>
        <v>738.33456019525</v>
      </c>
      <c r="CA126" s="13" t="n">
        <f aca="false">IF(CA$69=1,SUMIFS(dr_USD,dr_Mes,73,dr_Cod,"SEGC",dr_Est,"&lt;&gt;Excluido"),p_SegCau*Produccion_Ventas!CA$55)</f>
        <v>745.717905797203</v>
      </c>
      <c r="CB126" s="13" t="n">
        <f aca="false">IF(CB$69=1,SUMIFS(dr_USD,dr_Mes,74,dr_Cod,"SEGC",dr_Est,"&lt;&gt;Excluido"),p_SegCau*Produccion_Ventas!CB$55)</f>
        <v>745.717905797203</v>
      </c>
      <c r="CC126" s="13" t="n">
        <f aca="false">IF(CC$69=1,SUMIFS(dr_USD,dr_Mes,75,dr_Cod,"SEGC",dr_Est,"&lt;&gt;Excluido"),p_SegCau*Produccion_Ventas!CC$55)</f>
        <v>745.717905797203</v>
      </c>
      <c r="CD126" s="13" t="n">
        <f aca="false">IF(CD$69=1,SUMIFS(dr_USD,dr_Mes,76,dr_Cod,"SEGC",dr_Est,"&lt;&gt;Excluido"),p_SegCau*Produccion_Ventas!CD$55)</f>
        <v>745.717905797203</v>
      </c>
      <c r="CE126" s="13" t="n">
        <f aca="false">IF(CE$69=1,SUMIFS(dr_USD,dr_Mes,77,dr_Cod,"SEGC",dr_Est,"&lt;&gt;Excluido"),p_SegCau*Produccion_Ventas!CE$55)</f>
        <v>745.717905797203</v>
      </c>
      <c r="CF126" s="13" t="n">
        <f aca="false">IF(CF$69=1,SUMIFS(dr_USD,dr_Mes,78,dr_Cod,"SEGC",dr_Est,"&lt;&gt;Excluido"),p_SegCau*Produccion_Ventas!CF$55)</f>
        <v>745.717905797203</v>
      </c>
      <c r="CG126" s="13" t="n">
        <f aca="false">IF(CG$69=1,SUMIFS(dr_USD,dr_Mes,79,dr_Cod,"SEGC",dr_Est,"&lt;&gt;Excluido"),p_SegCau*Produccion_Ventas!CG$55)</f>
        <v>745.717905797203</v>
      </c>
      <c r="CH126" s="13" t="n">
        <f aca="false">IF(CH$69=1,SUMIFS(dr_USD,dr_Mes,80,dr_Cod,"SEGC",dr_Est,"&lt;&gt;Excluido"),p_SegCau*Produccion_Ventas!CH$55)</f>
        <v>745.717905797203</v>
      </c>
      <c r="CI126" s="13" t="n">
        <f aca="false">IF(CI$69=1,SUMIFS(dr_USD,dr_Mes,81,dr_Cod,"SEGC",dr_Est,"&lt;&gt;Excluido"),p_SegCau*Produccion_Ventas!CI$55)</f>
        <v>745.717905797203</v>
      </c>
      <c r="CJ126" s="13" t="n">
        <f aca="false">IF(CJ$69=1,SUMIFS(dr_USD,dr_Mes,82,dr_Cod,"SEGC",dr_Est,"&lt;&gt;Excluido"),p_SegCau*Produccion_Ventas!CJ$55)</f>
        <v>745.717905797203</v>
      </c>
      <c r="CK126" s="13" t="n">
        <f aca="false">IF(CK$69=1,SUMIFS(dr_USD,dr_Mes,83,dr_Cod,"SEGC",dr_Est,"&lt;&gt;Excluido"),p_SegCau*Produccion_Ventas!CK$55)</f>
        <v>745.717905797203</v>
      </c>
      <c r="CL126" s="13" t="n">
        <f aca="false">IF(CL$69=1,SUMIFS(dr_USD,dr_Mes,84,dr_Cod,"SEGC",dr_Est,"&lt;&gt;Excluido"),p_SegCau*Produccion_Ventas!CL$55)</f>
        <v>745.717905797203</v>
      </c>
      <c r="CM126" s="13" t="n">
        <f aca="false">IF(CM$69=1,SUMIFS(dr_USD,dr_Mes,85,dr_Cod,"SEGC",dr_Est,"&lt;&gt;Excluido"),p_SegCau*Produccion_Ventas!CM$55)</f>
        <v>753.175084855175</v>
      </c>
      <c r="CN126" s="13" t="n">
        <f aca="false">IF(CN$69=1,SUMIFS(dr_USD,dr_Mes,86,dr_Cod,"SEGC",dr_Est,"&lt;&gt;Excluido"),p_SegCau*Produccion_Ventas!CN$55)</f>
        <v>753.175084855175</v>
      </c>
      <c r="CO126" s="13" t="n">
        <f aca="false">IF(CO$69=1,SUMIFS(dr_USD,dr_Mes,87,dr_Cod,"SEGC",dr_Est,"&lt;&gt;Excluido"),p_SegCau*Produccion_Ventas!CO$55)</f>
        <v>753.175084855175</v>
      </c>
      <c r="CP126" s="13" t="n">
        <f aca="false">IF(CP$69=1,SUMIFS(dr_USD,dr_Mes,88,dr_Cod,"SEGC",dr_Est,"&lt;&gt;Excluido"),p_SegCau*Produccion_Ventas!CP$55)</f>
        <v>753.175084855175</v>
      </c>
      <c r="CQ126" s="13" t="n">
        <f aca="false">IF(CQ$69=1,SUMIFS(dr_USD,dr_Mes,89,dr_Cod,"SEGC",dr_Est,"&lt;&gt;Excluido"),p_SegCau*Produccion_Ventas!CQ$55)</f>
        <v>753.175084855175</v>
      </c>
      <c r="CR126" s="13" t="n">
        <f aca="false">IF(CR$69=1,SUMIFS(dr_USD,dr_Mes,90,dr_Cod,"SEGC",dr_Est,"&lt;&gt;Excluido"),p_SegCau*Produccion_Ventas!CR$55)</f>
        <v>753.175084855175</v>
      </c>
      <c r="CS126" s="13" t="n">
        <f aca="false">IF(CS$69=1,SUMIFS(dr_USD,dr_Mes,91,dr_Cod,"SEGC",dr_Est,"&lt;&gt;Excluido"),p_SegCau*Produccion_Ventas!CS$55)</f>
        <v>753.175084855175</v>
      </c>
      <c r="CT126" s="13" t="n">
        <f aca="false">IF(CT$69=1,SUMIFS(dr_USD,dr_Mes,92,dr_Cod,"SEGC",dr_Est,"&lt;&gt;Excluido"),p_SegCau*Produccion_Ventas!CT$55)</f>
        <v>753.175084855175</v>
      </c>
      <c r="CU126" s="13" t="n">
        <f aca="false">IF(CU$69=1,SUMIFS(dr_USD,dr_Mes,93,dr_Cod,"SEGC",dr_Est,"&lt;&gt;Excluido"),p_SegCau*Produccion_Ventas!CU$55)</f>
        <v>753.175084855175</v>
      </c>
      <c r="CV126" s="13" t="n">
        <f aca="false">IF(CV$69=1,SUMIFS(dr_USD,dr_Mes,94,dr_Cod,"SEGC",dr_Est,"&lt;&gt;Excluido"),p_SegCau*Produccion_Ventas!CV$55)</f>
        <v>753.175084855175</v>
      </c>
      <c r="CW126" s="13" t="n">
        <f aca="false">IF(CW$69=1,SUMIFS(dr_USD,dr_Mes,95,dr_Cod,"SEGC",dr_Est,"&lt;&gt;Excluido"),p_SegCau*Produccion_Ventas!CW$55)</f>
        <v>753.175084855175</v>
      </c>
      <c r="CX126" s="13" t="n">
        <f aca="false">IF(CX$69=1,SUMIFS(dr_USD,dr_Mes,96,dr_Cod,"SEGC",dr_Est,"&lt;&gt;Excluido"),p_SegCau*Produccion_Ventas!CX$55)</f>
        <v>753.175084855175</v>
      </c>
      <c r="CY126" s="13" t="n">
        <f aca="false">IF(CY$69=1,SUMIFS(dr_USD,dr_Mes,97,dr_Cod,"SEGC",dr_Est,"&lt;&gt;Excluido"),p_SegCau*Produccion_Ventas!CY$55)</f>
        <v>760.706835703726</v>
      </c>
      <c r="CZ126" s="13" t="n">
        <f aca="false">IF(CZ$69=1,SUMIFS(dr_USD,dr_Mes,98,dr_Cod,"SEGC",dr_Est,"&lt;&gt;Excluido"),p_SegCau*Produccion_Ventas!CZ$55)</f>
        <v>760.706835703726</v>
      </c>
      <c r="DA126" s="13" t="n">
        <f aca="false">IF(DA$69=1,SUMIFS(dr_USD,dr_Mes,99,dr_Cod,"SEGC",dr_Est,"&lt;&gt;Excluido"),p_SegCau*Produccion_Ventas!DA$55)</f>
        <v>760.706835703726</v>
      </c>
      <c r="DB126" s="13" t="n">
        <f aca="false">IF(DB$69=1,SUMIFS(dr_USD,dr_Mes,100,dr_Cod,"SEGC",dr_Est,"&lt;&gt;Excluido"),p_SegCau*Produccion_Ventas!DB$55)</f>
        <v>760.706835703726</v>
      </c>
      <c r="DC126" s="13" t="n">
        <f aca="false">IF(DC$69=1,SUMIFS(dr_USD,dr_Mes,101,dr_Cod,"SEGC",dr_Est,"&lt;&gt;Excluido"),p_SegCau*Produccion_Ventas!DC$55)</f>
        <v>760.706835703726</v>
      </c>
      <c r="DD126" s="13" t="n">
        <f aca="false">IF(DD$69=1,SUMIFS(dr_USD,dr_Mes,102,dr_Cod,"SEGC",dr_Est,"&lt;&gt;Excluido"),p_SegCau*Produccion_Ventas!DD$55)</f>
        <v>760.706835703726</v>
      </c>
      <c r="DE126" s="13" t="n">
        <f aca="false">IF(DE$69=1,SUMIFS(dr_USD,dr_Mes,103,dr_Cod,"SEGC",dr_Est,"&lt;&gt;Excluido"),p_SegCau*Produccion_Ventas!DE$55)</f>
        <v>760.706835703726</v>
      </c>
      <c r="DF126" s="13" t="n">
        <f aca="false">IF(DF$69=1,SUMIFS(dr_USD,dr_Mes,104,dr_Cod,"SEGC",dr_Est,"&lt;&gt;Excluido"),p_SegCau*Produccion_Ventas!DF$55)</f>
        <v>760.706835703726</v>
      </c>
      <c r="DG126" s="13" t="n">
        <f aca="false">IF(DG$69=1,SUMIFS(dr_USD,dr_Mes,105,dr_Cod,"SEGC",dr_Est,"&lt;&gt;Excluido"),p_SegCau*Produccion_Ventas!DG$55)</f>
        <v>760.706835703726</v>
      </c>
      <c r="DH126" s="13" t="n">
        <f aca="false">IF(DH$69=1,SUMIFS(dr_USD,dr_Mes,106,dr_Cod,"SEGC",dr_Est,"&lt;&gt;Excluido"),p_SegCau*Produccion_Ventas!DH$55)</f>
        <v>760.706835703726</v>
      </c>
      <c r="DI126" s="13" t="n">
        <f aca="false">IF(DI$69=1,SUMIFS(dr_USD,dr_Mes,107,dr_Cod,"SEGC",dr_Est,"&lt;&gt;Excluido"),p_SegCau*Produccion_Ventas!DI$55)</f>
        <v>760.706835703726</v>
      </c>
      <c r="DJ126" s="13" t="n">
        <f aca="false">IF(DJ$69=1,SUMIFS(dr_USD,dr_Mes,108,dr_Cod,"SEGC",dr_Est,"&lt;&gt;Excluido"),p_SegCau*Produccion_Ventas!DJ$55)</f>
        <v>760.706835703726</v>
      </c>
      <c r="DK126" s="13" t="n">
        <f aca="false">IF(DK$69=1,SUMIFS(dr_USD,dr_Mes,109,dr_Cod,"SEGC",dr_Est,"&lt;&gt;Excluido"),p_SegCau*Produccion_Ventas!DK$55)</f>
        <v>768.313904060764</v>
      </c>
      <c r="DL126" s="13" t="n">
        <f aca="false">IF(DL$69=1,SUMIFS(dr_USD,dr_Mes,110,dr_Cod,"SEGC",dr_Est,"&lt;&gt;Excluido"),p_SegCau*Produccion_Ventas!DL$55)</f>
        <v>768.313904060764</v>
      </c>
      <c r="DM126" s="13" t="n">
        <f aca="false">IF(DM$69=1,SUMIFS(dr_USD,dr_Mes,111,dr_Cod,"SEGC",dr_Est,"&lt;&gt;Excluido"),p_SegCau*Produccion_Ventas!DM$55)</f>
        <v>768.313904060764</v>
      </c>
      <c r="DN126" s="13" t="n">
        <f aca="false">IF(DN$69=1,SUMIFS(dr_USD,dr_Mes,112,dr_Cod,"SEGC",dr_Est,"&lt;&gt;Excluido"),p_SegCau*Produccion_Ventas!DN$55)</f>
        <v>768.313904060764</v>
      </c>
      <c r="DO126" s="13" t="n">
        <f aca="false">IF(DO$69=1,SUMIFS(dr_USD,dr_Mes,113,dr_Cod,"SEGC",dr_Est,"&lt;&gt;Excluido"),p_SegCau*Produccion_Ventas!DO$55)</f>
        <v>768.313904060764</v>
      </c>
      <c r="DP126" s="13" t="n">
        <f aca="false">IF(DP$69=1,SUMIFS(dr_USD,dr_Mes,114,dr_Cod,"SEGC",dr_Est,"&lt;&gt;Excluido"),p_SegCau*Produccion_Ventas!DP$55)</f>
        <v>768.313904060764</v>
      </c>
      <c r="DQ126" s="13" t="n">
        <f aca="false">IF(DQ$69=1,SUMIFS(dr_USD,dr_Mes,115,dr_Cod,"SEGC",dr_Est,"&lt;&gt;Excluido"),p_SegCau*Produccion_Ventas!DQ$55)</f>
        <v>768.313904060764</v>
      </c>
      <c r="DR126" s="13" t="n">
        <f aca="false">IF(DR$69=1,SUMIFS(dr_USD,dr_Mes,116,dr_Cod,"SEGC",dr_Est,"&lt;&gt;Excluido"),p_SegCau*Produccion_Ventas!DR$55)</f>
        <v>768.313904060764</v>
      </c>
      <c r="DS126" s="13" t="n">
        <f aca="false">IF(DS$69=1,SUMIFS(dr_USD,dr_Mes,117,dr_Cod,"SEGC",dr_Est,"&lt;&gt;Excluido"),p_SegCau*Produccion_Ventas!DS$55)</f>
        <v>768.313904060764</v>
      </c>
      <c r="DT126" s="13" t="n">
        <f aca="false">IF(DT$69=1,SUMIFS(dr_USD,dr_Mes,118,dr_Cod,"SEGC",dr_Est,"&lt;&gt;Excluido"),p_SegCau*Produccion_Ventas!DT$55)</f>
        <v>768.313904060764</v>
      </c>
      <c r="DU126" s="13" t="n">
        <f aca="false">IF(DU$69=1,SUMIFS(dr_USD,dr_Mes,119,dr_Cod,"SEGC",dr_Est,"&lt;&gt;Excluido"),p_SegCau*Produccion_Ventas!DU$55)</f>
        <v>768.313904060764</v>
      </c>
      <c r="DV126" s="13" t="n">
        <f aca="false">IF(DV$69=1,SUMIFS(dr_USD,dr_Mes,120,dr_Cod,"SEGC",dr_Est,"&lt;&gt;Excluido"),p_SegCau*Produccion_Ventas!DV$55)</f>
        <v>768.313904060764</v>
      </c>
      <c r="DW126" s="13" t="n">
        <f aca="false">IF(DW$69=1,SUMIFS(dr_USD,dr_Mes,121,dr_Cod,"SEGC",dr_Est,"&lt;&gt;Excluido"),p_SegCau*Produccion_Ventas!DW$55)</f>
        <v>0</v>
      </c>
      <c r="DX126" s="13" t="n">
        <f aca="false">IF(DX$69=1,SUMIFS(dr_USD,dr_Mes,122,dr_Cod,"SEGC",dr_Est,"&lt;&gt;Excluido"),p_SegCau*Produccion_Ventas!DX$55)</f>
        <v>0</v>
      </c>
      <c r="DY126" s="13" t="n">
        <f aca="false">IF(DY$69=1,SUMIFS(dr_USD,dr_Mes,123,dr_Cod,"SEGC",dr_Est,"&lt;&gt;Excluido"),p_SegCau*Produccion_Ventas!DY$55)</f>
        <v>0</v>
      </c>
      <c r="DZ126" s="13" t="n">
        <f aca="false">IF(DZ$69=1,SUMIFS(dr_USD,dr_Mes,124,dr_Cod,"SEGC",dr_Est,"&lt;&gt;Excluido"),p_SegCau*Produccion_Ventas!DZ$55)</f>
        <v>0</v>
      </c>
      <c r="EA126" s="13" t="n">
        <f aca="false">IF(EA$69=1,SUMIFS(dr_USD,dr_Mes,125,dr_Cod,"SEGC",dr_Est,"&lt;&gt;Excluido"),p_SegCau*Produccion_Ventas!EA$55)</f>
        <v>0</v>
      </c>
      <c r="EB126" s="13" t="n">
        <f aca="false">IF(EB$69=1,SUMIFS(dr_USD,dr_Mes,126,dr_Cod,"SEGC",dr_Est,"&lt;&gt;Excluido"),p_SegCau*Produccion_Ventas!EB$55)</f>
        <v>0</v>
      </c>
      <c r="EC126" s="13" t="n">
        <f aca="false">IF(EC$69=1,SUMIFS(dr_USD,dr_Mes,127,dr_Cod,"SEGC",dr_Est,"&lt;&gt;Excluido"),p_SegCau*Produccion_Ventas!EC$55)</f>
        <v>0</v>
      </c>
      <c r="ED126" s="13" t="n">
        <f aca="false">IF(ED$69=1,SUMIFS(dr_USD,dr_Mes,128,dr_Cod,"SEGC",dr_Est,"&lt;&gt;Excluido"),p_SegCau*Produccion_Ventas!ED$55)</f>
        <v>0</v>
      </c>
      <c r="EE126" s="13" t="n">
        <f aca="false">IF(EE$69=1,SUMIFS(dr_USD,dr_Mes,129,dr_Cod,"SEGC",dr_Est,"&lt;&gt;Excluido"),p_SegCau*Produccion_Ventas!EE$55)</f>
        <v>0</v>
      </c>
      <c r="EF126" s="13" t="n">
        <f aca="false">IF(EF$69=1,SUMIFS(dr_USD,dr_Mes,130,dr_Cod,"SEGC",dr_Est,"&lt;&gt;Excluido"),p_SegCau*Produccion_Ventas!EF$55)</f>
        <v>0</v>
      </c>
      <c r="EG126" s="13" t="n">
        <f aca="false">IF(EG$69=1,SUMIFS(dr_USD,dr_Mes,131,dr_Cod,"SEGC",dr_Est,"&lt;&gt;Excluido"),p_SegCau*Produccion_Ventas!EG$55)</f>
        <v>0</v>
      </c>
      <c r="EH126" s="13" t="n">
        <f aca="false">IF(EH$69=1,SUMIFS(dr_USD,dr_Mes,132,dr_Cod,"SEGC",dr_Est,"&lt;&gt;Excluido"),p_SegCau*Produccion_Ventas!EH$55)</f>
        <v>0</v>
      </c>
      <c r="EI126" s="13" t="n">
        <f aca="false">IF(EI$69=1,SUMIFS(dr_USD,dr_Mes,133,dr_Cod,"SEGC",dr_Est,"&lt;&gt;Excluido"),p_SegCau*Produccion_Ventas!EI$55)</f>
        <v>0</v>
      </c>
      <c r="EJ126" s="13" t="n">
        <f aca="false">IF(EJ$69=1,SUMIFS(dr_USD,dr_Mes,134,dr_Cod,"SEGC",dr_Est,"&lt;&gt;Excluido"),p_SegCau*Produccion_Ventas!EJ$55)</f>
        <v>0</v>
      </c>
      <c r="EK126" s="13" t="n">
        <f aca="false">IF(EK$69=1,SUMIFS(dr_USD,dr_Mes,135,dr_Cod,"SEGC",dr_Est,"&lt;&gt;Excluido"),p_SegCau*Produccion_Ventas!EK$55)</f>
        <v>0</v>
      </c>
      <c r="EL126" s="13" t="n">
        <f aca="false">IF(EL$69=1,SUMIFS(dr_USD,dr_Mes,136,dr_Cod,"SEGC",dr_Est,"&lt;&gt;Excluido"),p_SegCau*Produccion_Ventas!EL$55)</f>
        <v>0</v>
      </c>
      <c r="EM126" s="13" t="n">
        <f aca="false">IF(EM$69=1,SUMIFS(dr_USD,dr_Mes,137,dr_Cod,"SEGC",dr_Est,"&lt;&gt;Excluido"),p_SegCau*Produccion_Ventas!EM$55)</f>
        <v>0</v>
      </c>
      <c r="EN126" s="13" t="n">
        <f aca="false">IF(EN$69=1,SUMIFS(dr_USD,dr_Mes,138,dr_Cod,"SEGC",dr_Est,"&lt;&gt;Excluido"),p_SegCau*Produccion_Ventas!EN$55)</f>
        <v>0</v>
      </c>
      <c r="EO126" s="13" t="n">
        <f aca="false">IF(EO$69=1,SUMIFS(dr_USD,dr_Mes,139,dr_Cod,"SEGC",dr_Est,"&lt;&gt;Excluido"),p_SegCau*Produccion_Ventas!EO$55)</f>
        <v>0</v>
      </c>
      <c r="EP126" s="13" t="n">
        <f aca="false">IF(EP$69=1,SUMIFS(dr_USD,dr_Mes,140,dr_Cod,"SEGC",dr_Est,"&lt;&gt;Excluido"),p_SegCau*Produccion_Ventas!EP$55)</f>
        <v>0</v>
      </c>
      <c r="EQ126" s="13" t="n">
        <f aca="false">IF(EQ$69=1,SUMIFS(dr_USD,dr_Mes,141,dr_Cod,"SEGC",dr_Est,"&lt;&gt;Excluido"),p_SegCau*Produccion_Ventas!EQ$55)</f>
        <v>0</v>
      </c>
      <c r="ER126" s="13" t="n">
        <f aca="false">IF(ER$69=1,SUMIFS(dr_USD,dr_Mes,142,dr_Cod,"SEGC",dr_Est,"&lt;&gt;Excluido"),p_SegCau*Produccion_Ventas!ER$55)</f>
        <v>0</v>
      </c>
      <c r="ES126" s="13" t="n">
        <f aca="false">IF(ES$69=1,SUMIFS(dr_USD,dr_Mes,143,dr_Cod,"SEGC",dr_Est,"&lt;&gt;Excluido"),p_SegCau*Produccion_Ventas!ES$55)</f>
        <v>0</v>
      </c>
      <c r="ET126" s="13" t="n">
        <f aca="false">IF(ET$69=1,SUMIFS(dr_USD,dr_Mes,144,dr_Cod,"SEGC",dr_Est,"&lt;&gt;Excluido"),p_SegCau*Produccion_Ventas!ET$55)</f>
        <v>0</v>
      </c>
      <c r="EU126" s="13" t="n">
        <f aca="false">IF(EU$69=1,SUMIFS(dr_USD,dr_Mes,145,dr_Cod,"SEGC",dr_Est,"&lt;&gt;Excluido"),p_SegCau*Produccion_Ventas!EU$55)</f>
        <v>0</v>
      </c>
      <c r="EV126" s="13" t="n">
        <f aca="false">IF(EV$69=1,SUMIFS(dr_USD,dr_Mes,146,dr_Cod,"SEGC",dr_Est,"&lt;&gt;Excluido"),p_SegCau*Produccion_Ventas!EV$55)</f>
        <v>0</v>
      </c>
      <c r="EW126" s="13" t="n">
        <f aca="false">IF(EW$69=1,SUMIFS(dr_USD,dr_Mes,147,dr_Cod,"SEGC",dr_Est,"&lt;&gt;Excluido"),p_SegCau*Produccion_Ventas!EW$55)</f>
        <v>0</v>
      </c>
      <c r="EX126" s="13" t="n">
        <f aca="false">IF(EX$69=1,SUMIFS(dr_USD,dr_Mes,148,dr_Cod,"SEGC",dr_Est,"&lt;&gt;Excluido"),p_SegCau*Produccion_Ventas!EX$55)</f>
        <v>0</v>
      </c>
      <c r="EY126" s="13" t="n">
        <f aca="false">IF(EY$69=1,SUMIFS(dr_USD,dr_Mes,149,dr_Cod,"SEGC",dr_Est,"&lt;&gt;Excluido"),p_SegCau*Produccion_Ventas!EY$55)</f>
        <v>0</v>
      </c>
      <c r="EZ126" s="13" t="n">
        <f aca="false">IF(EZ$69=1,SUMIFS(dr_USD,dr_Mes,150,dr_Cod,"SEGC",dr_Est,"&lt;&gt;Excluido"),p_SegCau*Produccion_Ventas!EZ$55)</f>
        <v>0</v>
      </c>
      <c r="FA126" s="13" t="n">
        <f aca="false">IF(FA$69=1,SUMIFS(dr_USD,dr_Mes,151,dr_Cod,"SEGC",dr_Est,"&lt;&gt;Excluido"),p_SegCau*Produccion_Ventas!FA$55)</f>
        <v>0</v>
      </c>
      <c r="FB126" s="13" t="n">
        <f aca="false">IF(FB$69=1,SUMIFS(dr_USD,dr_Mes,152,dr_Cod,"SEGC",dr_Est,"&lt;&gt;Excluido"),p_SegCau*Produccion_Ventas!FB$55)</f>
        <v>0</v>
      </c>
      <c r="FC126" s="13" t="n">
        <f aca="false">IF(FC$69=1,SUMIFS(dr_USD,dr_Mes,153,dr_Cod,"SEGC",dr_Est,"&lt;&gt;Excluido"),p_SegCau*Produccion_Ventas!FC$55)</f>
        <v>0</v>
      </c>
      <c r="FD126" s="13" t="n">
        <f aca="false">IF(FD$69=1,SUMIFS(dr_USD,dr_Mes,154,dr_Cod,"SEGC",dr_Est,"&lt;&gt;Excluido"),p_SegCau*Produccion_Ventas!FD$55)</f>
        <v>0</v>
      </c>
      <c r="FE126" s="13" t="n">
        <f aca="false">IF(FE$69=1,SUMIFS(dr_USD,dr_Mes,155,dr_Cod,"SEGC",dr_Est,"&lt;&gt;Excluido"),p_SegCau*Produccion_Ventas!FE$55)</f>
        <v>0</v>
      </c>
      <c r="FF126" s="13" t="n">
        <f aca="false">IF(FF$69=1,SUMIFS(dr_USD,dr_Mes,156,dr_Cod,"SEGC",dr_Est,"&lt;&gt;Excluido"),p_SegCau*Produccion_Ventas!FF$55)</f>
        <v>0</v>
      </c>
    </row>
    <row r="127" customFormat="false" ht="15" hidden="false" customHeight="false" outlineLevel="0" collapsed="false">
      <c r="A127" s="2" t="s">
        <v>1099</v>
      </c>
      <c r="B127" s="8" t="s">
        <v>1100</v>
      </c>
      <c r="C127" s="8" t="s">
        <v>255</v>
      </c>
      <c r="E127" s="65" t="n">
        <f aca="false">SUM($F127:$FF127)</f>
        <v>0</v>
      </c>
      <c r="F127" s="13" t="n">
        <f aca="false">IF(F$69=1,SUMIFS(dr_USD,dr_Mes,0,dr_Cod,"GVTA",dr_Est,"&lt;&gt;Excluido"),e_GV*Produccion_Ventas!F$55)</f>
        <v>0</v>
      </c>
      <c r="G127" s="13" t="n">
        <f aca="false">IF(G$69=1,SUMIFS(dr_USD,dr_Mes,1,dr_Cod,"GVTA",dr_Est,"&lt;&gt;Excluido"),e_GV*Produccion_Ventas!G$55)</f>
        <v>0</v>
      </c>
      <c r="H127" s="13" t="n">
        <f aca="false">IF(H$69=1,SUMIFS(dr_USD,dr_Mes,2,dr_Cod,"GVTA",dr_Est,"&lt;&gt;Excluido"),e_GV*Produccion_Ventas!H$55)</f>
        <v>0</v>
      </c>
      <c r="I127" s="13" t="n">
        <f aca="false">IF(I$69=1,SUMIFS(dr_USD,dr_Mes,3,dr_Cod,"GVTA",dr_Est,"&lt;&gt;Excluido"),e_GV*Produccion_Ventas!I$55)</f>
        <v>0</v>
      </c>
      <c r="J127" s="13" t="n">
        <f aca="false">IF(J$69=1,SUMIFS(dr_USD,dr_Mes,4,dr_Cod,"GVTA",dr_Est,"&lt;&gt;Excluido"),e_GV*Produccion_Ventas!J$55)</f>
        <v>0</v>
      </c>
      <c r="K127" s="13" t="n">
        <f aca="false">IF(K$69=1,SUMIFS(dr_USD,dr_Mes,5,dr_Cod,"GVTA",dr_Est,"&lt;&gt;Excluido"),e_GV*Produccion_Ventas!K$55)</f>
        <v>0</v>
      </c>
      <c r="L127" s="13" t="n">
        <f aca="false">IF(L$69=1,SUMIFS(dr_USD,dr_Mes,6,dr_Cod,"GVTA",dr_Est,"&lt;&gt;Excluido"),e_GV*Produccion_Ventas!L$55)</f>
        <v>0</v>
      </c>
      <c r="M127" s="13" t="n">
        <f aca="false">IF(M$69=1,SUMIFS(dr_USD,dr_Mes,7,dr_Cod,"GVTA",dr_Est,"&lt;&gt;Excluido"),e_GV*Produccion_Ventas!M$55)</f>
        <v>0</v>
      </c>
      <c r="N127" s="13" t="n">
        <f aca="false">IF(N$69=1,SUMIFS(dr_USD,dr_Mes,8,dr_Cod,"GVTA",dr_Est,"&lt;&gt;Excluido"),e_GV*Produccion_Ventas!N$55)</f>
        <v>0</v>
      </c>
      <c r="O127" s="13" t="n">
        <f aca="false">IF(O$69=1,SUMIFS(dr_USD,dr_Mes,9,dr_Cod,"GVTA",dr_Est,"&lt;&gt;Excluido"),e_GV*Produccion_Ventas!O$55)</f>
        <v>0</v>
      </c>
      <c r="P127" s="13" t="n">
        <f aca="false">IF(P$69=1,SUMIFS(dr_USD,dr_Mes,10,dr_Cod,"GVTA",dr_Est,"&lt;&gt;Excluido"),e_GV*Produccion_Ventas!P$55)</f>
        <v>0</v>
      </c>
      <c r="Q127" s="13" t="n">
        <f aca="false">IF(Q$69=1,SUMIFS(dr_USD,dr_Mes,11,dr_Cod,"GVTA",dr_Est,"&lt;&gt;Excluido"),e_GV*Produccion_Ventas!Q$55)</f>
        <v>0</v>
      </c>
      <c r="R127" s="13" t="n">
        <f aca="false">IF(R$69=1,SUMIFS(dr_USD,dr_Mes,12,dr_Cod,"GVTA",dr_Est,"&lt;&gt;Excluido"),e_GV*Produccion_Ventas!R$55)</f>
        <v>0</v>
      </c>
      <c r="S127" s="13" t="n">
        <f aca="false">IF(S$69=1,SUMIFS(dr_USD,dr_Mes,13,dr_Cod,"GVTA",dr_Est,"&lt;&gt;Excluido"),e_GV*Produccion_Ventas!S$55)</f>
        <v>0</v>
      </c>
      <c r="T127" s="13" t="n">
        <f aca="false">IF(T$69=1,SUMIFS(dr_USD,dr_Mes,14,dr_Cod,"GVTA",dr_Est,"&lt;&gt;Excluido"),e_GV*Produccion_Ventas!T$55)</f>
        <v>0</v>
      </c>
      <c r="U127" s="13" t="n">
        <f aca="false">IF(U$69=1,SUMIFS(dr_USD,dr_Mes,15,dr_Cod,"GVTA",dr_Est,"&lt;&gt;Excluido"),e_GV*Produccion_Ventas!U$55)</f>
        <v>0</v>
      </c>
      <c r="V127" s="13" t="n">
        <f aca="false">IF(V$69=1,SUMIFS(dr_USD,dr_Mes,16,dr_Cod,"GVTA",dr_Est,"&lt;&gt;Excluido"),e_GV*Produccion_Ventas!V$55)</f>
        <v>0</v>
      </c>
      <c r="W127" s="13" t="n">
        <f aca="false">IF(W$69=1,SUMIFS(dr_USD,dr_Mes,17,dr_Cod,"GVTA",dr_Est,"&lt;&gt;Excluido"),e_GV*Produccion_Ventas!W$55)</f>
        <v>0</v>
      </c>
      <c r="X127" s="13" t="n">
        <f aca="false">IF(X$69=1,SUMIFS(dr_USD,dr_Mes,18,dr_Cod,"GVTA",dr_Est,"&lt;&gt;Excluido"),e_GV*Produccion_Ventas!X$55)</f>
        <v>0</v>
      </c>
      <c r="Y127" s="13" t="n">
        <f aca="false">IF(Y$69=1,SUMIFS(dr_USD,dr_Mes,19,dr_Cod,"GVTA",dr_Est,"&lt;&gt;Excluido"),e_GV*Produccion_Ventas!Y$55)</f>
        <v>0</v>
      </c>
      <c r="Z127" s="13" t="n">
        <f aca="false">IF(Z$69=1,SUMIFS(dr_USD,dr_Mes,20,dr_Cod,"GVTA",dr_Est,"&lt;&gt;Excluido"),e_GV*Produccion_Ventas!Z$55)</f>
        <v>0</v>
      </c>
      <c r="AA127" s="13" t="n">
        <f aca="false">IF(AA$69=1,SUMIFS(dr_USD,dr_Mes,21,dr_Cod,"GVTA",dr_Est,"&lt;&gt;Excluido"),e_GV*Produccion_Ventas!AA$55)</f>
        <v>0</v>
      </c>
      <c r="AB127" s="13" t="n">
        <f aca="false">IF(AB$69=1,SUMIFS(dr_USD,dr_Mes,22,dr_Cod,"GVTA",dr_Est,"&lt;&gt;Excluido"),e_GV*Produccion_Ventas!AB$55)</f>
        <v>0</v>
      </c>
      <c r="AC127" s="13" t="n">
        <f aca="false">IF(AC$69=1,SUMIFS(dr_USD,dr_Mes,23,dr_Cod,"GVTA",dr_Est,"&lt;&gt;Excluido"),e_GV*Produccion_Ventas!AC$55)</f>
        <v>0</v>
      </c>
      <c r="AD127" s="13" t="n">
        <f aca="false">IF(AD$69=1,SUMIFS(dr_USD,dr_Mes,24,dr_Cod,"GVTA",dr_Est,"&lt;&gt;Excluido"),e_GV*Produccion_Ventas!AD$55)</f>
        <v>0</v>
      </c>
      <c r="AE127" s="13" t="n">
        <f aca="false">IF(AE$69=1,SUMIFS(dr_USD,dr_Mes,25,dr_Cod,"GVTA",dr_Est,"&lt;&gt;Excluido"),e_GV*Produccion_Ventas!AE$55)</f>
        <v>0</v>
      </c>
      <c r="AF127" s="13" t="n">
        <f aca="false">IF(AF$69=1,SUMIFS(dr_USD,dr_Mes,26,dr_Cod,"GVTA",dr_Est,"&lt;&gt;Excluido"),e_GV*Produccion_Ventas!AF$55)</f>
        <v>0</v>
      </c>
      <c r="AG127" s="13" t="n">
        <f aca="false">IF(AG$69=1,SUMIFS(dr_USD,dr_Mes,27,dr_Cod,"GVTA",dr_Est,"&lt;&gt;Excluido"),e_GV*Produccion_Ventas!AG$55)</f>
        <v>0</v>
      </c>
      <c r="AH127" s="13" t="n">
        <f aca="false">IF(AH$69=1,SUMIFS(dr_USD,dr_Mes,28,dr_Cod,"GVTA",dr_Est,"&lt;&gt;Excluido"),e_GV*Produccion_Ventas!AH$55)</f>
        <v>0</v>
      </c>
      <c r="AI127" s="13" t="n">
        <f aca="false">IF(AI$69=1,SUMIFS(dr_USD,dr_Mes,29,dr_Cod,"GVTA",dr_Est,"&lt;&gt;Excluido"),e_GV*Produccion_Ventas!AI$55)</f>
        <v>0</v>
      </c>
      <c r="AJ127" s="13" t="n">
        <f aca="false">IF(AJ$69=1,SUMIFS(dr_USD,dr_Mes,30,dr_Cod,"GVTA",dr_Est,"&lt;&gt;Excluido"),e_GV*Produccion_Ventas!AJ$55)</f>
        <v>0</v>
      </c>
      <c r="AK127" s="13" t="n">
        <f aca="false">IF(AK$69=1,SUMIFS(dr_USD,dr_Mes,31,dr_Cod,"GVTA",dr_Est,"&lt;&gt;Excluido"),e_GV*Produccion_Ventas!AK$55)</f>
        <v>0</v>
      </c>
      <c r="AL127" s="13" t="n">
        <f aca="false">IF(AL$69=1,SUMIFS(dr_USD,dr_Mes,32,dr_Cod,"GVTA",dr_Est,"&lt;&gt;Excluido"),e_GV*Produccion_Ventas!AL$55)</f>
        <v>0</v>
      </c>
      <c r="AM127" s="13" t="n">
        <f aca="false">IF(AM$69=1,SUMIFS(dr_USD,dr_Mes,33,dr_Cod,"GVTA",dr_Est,"&lt;&gt;Excluido"),e_GV*Produccion_Ventas!AM$55)</f>
        <v>0</v>
      </c>
      <c r="AN127" s="13" t="n">
        <f aca="false">IF(AN$69=1,SUMIFS(dr_USD,dr_Mes,34,dr_Cod,"GVTA",dr_Est,"&lt;&gt;Excluido"),e_GV*Produccion_Ventas!AN$55)</f>
        <v>0</v>
      </c>
      <c r="AO127" s="13" t="n">
        <f aca="false">IF(AO$69=1,SUMIFS(dr_USD,dr_Mes,35,dr_Cod,"GVTA",dr_Est,"&lt;&gt;Excluido"),e_GV*Produccion_Ventas!AO$55)</f>
        <v>0</v>
      </c>
      <c r="AP127" s="13" t="n">
        <f aca="false">IF(AP$69=1,SUMIFS(dr_USD,dr_Mes,36,dr_Cod,"GVTA",dr_Est,"&lt;&gt;Excluido"),e_GV*Produccion_Ventas!AP$55)</f>
        <v>0</v>
      </c>
      <c r="AQ127" s="13" t="n">
        <f aca="false">IF(AQ$69=1,SUMIFS(dr_USD,dr_Mes,37,dr_Cod,"GVTA",dr_Est,"&lt;&gt;Excluido"),e_GV*Produccion_Ventas!AQ$55)</f>
        <v>0</v>
      </c>
      <c r="AR127" s="13" t="n">
        <f aca="false">IF(AR$69=1,SUMIFS(dr_USD,dr_Mes,38,dr_Cod,"GVTA",dr_Est,"&lt;&gt;Excluido"),e_GV*Produccion_Ventas!AR$55)</f>
        <v>0</v>
      </c>
      <c r="AS127" s="13" t="n">
        <f aca="false">IF(AS$69=1,SUMIFS(dr_USD,dr_Mes,39,dr_Cod,"GVTA",dr_Est,"&lt;&gt;Excluido"),e_GV*Produccion_Ventas!AS$55)</f>
        <v>0</v>
      </c>
      <c r="AT127" s="13" t="n">
        <f aca="false">IF(AT$69=1,SUMIFS(dr_USD,dr_Mes,40,dr_Cod,"GVTA",dr_Est,"&lt;&gt;Excluido"),e_GV*Produccion_Ventas!AT$55)</f>
        <v>0</v>
      </c>
      <c r="AU127" s="13" t="n">
        <f aca="false">IF(AU$69=1,SUMIFS(dr_USD,dr_Mes,41,dr_Cod,"GVTA",dr_Est,"&lt;&gt;Excluido"),e_GV*Produccion_Ventas!AU$55)</f>
        <v>0</v>
      </c>
      <c r="AV127" s="13" t="n">
        <f aca="false">IF(AV$69=1,SUMIFS(dr_USD,dr_Mes,42,dr_Cod,"GVTA",dr_Est,"&lt;&gt;Excluido"),e_GV*Produccion_Ventas!AV$55)</f>
        <v>0</v>
      </c>
      <c r="AW127" s="13" t="n">
        <f aca="false">IF(AW$69=1,SUMIFS(dr_USD,dr_Mes,43,dr_Cod,"GVTA",dr_Est,"&lt;&gt;Excluido"),e_GV*Produccion_Ventas!AW$55)</f>
        <v>0</v>
      </c>
      <c r="AX127" s="13" t="n">
        <f aca="false">IF(AX$69=1,SUMIFS(dr_USD,dr_Mes,44,dr_Cod,"GVTA",dr_Est,"&lt;&gt;Excluido"),e_GV*Produccion_Ventas!AX$55)</f>
        <v>0</v>
      </c>
      <c r="AY127" s="13" t="n">
        <f aca="false">IF(AY$69=1,SUMIFS(dr_USD,dr_Mes,45,dr_Cod,"GVTA",dr_Est,"&lt;&gt;Excluido"),e_GV*Produccion_Ventas!AY$55)</f>
        <v>0</v>
      </c>
      <c r="AZ127" s="13" t="n">
        <f aca="false">IF(AZ$69=1,SUMIFS(dr_USD,dr_Mes,46,dr_Cod,"GVTA",dr_Est,"&lt;&gt;Excluido"),e_GV*Produccion_Ventas!AZ$55)</f>
        <v>0</v>
      </c>
      <c r="BA127" s="13" t="n">
        <f aca="false">IF(BA$69=1,SUMIFS(dr_USD,dr_Mes,47,dr_Cod,"GVTA",dr_Est,"&lt;&gt;Excluido"),e_GV*Produccion_Ventas!BA$55)</f>
        <v>0</v>
      </c>
      <c r="BB127" s="13" t="n">
        <f aca="false">IF(BB$69=1,SUMIFS(dr_USD,dr_Mes,48,dr_Cod,"GVTA",dr_Est,"&lt;&gt;Excluido"),e_GV*Produccion_Ventas!BB$55)</f>
        <v>0</v>
      </c>
      <c r="BC127" s="13" t="n">
        <f aca="false">IF(BC$69=1,SUMIFS(dr_USD,dr_Mes,49,dr_Cod,"GVTA",dr_Est,"&lt;&gt;Excluido"),e_GV*Produccion_Ventas!BC$55)</f>
        <v>0</v>
      </c>
      <c r="BD127" s="13" t="n">
        <f aca="false">IF(BD$69=1,SUMIFS(dr_USD,dr_Mes,50,dr_Cod,"GVTA",dr_Est,"&lt;&gt;Excluido"),e_GV*Produccion_Ventas!BD$55)</f>
        <v>0</v>
      </c>
      <c r="BE127" s="13" t="n">
        <f aca="false">IF(BE$69=1,SUMIFS(dr_USD,dr_Mes,51,dr_Cod,"GVTA",dr_Est,"&lt;&gt;Excluido"),e_GV*Produccion_Ventas!BE$55)</f>
        <v>0</v>
      </c>
      <c r="BF127" s="13" t="n">
        <f aca="false">IF(BF$69=1,SUMIFS(dr_USD,dr_Mes,52,dr_Cod,"GVTA",dr_Est,"&lt;&gt;Excluido"),e_GV*Produccion_Ventas!BF$55)</f>
        <v>0</v>
      </c>
      <c r="BG127" s="13" t="n">
        <f aca="false">IF(BG$69=1,SUMIFS(dr_USD,dr_Mes,53,dr_Cod,"GVTA",dr_Est,"&lt;&gt;Excluido"),e_GV*Produccion_Ventas!BG$55)</f>
        <v>0</v>
      </c>
      <c r="BH127" s="13" t="n">
        <f aca="false">IF(BH$69=1,SUMIFS(dr_USD,dr_Mes,54,dr_Cod,"GVTA",dr_Est,"&lt;&gt;Excluido"),e_GV*Produccion_Ventas!BH$55)</f>
        <v>0</v>
      </c>
      <c r="BI127" s="13" t="n">
        <f aca="false">IF(BI$69=1,SUMIFS(dr_USD,dr_Mes,55,dr_Cod,"GVTA",dr_Est,"&lt;&gt;Excluido"),e_GV*Produccion_Ventas!BI$55)</f>
        <v>0</v>
      </c>
      <c r="BJ127" s="13" t="n">
        <f aca="false">IF(BJ$69=1,SUMIFS(dr_USD,dr_Mes,56,dr_Cod,"GVTA",dr_Est,"&lt;&gt;Excluido"),e_GV*Produccion_Ventas!BJ$55)</f>
        <v>0</v>
      </c>
      <c r="BK127" s="13" t="n">
        <f aca="false">IF(BK$69=1,SUMIFS(dr_USD,dr_Mes,57,dr_Cod,"GVTA",dr_Est,"&lt;&gt;Excluido"),e_GV*Produccion_Ventas!BK$55)</f>
        <v>0</v>
      </c>
      <c r="BL127" s="13" t="n">
        <f aca="false">IF(BL$69=1,SUMIFS(dr_USD,dr_Mes,58,dr_Cod,"GVTA",dr_Est,"&lt;&gt;Excluido"),e_GV*Produccion_Ventas!BL$55)</f>
        <v>0</v>
      </c>
      <c r="BM127" s="13" t="n">
        <f aca="false">IF(BM$69=1,SUMIFS(dr_USD,dr_Mes,59,dr_Cod,"GVTA",dr_Est,"&lt;&gt;Excluido"),e_GV*Produccion_Ventas!BM$55)</f>
        <v>0</v>
      </c>
      <c r="BN127" s="13" t="n">
        <f aca="false">IF(BN$69=1,SUMIFS(dr_USD,dr_Mes,60,dr_Cod,"GVTA",dr_Est,"&lt;&gt;Excluido"),e_GV*Produccion_Ventas!BN$55)</f>
        <v>0</v>
      </c>
      <c r="BO127" s="13" t="n">
        <f aca="false">IF(BO$69=1,SUMIFS(dr_USD,dr_Mes,61,dr_Cod,"GVTA",dr_Est,"&lt;&gt;Excluido"),e_GV*Produccion_Ventas!BO$55)</f>
        <v>0</v>
      </c>
      <c r="BP127" s="13" t="n">
        <f aca="false">IF(BP$69=1,SUMIFS(dr_USD,dr_Mes,62,dr_Cod,"GVTA",dr_Est,"&lt;&gt;Excluido"),e_GV*Produccion_Ventas!BP$55)</f>
        <v>0</v>
      </c>
      <c r="BQ127" s="13" t="n">
        <f aca="false">IF(BQ$69=1,SUMIFS(dr_USD,dr_Mes,63,dr_Cod,"GVTA",dr_Est,"&lt;&gt;Excluido"),e_GV*Produccion_Ventas!BQ$55)</f>
        <v>0</v>
      </c>
      <c r="BR127" s="13" t="n">
        <f aca="false">IF(BR$69=1,SUMIFS(dr_USD,dr_Mes,64,dr_Cod,"GVTA",dr_Est,"&lt;&gt;Excluido"),e_GV*Produccion_Ventas!BR$55)</f>
        <v>0</v>
      </c>
      <c r="BS127" s="13" t="n">
        <f aca="false">IF(BS$69=1,SUMIFS(dr_USD,dr_Mes,65,dr_Cod,"GVTA",dr_Est,"&lt;&gt;Excluido"),e_GV*Produccion_Ventas!BS$55)</f>
        <v>0</v>
      </c>
      <c r="BT127" s="13" t="n">
        <f aca="false">IF(BT$69=1,SUMIFS(dr_USD,dr_Mes,66,dr_Cod,"GVTA",dr_Est,"&lt;&gt;Excluido"),e_GV*Produccion_Ventas!BT$55)</f>
        <v>0</v>
      </c>
      <c r="BU127" s="13" t="n">
        <f aca="false">IF(BU$69=1,SUMIFS(dr_USD,dr_Mes,67,dr_Cod,"GVTA",dr_Est,"&lt;&gt;Excluido"),e_GV*Produccion_Ventas!BU$55)</f>
        <v>0</v>
      </c>
      <c r="BV127" s="13" t="n">
        <f aca="false">IF(BV$69=1,SUMIFS(dr_USD,dr_Mes,68,dr_Cod,"GVTA",dr_Est,"&lt;&gt;Excluido"),e_GV*Produccion_Ventas!BV$55)</f>
        <v>0</v>
      </c>
      <c r="BW127" s="13" t="n">
        <f aca="false">IF(BW$69=1,SUMIFS(dr_USD,dr_Mes,69,dr_Cod,"GVTA",dr_Est,"&lt;&gt;Excluido"),e_GV*Produccion_Ventas!BW$55)</f>
        <v>0</v>
      </c>
      <c r="BX127" s="13" t="n">
        <f aca="false">IF(BX$69=1,SUMIFS(dr_USD,dr_Mes,70,dr_Cod,"GVTA",dr_Est,"&lt;&gt;Excluido"),e_GV*Produccion_Ventas!BX$55)</f>
        <v>0</v>
      </c>
      <c r="BY127" s="13" t="n">
        <f aca="false">IF(BY$69=1,SUMIFS(dr_USD,dr_Mes,71,dr_Cod,"GVTA",dr_Est,"&lt;&gt;Excluido"),e_GV*Produccion_Ventas!BY$55)</f>
        <v>0</v>
      </c>
      <c r="BZ127" s="13" t="n">
        <f aca="false">IF(BZ$69=1,SUMIFS(dr_USD,dr_Mes,72,dr_Cod,"GVTA",dr_Est,"&lt;&gt;Excluido"),e_GV*Produccion_Ventas!BZ$55)</f>
        <v>0</v>
      </c>
      <c r="CA127" s="13" t="n">
        <f aca="false">IF(CA$69=1,SUMIFS(dr_USD,dr_Mes,73,dr_Cod,"GVTA",dr_Est,"&lt;&gt;Excluido"),e_GV*Produccion_Ventas!CA$55)</f>
        <v>0</v>
      </c>
      <c r="CB127" s="13" t="n">
        <f aca="false">IF(CB$69=1,SUMIFS(dr_USD,dr_Mes,74,dr_Cod,"GVTA",dr_Est,"&lt;&gt;Excluido"),e_GV*Produccion_Ventas!CB$55)</f>
        <v>0</v>
      </c>
      <c r="CC127" s="13" t="n">
        <f aca="false">IF(CC$69=1,SUMIFS(dr_USD,dr_Mes,75,dr_Cod,"GVTA",dr_Est,"&lt;&gt;Excluido"),e_GV*Produccion_Ventas!CC$55)</f>
        <v>0</v>
      </c>
      <c r="CD127" s="13" t="n">
        <f aca="false">IF(CD$69=1,SUMIFS(dr_USD,dr_Mes,76,dr_Cod,"GVTA",dr_Est,"&lt;&gt;Excluido"),e_GV*Produccion_Ventas!CD$55)</f>
        <v>0</v>
      </c>
      <c r="CE127" s="13" t="n">
        <f aca="false">IF(CE$69=1,SUMIFS(dr_USD,dr_Mes,77,dr_Cod,"GVTA",dr_Est,"&lt;&gt;Excluido"),e_GV*Produccion_Ventas!CE$55)</f>
        <v>0</v>
      </c>
      <c r="CF127" s="13" t="n">
        <f aca="false">IF(CF$69=1,SUMIFS(dr_USD,dr_Mes,78,dr_Cod,"GVTA",dr_Est,"&lt;&gt;Excluido"),e_GV*Produccion_Ventas!CF$55)</f>
        <v>0</v>
      </c>
      <c r="CG127" s="13" t="n">
        <f aca="false">IF(CG$69=1,SUMIFS(dr_USD,dr_Mes,79,dr_Cod,"GVTA",dr_Est,"&lt;&gt;Excluido"),e_GV*Produccion_Ventas!CG$55)</f>
        <v>0</v>
      </c>
      <c r="CH127" s="13" t="n">
        <f aca="false">IF(CH$69=1,SUMIFS(dr_USD,dr_Mes,80,dr_Cod,"GVTA",dr_Est,"&lt;&gt;Excluido"),e_GV*Produccion_Ventas!CH$55)</f>
        <v>0</v>
      </c>
      <c r="CI127" s="13" t="n">
        <f aca="false">IF(CI$69=1,SUMIFS(dr_USD,dr_Mes,81,dr_Cod,"GVTA",dr_Est,"&lt;&gt;Excluido"),e_GV*Produccion_Ventas!CI$55)</f>
        <v>0</v>
      </c>
      <c r="CJ127" s="13" t="n">
        <f aca="false">IF(CJ$69=1,SUMIFS(dr_USD,dr_Mes,82,dr_Cod,"GVTA",dr_Est,"&lt;&gt;Excluido"),e_GV*Produccion_Ventas!CJ$55)</f>
        <v>0</v>
      </c>
      <c r="CK127" s="13" t="n">
        <f aca="false">IF(CK$69=1,SUMIFS(dr_USD,dr_Mes,83,dr_Cod,"GVTA",dr_Est,"&lt;&gt;Excluido"),e_GV*Produccion_Ventas!CK$55)</f>
        <v>0</v>
      </c>
      <c r="CL127" s="13" t="n">
        <f aca="false">IF(CL$69=1,SUMIFS(dr_USD,dr_Mes,84,dr_Cod,"GVTA",dr_Est,"&lt;&gt;Excluido"),e_GV*Produccion_Ventas!CL$55)</f>
        <v>0</v>
      </c>
      <c r="CM127" s="13" t="n">
        <f aca="false">IF(CM$69=1,SUMIFS(dr_USD,dr_Mes,85,dr_Cod,"GVTA",dr_Est,"&lt;&gt;Excluido"),e_GV*Produccion_Ventas!CM$55)</f>
        <v>0</v>
      </c>
      <c r="CN127" s="13" t="n">
        <f aca="false">IF(CN$69=1,SUMIFS(dr_USD,dr_Mes,86,dr_Cod,"GVTA",dr_Est,"&lt;&gt;Excluido"),e_GV*Produccion_Ventas!CN$55)</f>
        <v>0</v>
      </c>
      <c r="CO127" s="13" t="n">
        <f aca="false">IF(CO$69=1,SUMIFS(dr_USD,dr_Mes,87,dr_Cod,"GVTA",dr_Est,"&lt;&gt;Excluido"),e_GV*Produccion_Ventas!CO$55)</f>
        <v>0</v>
      </c>
      <c r="CP127" s="13" t="n">
        <f aca="false">IF(CP$69=1,SUMIFS(dr_USD,dr_Mes,88,dr_Cod,"GVTA",dr_Est,"&lt;&gt;Excluido"),e_GV*Produccion_Ventas!CP$55)</f>
        <v>0</v>
      </c>
      <c r="CQ127" s="13" t="n">
        <f aca="false">IF(CQ$69=1,SUMIFS(dr_USD,dr_Mes,89,dr_Cod,"GVTA",dr_Est,"&lt;&gt;Excluido"),e_GV*Produccion_Ventas!CQ$55)</f>
        <v>0</v>
      </c>
      <c r="CR127" s="13" t="n">
        <f aca="false">IF(CR$69=1,SUMIFS(dr_USD,dr_Mes,90,dr_Cod,"GVTA",dr_Est,"&lt;&gt;Excluido"),e_GV*Produccion_Ventas!CR$55)</f>
        <v>0</v>
      </c>
      <c r="CS127" s="13" t="n">
        <f aca="false">IF(CS$69=1,SUMIFS(dr_USD,dr_Mes,91,dr_Cod,"GVTA",dr_Est,"&lt;&gt;Excluido"),e_GV*Produccion_Ventas!CS$55)</f>
        <v>0</v>
      </c>
      <c r="CT127" s="13" t="n">
        <f aca="false">IF(CT$69=1,SUMIFS(dr_USD,dr_Mes,92,dr_Cod,"GVTA",dr_Est,"&lt;&gt;Excluido"),e_GV*Produccion_Ventas!CT$55)</f>
        <v>0</v>
      </c>
      <c r="CU127" s="13" t="n">
        <f aca="false">IF(CU$69=1,SUMIFS(dr_USD,dr_Mes,93,dr_Cod,"GVTA",dr_Est,"&lt;&gt;Excluido"),e_GV*Produccion_Ventas!CU$55)</f>
        <v>0</v>
      </c>
      <c r="CV127" s="13" t="n">
        <f aca="false">IF(CV$69=1,SUMIFS(dr_USD,dr_Mes,94,dr_Cod,"GVTA",dr_Est,"&lt;&gt;Excluido"),e_GV*Produccion_Ventas!CV$55)</f>
        <v>0</v>
      </c>
      <c r="CW127" s="13" t="n">
        <f aca="false">IF(CW$69=1,SUMIFS(dr_USD,dr_Mes,95,dr_Cod,"GVTA",dr_Est,"&lt;&gt;Excluido"),e_GV*Produccion_Ventas!CW$55)</f>
        <v>0</v>
      </c>
      <c r="CX127" s="13" t="n">
        <f aca="false">IF(CX$69=1,SUMIFS(dr_USD,dr_Mes,96,dr_Cod,"GVTA",dr_Est,"&lt;&gt;Excluido"),e_GV*Produccion_Ventas!CX$55)</f>
        <v>0</v>
      </c>
      <c r="CY127" s="13" t="n">
        <f aca="false">IF(CY$69=1,SUMIFS(dr_USD,dr_Mes,97,dr_Cod,"GVTA",dr_Est,"&lt;&gt;Excluido"),e_GV*Produccion_Ventas!CY$55)</f>
        <v>0</v>
      </c>
      <c r="CZ127" s="13" t="n">
        <f aca="false">IF(CZ$69=1,SUMIFS(dr_USD,dr_Mes,98,dr_Cod,"GVTA",dr_Est,"&lt;&gt;Excluido"),e_GV*Produccion_Ventas!CZ$55)</f>
        <v>0</v>
      </c>
      <c r="DA127" s="13" t="n">
        <f aca="false">IF(DA$69=1,SUMIFS(dr_USD,dr_Mes,99,dr_Cod,"GVTA",dr_Est,"&lt;&gt;Excluido"),e_GV*Produccion_Ventas!DA$55)</f>
        <v>0</v>
      </c>
      <c r="DB127" s="13" t="n">
        <f aca="false">IF(DB$69=1,SUMIFS(dr_USD,dr_Mes,100,dr_Cod,"GVTA",dr_Est,"&lt;&gt;Excluido"),e_GV*Produccion_Ventas!DB$55)</f>
        <v>0</v>
      </c>
      <c r="DC127" s="13" t="n">
        <f aca="false">IF(DC$69=1,SUMIFS(dr_USD,dr_Mes,101,dr_Cod,"GVTA",dr_Est,"&lt;&gt;Excluido"),e_GV*Produccion_Ventas!DC$55)</f>
        <v>0</v>
      </c>
      <c r="DD127" s="13" t="n">
        <f aca="false">IF(DD$69=1,SUMIFS(dr_USD,dr_Mes,102,dr_Cod,"GVTA",dr_Est,"&lt;&gt;Excluido"),e_GV*Produccion_Ventas!DD$55)</f>
        <v>0</v>
      </c>
      <c r="DE127" s="13" t="n">
        <f aca="false">IF(DE$69=1,SUMIFS(dr_USD,dr_Mes,103,dr_Cod,"GVTA",dr_Est,"&lt;&gt;Excluido"),e_GV*Produccion_Ventas!DE$55)</f>
        <v>0</v>
      </c>
      <c r="DF127" s="13" t="n">
        <f aca="false">IF(DF$69=1,SUMIFS(dr_USD,dr_Mes,104,dr_Cod,"GVTA",dr_Est,"&lt;&gt;Excluido"),e_GV*Produccion_Ventas!DF$55)</f>
        <v>0</v>
      </c>
      <c r="DG127" s="13" t="n">
        <f aca="false">IF(DG$69=1,SUMIFS(dr_USD,dr_Mes,105,dr_Cod,"GVTA",dr_Est,"&lt;&gt;Excluido"),e_GV*Produccion_Ventas!DG$55)</f>
        <v>0</v>
      </c>
      <c r="DH127" s="13" t="n">
        <f aca="false">IF(DH$69=1,SUMIFS(dr_USD,dr_Mes,106,dr_Cod,"GVTA",dr_Est,"&lt;&gt;Excluido"),e_GV*Produccion_Ventas!DH$55)</f>
        <v>0</v>
      </c>
      <c r="DI127" s="13" t="n">
        <f aca="false">IF(DI$69=1,SUMIFS(dr_USD,dr_Mes,107,dr_Cod,"GVTA",dr_Est,"&lt;&gt;Excluido"),e_GV*Produccion_Ventas!DI$55)</f>
        <v>0</v>
      </c>
      <c r="DJ127" s="13" t="n">
        <f aca="false">IF(DJ$69=1,SUMIFS(dr_USD,dr_Mes,108,dr_Cod,"GVTA",dr_Est,"&lt;&gt;Excluido"),e_GV*Produccion_Ventas!DJ$55)</f>
        <v>0</v>
      </c>
      <c r="DK127" s="13" t="n">
        <f aca="false">IF(DK$69=1,SUMIFS(dr_USD,dr_Mes,109,dr_Cod,"GVTA",dr_Est,"&lt;&gt;Excluido"),e_GV*Produccion_Ventas!DK$55)</f>
        <v>0</v>
      </c>
      <c r="DL127" s="13" t="n">
        <f aca="false">IF(DL$69=1,SUMIFS(dr_USD,dr_Mes,110,dr_Cod,"GVTA",dr_Est,"&lt;&gt;Excluido"),e_GV*Produccion_Ventas!DL$55)</f>
        <v>0</v>
      </c>
      <c r="DM127" s="13" t="n">
        <f aca="false">IF(DM$69=1,SUMIFS(dr_USD,dr_Mes,111,dr_Cod,"GVTA",dr_Est,"&lt;&gt;Excluido"),e_GV*Produccion_Ventas!DM$55)</f>
        <v>0</v>
      </c>
      <c r="DN127" s="13" t="n">
        <f aca="false">IF(DN$69=1,SUMIFS(dr_USD,dr_Mes,112,dr_Cod,"GVTA",dr_Est,"&lt;&gt;Excluido"),e_GV*Produccion_Ventas!DN$55)</f>
        <v>0</v>
      </c>
      <c r="DO127" s="13" t="n">
        <f aca="false">IF(DO$69=1,SUMIFS(dr_USD,dr_Mes,113,dr_Cod,"GVTA",dr_Est,"&lt;&gt;Excluido"),e_GV*Produccion_Ventas!DO$55)</f>
        <v>0</v>
      </c>
      <c r="DP127" s="13" t="n">
        <f aca="false">IF(DP$69=1,SUMIFS(dr_USD,dr_Mes,114,dr_Cod,"GVTA",dr_Est,"&lt;&gt;Excluido"),e_GV*Produccion_Ventas!DP$55)</f>
        <v>0</v>
      </c>
      <c r="DQ127" s="13" t="n">
        <f aca="false">IF(DQ$69=1,SUMIFS(dr_USD,dr_Mes,115,dr_Cod,"GVTA",dr_Est,"&lt;&gt;Excluido"),e_GV*Produccion_Ventas!DQ$55)</f>
        <v>0</v>
      </c>
      <c r="DR127" s="13" t="n">
        <f aca="false">IF(DR$69=1,SUMIFS(dr_USD,dr_Mes,116,dr_Cod,"GVTA",dr_Est,"&lt;&gt;Excluido"),e_GV*Produccion_Ventas!DR$55)</f>
        <v>0</v>
      </c>
      <c r="DS127" s="13" t="n">
        <f aca="false">IF(DS$69=1,SUMIFS(dr_USD,dr_Mes,117,dr_Cod,"GVTA",dr_Est,"&lt;&gt;Excluido"),e_GV*Produccion_Ventas!DS$55)</f>
        <v>0</v>
      </c>
      <c r="DT127" s="13" t="n">
        <f aca="false">IF(DT$69=1,SUMIFS(dr_USD,dr_Mes,118,dr_Cod,"GVTA",dr_Est,"&lt;&gt;Excluido"),e_GV*Produccion_Ventas!DT$55)</f>
        <v>0</v>
      </c>
      <c r="DU127" s="13" t="n">
        <f aca="false">IF(DU$69=1,SUMIFS(dr_USD,dr_Mes,119,dr_Cod,"GVTA",dr_Est,"&lt;&gt;Excluido"),e_GV*Produccion_Ventas!DU$55)</f>
        <v>0</v>
      </c>
      <c r="DV127" s="13" t="n">
        <f aca="false">IF(DV$69=1,SUMIFS(dr_USD,dr_Mes,120,dr_Cod,"GVTA",dr_Est,"&lt;&gt;Excluido"),e_GV*Produccion_Ventas!DV$55)</f>
        <v>0</v>
      </c>
      <c r="DW127" s="13" t="n">
        <f aca="false">IF(DW$69=1,SUMIFS(dr_USD,dr_Mes,121,dr_Cod,"GVTA",dr_Est,"&lt;&gt;Excluido"),e_GV*Produccion_Ventas!DW$55)</f>
        <v>0</v>
      </c>
      <c r="DX127" s="13" t="n">
        <f aca="false">IF(DX$69=1,SUMIFS(dr_USD,dr_Mes,122,dr_Cod,"GVTA",dr_Est,"&lt;&gt;Excluido"),e_GV*Produccion_Ventas!DX$55)</f>
        <v>0</v>
      </c>
      <c r="DY127" s="13" t="n">
        <f aca="false">IF(DY$69=1,SUMIFS(dr_USD,dr_Mes,123,dr_Cod,"GVTA",dr_Est,"&lt;&gt;Excluido"),e_GV*Produccion_Ventas!DY$55)</f>
        <v>0</v>
      </c>
      <c r="DZ127" s="13" t="n">
        <f aca="false">IF(DZ$69=1,SUMIFS(dr_USD,dr_Mes,124,dr_Cod,"GVTA",dr_Est,"&lt;&gt;Excluido"),e_GV*Produccion_Ventas!DZ$55)</f>
        <v>0</v>
      </c>
      <c r="EA127" s="13" t="n">
        <f aca="false">IF(EA$69=1,SUMIFS(dr_USD,dr_Mes,125,dr_Cod,"GVTA",dr_Est,"&lt;&gt;Excluido"),e_GV*Produccion_Ventas!EA$55)</f>
        <v>0</v>
      </c>
      <c r="EB127" s="13" t="n">
        <f aca="false">IF(EB$69=1,SUMIFS(dr_USD,dr_Mes,126,dr_Cod,"GVTA",dr_Est,"&lt;&gt;Excluido"),e_GV*Produccion_Ventas!EB$55)</f>
        <v>0</v>
      </c>
      <c r="EC127" s="13" t="n">
        <f aca="false">IF(EC$69=1,SUMIFS(dr_USD,dr_Mes,127,dr_Cod,"GVTA",dr_Est,"&lt;&gt;Excluido"),e_GV*Produccion_Ventas!EC$55)</f>
        <v>0</v>
      </c>
      <c r="ED127" s="13" t="n">
        <f aca="false">IF(ED$69=1,SUMIFS(dr_USD,dr_Mes,128,dr_Cod,"GVTA",dr_Est,"&lt;&gt;Excluido"),e_GV*Produccion_Ventas!ED$55)</f>
        <v>0</v>
      </c>
      <c r="EE127" s="13" t="n">
        <f aca="false">IF(EE$69=1,SUMIFS(dr_USD,dr_Mes,129,dr_Cod,"GVTA",dr_Est,"&lt;&gt;Excluido"),e_GV*Produccion_Ventas!EE$55)</f>
        <v>0</v>
      </c>
      <c r="EF127" s="13" t="n">
        <f aca="false">IF(EF$69=1,SUMIFS(dr_USD,dr_Mes,130,dr_Cod,"GVTA",dr_Est,"&lt;&gt;Excluido"),e_GV*Produccion_Ventas!EF$55)</f>
        <v>0</v>
      </c>
      <c r="EG127" s="13" t="n">
        <f aca="false">IF(EG$69=1,SUMIFS(dr_USD,dr_Mes,131,dr_Cod,"GVTA",dr_Est,"&lt;&gt;Excluido"),e_GV*Produccion_Ventas!EG$55)</f>
        <v>0</v>
      </c>
      <c r="EH127" s="13" t="n">
        <f aca="false">IF(EH$69=1,SUMIFS(dr_USD,dr_Mes,132,dr_Cod,"GVTA",dr_Est,"&lt;&gt;Excluido"),e_GV*Produccion_Ventas!EH$55)</f>
        <v>0</v>
      </c>
      <c r="EI127" s="13" t="n">
        <f aca="false">IF(EI$69=1,SUMIFS(dr_USD,dr_Mes,133,dr_Cod,"GVTA",dr_Est,"&lt;&gt;Excluido"),e_GV*Produccion_Ventas!EI$55)</f>
        <v>0</v>
      </c>
      <c r="EJ127" s="13" t="n">
        <f aca="false">IF(EJ$69=1,SUMIFS(dr_USD,dr_Mes,134,dr_Cod,"GVTA",dr_Est,"&lt;&gt;Excluido"),e_GV*Produccion_Ventas!EJ$55)</f>
        <v>0</v>
      </c>
      <c r="EK127" s="13" t="n">
        <f aca="false">IF(EK$69=1,SUMIFS(dr_USD,dr_Mes,135,dr_Cod,"GVTA",dr_Est,"&lt;&gt;Excluido"),e_GV*Produccion_Ventas!EK$55)</f>
        <v>0</v>
      </c>
      <c r="EL127" s="13" t="n">
        <f aca="false">IF(EL$69=1,SUMIFS(dr_USD,dr_Mes,136,dr_Cod,"GVTA",dr_Est,"&lt;&gt;Excluido"),e_GV*Produccion_Ventas!EL$55)</f>
        <v>0</v>
      </c>
      <c r="EM127" s="13" t="n">
        <f aca="false">IF(EM$69=1,SUMIFS(dr_USD,dr_Mes,137,dr_Cod,"GVTA",dr_Est,"&lt;&gt;Excluido"),e_GV*Produccion_Ventas!EM$55)</f>
        <v>0</v>
      </c>
      <c r="EN127" s="13" t="n">
        <f aca="false">IF(EN$69=1,SUMIFS(dr_USD,dr_Mes,138,dr_Cod,"GVTA",dr_Est,"&lt;&gt;Excluido"),e_GV*Produccion_Ventas!EN$55)</f>
        <v>0</v>
      </c>
      <c r="EO127" s="13" t="n">
        <f aca="false">IF(EO$69=1,SUMIFS(dr_USD,dr_Mes,139,dr_Cod,"GVTA",dr_Est,"&lt;&gt;Excluido"),e_GV*Produccion_Ventas!EO$55)</f>
        <v>0</v>
      </c>
      <c r="EP127" s="13" t="n">
        <f aca="false">IF(EP$69=1,SUMIFS(dr_USD,dr_Mes,140,dr_Cod,"GVTA",dr_Est,"&lt;&gt;Excluido"),e_GV*Produccion_Ventas!EP$55)</f>
        <v>0</v>
      </c>
      <c r="EQ127" s="13" t="n">
        <f aca="false">IF(EQ$69=1,SUMIFS(dr_USD,dr_Mes,141,dr_Cod,"GVTA",dr_Est,"&lt;&gt;Excluido"),e_GV*Produccion_Ventas!EQ$55)</f>
        <v>0</v>
      </c>
      <c r="ER127" s="13" t="n">
        <f aca="false">IF(ER$69=1,SUMIFS(dr_USD,dr_Mes,142,dr_Cod,"GVTA",dr_Est,"&lt;&gt;Excluido"),e_GV*Produccion_Ventas!ER$55)</f>
        <v>0</v>
      </c>
      <c r="ES127" s="13" t="n">
        <f aca="false">IF(ES$69=1,SUMIFS(dr_USD,dr_Mes,143,dr_Cod,"GVTA",dr_Est,"&lt;&gt;Excluido"),e_GV*Produccion_Ventas!ES$55)</f>
        <v>0</v>
      </c>
      <c r="ET127" s="13" t="n">
        <f aca="false">IF(ET$69=1,SUMIFS(dr_USD,dr_Mes,144,dr_Cod,"GVTA",dr_Est,"&lt;&gt;Excluido"),e_GV*Produccion_Ventas!ET$55)</f>
        <v>0</v>
      </c>
      <c r="EU127" s="13" t="n">
        <f aca="false">IF(EU$69=1,SUMIFS(dr_USD,dr_Mes,145,dr_Cod,"GVTA",dr_Est,"&lt;&gt;Excluido"),e_GV*Produccion_Ventas!EU$55)</f>
        <v>0</v>
      </c>
      <c r="EV127" s="13" t="n">
        <f aca="false">IF(EV$69=1,SUMIFS(dr_USD,dr_Mes,146,dr_Cod,"GVTA",dr_Est,"&lt;&gt;Excluido"),e_GV*Produccion_Ventas!EV$55)</f>
        <v>0</v>
      </c>
      <c r="EW127" s="13" t="n">
        <f aca="false">IF(EW$69=1,SUMIFS(dr_USD,dr_Mes,147,dr_Cod,"GVTA",dr_Est,"&lt;&gt;Excluido"),e_GV*Produccion_Ventas!EW$55)</f>
        <v>0</v>
      </c>
      <c r="EX127" s="13" t="n">
        <f aca="false">IF(EX$69=1,SUMIFS(dr_USD,dr_Mes,148,dr_Cod,"GVTA",dr_Est,"&lt;&gt;Excluido"),e_GV*Produccion_Ventas!EX$55)</f>
        <v>0</v>
      </c>
      <c r="EY127" s="13" t="n">
        <f aca="false">IF(EY$69=1,SUMIFS(dr_USD,dr_Mes,149,dr_Cod,"GVTA",dr_Est,"&lt;&gt;Excluido"),e_GV*Produccion_Ventas!EY$55)</f>
        <v>0</v>
      </c>
      <c r="EZ127" s="13" t="n">
        <f aca="false">IF(EZ$69=1,SUMIFS(dr_USD,dr_Mes,150,dr_Cod,"GVTA",dr_Est,"&lt;&gt;Excluido"),e_GV*Produccion_Ventas!EZ$55)</f>
        <v>0</v>
      </c>
      <c r="FA127" s="13" t="n">
        <f aca="false">IF(FA$69=1,SUMIFS(dr_USD,dr_Mes,151,dr_Cod,"GVTA",dr_Est,"&lt;&gt;Excluido"),e_GV*Produccion_Ventas!FA$55)</f>
        <v>0</v>
      </c>
      <c r="FB127" s="13" t="n">
        <f aca="false">IF(FB$69=1,SUMIFS(dr_USD,dr_Mes,152,dr_Cod,"GVTA",dr_Est,"&lt;&gt;Excluido"),e_GV*Produccion_Ventas!FB$55)</f>
        <v>0</v>
      </c>
      <c r="FC127" s="13" t="n">
        <f aca="false">IF(FC$69=1,SUMIFS(dr_USD,dr_Mes,153,dr_Cod,"GVTA",dr_Est,"&lt;&gt;Excluido"),e_GV*Produccion_Ventas!FC$55)</f>
        <v>0</v>
      </c>
      <c r="FD127" s="13" t="n">
        <f aca="false">IF(FD$69=1,SUMIFS(dr_USD,dr_Mes,154,dr_Cod,"GVTA",dr_Est,"&lt;&gt;Excluido"),e_GV*Produccion_Ventas!FD$55)</f>
        <v>0</v>
      </c>
      <c r="FE127" s="13" t="n">
        <f aca="false">IF(FE$69=1,SUMIFS(dr_USD,dr_Mes,155,dr_Cod,"GVTA",dr_Est,"&lt;&gt;Excluido"),e_GV*Produccion_Ventas!FE$55)</f>
        <v>0</v>
      </c>
      <c r="FF127" s="13" t="n">
        <f aca="false">IF(FF$69=1,SUMIFS(dr_USD,dr_Mes,156,dr_Cod,"GVTA",dr_Est,"&lt;&gt;Excluido"),e_GV*Produccion_Ventas!FF$55)</f>
        <v>0</v>
      </c>
    </row>
    <row r="128" customFormat="false" ht="15" hidden="false" customHeight="false" outlineLevel="0" collapsed="false">
      <c r="A128" s="2" t="s">
        <v>1101</v>
      </c>
      <c r="B128" s="8" t="s">
        <v>1102</v>
      </c>
      <c r="C128" s="8" t="s">
        <v>255</v>
      </c>
      <c r="E128" s="65" t="n">
        <f aca="false">SUM($F128:$FF128)</f>
        <v>13456049.961109</v>
      </c>
      <c r="F128" s="13" t="n">
        <f aca="false">F$82+F$88+F$94+F$121*$H$46+F$122*$H$47+F$134*$H$48+F$135*$H$49+F$136*$H$50+F$137*$H$51+F$138*$H$52+F$112*$C$57+F$114*$C$58+F$123*$C$59+F$126*$C$60+F$132*$C$61+F$133*$C$62</f>
        <v>0</v>
      </c>
      <c r="G128" s="13" t="n">
        <f aca="false">G$82+G$88+G$94+G$121*$H$46+G$122*$H$47+G$134*$H$48+G$135*$H$49+G$136*$H$50+G$137*$H$51+G$138*$H$52+G$112*$C$57+G$114*$C$58+G$123*$C$59+G$126*$C$60+G$132*$C$61+G$133*$C$62</f>
        <v>101200.7722712</v>
      </c>
      <c r="H128" s="13" t="n">
        <f aca="false">H$82+H$88+H$94+H$121*$H$46+H$122*$H$47+H$134*$H$48+H$135*$H$49+H$136*$H$50+H$137*$H$51+H$138*$H$52+H$112*$C$57+H$114*$C$58+H$123*$C$59+H$126*$C$60+H$132*$C$61+H$133*$C$62</f>
        <v>98437.4045999667</v>
      </c>
      <c r="I128" s="13" t="n">
        <f aca="false">I$82+I$88+I$94+I$121*$H$46+I$122*$H$47+I$134*$H$48+I$135*$H$49+I$136*$H$50+I$137*$H$51+I$138*$H$52+I$112*$C$57+I$114*$C$58+I$123*$C$59+I$126*$C$60+I$132*$C$61+I$133*$C$62</f>
        <v>98437.4045999667</v>
      </c>
      <c r="J128" s="13" t="n">
        <f aca="false">J$82+J$88+J$94+J$121*$H$46+J$122*$H$47+J$134*$H$48+J$135*$H$49+J$136*$H$50+J$137*$H$51+J$138*$H$52+J$112*$C$57+J$114*$C$58+J$123*$C$59+J$126*$C$60+J$132*$C$61+J$133*$C$62</f>
        <v>98437.4045999667</v>
      </c>
      <c r="K128" s="13" t="n">
        <f aca="false">K$82+K$88+K$94+K$121*$H$46+K$122*$H$47+K$134*$H$48+K$135*$H$49+K$136*$H$50+K$137*$H$51+K$138*$H$52+K$112*$C$57+K$114*$C$58+K$123*$C$59+K$126*$C$60+K$132*$C$61+K$133*$C$62</f>
        <v>98437.4045999667</v>
      </c>
      <c r="L128" s="13" t="n">
        <f aca="false">L$82+L$88+L$94+L$121*$H$46+L$122*$H$47+L$134*$H$48+L$135*$H$49+L$136*$H$50+L$137*$H$51+L$138*$H$52+L$112*$C$57+L$114*$C$58+L$123*$C$59+L$126*$C$60+L$132*$C$61+L$133*$C$62</f>
        <v>98437.4045999667</v>
      </c>
      <c r="M128" s="13" t="n">
        <f aca="false">M$82+M$88+M$94+M$121*$H$46+M$122*$H$47+M$134*$H$48+M$135*$H$49+M$136*$H$50+M$137*$H$51+M$138*$H$52+M$112*$C$57+M$114*$C$58+M$123*$C$59+M$126*$C$60+M$132*$C$61+M$133*$C$62</f>
        <v>98437.4045999667</v>
      </c>
      <c r="N128" s="13" t="n">
        <f aca="false">N$82+N$88+N$94+N$121*$H$46+N$122*$H$47+N$134*$H$48+N$135*$H$49+N$136*$H$50+N$137*$H$51+N$138*$H$52+N$112*$C$57+N$114*$C$58+N$123*$C$59+N$126*$C$60+N$132*$C$61+N$133*$C$62</f>
        <v>98437.4045999667</v>
      </c>
      <c r="O128" s="13" t="n">
        <f aca="false">O$82+O$88+O$94+O$121*$H$46+O$122*$H$47+O$134*$H$48+O$135*$H$49+O$136*$H$50+O$137*$H$51+O$138*$H$52+O$112*$C$57+O$114*$C$58+O$123*$C$59+O$126*$C$60+O$132*$C$61+O$133*$C$62</f>
        <v>98437.4045999667</v>
      </c>
      <c r="P128" s="13" t="n">
        <f aca="false">P$82+P$88+P$94+P$121*$H$46+P$122*$H$47+P$134*$H$48+P$135*$H$49+P$136*$H$50+P$137*$H$51+P$138*$H$52+P$112*$C$57+P$114*$C$58+P$123*$C$59+P$126*$C$60+P$132*$C$61+P$133*$C$62</f>
        <v>98437.4045999667</v>
      </c>
      <c r="Q128" s="13" t="n">
        <f aca="false">Q$82+Q$88+Q$94+Q$121*$H$46+Q$122*$H$47+Q$134*$H$48+Q$135*$H$49+Q$136*$H$50+Q$137*$H$51+Q$138*$H$52+Q$112*$C$57+Q$114*$C$58+Q$123*$C$59+Q$126*$C$60+Q$132*$C$61+Q$133*$C$62</f>
        <v>98437.4045999667</v>
      </c>
      <c r="R128" s="13" t="n">
        <f aca="false">R$82+R$88+R$94+R$121*$H$46+R$122*$H$47+R$134*$H$48+R$135*$H$49+R$136*$H$50+R$137*$H$51+R$138*$H$52+R$112*$C$57+R$114*$C$58+R$123*$C$59+R$126*$C$60+R$132*$C$61+R$133*$C$62</f>
        <v>99163.7081616105</v>
      </c>
      <c r="S128" s="13" t="n">
        <f aca="false">S$82+S$88+S$94+S$121*$H$46+S$122*$H$47+S$134*$H$48+S$135*$H$49+S$136*$H$50+S$137*$H$51+S$138*$H$52+S$112*$C$57+S$114*$C$58+S$123*$C$59+S$126*$C$60+S$132*$C$61+S$133*$C$62</f>
        <v>101403.949599967</v>
      </c>
      <c r="T128" s="13" t="n">
        <f aca="false">T$82+T$88+T$94+T$121*$H$46+T$122*$H$47+T$134*$H$48+T$135*$H$49+T$136*$H$50+T$137*$H$51+T$138*$H$52+T$112*$C$57+T$114*$C$58+T$123*$C$59+T$126*$C$60+T$132*$C$61+T$133*$C$62</f>
        <v>101403.949599967</v>
      </c>
      <c r="U128" s="13" t="n">
        <f aca="false">U$82+U$88+U$94+U$121*$H$46+U$122*$H$47+U$134*$H$48+U$135*$H$49+U$136*$H$50+U$137*$H$51+U$138*$H$52+U$112*$C$57+U$114*$C$58+U$123*$C$59+U$126*$C$60+U$132*$C$61+U$133*$C$62</f>
        <v>101403.949599967</v>
      </c>
      <c r="V128" s="13" t="n">
        <f aca="false">V$82+V$88+V$94+V$121*$H$46+V$122*$H$47+V$134*$H$48+V$135*$H$49+V$136*$H$50+V$137*$H$51+V$138*$H$52+V$112*$C$57+V$114*$C$58+V$123*$C$59+V$126*$C$60+V$132*$C$61+V$133*$C$62</f>
        <v>101403.949599967</v>
      </c>
      <c r="W128" s="13" t="n">
        <f aca="false">W$82+W$88+W$94+W$121*$H$46+W$122*$H$47+W$134*$H$48+W$135*$H$49+W$136*$H$50+W$137*$H$51+W$138*$H$52+W$112*$C$57+W$114*$C$58+W$123*$C$59+W$126*$C$60+W$132*$C$61+W$133*$C$62</f>
        <v>101403.949599967</v>
      </c>
      <c r="X128" s="13" t="n">
        <f aca="false">X$82+X$88+X$94+X$121*$H$46+X$122*$H$47+X$134*$H$48+X$135*$H$49+X$136*$H$50+X$137*$H$51+X$138*$H$52+X$112*$C$57+X$114*$C$58+X$123*$C$59+X$126*$C$60+X$132*$C$61+X$133*$C$62</f>
        <v>101403.949599967</v>
      </c>
      <c r="Y128" s="13" t="n">
        <f aca="false">Y$82+Y$88+Y$94+Y$121*$H$46+Y$122*$H$47+Y$134*$H$48+Y$135*$H$49+Y$136*$H$50+Y$137*$H$51+Y$138*$H$52+Y$112*$C$57+Y$114*$C$58+Y$123*$C$59+Y$126*$C$60+Y$132*$C$61+Y$133*$C$62</f>
        <v>101403.949599967</v>
      </c>
      <c r="Z128" s="13" t="n">
        <f aca="false">Z$82+Z$88+Z$94+Z$121*$H$46+Z$122*$H$47+Z$134*$H$48+Z$135*$H$49+Z$136*$H$50+Z$137*$H$51+Z$138*$H$52+Z$112*$C$57+Z$114*$C$58+Z$123*$C$59+Z$126*$C$60+Z$132*$C$61+Z$133*$C$62</f>
        <v>101403.949599967</v>
      </c>
      <c r="AA128" s="13" t="n">
        <f aca="false">AA$82+AA$88+AA$94+AA$121*$H$46+AA$122*$H$47+AA$134*$H$48+AA$135*$H$49+AA$136*$H$50+AA$137*$H$51+AA$138*$H$52+AA$112*$C$57+AA$114*$C$58+AA$123*$C$59+AA$126*$C$60+AA$132*$C$61+AA$133*$C$62</f>
        <v>101403.949599967</v>
      </c>
      <c r="AB128" s="13" t="n">
        <f aca="false">AB$82+AB$88+AB$94+AB$121*$H$46+AB$122*$H$47+AB$134*$H$48+AB$135*$H$49+AB$136*$H$50+AB$137*$H$51+AB$138*$H$52+AB$112*$C$57+AB$114*$C$58+AB$123*$C$59+AB$126*$C$60+AB$132*$C$61+AB$133*$C$62</f>
        <v>101403.949599967</v>
      </c>
      <c r="AC128" s="13" t="n">
        <f aca="false">AC$82+AC$88+AC$94+AC$121*$H$46+AC$122*$H$47+AC$134*$H$48+AC$135*$H$49+AC$136*$H$50+AC$137*$H$51+AC$138*$H$52+AC$112*$C$57+AC$114*$C$58+AC$123*$C$59+AC$126*$C$60+AC$132*$C$61+AC$133*$C$62</f>
        <v>101403.949599967</v>
      </c>
      <c r="AD128" s="13" t="n">
        <f aca="false">AD$82+AD$88+AD$94+AD$121*$H$46+AD$122*$H$47+AD$134*$H$48+AD$135*$H$49+AD$136*$H$50+AD$137*$H$51+AD$138*$H$52+AD$112*$C$57+AD$114*$C$58+AD$123*$C$59+AD$126*$C$60+AD$132*$C$61+AD$133*$C$62</f>
        <v>102134.594531474</v>
      </c>
      <c r="AE128" s="13" t="n">
        <f aca="false">AE$82+AE$88+AE$94+AE$121*$H$46+AE$122*$H$47+AE$134*$H$48+AE$135*$H$49+AE$136*$H$50+AE$137*$H$51+AE$138*$H$52+AE$112*$C$57+AE$114*$C$58+AE$123*$C$59+AE$126*$C$60+AE$132*$C$61+AE$133*$C$62</f>
        <v>107087.723572171</v>
      </c>
      <c r="AF128" s="13" t="n">
        <f aca="false">AF$82+AF$88+AF$94+AF$121*$H$46+AF$122*$H$47+AF$134*$H$48+AF$135*$H$49+AF$136*$H$50+AF$137*$H$51+AF$138*$H$52+AF$112*$C$57+AF$114*$C$58+AF$123*$C$59+AF$126*$C$60+AF$132*$C$61+AF$133*$C$62</f>
        <v>107087.723572171</v>
      </c>
      <c r="AG128" s="13" t="n">
        <f aca="false">AG$82+AG$88+AG$94+AG$121*$H$46+AG$122*$H$47+AG$134*$H$48+AG$135*$H$49+AG$136*$H$50+AG$137*$H$51+AG$138*$H$52+AG$112*$C$57+AG$114*$C$58+AG$123*$C$59+AG$126*$C$60+AG$132*$C$61+AG$133*$C$62</f>
        <v>107087.723572171</v>
      </c>
      <c r="AH128" s="13" t="n">
        <f aca="false">AH$82+AH$88+AH$94+AH$121*$H$46+AH$122*$H$47+AH$134*$H$48+AH$135*$H$49+AH$136*$H$50+AH$137*$H$51+AH$138*$H$52+AH$112*$C$57+AH$114*$C$58+AH$123*$C$59+AH$126*$C$60+AH$132*$C$61+AH$133*$C$62</f>
        <v>107087.723572171</v>
      </c>
      <c r="AI128" s="13" t="n">
        <f aca="false">AI$82+AI$88+AI$94+AI$121*$H$46+AI$122*$H$47+AI$134*$H$48+AI$135*$H$49+AI$136*$H$50+AI$137*$H$51+AI$138*$H$52+AI$112*$C$57+AI$114*$C$58+AI$123*$C$59+AI$126*$C$60+AI$132*$C$61+AI$133*$C$62</f>
        <v>107087.723572171</v>
      </c>
      <c r="AJ128" s="13" t="n">
        <f aca="false">AJ$82+AJ$88+AJ$94+AJ$121*$H$46+AJ$122*$H$47+AJ$134*$H$48+AJ$135*$H$49+AJ$136*$H$50+AJ$137*$H$51+AJ$138*$H$52+AJ$112*$C$57+AJ$114*$C$58+AJ$123*$C$59+AJ$126*$C$60+AJ$132*$C$61+AJ$133*$C$62</f>
        <v>107087.723572171</v>
      </c>
      <c r="AK128" s="13" t="n">
        <f aca="false">AK$82+AK$88+AK$94+AK$121*$H$46+AK$122*$H$47+AK$134*$H$48+AK$135*$H$49+AK$136*$H$50+AK$137*$H$51+AK$138*$H$52+AK$112*$C$57+AK$114*$C$58+AK$123*$C$59+AK$126*$C$60+AK$132*$C$61+AK$133*$C$62</f>
        <v>107087.723572171</v>
      </c>
      <c r="AL128" s="13" t="n">
        <f aca="false">AL$82+AL$88+AL$94+AL$121*$H$46+AL$122*$H$47+AL$134*$H$48+AL$135*$H$49+AL$136*$H$50+AL$137*$H$51+AL$138*$H$52+AL$112*$C$57+AL$114*$C$58+AL$123*$C$59+AL$126*$C$60+AL$132*$C$61+AL$133*$C$62</f>
        <v>107087.723572171</v>
      </c>
      <c r="AM128" s="13" t="n">
        <f aca="false">AM$82+AM$88+AM$94+AM$121*$H$46+AM$122*$H$47+AM$134*$H$48+AM$135*$H$49+AM$136*$H$50+AM$137*$H$51+AM$138*$H$52+AM$112*$C$57+AM$114*$C$58+AM$123*$C$59+AM$126*$C$60+AM$132*$C$61+AM$133*$C$62</f>
        <v>107087.723572171</v>
      </c>
      <c r="AN128" s="13" t="n">
        <f aca="false">AN$82+AN$88+AN$94+AN$121*$H$46+AN$122*$H$47+AN$134*$H$48+AN$135*$H$49+AN$136*$H$50+AN$137*$H$51+AN$138*$H$52+AN$112*$C$57+AN$114*$C$58+AN$123*$C$59+AN$126*$C$60+AN$132*$C$61+AN$133*$C$62</f>
        <v>107087.723572171</v>
      </c>
      <c r="AO128" s="13" t="n">
        <f aca="false">AO$82+AO$88+AO$94+AO$121*$H$46+AO$122*$H$47+AO$134*$H$48+AO$135*$H$49+AO$136*$H$50+AO$137*$H$51+AO$138*$H$52+AO$112*$C$57+AO$114*$C$58+AO$123*$C$59+AO$126*$C$60+AO$132*$C$61+AO$133*$C$62</f>
        <v>107087.723572171</v>
      </c>
      <c r="AP128" s="13" t="n">
        <f aca="false">AP$82+AP$88+AP$94+AP$121*$H$46+AP$122*$H$47+AP$134*$H$48+AP$135*$H$49+AP$136*$H$50+AP$137*$H$51+AP$138*$H$52+AP$112*$C$57+AP$114*$C$58+AP$123*$C$59+AP$126*$C$60+AP$132*$C$61+AP$133*$C$62</f>
        <v>107679.274481761</v>
      </c>
      <c r="AQ128" s="13" t="n">
        <f aca="false">AQ$82+AQ$88+AQ$94+AQ$121*$H$46+AQ$122*$H$47+AQ$134*$H$48+AQ$135*$H$49+AQ$136*$H$50+AQ$137*$H$51+AQ$138*$H$52+AQ$112*$C$57+AQ$114*$C$58+AQ$123*$C$59+AQ$126*$C$60+AQ$132*$C$61+AQ$133*$C$62</f>
        <v>111826.771186446</v>
      </c>
      <c r="AR128" s="13" t="n">
        <f aca="false">AR$82+AR$88+AR$94+AR$121*$H$46+AR$122*$H$47+AR$134*$H$48+AR$135*$H$49+AR$136*$H$50+AR$137*$H$51+AR$138*$H$52+AR$112*$C$57+AR$114*$C$58+AR$123*$C$59+AR$126*$C$60+AR$132*$C$61+AR$133*$C$62</f>
        <v>111826.771186446</v>
      </c>
      <c r="AS128" s="13" t="n">
        <f aca="false">AS$82+AS$88+AS$94+AS$121*$H$46+AS$122*$H$47+AS$134*$H$48+AS$135*$H$49+AS$136*$H$50+AS$137*$H$51+AS$138*$H$52+AS$112*$C$57+AS$114*$C$58+AS$123*$C$59+AS$126*$C$60+AS$132*$C$61+AS$133*$C$62</f>
        <v>111826.771186446</v>
      </c>
      <c r="AT128" s="13" t="n">
        <f aca="false">AT$82+AT$88+AT$94+AT$121*$H$46+AT$122*$H$47+AT$134*$H$48+AT$135*$H$49+AT$136*$H$50+AT$137*$H$51+AT$138*$H$52+AT$112*$C$57+AT$114*$C$58+AT$123*$C$59+AT$126*$C$60+AT$132*$C$61+AT$133*$C$62</f>
        <v>111826.771186446</v>
      </c>
      <c r="AU128" s="13" t="n">
        <f aca="false">AU$82+AU$88+AU$94+AU$121*$H$46+AU$122*$H$47+AU$134*$H$48+AU$135*$H$49+AU$136*$H$50+AU$137*$H$51+AU$138*$H$52+AU$112*$C$57+AU$114*$C$58+AU$123*$C$59+AU$126*$C$60+AU$132*$C$61+AU$133*$C$62</f>
        <v>111826.771186446</v>
      </c>
      <c r="AV128" s="13" t="n">
        <f aca="false">AV$82+AV$88+AV$94+AV$121*$H$46+AV$122*$H$47+AV$134*$H$48+AV$135*$H$49+AV$136*$H$50+AV$137*$H$51+AV$138*$H$52+AV$112*$C$57+AV$114*$C$58+AV$123*$C$59+AV$126*$C$60+AV$132*$C$61+AV$133*$C$62</f>
        <v>111826.771186446</v>
      </c>
      <c r="AW128" s="13" t="n">
        <f aca="false">AW$82+AW$88+AW$94+AW$121*$H$46+AW$122*$H$47+AW$134*$H$48+AW$135*$H$49+AW$136*$H$50+AW$137*$H$51+AW$138*$H$52+AW$112*$C$57+AW$114*$C$58+AW$123*$C$59+AW$126*$C$60+AW$132*$C$61+AW$133*$C$62</f>
        <v>111826.771186446</v>
      </c>
      <c r="AX128" s="13" t="n">
        <f aca="false">AX$82+AX$88+AX$94+AX$121*$H$46+AX$122*$H$47+AX$134*$H$48+AX$135*$H$49+AX$136*$H$50+AX$137*$H$51+AX$138*$H$52+AX$112*$C$57+AX$114*$C$58+AX$123*$C$59+AX$126*$C$60+AX$132*$C$61+AX$133*$C$62</f>
        <v>111826.771186446</v>
      </c>
      <c r="AY128" s="13" t="n">
        <f aca="false">AY$82+AY$88+AY$94+AY$121*$H$46+AY$122*$H$47+AY$134*$H$48+AY$135*$H$49+AY$136*$H$50+AY$137*$H$51+AY$138*$H$52+AY$112*$C$57+AY$114*$C$58+AY$123*$C$59+AY$126*$C$60+AY$132*$C$61+AY$133*$C$62</f>
        <v>111826.771186446</v>
      </c>
      <c r="AZ128" s="13" t="n">
        <f aca="false">AZ$82+AZ$88+AZ$94+AZ$121*$H$46+AZ$122*$H$47+AZ$134*$H$48+AZ$135*$H$49+AZ$136*$H$50+AZ$137*$H$51+AZ$138*$H$52+AZ$112*$C$57+AZ$114*$C$58+AZ$123*$C$59+AZ$126*$C$60+AZ$132*$C$61+AZ$133*$C$62</f>
        <v>111826.771186446</v>
      </c>
      <c r="BA128" s="13" t="n">
        <f aca="false">BA$82+BA$88+BA$94+BA$121*$H$46+BA$122*$H$47+BA$134*$H$48+BA$135*$H$49+BA$136*$H$50+BA$137*$H$51+BA$138*$H$52+BA$112*$C$57+BA$114*$C$58+BA$123*$C$59+BA$126*$C$60+BA$132*$C$61+BA$133*$C$62</f>
        <v>111826.771186446</v>
      </c>
      <c r="BB128" s="13" t="n">
        <f aca="false">BB$82+BB$88+BB$94+BB$121*$H$46+BB$122*$H$47+BB$134*$H$48+BB$135*$H$49+BB$136*$H$50+BB$137*$H$51+BB$138*$H$52+BB$112*$C$57+BB$114*$C$58+BB$123*$C$59+BB$126*$C$60+BB$132*$C$61+BB$133*$C$62</f>
        <v>111826.771186446</v>
      </c>
      <c r="BC128" s="13" t="n">
        <f aca="false">BC$82+BC$88+BC$94+BC$121*$H$46+BC$122*$H$47+BC$134*$H$48+BC$135*$H$49+BC$136*$H$50+BC$137*$H$51+BC$138*$H$52+BC$112*$C$57+BC$114*$C$58+BC$123*$C$59+BC$126*$C$60+BC$132*$C$61+BC$133*$C$62</f>
        <v>115165.364209178</v>
      </c>
      <c r="BD128" s="13" t="n">
        <f aca="false">BD$82+BD$88+BD$94+BD$121*$H$46+BD$122*$H$47+BD$134*$H$48+BD$135*$H$49+BD$136*$H$50+BD$137*$H$51+BD$138*$H$52+BD$112*$C$57+BD$114*$C$58+BD$123*$C$59+BD$126*$C$60+BD$132*$C$61+BD$133*$C$62</f>
        <v>115165.364209178</v>
      </c>
      <c r="BE128" s="13" t="n">
        <f aca="false">BE$82+BE$88+BE$94+BE$121*$H$46+BE$122*$H$47+BE$134*$H$48+BE$135*$H$49+BE$136*$H$50+BE$137*$H$51+BE$138*$H$52+BE$112*$C$57+BE$114*$C$58+BE$123*$C$59+BE$126*$C$60+BE$132*$C$61+BE$133*$C$62</f>
        <v>115165.364209178</v>
      </c>
      <c r="BF128" s="13" t="n">
        <f aca="false">BF$82+BF$88+BF$94+BF$121*$H$46+BF$122*$H$47+BF$134*$H$48+BF$135*$H$49+BF$136*$H$50+BF$137*$H$51+BF$138*$H$52+BF$112*$C$57+BF$114*$C$58+BF$123*$C$59+BF$126*$C$60+BF$132*$C$61+BF$133*$C$62</f>
        <v>115165.364209178</v>
      </c>
      <c r="BG128" s="13" t="n">
        <f aca="false">BG$82+BG$88+BG$94+BG$121*$H$46+BG$122*$H$47+BG$134*$H$48+BG$135*$H$49+BG$136*$H$50+BG$137*$H$51+BG$138*$H$52+BG$112*$C$57+BG$114*$C$58+BG$123*$C$59+BG$126*$C$60+BG$132*$C$61+BG$133*$C$62</f>
        <v>115165.364209178</v>
      </c>
      <c r="BH128" s="13" t="n">
        <f aca="false">BH$82+BH$88+BH$94+BH$121*$H$46+BH$122*$H$47+BH$134*$H$48+BH$135*$H$49+BH$136*$H$50+BH$137*$H$51+BH$138*$H$52+BH$112*$C$57+BH$114*$C$58+BH$123*$C$59+BH$126*$C$60+BH$132*$C$61+BH$133*$C$62</f>
        <v>115165.364209178</v>
      </c>
      <c r="BI128" s="13" t="n">
        <f aca="false">BI$82+BI$88+BI$94+BI$121*$H$46+BI$122*$H$47+BI$134*$H$48+BI$135*$H$49+BI$136*$H$50+BI$137*$H$51+BI$138*$H$52+BI$112*$C$57+BI$114*$C$58+BI$123*$C$59+BI$126*$C$60+BI$132*$C$61+BI$133*$C$62</f>
        <v>115165.364209178</v>
      </c>
      <c r="BJ128" s="13" t="n">
        <f aca="false">BJ$82+BJ$88+BJ$94+BJ$121*$H$46+BJ$122*$H$47+BJ$134*$H$48+BJ$135*$H$49+BJ$136*$H$50+BJ$137*$H$51+BJ$138*$H$52+BJ$112*$C$57+BJ$114*$C$58+BJ$123*$C$59+BJ$126*$C$60+BJ$132*$C$61+BJ$133*$C$62</f>
        <v>115165.364209178</v>
      </c>
      <c r="BK128" s="13" t="n">
        <f aca="false">BK$82+BK$88+BK$94+BK$121*$H$46+BK$122*$H$47+BK$134*$H$48+BK$135*$H$49+BK$136*$H$50+BK$137*$H$51+BK$138*$H$52+BK$112*$C$57+BK$114*$C$58+BK$123*$C$59+BK$126*$C$60+BK$132*$C$61+BK$133*$C$62</f>
        <v>115165.364209178</v>
      </c>
      <c r="BL128" s="13" t="n">
        <f aca="false">BL$82+BL$88+BL$94+BL$121*$H$46+BL$122*$H$47+BL$134*$H$48+BL$135*$H$49+BL$136*$H$50+BL$137*$H$51+BL$138*$H$52+BL$112*$C$57+BL$114*$C$58+BL$123*$C$59+BL$126*$C$60+BL$132*$C$61+BL$133*$C$62</f>
        <v>115165.364209178</v>
      </c>
      <c r="BM128" s="13" t="n">
        <f aca="false">BM$82+BM$88+BM$94+BM$121*$H$46+BM$122*$H$47+BM$134*$H$48+BM$135*$H$49+BM$136*$H$50+BM$137*$H$51+BM$138*$H$52+BM$112*$C$57+BM$114*$C$58+BM$123*$C$59+BM$126*$C$60+BM$132*$C$61+BM$133*$C$62</f>
        <v>115165.364209178</v>
      </c>
      <c r="BN128" s="13" t="n">
        <f aca="false">BN$82+BN$88+BN$94+BN$121*$H$46+BN$122*$H$47+BN$134*$H$48+BN$135*$H$49+BN$136*$H$50+BN$137*$H$51+BN$138*$H$52+BN$112*$C$57+BN$114*$C$58+BN$123*$C$59+BN$126*$C$60+BN$132*$C$61+BN$133*$C$62</f>
        <v>115165.364209178</v>
      </c>
      <c r="BO128" s="13" t="n">
        <f aca="false">BO$82+BO$88+BO$94+BO$121*$H$46+BO$122*$H$47+BO$134*$H$48+BO$135*$H$49+BO$136*$H$50+BO$137*$H$51+BO$138*$H$52+BO$112*$C$57+BO$114*$C$58+BO$123*$C$59+BO$126*$C$60+BO$132*$C$61+BO$133*$C$62</f>
        <v>115913.548067527</v>
      </c>
      <c r="BP128" s="13" t="n">
        <f aca="false">BP$82+BP$88+BP$94+BP$121*$H$46+BP$122*$H$47+BP$134*$H$48+BP$135*$H$49+BP$136*$H$50+BP$137*$H$51+BP$138*$H$52+BP$112*$C$57+BP$114*$C$58+BP$123*$C$59+BP$126*$C$60+BP$132*$C$61+BP$133*$C$62</f>
        <v>115913.548067527</v>
      </c>
      <c r="BQ128" s="13" t="n">
        <f aca="false">BQ$82+BQ$88+BQ$94+BQ$121*$H$46+BQ$122*$H$47+BQ$134*$H$48+BQ$135*$H$49+BQ$136*$H$50+BQ$137*$H$51+BQ$138*$H$52+BQ$112*$C$57+BQ$114*$C$58+BQ$123*$C$59+BQ$126*$C$60+BQ$132*$C$61+BQ$133*$C$62</f>
        <v>115913.548067527</v>
      </c>
      <c r="BR128" s="13" t="n">
        <f aca="false">BR$82+BR$88+BR$94+BR$121*$H$46+BR$122*$H$47+BR$134*$H$48+BR$135*$H$49+BR$136*$H$50+BR$137*$H$51+BR$138*$H$52+BR$112*$C$57+BR$114*$C$58+BR$123*$C$59+BR$126*$C$60+BR$132*$C$61+BR$133*$C$62</f>
        <v>115913.548067527</v>
      </c>
      <c r="BS128" s="13" t="n">
        <f aca="false">BS$82+BS$88+BS$94+BS$121*$H$46+BS$122*$H$47+BS$134*$H$48+BS$135*$H$49+BS$136*$H$50+BS$137*$H$51+BS$138*$H$52+BS$112*$C$57+BS$114*$C$58+BS$123*$C$59+BS$126*$C$60+BS$132*$C$61+BS$133*$C$62</f>
        <v>115913.548067527</v>
      </c>
      <c r="BT128" s="13" t="n">
        <f aca="false">BT$82+BT$88+BT$94+BT$121*$H$46+BT$122*$H$47+BT$134*$H$48+BT$135*$H$49+BT$136*$H$50+BT$137*$H$51+BT$138*$H$52+BT$112*$C$57+BT$114*$C$58+BT$123*$C$59+BT$126*$C$60+BT$132*$C$61+BT$133*$C$62</f>
        <v>115913.548067527</v>
      </c>
      <c r="BU128" s="13" t="n">
        <f aca="false">BU$82+BU$88+BU$94+BU$121*$H$46+BU$122*$H$47+BU$134*$H$48+BU$135*$H$49+BU$136*$H$50+BU$137*$H$51+BU$138*$H$52+BU$112*$C$57+BU$114*$C$58+BU$123*$C$59+BU$126*$C$60+BU$132*$C$61+BU$133*$C$62</f>
        <v>115913.548067527</v>
      </c>
      <c r="BV128" s="13" t="n">
        <f aca="false">BV$82+BV$88+BV$94+BV$121*$H$46+BV$122*$H$47+BV$134*$H$48+BV$135*$H$49+BV$136*$H$50+BV$137*$H$51+BV$138*$H$52+BV$112*$C$57+BV$114*$C$58+BV$123*$C$59+BV$126*$C$60+BV$132*$C$61+BV$133*$C$62</f>
        <v>115913.548067527</v>
      </c>
      <c r="BW128" s="13" t="n">
        <f aca="false">BW$82+BW$88+BW$94+BW$121*$H$46+BW$122*$H$47+BW$134*$H$48+BW$135*$H$49+BW$136*$H$50+BW$137*$H$51+BW$138*$H$52+BW$112*$C$57+BW$114*$C$58+BW$123*$C$59+BW$126*$C$60+BW$132*$C$61+BW$133*$C$62</f>
        <v>115913.548067527</v>
      </c>
      <c r="BX128" s="13" t="n">
        <f aca="false">BX$82+BX$88+BX$94+BX$121*$H$46+BX$122*$H$47+BX$134*$H$48+BX$135*$H$49+BX$136*$H$50+BX$137*$H$51+BX$138*$H$52+BX$112*$C$57+BX$114*$C$58+BX$123*$C$59+BX$126*$C$60+BX$132*$C$61+BX$133*$C$62</f>
        <v>115913.548067527</v>
      </c>
      <c r="BY128" s="13" t="n">
        <f aca="false">BY$82+BY$88+BY$94+BY$121*$H$46+BY$122*$H$47+BY$134*$H$48+BY$135*$H$49+BY$136*$H$50+BY$137*$H$51+BY$138*$H$52+BY$112*$C$57+BY$114*$C$58+BY$123*$C$59+BY$126*$C$60+BY$132*$C$61+BY$133*$C$62</f>
        <v>115913.548067527</v>
      </c>
      <c r="BZ128" s="13" t="n">
        <f aca="false">BZ$82+BZ$88+BZ$94+BZ$121*$H$46+BZ$122*$H$47+BZ$134*$H$48+BZ$135*$H$49+BZ$136*$H$50+BZ$137*$H$51+BZ$138*$H$52+BZ$112*$C$57+BZ$114*$C$58+BZ$123*$C$59+BZ$126*$C$60+BZ$132*$C$61+BZ$133*$C$62</f>
        <v>115913.548067527</v>
      </c>
      <c r="CA128" s="13" t="n">
        <f aca="false">CA$82+CA$88+CA$94+CA$121*$H$46+CA$122*$H$47+CA$134*$H$48+CA$135*$H$49+CA$136*$H$50+CA$137*$H$51+CA$138*$H$52+CA$112*$C$57+CA$114*$C$58+CA$123*$C$59+CA$126*$C$60+CA$132*$C$61+CA$133*$C$62</f>
        <v>116680.724883805</v>
      </c>
      <c r="CB128" s="13" t="n">
        <f aca="false">CB$82+CB$88+CB$94+CB$121*$H$46+CB$122*$H$47+CB$134*$H$48+CB$135*$H$49+CB$136*$H$50+CB$137*$H$51+CB$138*$H$52+CB$112*$C$57+CB$114*$C$58+CB$123*$C$59+CB$126*$C$60+CB$132*$C$61+CB$133*$C$62</f>
        <v>116680.724883805</v>
      </c>
      <c r="CC128" s="13" t="n">
        <f aca="false">CC$82+CC$88+CC$94+CC$121*$H$46+CC$122*$H$47+CC$134*$H$48+CC$135*$H$49+CC$136*$H$50+CC$137*$H$51+CC$138*$H$52+CC$112*$C$57+CC$114*$C$58+CC$123*$C$59+CC$126*$C$60+CC$132*$C$61+CC$133*$C$62</f>
        <v>116680.724883805</v>
      </c>
      <c r="CD128" s="13" t="n">
        <f aca="false">CD$82+CD$88+CD$94+CD$121*$H$46+CD$122*$H$47+CD$134*$H$48+CD$135*$H$49+CD$136*$H$50+CD$137*$H$51+CD$138*$H$52+CD$112*$C$57+CD$114*$C$58+CD$123*$C$59+CD$126*$C$60+CD$132*$C$61+CD$133*$C$62</f>
        <v>116680.724883805</v>
      </c>
      <c r="CE128" s="13" t="n">
        <f aca="false">CE$82+CE$88+CE$94+CE$121*$H$46+CE$122*$H$47+CE$134*$H$48+CE$135*$H$49+CE$136*$H$50+CE$137*$H$51+CE$138*$H$52+CE$112*$C$57+CE$114*$C$58+CE$123*$C$59+CE$126*$C$60+CE$132*$C$61+CE$133*$C$62</f>
        <v>116680.724883805</v>
      </c>
      <c r="CF128" s="13" t="n">
        <f aca="false">CF$82+CF$88+CF$94+CF$121*$H$46+CF$122*$H$47+CF$134*$H$48+CF$135*$H$49+CF$136*$H$50+CF$137*$H$51+CF$138*$H$52+CF$112*$C$57+CF$114*$C$58+CF$123*$C$59+CF$126*$C$60+CF$132*$C$61+CF$133*$C$62</f>
        <v>116680.724883805</v>
      </c>
      <c r="CG128" s="13" t="n">
        <f aca="false">CG$82+CG$88+CG$94+CG$121*$H$46+CG$122*$H$47+CG$134*$H$48+CG$135*$H$49+CG$136*$H$50+CG$137*$H$51+CG$138*$H$52+CG$112*$C$57+CG$114*$C$58+CG$123*$C$59+CG$126*$C$60+CG$132*$C$61+CG$133*$C$62</f>
        <v>116680.724883805</v>
      </c>
      <c r="CH128" s="13" t="n">
        <f aca="false">CH$82+CH$88+CH$94+CH$121*$H$46+CH$122*$H$47+CH$134*$H$48+CH$135*$H$49+CH$136*$H$50+CH$137*$H$51+CH$138*$H$52+CH$112*$C$57+CH$114*$C$58+CH$123*$C$59+CH$126*$C$60+CH$132*$C$61+CH$133*$C$62</f>
        <v>116680.724883805</v>
      </c>
      <c r="CI128" s="13" t="n">
        <f aca="false">CI$82+CI$88+CI$94+CI$121*$H$46+CI$122*$H$47+CI$134*$H$48+CI$135*$H$49+CI$136*$H$50+CI$137*$H$51+CI$138*$H$52+CI$112*$C$57+CI$114*$C$58+CI$123*$C$59+CI$126*$C$60+CI$132*$C$61+CI$133*$C$62</f>
        <v>116680.724883805</v>
      </c>
      <c r="CJ128" s="13" t="n">
        <f aca="false">CJ$82+CJ$88+CJ$94+CJ$121*$H$46+CJ$122*$H$47+CJ$134*$H$48+CJ$135*$H$49+CJ$136*$H$50+CJ$137*$H$51+CJ$138*$H$52+CJ$112*$C$57+CJ$114*$C$58+CJ$123*$C$59+CJ$126*$C$60+CJ$132*$C$61+CJ$133*$C$62</f>
        <v>116680.724883805</v>
      </c>
      <c r="CK128" s="13" t="n">
        <f aca="false">CK$82+CK$88+CK$94+CK$121*$H$46+CK$122*$H$47+CK$134*$H$48+CK$135*$H$49+CK$136*$H$50+CK$137*$H$51+CK$138*$H$52+CK$112*$C$57+CK$114*$C$58+CK$123*$C$59+CK$126*$C$60+CK$132*$C$61+CK$133*$C$62</f>
        <v>116680.724883805</v>
      </c>
      <c r="CL128" s="13" t="n">
        <f aca="false">CL$82+CL$88+CL$94+CL$121*$H$46+CL$122*$H$47+CL$134*$H$48+CL$135*$H$49+CL$136*$H$50+CL$137*$H$51+CL$138*$H$52+CL$112*$C$57+CL$114*$C$58+CL$123*$C$59+CL$126*$C$60+CL$132*$C$61+CL$133*$C$62</f>
        <v>116680.724883805</v>
      </c>
      <c r="CM128" s="13" t="n">
        <f aca="false">CM$82+CM$88+CM$94+CM$121*$H$46+CM$122*$H$47+CM$134*$H$48+CM$135*$H$49+CM$136*$H$50+CM$137*$H$51+CM$138*$H$52+CM$112*$C$57+CM$114*$C$58+CM$123*$C$59+CM$126*$C$60+CM$132*$C$61+CM$133*$C$62</f>
        <v>117467.444775173</v>
      </c>
      <c r="CN128" s="13" t="n">
        <f aca="false">CN$82+CN$88+CN$94+CN$121*$H$46+CN$122*$H$47+CN$134*$H$48+CN$135*$H$49+CN$136*$H$50+CN$137*$H$51+CN$138*$H$52+CN$112*$C$57+CN$114*$C$58+CN$123*$C$59+CN$126*$C$60+CN$132*$C$61+CN$133*$C$62</f>
        <v>117467.444775173</v>
      </c>
      <c r="CO128" s="13" t="n">
        <f aca="false">CO$82+CO$88+CO$94+CO$121*$H$46+CO$122*$H$47+CO$134*$H$48+CO$135*$H$49+CO$136*$H$50+CO$137*$H$51+CO$138*$H$52+CO$112*$C$57+CO$114*$C$58+CO$123*$C$59+CO$126*$C$60+CO$132*$C$61+CO$133*$C$62</f>
        <v>117467.444775173</v>
      </c>
      <c r="CP128" s="13" t="n">
        <f aca="false">CP$82+CP$88+CP$94+CP$121*$H$46+CP$122*$H$47+CP$134*$H$48+CP$135*$H$49+CP$136*$H$50+CP$137*$H$51+CP$138*$H$52+CP$112*$C$57+CP$114*$C$58+CP$123*$C$59+CP$126*$C$60+CP$132*$C$61+CP$133*$C$62</f>
        <v>117467.444775173</v>
      </c>
      <c r="CQ128" s="13" t="n">
        <f aca="false">CQ$82+CQ$88+CQ$94+CQ$121*$H$46+CQ$122*$H$47+CQ$134*$H$48+CQ$135*$H$49+CQ$136*$H$50+CQ$137*$H$51+CQ$138*$H$52+CQ$112*$C$57+CQ$114*$C$58+CQ$123*$C$59+CQ$126*$C$60+CQ$132*$C$61+CQ$133*$C$62</f>
        <v>117467.444775173</v>
      </c>
      <c r="CR128" s="13" t="n">
        <f aca="false">CR$82+CR$88+CR$94+CR$121*$H$46+CR$122*$H$47+CR$134*$H$48+CR$135*$H$49+CR$136*$H$50+CR$137*$H$51+CR$138*$H$52+CR$112*$C$57+CR$114*$C$58+CR$123*$C$59+CR$126*$C$60+CR$132*$C$61+CR$133*$C$62</f>
        <v>117467.444775173</v>
      </c>
      <c r="CS128" s="13" t="n">
        <f aca="false">CS$82+CS$88+CS$94+CS$121*$H$46+CS$122*$H$47+CS$134*$H$48+CS$135*$H$49+CS$136*$H$50+CS$137*$H$51+CS$138*$H$52+CS$112*$C$57+CS$114*$C$58+CS$123*$C$59+CS$126*$C$60+CS$132*$C$61+CS$133*$C$62</f>
        <v>117467.444775173</v>
      </c>
      <c r="CT128" s="13" t="n">
        <f aca="false">CT$82+CT$88+CT$94+CT$121*$H$46+CT$122*$H$47+CT$134*$H$48+CT$135*$H$49+CT$136*$H$50+CT$137*$H$51+CT$138*$H$52+CT$112*$C$57+CT$114*$C$58+CT$123*$C$59+CT$126*$C$60+CT$132*$C$61+CT$133*$C$62</f>
        <v>117467.444775173</v>
      </c>
      <c r="CU128" s="13" t="n">
        <f aca="false">CU$82+CU$88+CU$94+CU$121*$H$46+CU$122*$H$47+CU$134*$H$48+CU$135*$H$49+CU$136*$H$50+CU$137*$H$51+CU$138*$H$52+CU$112*$C$57+CU$114*$C$58+CU$123*$C$59+CU$126*$C$60+CU$132*$C$61+CU$133*$C$62</f>
        <v>117467.444775173</v>
      </c>
      <c r="CV128" s="13" t="n">
        <f aca="false">CV$82+CV$88+CV$94+CV$121*$H$46+CV$122*$H$47+CV$134*$H$48+CV$135*$H$49+CV$136*$H$50+CV$137*$H$51+CV$138*$H$52+CV$112*$C$57+CV$114*$C$58+CV$123*$C$59+CV$126*$C$60+CV$132*$C$61+CV$133*$C$62</f>
        <v>117467.444775173</v>
      </c>
      <c r="CW128" s="13" t="n">
        <f aca="false">CW$82+CW$88+CW$94+CW$121*$H$46+CW$122*$H$47+CW$134*$H$48+CW$135*$H$49+CW$136*$H$50+CW$137*$H$51+CW$138*$H$52+CW$112*$C$57+CW$114*$C$58+CW$123*$C$59+CW$126*$C$60+CW$132*$C$61+CW$133*$C$62</f>
        <v>117467.444775173</v>
      </c>
      <c r="CX128" s="13" t="n">
        <f aca="false">CX$82+CX$88+CX$94+CX$121*$H$46+CX$122*$H$47+CX$134*$H$48+CX$135*$H$49+CX$136*$H$50+CX$137*$H$51+CX$138*$H$52+CX$112*$C$57+CX$114*$C$58+CX$123*$C$59+CX$126*$C$60+CX$132*$C$61+CX$133*$C$62</f>
        <v>117467.444775173</v>
      </c>
      <c r="CY128" s="13" t="n">
        <f aca="false">CY$82+CY$88+CY$94+CY$121*$H$46+CY$122*$H$47+CY$134*$H$48+CY$135*$H$49+CY$136*$H$50+CY$137*$H$51+CY$138*$H$52+CY$112*$C$57+CY$114*$C$58+CY$123*$C$59+CY$126*$C$60+CY$132*$C$61+CY$133*$C$62</f>
        <v>118274.274165589</v>
      </c>
      <c r="CZ128" s="13" t="n">
        <f aca="false">CZ$82+CZ$88+CZ$94+CZ$121*$H$46+CZ$122*$H$47+CZ$134*$H$48+CZ$135*$H$49+CZ$136*$H$50+CZ$137*$H$51+CZ$138*$H$52+CZ$112*$C$57+CZ$114*$C$58+CZ$123*$C$59+CZ$126*$C$60+CZ$132*$C$61+CZ$133*$C$62</f>
        <v>118274.274165589</v>
      </c>
      <c r="DA128" s="13" t="n">
        <f aca="false">DA$82+DA$88+DA$94+DA$121*$H$46+DA$122*$H$47+DA$134*$H$48+DA$135*$H$49+DA$136*$H$50+DA$137*$H$51+DA$138*$H$52+DA$112*$C$57+DA$114*$C$58+DA$123*$C$59+DA$126*$C$60+DA$132*$C$61+DA$133*$C$62</f>
        <v>118274.274165589</v>
      </c>
      <c r="DB128" s="13" t="n">
        <f aca="false">DB$82+DB$88+DB$94+DB$121*$H$46+DB$122*$H$47+DB$134*$H$48+DB$135*$H$49+DB$136*$H$50+DB$137*$H$51+DB$138*$H$52+DB$112*$C$57+DB$114*$C$58+DB$123*$C$59+DB$126*$C$60+DB$132*$C$61+DB$133*$C$62</f>
        <v>118274.274165589</v>
      </c>
      <c r="DC128" s="13" t="n">
        <f aca="false">DC$82+DC$88+DC$94+DC$121*$H$46+DC$122*$H$47+DC$134*$H$48+DC$135*$H$49+DC$136*$H$50+DC$137*$H$51+DC$138*$H$52+DC$112*$C$57+DC$114*$C$58+DC$123*$C$59+DC$126*$C$60+DC$132*$C$61+DC$133*$C$62</f>
        <v>118274.274165589</v>
      </c>
      <c r="DD128" s="13" t="n">
        <f aca="false">DD$82+DD$88+DD$94+DD$121*$H$46+DD$122*$H$47+DD$134*$H$48+DD$135*$H$49+DD$136*$H$50+DD$137*$H$51+DD$138*$H$52+DD$112*$C$57+DD$114*$C$58+DD$123*$C$59+DD$126*$C$60+DD$132*$C$61+DD$133*$C$62</f>
        <v>118274.274165589</v>
      </c>
      <c r="DE128" s="13" t="n">
        <f aca="false">DE$82+DE$88+DE$94+DE$121*$H$46+DE$122*$H$47+DE$134*$H$48+DE$135*$H$49+DE$136*$H$50+DE$137*$H$51+DE$138*$H$52+DE$112*$C$57+DE$114*$C$58+DE$123*$C$59+DE$126*$C$60+DE$132*$C$61+DE$133*$C$62</f>
        <v>118274.274165589</v>
      </c>
      <c r="DF128" s="13" t="n">
        <f aca="false">DF$82+DF$88+DF$94+DF$121*$H$46+DF$122*$H$47+DF$134*$H$48+DF$135*$H$49+DF$136*$H$50+DF$137*$H$51+DF$138*$H$52+DF$112*$C$57+DF$114*$C$58+DF$123*$C$59+DF$126*$C$60+DF$132*$C$61+DF$133*$C$62</f>
        <v>118274.274165589</v>
      </c>
      <c r="DG128" s="13" t="n">
        <f aca="false">DG$82+DG$88+DG$94+DG$121*$H$46+DG$122*$H$47+DG$134*$H$48+DG$135*$H$49+DG$136*$H$50+DG$137*$H$51+DG$138*$H$52+DG$112*$C$57+DG$114*$C$58+DG$123*$C$59+DG$126*$C$60+DG$132*$C$61+DG$133*$C$62</f>
        <v>118274.274165589</v>
      </c>
      <c r="DH128" s="13" t="n">
        <f aca="false">DH$82+DH$88+DH$94+DH$121*$H$46+DH$122*$H$47+DH$134*$H$48+DH$135*$H$49+DH$136*$H$50+DH$137*$H$51+DH$138*$H$52+DH$112*$C$57+DH$114*$C$58+DH$123*$C$59+DH$126*$C$60+DH$132*$C$61+DH$133*$C$62</f>
        <v>118274.274165589</v>
      </c>
      <c r="DI128" s="13" t="n">
        <f aca="false">DI$82+DI$88+DI$94+DI$121*$H$46+DI$122*$H$47+DI$134*$H$48+DI$135*$H$49+DI$136*$H$50+DI$137*$H$51+DI$138*$H$52+DI$112*$C$57+DI$114*$C$58+DI$123*$C$59+DI$126*$C$60+DI$132*$C$61+DI$133*$C$62</f>
        <v>118274.274165589</v>
      </c>
      <c r="DJ128" s="13" t="n">
        <f aca="false">DJ$82+DJ$88+DJ$94+DJ$121*$H$46+DJ$122*$H$47+DJ$134*$H$48+DJ$135*$H$49+DJ$136*$H$50+DJ$137*$H$51+DJ$138*$H$52+DJ$112*$C$57+DJ$114*$C$58+DJ$123*$C$59+DJ$126*$C$60+DJ$132*$C$61+DJ$133*$C$62</f>
        <v>118274.274165589</v>
      </c>
      <c r="DK128" s="13" t="n">
        <f aca="false">DK$82+DK$88+DK$94+DK$121*$H$46+DK$122*$H$47+DK$134*$H$48+DK$135*$H$49+DK$136*$H$50+DK$137*$H$51+DK$138*$H$52+DK$112*$C$57+DK$114*$C$58+DK$123*$C$59+DK$126*$C$60+DK$132*$C$61+DK$133*$C$62</f>
        <v>119101.796273048</v>
      </c>
      <c r="DL128" s="13" t="n">
        <f aca="false">DL$82+DL$88+DL$94+DL$121*$H$46+DL$122*$H$47+DL$134*$H$48+DL$135*$H$49+DL$136*$H$50+DL$137*$H$51+DL$138*$H$52+DL$112*$C$57+DL$114*$C$58+DL$123*$C$59+DL$126*$C$60+DL$132*$C$61+DL$133*$C$62</f>
        <v>119101.796273048</v>
      </c>
      <c r="DM128" s="13" t="n">
        <f aca="false">DM$82+DM$88+DM$94+DM$121*$H$46+DM$122*$H$47+DM$134*$H$48+DM$135*$H$49+DM$136*$H$50+DM$137*$H$51+DM$138*$H$52+DM$112*$C$57+DM$114*$C$58+DM$123*$C$59+DM$126*$C$60+DM$132*$C$61+DM$133*$C$62</f>
        <v>119101.796273048</v>
      </c>
      <c r="DN128" s="13" t="n">
        <f aca="false">DN$82+DN$88+DN$94+DN$121*$H$46+DN$122*$H$47+DN$134*$H$48+DN$135*$H$49+DN$136*$H$50+DN$137*$H$51+DN$138*$H$52+DN$112*$C$57+DN$114*$C$58+DN$123*$C$59+DN$126*$C$60+DN$132*$C$61+DN$133*$C$62</f>
        <v>119101.796273048</v>
      </c>
      <c r="DO128" s="13" t="n">
        <f aca="false">DO$82+DO$88+DO$94+DO$121*$H$46+DO$122*$H$47+DO$134*$H$48+DO$135*$H$49+DO$136*$H$50+DO$137*$H$51+DO$138*$H$52+DO$112*$C$57+DO$114*$C$58+DO$123*$C$59+DO$126*$C$60+DO$132*$C$61+DO$133*$C$62</f>
        <v>119101.796273048</v>
      </c>
      <c r="DP128" s="13" t="n">
        <f aca="false">DP$82+DP$88+DP$94+DP$121*$H$46+DP$122*$H$47+DP$134*$H$48+DP$135*$H$49+DP$136*$H$50+DP$137*$H$51+DP$138*$H$52+DP$112*$C$57+DP$114*$C$58+DP$123*$C$59+DP$126*$C$60+DP$132*$C$61+DP$133*$C$62</f>
        <v>119101.796273048</v>
      </c>
      <c r="DQ128" s="13" t="n">
        <f aca="false">DQ$82+DQ$88+DQ$94+DQ$121*$H$46+DQ$122*$H$47+DQ$134*$H$48+DQ$135*$H$49+DQ$136*$H$50+DQ$137*$H$51+DQ$138*$H$52+DQ$112*$C$57+DQ$114*$C$58+DQ$123*$C$59+DQ$126*$C$60+DQ$132*$C$61+DQ$133*$C$62</f>
        <v>119101.796273048</v>
      </c>
      <c r="DR128" s="13" t="n">
        <f aca="false">DR$82+DR$88+DR$94+DR$121*$H$46+DR$122*$H$47+DR$134*$H$48+DR$135*$H$49+DR$136*$H$50+DR$137*$H$51+DR$138*$H$52+DR$112*$C$57+DR$114*$C$58+DR$123*$C$59+DR$126*$C$60+DR$132*$C$61+DR$133*$C$62</f>
        <v>119101.796273048</v>
      </c>
      <c r="DS128" s="13" t="n">
        <f aca="false">DS$82+DS$88+DS$94+DS$121*$H$46+DS$122*$H$47+DS$134*$H$48+DS$135*$H$49+DS$136*$H$50+DS$137*$H$51+DS$138*$H$52+DS$112*$C$57+DS$114*$C$58+DS$123*$C$59+DS$126*$C$60+DS$132*$C$61+DS$133*$C$62</f>
        <v>119101.796273048</v>
      </c>
      <c r="DT128" s="13" t="n">
        <f aca="false">DT$82+DT$88+DT$94+DT$121*$H$46+DT$122*$H$47+DT$134*$H$48+DT$135*$H$49+DT$136*$H$50+DT$137*$H$51+DT$138*$H$52+DT$112*$C$57+DT$114*$C$58+DT$123*$C$59+DT$126*$C$60+DT$132*$C$61+DT$133*$C$62</f>
        <v>119101.796273048</v>
      </c>
      <c r="DU128" s="13" t="n">
        <f aca="false">DU$82+DU$88+DU$94+DU$121*$H$46+DU$122*$H$47+DU$134*$H$48+DU$135*$H$49+DU$136*$H$50+DU$137*$H$51+DU$138*$H$52+DU$112*$C$57+DU$114*$C$58+DU$123*$C$59+DU$126*$C$60+DU$132*$C$61+DU$133*$C$62</f>
        <v>119101.796273048</v>
      </c>
      <c r="DV128" s="13" t="n">
        <f aca="false">DV$82+DV$88+DV$94+DV$121*$H$46+DV$122*$H$47+DV$134*$H$48+DV$135*$H$49+DV$136*$H$50+DV$137*$H$51+DV$138*$H$52+DV$112*$C$57+DV$114*$C$58+DV$123*$C$59+DV$126*$C$60+DV$132*$C$61+DV$133*$C$62</f>
        <v>114031.87431359</v>
      </c>
      <c r="DW128" s="13" t="n">
        <f aca="false">DW$82+DW$88+DW$94+DW$121*$H$46+DW$122*$H$47+DW$134*$H$48+DW$135*$H$49+DW$136*$H$50+DW$137*$H$51+DW$138*$H$52+DW$112*$C$57+DW$114*$C$58+DW$123*$C$59+DW$126*$C$60+DW$132*$C$61+DW$133*$C$62</f>
        <v>0</v>
      </c>
      <c r="DX128" s="13" t="n">
        <f aca="false">DX$82+DX$88+DX$94+DX$121*$H$46+DX$122*$H$47+DX$134*$H$48+DX$135*$H$49+DX$136*$H$50+DX$137*$H$51+DX$138*$H$52+DX$112*$C$57+DX$114*$C$58+DX$123*$C$59+DX$126*$C$60+DX$132*$C$61+DX$133*$C$62</f>
        <v>0</v>
      </c>
      <c r="DY128" s="13" t="n">
        <f aca="false">DY$82+DY$88+DY$94+DY$121*$H$46+DY$122*$H$47+DY$134*$H$48+DY$135*$H$49+DY$136*$H$50+DY$137*$H$51+DY$138*$H$52+DY$112*$C$57+DY$114*$C$58+DY$123*$C$59+DY$126*$C$60+DY$132*$C$61+DY$133*$C$62</f>
        <v>0</v>
      </c>
      <c r="DZ128" s="13" t="n">
        <f aca="false">DZ$82+DZ$88+DZ$94+DZ$121*$H$46+DZ$122*$H$47+DZ$134*$H$48+DZ$135*$H$49+DZ$136*$H$50+DZ$137*$H$51+DZ$138*$H$52+DZ$112*$C$57+DZ$114*$C$58+DZ$123*$C$59+DZ$126*$C$60+DZ$132*$C$61+DZ$133*$C$62</f>
        <v>0</v>
      </c>
      <c r="EA128" s="13" t="n">
        <f aca="false">EA$82+EA$88+EA$94+EA$121*$H$46+EA$122*$H$47+EA$134*$H$48+EA$135*$H$49+EA$136*$H$50+EA$137*$H$51+EA$138*$H$52+EA$112*$C$57+EA$114*$C$58+EA$123*$C$59+EA$126*$C$60+EA$132*$C$61+EA$133*$C$62</f>
        <v>0</v>
      </c>
      <c r="EB128" s="13" t="n">
        <f aca="false">EB$82+EB$88+EB$94+EB$121*$H$46+EB$122*$H$47+EB$134*$H$48+EB$135*$H$49+EB$136*$H$50+EB$137*$H$51+EB$138*$H$52+EB$112*$C$57+EB$114*$C$58+EB$123*$C$59+EB$126*$C$60+EB$132*$C$61+EB$133*$C$62</f>
        <v>0</v>
      </c>
      <c r="EC128" s="13" t="n">
        <f aca="false">EC$82+EC$88+EC$94+EC$121*$H$46+EC$122*$H$47+EC$134*$H$48+EC$135*$H$49+EC$136*$H$50+EC$137*$H$51+EC$138*$H$52+EC$112*$C$57+EC$114*$C$58+EC$123*$C$59+EC$126*$C$60+EC$132*$C$61+EC$133*$C$62</f>
        <v>0</v>
      </c>
      <c r="ED128" s="13" t="n">
        <f aca="false">ED$82+ED$88+ED$94+ED$121*$H$46+ED$122*$H$47+ED$134*$H$48+ED$135*$H$49+ED$136*$H$50+ED$137*$H$51+ED$138*$H$52+ED$112*$C$57+ED$114*$C$58+ED$123*$C$59+ED$126*$C$60+ED$132*$C$61+ED$133*$C$62</f>
        <v>0</v>
      </c>
      <c r="EE128" s="13" t="n">
        <f aca="false">EE$82+EE$88+EE$94+EE$121*$H$46+EE$122*$H$47+EE$134*$H$48+EE$135*$H$49+EE$136*$H$50+EE$137*$H$51+EE$138*$H$52+EE$112*$C$57+EE$114*$C$58+EE$123*$C$59+EE$126*$C$60+EE$132*$C$61+EE$133*$C$62</f>
        <v>0</v>
      </c>
      <c r="EF128" s="13" t="n">
        <f aca="false">EF$82+EF$88+EF$94+EF$121*$H$46+EF$122*$H$47+EF$134*$H$48+EF$135*$H$49+EF$136*$H$50+EF$137*$H$51+EF$138*$H$52+EF$112*$C$57+EF$114*$C$58+EF$123*$C$59+EF$126*$C$60+EF$132*$C$61+EF$133*$C$62</f>
        <v>0</v>
      </c>
      <c r="EG128" s="13" t="n">
        <f aca="false">EG$82+EG$88+EG$94+EG$121*$H$46+EG$122*$H$47+EG$134*$H$48+EG$135*$H$49+EG$136*$H$50+EG$137*$H$51+EG$138*$H$52+EG$112*$C$57+EG$114*$C$58+EG$123*$C$59+EG$126*$C$60+EG$132*$C$61+EG$133*$C$62</f>
        <v>0</v>
      </c>
      <c r="EH128" s="13" t="n">
        <f aca="false">EH$82+EH$88+EH$94+EH$121*$H$46+EH$122*$H$47+EH$134*$H$48+EH$135*$H$49+EH$136*$H$50+EH$137*$H$51+EH$138*$H$52+EH$112*$C$57+EH$114*$C$58+EH$123*$C$59+EH$126*$C$60+EH$132*$C$61+EH$133*$C$62</f>
        <v>0</v>
      </c>
      <c r="EI128" s="13" t="n">
        <f aca="false">EI$82+EI$88+EI$94+EI$121*$H$46+EI$122*$H$47+EI$134*$H$48+EI$135*$H$49+EI$136*$H$50+EI$137*$H$51+EI$138*$H$52+EI$112*$C$57+EI$114*$C$58+EI$123*$C$59+EI$126*$C$60+EI$132*$C$61+EI$133*$C$62</f>
        <v>0</v>
      </c>
      <c r="EJ128" s="13" t="n">
        <f aca="false">EJ$82+EJ$88+EJ$94+EJ$121*$H$46+EJ$122*$H$47+EJ$134*$H$48+EJ$135*$H$49+EJ$136*$H$50+EJ$137*$H$51+EJ$138*$H$52+EJ$112*$C$57+EJ$114*$C$58+EJ$123*$C$59+EJ$126*$C$60+EJ$132*$C$61+EJ$133*$C$62</f>
        <v>0</v>
      </c>
      <c r="EK128" s="13" t="n">
        <f aca="false">EK$82+EK$88+EK$94+EK$121*$H$46+EK$122*$H$47+EK$134*$H$48+EK$135*$H$49+EK$136*$H$50+EK$137*$H$51+EK$138*$H$52+EK$112*$C$57+EK$114*$C$58+EK$123*$C$59+EK$126*$C$60+EK$132*$C$61+EK$133*$C$62</f>
        <v>0</v>
      </c>
      <c r="EL128" s="13" t="n">
        <f aca="false">EL$82+EL$88+EL$94+EL$121*$H$46+EL$122*$H$47+EL$134*$H$48+EL$135*$H$49+EL$136*$H$50+EL$137*$H$51+EL$138*$H$52+EL$112*$C$57+EL$114*$C$58+EL$123*$C$59+EL$126*$C$60+EL$132*$C$61+EL$133*$C$62</f>
        <v>0</v>
      </c>
      <c r="EM128" s="13" t="n">
        <f aca="false">EM$82+EM$88+EM$94+EM$121*$H$46+EM$122*$H$47+EM$134*$H$48+EM$135*$H$49+EM$136*$H$50+EM$137*$H$51+EM$138*$H$52+EM$112*$C$57+EM$114*$C$58+EM$123*$C$59+EM$126*$C$60+EM$132*$C$61+EM$133*$C$62</f>
        <v>0</v>
      </c>
      <c r="EN128" s="13" t="n">
        <f aca="false">EN$82+EN$88+EN$94+EN$121*$H$46+EN$122*$H$47+EN$134*$H$48+EN$135*$H$49+EN$136*$H$50+EN$137*$H$51+EN$138*$H$52+EN$112*$C$57+EN$114*$C$58+EN$123*$C$59+EN$126*$C$60+EN$132*$C$61+EN$133*$C$62</f>
        <v>0</v>
      </c>
      <c r="EO128" s="13" t="n">
        <f aca="false">EO$82+EO$88+EO$94+EO$121*$H$46+EO$122*$H$47+EO$134*$H$48+EO$135*$H$49+EO$136*$H$50+EO$137*$H$51+EO$138*$H$52+EO$112*$C$57+EO$114*$C$58+EO$123*$C$59+EO$126*$C$60+EO$132*$C$61+EO$133*$C$62</f>
        <v>0</v>
      </c>
      <c r="EP128" s="13" t="n">
        <f aca="false">EP$82+EP$88+EP$94+EP$121*$H$46+EP$122*$H$47+EP$134*$H$48+EP$135*$H$49+EP$136*$H$50+EP$137*$H$51+EP$138*$H$52+EP$112*$C$57+EP$114*$C$58+EP$123*$C$59+EP$126*$C$60+EP$132*$C$61+EP$133*$C$62</f>
        <v>0</v>
      </c>
      <c r="EQ128" s="13" t="n">
        <f aca="false">EQ$82+EQ$88+EQ$94+EQ$121*$H$46+EQ$122*$H$47+EQ$134*$H$48+EQ$135*$H$49+EQ$136*$H$50+EQ$137*$H$51+EQ$138*$H$52+EQ$112*$C$57+EQ$114*$C$58+EQ$123*$C$59+EQ$126*$C$60+EQ$132*$C$61+EQ$133*$C$62</f>
        <v>0</v>
      </c>
      <c r="ER128" s="13" t="n">
        <f aca="false">ER$82+ER$88+ER$94+ER$121*$H$46+ER$122*$H$47+ER$134*$H$48+ER$135*$H$49+ER$136*$H$50+ER$137*$H$51+ER$138*$H$52+ER$112*$C$57+ER$114*$C$58+ER$123*$C$59+ER$126*$C$60+ER$132*$C$61+ER$133*$C$62</f>
        <v>0</v>
      </c>
      <c r="ES128" s="13" t="n">
        <f aca="false">ES$82+ES$88+ES$94+ES$121*$H$46+ES$122*$H$47+ES$134*$H$48+ES$135*$H$49+ES$136*$H$50+ES$137*$H$51+ES$138*$H$52+ES$112*$C$57+ES$114*$C$58+ES$123*$C$59+ES$126*$C$60+ES$132*$C$61+ES$133*$C$62</f>
        <v>0</v>
      </c>
      <c r="ET128" s="13" t="n">
        <f aca="false">ET$82+ET$88+ET$94+ET$121*$H$46+ET$122*$H$47+ET$134*$H$48+ET$135*$H$49+ET$136*$H$50+ET$137*$H$51+ET$138*$H$52+ET$112*$C$57+ET$114*$C$58+ET$123*$C$59+ET$126*$C$60+ET$132*$C$61+ET$133*$C$62</f>
        <v>0</v>
      </c>
      <c r="EU128" s="13" t="n">
        <f aca="false">EU$82+EU$88+EU$94+EU$121*$H$46+EU$122*$H$47+EU$134*$H$48+EU$135*$H$49+EU$136*$H$50+EU$137*$H$51+EU$138*$H$52+EU$112*$C$57+EU$114*$C$58+EU$123*$C$59+EU$126*$C$60+EU$132*$C$61+EU$133*$C$62</f>
        <v>0</v>
      </c>
      <c r="EV128" s="13" t="n">
        <f aca="false">EV$82+EV$88+EV$94+EV$121*$H$46+EV$122*$H$47+EV$134*$H$48+EV$135*$H$49+EV$136*$H$50+EV$137*$H$51+EV$138*$H$52+EV$112*$C$57+EV$114*$C$58+EV$123*$C$59+EV$126*$C$60+EV$132*$C$61+EV$133*$C$62</f>
        <v>0</v>
      </c>
      <c r="EW128" s="13" t="n">
        <f aca="false">EW$82+EW$88+EW$94+EW$121*$H$46+EW$122*$H$47+EW$134*$H$48+EW$135*$H$49+EW$136*$H$50+EW$137*$H$51+EW$138*$H$52+EW$112*$C$57+EW$114*$C$58+EW$123*$C$59+EW$126*$C$60+EW$132*$C$61+EW$133*$C$62</f>
        <v>0</v>
      </c>
      <c r="EX128" s="13" t="n">
        <f aca="false">EX$82+EX$88+EX$94+EX$121*$H$46+EX$122*$H$47+EX$134*$H$48+EX$135*$H$49+EX$136*$H$50+EX$137*$H$51+EX$138*$H$52+EX$112*$C$57+EX$114*$C$58+EX$123*$C$59+EX$126*$C$60+EX$132*$C$61+EX$133*$C$62</f>
        <v>0</v>
      </c>
      <c r="EY128" s="13" t="n">
        <f aca="false">EY$82+EY$88+EY$94+EY$121*$H$46+EY$122*$H$47+EY$134*$H$48+EY$135*$H$49+EY$136*$H$50+EY$137*$H$51+EY$138*$H$52+EY$112*$C$57+EY$114*$C$58+EY$123*$C$59+EY$126*$C$60+EY$132*$C$61+EY$133*$C$62</f>
        <v>0</v>
      </c>
      <c r="EZ128" s="13" t="n">
        <f aca="false">EZ$82+EZ$88+EZ$94+EZ$121*$H$46+EZ$122*$H$47+EZ$134*$H$48+EZ$135*$H$49+EZ$136*$H$50+EZ$137*$H$51+EZ$138*$H$52+EZ$112*$C$57+EZ$114*$C$58+EZ$123*$C$59+EZ$126*$C$60+EZ$132*$C$61+EZ$133*$C$62</f>
        <v>0</v>
      </c>
      <c r="FA128" s="13" t="n">
        <f aca="false">FA$82+FA$88+FA$94+FA$121*$H$46+FA$122*$H$47+FA$134*$H$48+FA$135*$H$49+FA$136*$H$50+FA$137*$H$51+FA$138*$H$52+FA$112*$C$57+FA$114*$C$58+FA$123*$C$59+FA$126*$C$60+FA$132*$C$61+FA$133*$C$62</f>
        <v>0</v>
      </c>
      <c r="FB128" s="13" t="n">
        <f aca="false">FB$82+FB$88+FB$94+FB$121*$H$46+FB$122*$H$47+FB$134*$H$48+FB$135*$H$49+FB$136*$H$50+FB$137*$H$51+FB$138*$H$52+FB$112*$C$57+FB$114*$C$58+FB$123*$C$59+FB$126*$C$60+FB$132*$C$61+FB$133*$C$62</f>
        <v>0</v>
      </c>
      <c r="FC128" s="13" t="n">
        <f aca="false">FC$82+FC$88+FC$94+FC$121*$H$46+FC$122*$H$47+FC$134*$H$48+FC$135*$H$49+FC$136*$H$50+FC$137*$H$51+FC$138*$H$52+FC$112*$C$57+FC$114*$C$58+FC$123*$C$59+FC$126*$C$60+FC$132*$C$61+FC$133*$C$62</f>
        <v>0</v>
      </c>
      <c r="FD128" s="13" t="n">
        <f aca="false">FD$82+FD$88+FD$94+FD$121*$H$46+FD$122*$H$47+FD$134*$H$48+FD$135*$H$49+FD$136*$H$50+FD$137*$H$51+FD$138*$H$52+FD$112*$C$57+FD$114*$C$58+FD$123*$C$59+FD$126*$C$60+FD$132*$C$61+FD$133*$C$62</f>
        <v>0</v>
      </c>
      <c r="FE128" s="13" t="n">
        <f aca="false">FE$82+FE$88+FE$94+FE$121*$H$46+FE$122*$H$47+FE$134*$H$48+FE$135*$H$49+FE$136*$H$50+FE$137*$H$51+FE$138*$H$52+FE$112*$C$57+FE$114*$C$58+FE$123*$C$59+FE$126*$C$60+FE$132*$C$61+FE$133*$C$62</f>
        <v>0</v>
      </c>
      <c r="FF128" s="13" t="n">
        <f aca="false">FF$82+FF$88+FF$94+FF$121*$H$46+FF$122*$H$47+FF$134*$H$48+FF$135*$H$49+FF$136*$H$50+FF$137*$H$51+FF$138*$H$52+FF$112*$C$57+FF$114*$C$58+FF$123*$C$59+FF$126*$C$60+FF$132*$C$61+FF$133*$C$62</f>
        <v>0</v>
      </c>
    </row>
    <row r="129" customFormat="false" ht="15" hidden="false" customHeight="false" outlineLevel="0" collapsed="false">
      <c r="A129" s="2" t="s">
        <v>1103</v>
      </c>
      <c r="B129" s="8" t="s">
        <v>1104</v>
      </c>
      <c r="C129" s="8" t="s">
        <v>255</v>
      </c>
      <c r="E129" s="65" t="n">
        <f aca="false">SUM($F129:$FF129)</f>
        <v>81222447.7216454</v>
      </c>
      <c r="F129" s="13" t="n">
        <f aca="false">IF(p_BaseTrib=2,MAX(Produccion_Ventas!F$55,F$128),Produccion_Ventas!F$55)</f>
        <v>0</v>
      </c>
      <c r="G129" s="13" t="n">
        <f aca="false">IF(p_BaseTrib=2,MAX(Produccion_Ventas!G$55,G$128),Produccion_Ventas!G$55)</f>
        <v>404166.666666667</v>
      </c>
      <c r="H129" s="13" t="n">
        <f aca="false">IF(p_BaseTrib=2,MAX(Produccion_Ventas!H$55,H$128),Produccion_Ventas!H$55)</f>
        <v>404166.666666667</v>
      </c>
      <c r="I129" s="13" t="n">
        <f aca="false">IF(p_BaseTrib=2,MAX(Produccion_Ventas!I$55,I$128),Produccion_Ventas!I$55)</f>
        <v>404166.666666667</v>
      </c>
      <c r="J129" s="13" t="n">
        <f aca="false">IF(p_BaseTrib=2,MAX(Produccion_Ventas!J$55,J$128),Produccion_Ventas!J$55)</f>
        <v>404166.666666667</v>
      </c>
      <c r="K129" s="13" t="n">
        <f aca="false">IF(p_BaseTrib=2,MAX(Produccion_Ventas!K$55,K$128),Produccion_Ventas!K$55)</f>
        <v>404166.666666667</v>
      </c>
      <c r="L129" s="13" t="n">
        <f aca="false">IF(p_BaseTrib=2,MAX(Produccion_Ventas!L$55,L$128),Produccion_Ventas!L$55)</f>
        <v>404166.666666667</v>
      </c>
      <c r="M129" s="13" t="n">
        <f aca="false">IF(p_BaseTrib=2,MAX(Produccion_Ventas!M$55,M$128),Produccion_Ventas!M$55)</f>
        <v>404166.666666667</v>
      </c>
      <c r="N129" s="13" t="n">
        <f aca="false">IF(p_BaseTrib=2,MAX(Produccion_Ventas!N$55,N$128),Produccion_Ventas!N$55)</f>
        <v>404166.666666667</v>
      </c>
      <c r="O129" s="13" t="n">
        <f aca="false">IF(p_BaseTrib=2,MAX(Produccion_Ventas!O$55,O$128),Produccion_Ventas!O$55)</f>
        <v>404166.666666667</v>
      </c>
      <c r="P129" s="13" t="n">
        <f aca="false">IF(p_BaseTrib=2,MAX(Produccion_Ventas!P$55,P$128),Produccion_Ventas!P$55)</f>
        <v>404166.666666667</v>
      </c>
      <c r="Q129" s="13" t="n">
        <f aca="false">IF(p_BaseTrib=2,MAX(Produccion_Ventas!Q$55,Q$128),Produccion_Ventas!Q$55)</f>
        <v>404166.666666667</v>
      </c>
      <c r="R129" s="13" t="n">
        <f aca="false">IF(p_BaseTrib=2,MAX(Produccion_Ventas!R$55,R$128),Produccion_Ventas!R$55)</f>
        <v>404166.666666667</v>
      </c>
      <c r="S129" s="13" t="n">
        <f aca="false">IF(p_BaseTrib=2,MAX(Produccion_Ventas!S$55,S$128),Produccion_Ventas!S$55)</f>
        <v>515100</v>
      </c>
      <c r="T129" s="13" t="n">
        <f aca="false">IF(p_BaseTrib=2,MAX(Produccion_Ventas!T$55,T$128),Produccion_Ventas!T$55)</f>
        <v>515100</v>
      </c>
      <c r="U129" s="13" t="n">
        <f aca="false">IF(p_BaseTrib=2,MAX(Produccion_Ventas!U$55,U$128),Produccion_Ventas!U$55)</f>
        <v>515100</v>
      </c>
      <c r="V129" s="13" t="n">
        <f aca="false">IF(p_BaseTrib=2,MAX(Produccion_Ventas!V$55,V$128),Produccion_Ventas!V$55)</f>
        <v>515100</v>
      </c>
      <c r="W129" s="13" t="n">
        <f aca="false">IF(p_BaseTrib=2,MAX(Produccion_Ventas!W$55,W$128),Produccion_Ventas!W$55)</f>
        <v>515100</v>
      </c>
      <c r="X129" s="13" t="n">
        <f aca="false">IF(p_BaseTrib=2,MAX(Produccion_Ventas!X$55,X$128),Produccion_Ventas!X$55)</f>
        <v>515100</v>
      </c>
      <c r="Y129" s="13" t="n">
        <f aca="false">IF(p_BaseTrib=2,MAX(Produccion_Ventas!Y$55,Y$128),Produccion_Ventas!Y$55)</f>
        <v>515100</v>
      </c>
      <c r="Z129" s="13" t="n">
        <f aca="false">IF(p_BaseTrib=2,MAX(Produccion_Ventas!Z$55,Z$128),Produccion_Ventas!Z$55)</f>
        <v>515100</v>
      </c>
      <c r="AA129" s="13" t="n">
        <f aca="false">IF(p_BaseTrib=2,MAX(Produccion_Ventas!AA$55,AA$128),Produccion_Ventas!AA$55)</f>
        <v>515100</v>
      </c>
      <c r="AB129" s="13" t="n">
        <f aca="false">IF(p_BaseTrib=2,MAX(Produccion_Ventas!AB$55,AB$128),Produccion_Ventas!AB$55)</f>
        <v>515100</v>
      </c>
      <c r="AC129" s="13" t="n">
        <f aca="false">IF(p_BaseTrib=2,MAX(Produccion_Ventas!AC$55,AC$128),Produccion_Ventas!AC$55)</f>
        <v>515100</v>
      </c>
      <c r="AD129" s="13" t="n">
        <f aca="false">IF(p_BaseTrib=2,MAX(Produccion_Ventas!AD$55,AD$128),Produccion_Ventas!AD$55)</f>
        <v>515100</v>
      </c>
      <c r="AE129" s="13" t="n">
        <f aca="false">IF(p_BaseTrib=2,MAX(Produccion_Ventas!AE$55,AE$128),Produccion_Ventas!AE$55)</f>
        <v>628211.583333333</v>
      </c>
      <c r="AF129" s="13" t="n">
        <f aca="false">IF(p_BaseTrib=2,MAX(Produccion_Ventas!AF$55,AF$128),Produccion_Ventas!AF$55)</f>
        <v>628211.583333333</v>
      </c>
      <c r="AG129" s="13" t="n">
        <f aca="false">IF(p_BaseTrib=2,MAX(Produccion_Ventas!AG$55,AG$128),Produccion_Ventas!AG$55)</f>
        <v>628211.583333333</v>
      </c>
      <c r="AH129" s="13" t="n">
        <f aca="false">IF(p_BaseTrib=2,MAX(Produccion_Ventas!AH$55,AH$128),Produccion_Ventas!AH$55)</f>
        <v>628211.583333333</v>
      </c>
      <c r="AI129" s="13" t="n">
        <f aca="false">IF(p_BaseTrib=2,MAX(Produccion_Ventas!AI$55,AI$128),Produccion_Ventas!AI$55)</f>
        <v>628211.583333333</v>
      </c>
      <c r="AJ129" s="13" t="n">
        <f aca="false">IF(p_BaseTrib=2,MAX(Produccion_Ventas!AJ$55,AJ$128),Produccion_Ventas!AJ$55)</f>
        <v>628211.583333333</v>
      </c>
      <c r="AK129" s="13" t="n">
        <f aca="false">IF(p_BaseTrib=2,MAX(Produccion_Ventas!AK$55,AK$128),Produccion_Ventas!AK$55)</f>
        <v>628211.583333333</v>
      </c>
      <c r="AL129" s="13" t="n">
        <f aca="false">IF(p_BaseTrib=2,MAX(Produccion_Ventas!AL$55,AL$128),Produccion_Ventas!AL$55)</f>
        <v>628211.583333333</v>
      </c>
      <c r="AM129" s="13" t="n">
        <f aca="false">IF(p_BaseTrib=2,MAX(Produccion_Ventas!AM$55,AM$128),Produccion_Ventas!AM$55)</f>
        <v>628211.583333333</v>
      </c>
      <c r="AN129" s="13" t="n">
        <f aca="false">IF(p_BaseTrib=2,MAX(Produccion_Ventas!AN$55,AN$128),Produccion_Ventas!AN$55)</f>
        <v>628211.583333333</v>
      </c>
      <c r="AO129" s="13" t="n">
        <f aca="false">IF(p_BaseTrib=2,MAX(Produccion_Ventas!AO$55,AO$128),Produccion_Ventas!AO$55)</f>
        <v>628211.583333333</v>
      </c>
      <c r="AP129" s="13" t="n">
        <f aca="false">IF(p_BaseTrib=2,MAX(Produccion_Ventas!AP$55,AP$128),Produccion_Ventas!AP$55)</f>
        <v>628211.583333333</v>
      </c>
      <c r="AQ129" s="13" t="n">
        <f aca="false">IF(p_BaseTrib=2,MAX(Produccion_Ventas!AQ$55,AQ$128),Produccion_Ventas!AQ$55)</f>
        <v>723786.4525</v>
      </c>
      <c r="AR129" s="13" t="n">
        <f aca="false">IF(p_BaseTrib=2,MAX(Produccion_Ventas!AR$55,AR$128),Produccion_Ventas!AR$55)</f>
        <v>723786.4525</v>
      </c>
      <c r="AS129" s="13" t="n">
        <f aca="false">IF(p_BaseTrib=2,MAX(Produccion_Ventas!AS$55,AS$128),Produccion_Ventas!AS$55)</f>
        <v>723786.4525</v>
      </c>
      <c r="AT129" s="13" t="n">
        <f aca="false">IF(p_BaseTrib=2,MAX(Produccion_Ventas!AT$55,AT$128),Produccion_Ventas!AT$55)</f>
        <v>723786.4525</v>
      </c>
      <c r="AU129" s="13" t="n">
        <f aca="false">IF(p_BaseTrib=2,MAX(Produccion_Ventas!AU$55,AU$128),Produccion_Ventas!AU$55)</f>
        <v>723786.4525</v>
      </c>
      <c r="AV129" s="13" t="n">
        <f aca="false">IF(p_BaseTrib=2,MAX(Produccion_Ventas!AV$55,AV$128),Produccion_Ventas!AV$55)</f>
        <v>723786.4525</v>
      </c>
      <c r="AW129" s="13" t="n">
        <f aca="false">IF(p_BaseTrib=2,MAX(Produccion_Ventas!AW$55,AW$128),Produccion_Ventas!AW$55)</f>
        <v>723786.4525</v>
      </c>
      <c r="AX129" s="13" t="n">
        <f aca="false">IF(p_BaseTrib=2,MAX(Produccion_Ventas!AX$55,AX$128),Produccion_Ventas!AX$55)</f>
        <v>723786.4525</v>
      </c>
      <c r="AY129" s="13" t="n">
        <f aca="false">IF(p_BaseTrib=2,MAX(Produccion_Ventas!AY$55,AY$128),Produccion_Ventas!AY$55)</f>
        <v>723786.4525</v>
      </c>
      <c r="AZ129" s="13" t="n">
        <f aca="false">IF(p_BaseTrib=2,MAX(Produccion_Ventas!AZ$55,AZ$128),Produccion_Ventas!AZ$55)</f>
        <v>723786.4525</v>
      </c>
      <c r="BA129" s="13" t="n">
        <f aca="false">IF(p_BaseTrib=2,MAX(Produccion_Ventas!BA$55,BA$128),Produccion_Ventas!BA$55)</f>
        <v>723786.4525</v>
      </c>
      <c r="BB129" s="13" t="n">
        <f aca="false">IF(p_BaseTrib=2,MAX(Produccion_Ventas!BB$55,BB$128),Produccion_Ventas!BB$55)</f>
        <v>723786.4525</v>
      </c>
      <c r="BC129" s="13" t="n">
        <f aca="false">IF(p_BaseTrib=2,MAX(Produccion_Ventas!BC$55,BC$128),Produccion_Ventas!BC$55)</f>
        <v>731024.317025</v>
      </c>
      <c r="BD129" s="13" t="n">
        <f aca="false">IF(p_BaseTrib=2,MAX(Produccion_Ventas!BD$55,BD$128),Produccion_Ventas!BD$55)</f>
        <v>731024.317025</v>
      </c>
      <c r="BE129" s="13" t="n">
        <f aca="false">IF(p_BaseTrib=2,MAX(Produccion_Ventas!BE$55,BE$128),Produccion_Ventas!BE$55)</f>
        <v>731024.317025</v>
      </c>
      <c r="BF129" s="13" t="n">
        <f aca="false">IF(p_BaseTrib=2,MAX(Produccion_Ventas!BF$55,BF$128),Produccion_Ventas!BF$55)</f>
        <v>731024.317025</v>
      </c>
      <c r="BG129" s="13" t="n">
        <f aca="false">IF(p_BaseTrib=2,MAX(Produccion_Ventas!BG$55,BG$128),Produccion_Ventas!BG$55)</f>
        <v>731024.317025</v>
      </c>
      <c r="BH129" s="13" t="n">
        <f aca="false">IF(p_BaseTrib=2,MAX(Produccion_Ventas!BH$55,BH$128),Produccion_Ventas!BH$55)</f>
        <v>731024.317025</v>
      </c>
      <c r="BI129" s="13" t="n">
        <f aca="false">IF(p_BaseTrib=2,MAX(Produccion_Ventas!BI$55,BI$128),Produccion_Ventas!BI$55)</f>
        <v>731024.317025</v>
      </c>
      <c r="BJ129" s="13" t="n">
        <f aca="false">IF(p_BaseTrib=2,MAX(Produccion_Ventas!BJ$55,BJ$128),Produccion_Ventas!BJ$55)</f>
        <v>731024.317025</v>
      </c>
      <c r="BK129" s="13" t="n">
        <f aca="false">IF(p_BaseTrib=2,MAX(Produccion_Ventas!BK$55,BK$128),Produccion_Ventas!BK$55)</f>
        <v>731024.317025</v>
      </c>
      <c r="BL129" s="13" t="n">
        <f aca="false">IF(p_BaseTrib=2,MAX(Produccion_Ventas!BL$55,BL$128),Produccion_Ventas!BL$55)</f>
        <v>731024.317025</v>
      </c>
      <c r="BM129" s="13" t="n">
        <f aca="false">IF(p_BaseTrib=2,MAX(Produccion_Ventas!BM$55,BM$128),Produccion_Ventas!BM$55)</f>
        <v>731024.317025</v>
      </c>
      <c r="BN129" s="13" t="n">
        <f aca="false">IF(p_BaseTrib=2,MAX(Produccion_Ventas!BN$55,BN$128),Produccion_Ventas!BN$55)</f>
        <v>731024.317025</v>
      </c>
      <c r="BO129" s="13" t="n">
        <f aca="false">IF(p_BaseTrib=2,MAX(Produccion_Ventas!BO$55,BO$128),Produccion_Ventas!BO$55)</f>
        <v>738334.56019525</v>
      </c>
      <c r="BP129" s="13" t="n">
        <f aca="false">IF(p_BaseTrib=2,MAX(Produccion_Ventas!BP$55,BP$128),Produccion_Ventas!BP$55)</f>
        <v>738334.56019525</v>
      </c>
      <c r="BQ129" s="13" t="n">
        <f aca="false">IF(p_BaseTrib=2,MAX(Produccion_Ventas!BQ$55,BQ$128),Produccion_Ventas!BQ$55)</f>
        <v>738334.56019525</v>
      </c>
      <c r="BR129" s="13" t="n">
        <f aca="false">IF(p_BaseTrib=2,MAX(Produccion_Ventas!BR$55,BR$128),Produccion_Ventas!BR$55)</f>
        <v>738334.56019525</v>
      </c>
      <c r="BS129" s="13" t="n">
        <f aca="false">IF(p_BaseTrib=2,MAX(Produccion_Ventas!BS$55,BS$128),Produccion_Ventas!BS$55)</f>
        <v>738334.56019525</v>
      </c>
      <c r="BT129" s="13" t="n">
        <f aca="false">IF(p_BaseTrib=2,MAX(Produccion_Ventas!BT$55,BT$128),Produccion_Ventas!BT$55)</f>
        <v>738334.56019525</v>
      </c>
      <c r="BU129" s="13" t="n">
        <f aca="false">IF(p_BaseTrib=2,MAX(Produccion_Ventas!BU$55,BU$128),Produccion_Ventas!BU$55)</f>
        <v>738334.56019525</v>
      </c>
      <c r="BV129" s="13" t="n">
        <f aca="false">IF(p_BaseTrib=2,MAX(Produccion_Ventas!BV$55,BV$128),Produccion_Ventas!BV$55)</f>
        <v>738334.56019525</v>
      </c>
      <c r="BW129" s="13" t="n">
        <f aca="false">IF(p_BaseTrib=2,MAX(Produccion_Ventas!BW$55,BW$128),Produccion_Ventas!BW$55)</f>
        <v>738334.56019525</v>
      </c>
      <c r="BX129" s="13" t="n">
        <f aca="false">IF(p_BaseTrib=2,MAX(Produccion_Ventas!BX$55,BX$128),Produccion_Ventas!BX$55)</f>
        <v>738334.56019525</v>
      </c>
      <c r="BY129" s="13" t="n">
        <f aca="false">IF(p_BaseTrib=2,MAX(Produccion_Ventas!BY$55,BY$128),Produccion_Ventas!BY$55)</f>
        <v>738334.56019525</v>
      </c>
      <c r="BZ129" s="13" t="n">
        <f aca="false">IF(p_BaseTrib=2,MAX(Produccion_Ventas!BZ$55,BZ$128),Produccion_Ventas!BZ$55)</f>
        <v>738334.56019525</v>
      </c>
      <c r="CA129" s="13" t="n">
        <f aca="false">IF(p_BaseTrib=2,MAX(Produccion_Ventas!CA$55,CA$128),Produccion_Ventas!CA$55)</f>
        <v>745717.905797203</v>
      </c>
      <c r="CB129" s="13" t="n">
        <f aca="false">IF(p_BaseTrib=2,MAX(Produccion_Ventas!CB$55,CB$128),Produccion_Ventas!CB$55)</f>
        <v>745717.905797203</v>
      </c>
      <c r="CC129" s="13" t="n">
        <f aca="false">IF(p_BaseTrib=2,MAX(Produccion_Ventas!CC$55,CC$128),Produccion_Ventas!CC$55)</f>
        <v>745717.905797203</v>
      </c>
      <c r="CD129" s="13" t="n">
        <f aca="false">IF(p_BaseTrib=2,MAX(Produccion_Ventas!CD$55,CD$128),Produccion_Ventas!CD$55)</f>
        <v>745717.905797203</v>
      </c>
      <c r="CE129" s="13" t="n">
        <f aca="false">IF(p_BaseTrib=2,MAX(Produccion_Ventas!CE$55,CE$128),Produccion_Ventas!CE$55)</f>
        <v>745717.905797203</v>
      </c>
      <c r="CF129" s="13" t="n">
        <f aca="false">IF(p_BaseTrib=2,MAX(Produccion_Ventas!CF$55,CF$128),Produccion_Ventas!CF$55)</f>
        <v>745717.905797203</v>
      </c>
      <c r="CG129" s="13" t="n">
        <f aca="false">IF(p_BaseTrib=2,MAX(Produccion_Ventas!CG$55,CG$128),Produccion_Ventas!CG$55)</f>
        <v>745717.905797203</v>
      </c>
      <c r="CH129" s="13" t="n">
        <f aca="false">IF(p_BaseTrib=2,MAX(Produccion_Ventas!CH$55,CH$128),Produccion_Ventas!CH$55)</f>
        <v>745717.905797203</v>
      </c>
      <c r="CI129" s="13" t="n">
        <f aca="false">IF(p_BaseTrib=2,MAX(Produccion_Ventas!CI$55,CI$128),Produccion_Ventas!CI$55)</f>
        <v>745717.905797203</v>
      </c>
      <c r="CJ129" s="13" t="n">
        <f aca="false">IF(p_BaseTrib=2,MAX(Produccion_Ventas!CJ$55,CJ$128),Produccion_Ventas!CJ$55)</f>
        <v>745717.905797203</v>
      </c>
      <c r="CK129" s="13" t="n">
        <f aca="false">IF(p_BaseTrib=2,MAX(Produccion_Ventas!CK$55,CK$128),Produccion_Ventas!CK$55)</f>
        <v>745717.905797203</v>
      </c>
      <c r="CL129" s="13" t="n">
        <f aca="false">IF(p_BaseTrib=2,MAX(Produccion_Ventas!CL$55,CL$128),Produccion_Ventas!CL$55)</f>
        <v>745717.905797203</v>
      </c>
      <c r="CM129" s="13" t="n">
        <f aca="false">IF(p_BaseTrib=2,MAX(Produccion_Ventas!CM$55,CM$128),Produccion_Ventas!CM$55)</f>
        <v>753175.084855175</v>
      </c>
      <c r="CN129" s="13" t="n">
        <f aca="false">IF(p_BaseTrib=2,MAX(Produccion_Ventas!CN$55,CN$128),Produccion_Ventas!CN$55)</f>
        <v>753175.084855175</v>
      </c>
      <c r="CO129" s="13" t="n">
        <f aca="false">IF(p_BaseTrib=2,MAX(Produccion_Ventas!CO$55,CO$128),Produccion_Ventas!CO$55)</f>
        <v>753175.084855175</v>
      </c>
      <c r="CP129" s="13" t="n">
        <f aca="false">IF(p_BaseTrib=2,MAX(Produccion_Ventas!CP$55,CP$128),Produccion_Ventas!CP$55)</f>
        <v>753175.084855175</v>
      </c>
      <c r="CQ129" s="13" t="n">
        <f aca="false">IF(p_BaseTrib=2,MAX(Produccion_Ventas!CQ$55,CQ$128),Produccion_Ventas!CQ$55)</f>
        <v>753175.084855175</v>
      </c>
      <c r="CR129" s="13" t="n">
        <f aca="false">IF(p_BaseTrib=2,MAX(Produccion_Ventas!CR$55,CR$128),Produccion_Ventas!CR$55)</f>
        <v>753175.084855175</v>
      </c>
      <c r="CS129" s="13" t="n">
        <f aca="false">IF(p_BaseTrib=2,MAX(Produccion_Ventas!CS$55,CS$128),Produccion_Ventas!CS$55)</f>
        <v>753175.084855175</v>
      </c>
      <c r="CT129" s="13" t="n">
        <f aca="false">IF(p_BaseTrib=2,MAX(Produccion_Ventas!CT$55,CT$128),Produccion_Ventas!CT$55)</f>
        <v>753175.084855175</v>
      </c>
      <c r="CU129" s="13" t="n">
        <f aca="false">IF(p_BaseTrib=2,MAX(Produccion_Ventas!CU$55,CU$128),Produccion_Ventas!CU$55)</f>
        <v>753175.084855175</v>
      </c>
      <c r="CV129" s="13" t="n">
        <f aca="false">IF(p_BaseTrib=2,MAX(Produccion_Ventas!CV$55,CV$128),Produccion_Ventas!CV$55)</f>
        <v>753175.084855175</v>
      </c>
      <c r="CW129" s="13" t="n">
        <f aca="false">IF(p_BaseTrib=2,MAX(Produccion_Ventas!CW$55,CW$128),Produccion_Ventas!CW$55)</f>
        <v>753175.084855175</v>
      </c>
      <c r="CX129" s="13" t="n">
        <f aca="false">IF(p_BaseTrib=2,MAX(Produccion_Ventas!CX$55,CX$128),Produccion_Ventas!CX$55)</f>
        <v>753175.084855175</v>
      </c>
      <c r="CY129" s="13" t="n">
        <f aca="false">IF(p_BaseTrib=2,MAX(Produccion_Ventas!CY$55,CY$128),Produccion_Ventas!CY$55)</f>
        <v>760706.835703726</v>
      </c>
      <c r="CZ129" s="13" t="n">
        <f aca="false">IF(p_BaseTrib=2,MAX(Produccion_Ventas!CZ$55,CZ$128),Produccion_Ventas!CZ$55)</f>
        <v>760706.835703726</v>
      </c>
      <c r="DA129" s="13" t="n">
        <f aca="false">IF(p_BaseTrib=2,MAX(Produccion_Ventas!DA$55,DA$128),Produccion_Ventas!DA$55)</f>
        <v>760706.835703726</v>
      </c>
      <c r="DB129" s="13" t="n">
        <f aca="false">IF(p_BaseTrib=2,MAX(Produccion_Ventas!DB$55,DB$128),Produccion_Ventas!DB$55)</f>
        <v>760706.835703726</v>
      </c>
      <c r="DC129" s="13" t="n">
        <f aca="false">IF(p_BaseTrib=2,MAX(Produccion_Ventas!DC$55,DC$128),Produccion_Ventas!DC$55)</f>
        <v>760706.835703726</v>
      </c>
      <c r="DD129" s="13" t="n">
        <f aca="false">IF(p_BaseTrib=2,MAX(Produccion_Ventas!DD$55,DD$128),Produccion_Ventas!DD$55)</f>
        <v>760706.835703726</v>
      </c>
      <c r="DE129" s="13" t="n">
        <f aca="false">IF(p_BaseTrib=2,MAX(Produccion_Ventas!DE$55,DE$128),Produccion_Ventas!DE$55)</f>
        <v>760706.835703726</v>
      </c>
      <c r="DF129" s="13" t="n">
        <f aca="false">IF(p_BaseTrib=2,MAX(Produccion_Ventas!DF$55,DF$128),Produccion_Ventas!DF$55)</f>
        <v>760706.835703726</v>
      </c>
      <c r="DG129" s="13" t="n">
        <f aca="false">IF(p_BaseTrib=2,MAX(Produccion_Ventas!DG$55,DG$128),Produccion_Ventas!DG$55)</f>
        <v>760706.835703726</v>
      </c>
      <c r="DH129" s="13" t="n">
        <f aca="false">IF(p_BaseTrib=2,MAX(Produccion_Ventas!DH$55,DH$128),Produccion_Ventas!DH$55)</f>
        <v>760706.835703726</v>
      </c>
      <c r="DI129" s="13" t="n">
        <f aca="false">IF(p_BaseTrib=2,MAX(Produccion_Ventas!DI$55,DI$128),Produccion_Ventas!DI$55)</f>
        <v>760706.835703726</v>
      </c>
      <c r="DJ129" s="13" t="n">
        <f aca="false">IF(p_BaseTrib=2,MAX(Produccion_Ventas!DJ$55,DJ$128),Produccion_Ventas!DJ$55)</f>
        <v>760706.835703726</v>
      </c>
      <c r="DK129" s="13" t="n">
        <f aca="false">IF(p_BaseTrib=2,MAX(Produccion_Ventas!DK$55,DK$128),Produccion_Ventas!DK$55)</f>
        <v>768313.904060764</v>
      </c>
      <c r="DL129" s="13" t="n">
        <f aca="false">IF(p_BaseTrib=2,MAX(Produccion_Ventas!DL$55,DL$128),Produccion_Ventas!DL$55)</f>
        <v>768313.904060764</v>
      </c>
      <c r="DM129" s="13" t="n">
        <f aca="false">IF(p_BaseTrib=2,MAX(Produccion_Ventas!DM$55,DM$128),Produccion_Ventas!DM$55)</f>
        <v>768313.904060764</v>
      </c>
      <c r="DN129" s="13" t="n">
        <f aca="false">IF(p_BaseTrib=2,MAX(Produccion_Ventas!DN$55,DN$128),Produccion_Ventas!DN$55)</f>
        <v>768313.904060764</v>
      </c>
      <c r="DO129" s="13" t="n">
        <f aca="false">IF(p_BaseTrib=2,MAX(Produccion_Ventas!DO$55,DO$128),Produccion_Ventas!DO$55)</f>
        <v>768313.904060764</v>
      </c>
      <c r="DP129" s="13" t="n">
        <f aca="false">IF(p_BaseTrib=2,MAX(Produccion_Ventas!DP$55,DP$128),Produccion_Ventas!DP$55)</f>
        <v>768313.904060764</v>
      </c>
      <c r="DQ129" s="13" t="n">
        <f aca="false">IF(p_BaseTrib=2,MAX(Produccion_Ventas!DQ$55,DQ$128),Produccion_Ventas!DQ$55)</f>
        <v>768313.904060764</v>
      </c>
      <c r="DR129" s="13" t="n">
        <f aca="false">IF(p_BaseTrib=2,MAX(Produccion_Ventas!DR$55,DR$128),Produccion_Ventas!DR$55)</f>
        <v>768313.904060764</v>
      </c>
      <c r="DS129" s="13" t="n">
        <f aca="false">IF(p_BaseTrib=2,MAX(Produccion_Ventas!DS$55,DS$128),Produccion_Ventas!DS$55)</f>
        <v>768313.904060764</v>
      </c>
      <c r="DT129" s="13" t="n">
        <f aca="false">IF(p_BaseTrib=2,MAX(Produccion_Ventas!DT$55,DT$128),Produccion_Ventas!DT$55)</f>
        <v>768313.904060764</v>
      </c>
      <c r="DU129" s="13" t="n">
        <f aca="false">IF(p_BaseTrib=2,MAX(Produccion_Ventas!DU$55,DU$128),Produccion_Ventas!DU$55)</f>
        <v>768313.904060764</v>
      </c>
      <c r="DV129" s="13" t="n">
        <f aca="false">IF(p_BaseTrib=2,MAX(Produccion_Ventas!DV$55,DV$128),Produccion_Ventas!DV$55)</f>
        <v>768313.904060764</v>
      </c>
      <c r="DW129" s="13" t="n">
        <f aca="false">IF(p_BaseTrib=2,MAX(Produccion_Ventas!DW$55,DW$128),Produccion_Ventas!DW$55)</f>
        <v>0</v>
      </c>
      <c r="DX129" s="13" t="n">
        <f aca="false">IF(p_BaseTrib=2,MAX(Produccion_Ventas!DX$55,DX$128),Produccion_Ventas!DX$55)</f>
        <v>0</v>
      </c>
      <c r="DY129" s="13" t="n">
        <f aca="false">IF(p_BaseTrib=2,MAX(Produccion_Ventas!DY$55,DY$128),Produccion_Ventas!DY$55)</f>
        <v>0</v>
      </c>
      <c r="DZ129" s="13" t="n">
        <f aca="false">IF(p_BaseTrib=2,MAX(Produccion_Ventas!DZ$55,DZ$128),Produccion_Ventas!DZ$55)</f>
        <v>0</v>
      </c>
      <c r="EA129" s="13" t="n">
        <f aca="false">IF(p_BaseTrib=2,MAX(Produccion_Ventas!EA$55,EA$128),Produccion_Ventas!EA$55)</f>
        <v>0</v>
      </c>
      <c r="EB129" s="13" t="n">
        <f aca="false">IF(p_BaseTrib=2,MAX(Produccion_Ventas!EB$55,EB$128),Produccion_Ventas!EB$55)</f>
        <v>0</v>
      </c>
      <c r="EC129" s="13" t="n">
        <f aca="false">IF(p_BaseTrib=2,MAX(Produccion_Ventas!EC$55,EC$128),Produccion_Ventas!EC$55)</f>
        <v>0</v>
      </c>
      <c r="ED129" s="13" t="n">
        <f aca="false">IF(p_BaseTrib=2,MAX(Produccion_Ventas!ED$55,ED$128),Produccion_Ventas!ED$55)</f>
        <v>0</v>
      </c>
      <c r="EE129" s="13" t="n">
        <f aca="false">IF(p_BaseTrib=2,MAX(Produccion_Ventas!EE$55,EE$128),Produccion_Ventas!EE$55)</f>
        <v>0</v>
      </c>
      <c r="EF129" s="13" t="n">
        <f aca="false">IF(p_BaseTrib=2,MAX(Produccion_Ventas!EF$55,EF$128),Produccion_Ventas!EF$55)</f>
        <v>0</v>
      </c>
      <c r="EG129" s="13" t="n">
        <f aca="false">IF(p_BaseTrib=2,MAX(Produccion_Ventas!EG$55,EG$128),Produccion_Ventas!EG$55)</f>
        <v>0</v>
      </c>
      <c r="EH129" s="13" t="n">
        <f aca="false">IF(p_BaseTrib=2,MAX(Produccion_Ventas!EH$55,EH$128),Produccion_Ventas!EH$55)</f>
        <v>0</v>
      </c>
      <c r="EI129" s="13" t="n">
        <f aca="false">IF(p_BaseTrib=2,MAX(Produccion_Ventas!EI$55,EI$128),Produccion_Ventas!EI$55)</f>
        <v>0</v>
      </c>
      <c r="EJ129" s="13" t="n">
        <f aca="false">IF(p_BaseTrib=2,MAX(Produccion_Ventas!EJ$55,EJ$128),Produccion_Ventas!EJ$55)</f>
        <v>0</v>
      </c>
      <c r="EK129" s="13" t="n">
        <f aca="false">IF(p_BaseTrib=2,MAX(Produccion_Ventas!EK$55,EK$128),Produccion_Ventas!EK$55)</f>
        <v>0</v>
      </c>
      <c r="EL129" s="13" t="n">
        <f aca="false">IF(p_BaseTrib=2,MAX(Produccion_Ventas!EL$55,EL$128),Produccion_Ventas!EL$55)</f>
        <v>0</v>
      </c>
      <c r="EM129" s="13" t="n">
        <f aca="false">IF(p_BaseTrib=2,MAX(Produccion_Ventas!EM$55,EM$128),Produccion_Ventas!EM$55)</f>
        <v>0</v>
      </c>
      <c r="EN129" s="13" t="n">
        <f aca="false">IF(p_BaseTrib=2,MAX(Produccion_Ventas!EN$55,EN$128),Produccion_Ventas!EN$55)</f>
        <v>0</v>
      </c>
      <c r="EO129" s="13" t="n">
        <f aca="false">IF(p_BaseTrib=2,MAX(Produccion_Ventas!EO$55,EO$128),Produccion_Ventas!EO$55)</f>
        <v>0</v>
      </c>
      <c r="EP129" s="13" t="n">
        <f aca="false">IF(p_BaseTrib=2,MAX(Produccion_Ventas!EP$55,EP$128),Produccion_Ventas!EP$55)</f>
        <v>0</v>
      </c>
      <c r="EQ129" s="13" t="n">
        <f aca="false">IF(p_BaseTrib=2,MAX(Produccion_Ventas!EQ$55,EQ$128),Produccion_Ventas!EQ$55)</f>
        <v>0</v>
      </c>
      <c r="ER129" s="13" t="n">
        <f aca="false">IF(p_BaseTrib=2,MAX(Produccion_Ventas!ER$55,ER$128),Produccion_Ventas!ER$55)</f>
        <v>0</v>
      </c>
      <c r="ES129" s="13" t="n">
        <f aca="false">IF(p_BaseTrib=2,MAX(Produccion_Ventas!ES$55,ES$128),Produccion_Ventas!ES$55)</f>
        <v>0</v>
      </c>
      <c r="ET129" s="13" t="n">
        <f aca="false">IF(p_BaseTrib=2,MAX(Produccion_Ventas!ET$55,ET$128),Produccion_Ventas!ET$55)</f>
        <v>0</v>
      </c>
      <c r="EU129" s="13" t="n">
        <f aca="false">IF(p_BaseTrib=2,MAX(Produccion_Ventas!EU$55,EU$128),Produccion_Ventas!EU$55)</f>
        <v>0</v>
      </c>
      <c r="EV129" s="13" t="n">
        <f aca="false">IF(p_BaseTrib=2,MAX(Produccion_Ventas!EV$55,EV$128),Produccion_Ventas!EV$55)</f>
        <v>0</v>
      </c>
      <c r="EW129" s="13" t="n">
        <f aca="false">IF(p_BaseTrib=2,MAX(Produccion_Ventas!EW$55,EW$128),Produccion_Ventas!EW$55)</f>
        <v>0</v>
      </c>
      <c r="EX129" s="13" t="n">
        <f aca="false">IF(p_BaseTrib=2,MAX(Produccion_Ventas!EX$55,EX$128),Produccion_Ventas!EX$55)</f>
        <v>0</v>
      </c>
      <c r="EY129" s="13" t="n">
        <f aca="false">IF(p_BaseTrib=2,MAX(Produccion_Ventas!EY$55,EY$128),Produccion_Ventas!EY$55)</f>
        <v>0</v>
      </c>
      <c r="EZ129" s="13" t="n">
        <f aca="false">IF(p_BaseTrib=2,MAX(Produccion_Ventas!EZ$55,EZ$128),Produccion_Ventas!EZ$55)</f>
        <v>0</v>
      </c>
      <c r="FA129" s="13" t="n">
        <f aca="false">IF(p_BaseTrib=2,MAX(Produccion_Ventas!FA$55,FA$128),Produccion_Ventas!FA$55)</f>
        <v>0</v>
      </c>
      <c r="FB129" s="13" t="n">
        <f aca="false">IF(p_BaseTrib=2,MAX(Produccion_Ventas!FB$55,FB$128),Produccion_Ventas!FB$55)</f>
        <v>0</v>
      </c>
      <c r="FC129" s="13" t="n">
        <f aca="false">IF(p_BaseTrib=2,MAX(Produccion_Ventas!FC$55,FC$128),Produccion_Ventas!FC$55)</f>
        <v>0</v>
      </c>
      <c r="FD129" s="13" t="n">
        <f aca="false">IF(p_BaseTrib=2,MAX(Produccion_Ventas!FD$55,FD$128),Produccion_Ventas!FD$55)</f>
        <v>0</v>
      </c>
      <c r="FE129" s="13" t="n">
        <f aca="false">IF(p_BaseTrib=2,MAX(Produccion_Ventas!FE$55,FE$128),Produccion_Ventas!FE$55)</f>
        <v>0</v>
      </c>
      <c r="FF129" s="13" t="n">
        <f aca="false">IF(p_BaseTrib=2,MAX(Produccion_Ventas!FF$55,FF$128),Produccion_Ventas!FF$55)</f>
        <v>0</v>
      </c>
    </row>
    <row r="130" customFormat="false" ht="15" hidden="false" customHeight="false" outlineLevel="0" collapsed="false">
      <c r="A130" s="2" t="s">
        <v>1105</v>
      </c>
      <c r="B130" s="8" t="s">
        <v>310</v>
      </c>
      <c r="C130" s="8" t="s">
        <v>255</v>
      </c>
      <c r="E130" s="65" t="n">
        <f aca="false">SUM($F130:$FF130)</f>
        <v>812224.477216454</v>
      </c>
      <c r="F130" s="13" t="n">
        <f aca="false">IF(F$69=1,SUMIFS(dr_USD,dr_Mes,0,dr_Cod,"TRIB",dr_Est,"&lt;&gt;Excluido"),p_Trib*F$129)</f>
        <v>0</v>
      </c>
      <c r="G130" s="13" t="n">
        <f aca="false">IF(G$69=1,SUMIFS(dr_USD,dr_Mes,1,dr_Cod,"TRIB",dr_Est,"&lt;&gt;Excluido"),p_Trib*G$129)</f>
        <v>4041.66666666667</v>
      </c>
      <c r="H130" s="13" t="n">
        <f aca="false">IF(H$69=1,SUMIFS(dr_USD,dr_Mes,2,dr_Cod,"TRIB",dr_Est,"&lt;&gt;Excluido"),p_Trib*H$129)</f>
        <v>4041.66666666667</v>
      </c>
      <c r="I130" s="13" t="n">
        <f aca="false">IF(I$69=1,SUMIFS(dr_USD,dr_Mes,3,dr_Cod,"TRIB",dr_Est,"&lt;&gt;Excluido"),p_Trib*I$129)</f>
        <v>4041.66666666667</v>
      </c>
      <c r="J130" s="13" t="n">
        <f aca="false">IF(J$69=1,SUMIFS(dr_USD,dr_Mes,4,dr_Cod,"TRIB",dr_Est,"&lt;&gt;Excluido"),p_Trib*J$129)</f>
        <v>4041.66666666667</v>
      </c>
      <c r="K130" s="13" t="n">
        <f aca="false">IF(K$69=1,SUMIFS(dr_USD,dr_Mes,5,dr_Cod,"TRIB",dr_Est,"&lt;&gt;Excluido"),p_Trib*K$129)</f>
        <v>4041.66666666667</v>
      </c>
      <c r="L130" s="13" t="n">
        <f aca="false">IF(L$69=1,SUMIFS(dr_USD,dr_Mes,6,dr_Cod,"TRIB",dr_Est,"&lt;&gt;Excluido"),p_Trib*L$129)</f>
        <v>4041.66666666667</v>
      </c>
      <c r="M130" s="13" t="n">
        <f aca="false">IF(M$69=1,SUMIFS(dr_USD,dr_Mes,7,dr_Cod,"TRIB",dr_Est,"&lt;&gt;Excluido"),p_Trib*M$129)</f>
        <v>4041.66666666667</v>
      </c>
      <c r="N130" s="13" t="n">
        <f aca="false">IF(N$69=1,SUMIFS(dr_USD,dr_Mes,8,dr_Cod,"TRIB",dr_Est,"&lt;&gt;Excluido"),p_Trib*N$129)</f>
        <v>4041.66666666667</v>
      </c>
      <c r="O130" s="13" t="n">
        <f aca="false">IF(O$69=1,SUMIFS(dr_USD,dr_Mes,9,dr_Cod,"TRIB",dr_Est,"&lt;&gt;Excluido"),p_Trib*O$129)</f>
        <v>4041.66666666667</v>
      </c>
      <c r="P130" s="13" t="n">
        <f aca="false">IF(P$69=1,SUMIFS(dr_USD,dr_Mes,10,dr_Cod,"TRIB",dr_Est,"&lt;&gt;Excluido"),p_Trib*P$129)</f>
        <v>4041.66666666667</v>
      </c>
      <c r="Q130" s="13" t="n">
        <f aca="false">IF(Q$69=1,SUMIFS(dr_USD,dr_Mes,11,dr_Cod,"TRIB",dr_Est,"&lt;&gt;Excluido"),p_Trib*Q$129)</f>
        <v>4041.66666666667</v>
      </c>
      <c r="R130" s="13" t="n">
        <f aca="false">IF(R$69=1,SUMIFS(dr_USD,dr_Mes,12,dr_Cod,"TRIB",dr_Est,"&lt;&gt;Excluido"),p_Trib*R$129)</f>
        <v>4041.66666666667</v>
      </c>
      <c r="S130" s="13" t="n">
        <f aca="false">IF(S$69=1,SUMIFS(dr_USD,dr_Mes,13,dr_Cod,"TRIB",dr_Est,"&lt;&gt;Excluido"),p_Trib*S$129)</f>
        <v>5151</v>
      </c>
      <c r="T130" s="13" t="n">
        <f aca="false">IF(T$69=1,SUMIFS(dr_USD,dr_Mes,14,dr_Cod,"TRIB",dr_Est,"&lt;&gt;Excluido"),p_Trib*T$129)</f>
        <v>5151</v>
      </c>
      <c r="U130" s="13" t="n">
        <f aca="false">IF(U$69=1,SUMIFS(dr_USD,dr_Mes,15,dr_Cod,"TRIB",dr_Est,"&lt;&gt;Excluido"),p_Trib*U$129)</f>
        <v>5151</v>
      </c>
      <c r="V130" s="13" t="n">
        <f aca="false">IF(V$69=1,SUMIFS(dr_USD,dr_Mes,16,dr_Cod,"TRIB",dr_Est,"&lt;&gt;Excluido"),p_Trib*V$129)</f>
        <v>5151</v>
      </c>
      <c r="W130" s="13" t="n">
        <f aca="false">IF(W$69=1,SUMIFS(dr_USD,dr_Mes,17,dr_Cod,"TRIB",dr_Est,"&lt;&gt;Excluido"),p_Trib*W$129)</f>
        <v>5151</v>
      </c>
      <c r="X130" s="13" t="n">
        <f aca="false">IF(X$69=1,SUMIFS(dr_USD,dr_Mes,18,dr_Cod,"TRIB",dr_Est,"&lt;&gt;Excluido"),p_Trib*X$129)</f>
        <v>5151</v>
      </c>
      <c r="Y130" s="13" t="n">
        <f aca="false">IF(Y$69=1,SUMIFS(dr_USD,dr_Mes,19,dr_Cod,"TRIB",dr_Est,"&lt;&gt;Excluido"),p_Trib*Y$129)</f>
        <v>5151</v>
      </c>
      <c r="Z130" s="13" t="n">
        <f aca="false">IF(Z$69=1,SUMIFS(dr_USD,dr_Mes,20,dr_Cod,"TRIB",dr_Est,"&lt;&gt;Excluido"),p_Trib*Z$129)</f>
        <v>5151</v>
      </c>
      <c r="AA130" s="13" t="n">
        <f aca="false">IF(AA$69=1,SUMIFS(dr_USD,dr_Mes,21,dr_Cod,"TRIB",dr_Est,"&lt;&gt;Excluido"),p_Trib*AA$129)</f>
        <v>5151</v>
      </c>
      <c r="AB130" s="13" t="n">
        <f aca="false">IF(AB$69=1,SUMIFS(dr_USD,dr_Mes,22,dr_Cod,"TRIB",dr_Est,"&lt;&gt;Excluido"),p_Trib*AB$129)</f>
        <v>5151</v>
      </c>
      <c r="AC130" s="13" t="n">
        <f aca="false">IF(AC$69=1,SUMIFS(dr_USD,dr_Mes,23,dr_Cod,"TRIB",dr_Est,"&lt;&gt;Excluido"),p_Trib*AC$129)</f>
        <v>5151</v>
      </c>
      <c r="AD130" s="13" t="n">
        <f aca="false">IF(AD$69=1,SUMIFS(dr_USD,dr_Mes,24,dr_Cod,"TRIB",dr_Est,"&lt;&gt;Excluido"),p_Trib*AD$129)</f>
        <v>5151</v>
      </c>
      <c r="AE130" s="13" t="n">
        <f aca="false">IF(AE$69=1,SUMIFS(dr_USD,dr_Mes,25,dr_Cod,"TRIB",dr_Est,"&lt;&gt;Excluido"),p_Trib*AE$129)</f>
        <v>6282.11583333333</v>
      </c>
      <c r="AF130" s="13" t="n">
        <f aca="false">IF(AF$69=1,SUMIFS(dr_USD,dr_Mes,26,dr_Cod,"TRIB",dr_Est,"&lt;&gt;Excluido"),p_Trib*AF$129)</f>
        <v>6282.11583333333</v>
      </c>
      <c r="AG130" s="13" t="n">
        <f aca="false">IF(AG$69=1,SUMIFS(dr_USD,dr_Mes,27,dr_Cod,"TRIB",dr_Est,"&lt;&gt;Excluido"),p_Trib*AG$129)</f>
        <v>6282.11583333333</v>
      </c>
      <c r="AH130" s="13" t="n">
        <f aca="false">IF(AH$69=1,SUMIFS(dr_USD,dr_Mes,28,dr_Cod,"TRIB",dr_Est,"&lt;&gt;Excluido"),p_Trib*AH$129)</f>
        <v>6282.11583333333</v>
      </c>
      <c r="AI130" s="13" t="n">
        <f aca="false">IF(AI$69=1,SUMIFS(dr_USD,dr_Mes,29,dr_Cod,"TRIB",dr_Est,"&lt;&gt;Excluido"),p_Trib*AI$129)</f>
        <v>6282.11583333333</v>
      </c>
      <c r="AJ130" s="13" t="n">
        <f aca="false">IF(AJ$69=1,SUMIFS(dr_USD,dr_Mes,30,dr_Cod,"TRIB",dr_Est,"&lt;&gt;Excluido"),p_Trib*AJ$129)</f>
        <v>6282.11583333333</v>
      </c>
      <c r="AK130" s="13" t="n">
        <f aca="false">IF(AK$69=1,SUMIFS(dr_USD,dr_Mes,31,dr_Cod,"TRIB",dr_Est,"&lt;&gt;Excluido"),p_Trib*AK$129)</f>
        <v>6282.11583333333</v>
      </c>
      <c r="AL130" s="13" t="n">
        <f aca="false">IF(AL$69=1,SUMIFS(dr_USD,dr_Mes,32,dr_Cod,"TRIB",dr_Est,"&lt;&gt;Excluido"),p_Trib*AL$129)</f>
        <v>6282.11583333333</v>
      </c>
      <c r="AM130" s="13" t="n">
        <f aca="false">IF(AM$69=1,SUMIFS(dr_USD,dr_Mes,33,dr_Cod,"TRIB",dr_Est,"&lt;&gt;Excluido"),p_Trib*AM$129)</f>
        <v>6282.11583333333</v>
      </c>
      <c r="AN130" s="13" t="n">
        <f aca="false">IF(AN$69=1,SUMIFS(dr_USD,dr_Mes,34,dr_Cod,"TRIB",dr_Est,"&lt;&gt;Excluido"),p_Trib*AN$129)</f>
        <v>6282.11583333333</v>
      </c>
      <c r="AO130" s="13" t="n">
        <f aca="false">IF(AO$69=1,SUMIFS(dr_USD,dr_Mes,35,dr_Cod,"TRIB",dr_Est,"&lt;&gt;Excluido"),p_Trib*AO$129)</f>
        <v>6282.11583333333</v>
      </c>
      <c r="AP130" s="13" t="n">
        <f aca="false">IF(AP$69=1,SUMIFS(dr_USD,dr_Mes,36,dr_Cod,"TRIB",dr_Est,"&lt;&gt;Excluido"),p_Trib*AP$129)</f>
        <v>6282.11583333333</v>
      </c>
      <c r="AQ130" s="13" t="n">
        <f aca="false">IF(AQ$69=1,SUMIFS(dr_USD,dr_Mes,37,dr_Cod,"TRIB",dr_Est,"&lt;&gt;Excluido"),p_Trib*AQ$129)</f>
        <v>7237.864525</v>
      </c>
      <c r="AR130" s="13" t="n">
        <f aca="false">IF(AR$69=1,SUMIFS(dr_USD,dr_Mes,38,dr_Cod,"TRIB",dr_Est,"&lt;&gt;Excluido"),p_Trib*AR$129)</f>
        <v>7237.864525</v>
      </c>
      <c r="AS130" s="13" t="n">
        <f aca="false">IF(AS$69=1,SUMIFS(dr_USD,dr_Mes,39,dr_Cod,"TRIB",dr_Est,"&lt;&gt;Excluido"),p_Trib*AS$129)</f>
        <v>7237.864525</v>
      </c>
      <c r="AT130" s="13" t="n">
        <f aca="false">IF(AT$69=1,SUMIFS(dr_USD,dr_Mes,40,dr_Cod,"TRIB",dr_Est,"&lt;&gt;Excluido"),p_Trib*AT$129)</f>
        <v>7237.864525</v>
      </c>
      <c r="AU130" s="13" t="n">
        <f aca="false">IF(AU$69=1,SUMIFS(dr_USD,dr_Mes,41,dr_Cod,"TRIB",dr_Est,"&lt;&gt;Excluido"),p_Trib*AU$129)</f>
        <v>7237.864525</v>
      </c>
      <c r="AV130" s="13" t="n">
        <f aca="false">IF(AV$69=1,SUMIFS(dr_USD,dr_Mes,42,dr_Cod,"TRIB",dr_Est,"&lt;&gt;Excluido"),p_Trib*AV$129)</f>
        <v>7237.864525</v>
      </c>
      <c r="AW130" s="13" t="n">
        <f aca="false">IF(AW$69=1,SUMIFS(dr_USD,dr_Mes,43,dr_Cod,"TRIB",dr_Est,"&lt;&gt;Excluido"),p_Trib*AW$129)</f>
        <v>7237.864525</v>
      </c>
      <c r="AX130" s="13" t="n">
        <f aca="false">IF(AX$69=1,SUMIFS(dr_USD,dr_Mes,44,dr_Cod,"TRIB",dr_Est,"&lt;&gt;Excluido"),p_Trib*AX$129)</f>
        <v>7237.864525</v>
      </c>
      <c r="AY130" s="13" t="n">
        <f aca="false">IF(AY$69=1,SUMIFS(dr_USD,dr_Mes,45,dr_Cod,"TRIB",dr_Est,"&lt;&gt;Excluido"),p_Trib*AY$129)</f>
        <v>7237.864525</v>
      </c>
      <c r="AZ130" s="13" t="n">
        <f aca="false">IF(AZ$69=1,SUMIFS(dr_USD,dr_Mes,46,dr_Cod,"TRIB",dr_Est,"&lt;&gt;Excluido"),p_Trib*AZ$129)</f>
        <v>7237.864525</v>
      </c>
      <c r="BA130" s="13" t="n">
        <f aca="false">IF(BA$69=1,SUMIFS(dr_USD,dr_Mes,47,dr_Cod,"TRIB",dr_Est,"&lt;&gt;Excluido"),p_Trib*BA$129)</f>
        <v>7237.864525</v>
      </c>
      <c r="BB130" s="13" t="n">
        <f aca="false">IF(BB$69=1,SUMIFS(dr_USD,dr_Mes,48,dr_Cod,"TRIB",dr_Est,"&lt;&gt;Excluido"),p_Trib*BB$129)</f>
        <v>7237.864525</v>
      </c>
      <c r="BC130" s="13" t="n">
        <f aca="false">IF(BC$69=1,SUMIFS(dr_USD,dr_Mes,49,dr_Cod,"TRIB",dr_Est,"&lt;&gt;Excluido"),p_Trib*BC$129)</f>
        <v>7310.24317025</v>
      </c>
      <c r="BD130" s="13" t="n">
        <f aca="false">IF(BD$69=1,SUMIFS(dr_USD,dr_Mes,50,dr_Cod,"TRIB",dr_Est,"&lt;&gt;Excluido"),p_Trib*BD$129)</f>
        <v>7310.24317025</v>
      </c>
      <c r="BE130" s="13" t="n">
        <f aca="false">IF(BE$69=1,SUMIFS(dr_USD,dr_Mes,51,dr_Cod,"TRIB",dr_Est,"&lt;&gt;Excluido"),p_Trib*BE$129)</f>
        <v>7310.24317025</v>
      </c>
      <c r="BF130" s="13" t="n">
        <f aca="false">IF(BF$69=1,SUMIFS(dr_USD,dr_Mes,52,dr_Cod,"TRIB",dr_Est,"&lt;&gt;Excluido"),p_Trib*BF$129)</f>
        <v>7310.24317025</v>
      </c>
      <c r="BG130" s="13" t="n">
        <f aca="false">IF(BG$69=1,SUMIFS(dr_USD,dr_Mes,53,dr_Cod,"TRIB",dr_Est,"&lt;&gt;Excluido"),p_Trib*BG$129)</f>
        <v>7310.24317025</v>
      </c>
      <c r="BH130" s="13" t="n">
        <f aca="false">IF(BH$69=1,SUMIFS(dr_USD,dr_Mes,54,dr_Cod,"TRIB",dr_Est,"&lt;&gt;Excluido"),p_Trib*BH$129)</f>
        <v>7310.24317025</v>
      </c>
      <c r="BI130" s="13" t="n">
        <f aca="false">IF(BI$69=1,SUMIFS(dr_USD,dr_Mes,55,dr_Cod,"TRIB",dr_Est,"&lt;&gt;Excluido"),p_Trib*BI$129)</f>
        <v>7310.24317025</v>
      </c>
      <c r="BJ130" s="13" t="n">
        <f aca="false">IF(BJ$69=1,SUMIFS(dr_USD,dr_Mes,56,dr_Cod,"TRIB",dr_Est,"&lt;&gt;Excluido"),p_Trib*BJ$129)</f>
        <v>7310.24317025</v>
      </c>
      <c r="BK130" s="13" t="n">
        <f aca="false">IF(BK$69=1,SUMIFS(dr_USD,dr_Mes,57,dr_Cod,"TRIB",dr_Est,"&lt;&gt;Excluido"),p_Trib*BK$129)</f>
        <v>7310.24317025</v>
      </c>
      <c r="BL130" s="13" t="n">
        <f aca="false">IF(BL$69=1,SUMIFS(dr_USD,dr_Mes,58,dr_Cod,"TRIB",dr_Est,"&lt;&gt;Excluido"),p_Trib*BL$129)</f>
        <v>7310.24317025</v>
      </c>
      <c r="BM130" s="13" t="n">
        <f aca="false">IF(BM$69=1,SUMIFS(dr_USD,dr_Mes,59,dr_Cod,"TRIB",dr_Est,"&lt;&gt;Excluido"),p_Trib*BM$129)</f>
        <v>7310.24317025</v>
      </c>
      <c r="BN130" s="13" t="n">
        <f aca="false">IF(BN$69=1,SUMIFS(dr_USD,dr_Mes,60,dr_Cod,"TRIB",dr_Est,"&lt;&gt;Excluido"),p_Trib*BN$129)</f>
        <v>7310.24317025</v>
      </c>
      <c r="BO130" s="13" t="n">
        <f aca="false">IF(BO$69=1,SUMIFS(dr_USD,dr_Mes,61,dr_Cod,"TRIB",dr_Est,"&lt;&gt;Excluido"),p_Trib*BO$129)</f>
        <v>7383.3456019525</v>
      </c>
      <c r="BP130" s="13" t="n">
        <f aca="false">IF(BP$69=1,SUMIFS(dr_USD,dr_Mes,62,dr_Cod,"TRIB",dr_Est,"&lt;&gt;Excluido"),p_Trib*BP$129)</f>
        <v>7383.3456019525</v>
      </c>
      <c r="BQ130" s="13" t="n">
        <f aca="false">IF(BQ$69=1,SUMIFS(dr_USD,dr_Mes,63,dr_Cod,"TRIB",dr_Est,"&lt;&gt;Excluido"),p_Trib*BQ$129)</f>
        <v>7383.3456019525</v>
      </c>
      <c r="BR130" s="13" t="n">
        <f aca="false">IF(BR$69=1,SUMIFS(dr_USD,dr_Mes,64,dr_Cod,"TRIB",dr_Est,"&lt;&gt;Excluido"),p_Trib*BR$129)</f>
        <v>7383.3456019525</v>
      </c>
      <c r="BS130" s="13" t="n">
        <f aca="false">IF(BS$69=1,SUMIFS(dr_USD,dr_Mes,65,dr_Cod,"TRIB",dr_Est,"&lt;&gt;Excluido"),p_Trib*BS$129)</f>
        <v>7383.3456019525</v>
      </c>
      <c r="BT130" s="13" t="n">
        <f aca="false">IF(BT$69=1,SUMIFS(dr_USD,dr_Mes,66,dr_Cod,"TRIB",dr_Est,"&lt;&gt;Excluido"),p_Trib*BT$129)</f>
        <v>7383.3456019525</v>
      </c>
      <c r="BU130" s="13" t="n">
        <f aca="false">IF(BU$69=1,SUMIFS(dr_USD,dr_Mes,67,dr_Cod,"TRIB",dr_Est,"&lt;&gt;Excluido"),p_Trib*BU$129)</f>
        <v>7383.3456019525</v>
      </c>
      <c r="BV130" s="13" t="n">
        <f aca="false">IF(BV$69=1,SUMIFS(dr_USD,dr_Mes,68,dr_Cod,"TRIB",dr_Est,"&lt;&gt;Excluido"),p_Trib*BV$129)</f>
        <v>7383.3456019525</v>
      </c>
      <c r="BW130" s="13" t="n">
        <f aca="false">IF(BW$69=1,SUMIFS(dr_USD,dr_Mes,69,dr_Cod,"TRIB",dr_Est,"&lt;&gt;Excluido"),p_Trib*BW$129)</f>
        <v>7383.3456019525</v>
      </c>
      <c r="BX130" s="13" t="n">
        <f aca="false">IF(BX$69=1,SUMIFS(dr_USD,dr_Mes,70,dr_Cod,"TRIB",dr_Est,"&lt;&gt;Excluido"),p_Trib*BX$129)</f>
        <v>7383.3456019525</v>
      </c>
      <c r="BY130" s="13" t="n">
        <f aca="false">IF(BY$69=1,SUMIFS(dr_USD,dr_Mes,71,dr_Cod,"TRIB",dr_Est,"&lt;&gt;Excluido"),p_Trib*BY$129)</f>
        <v>7383.3456019525</v>
      </c>
      <c r="BZ130" s="13" t="n">
        <f aca="false">IF(BZ$69=1,SUMIFS(dr_USD,dr_Mes,72,dr_Cod,"TRIB",dr_Est,"&lt;&gt;Excluido"),p_Trib*BZ$129)</f>
        <v>7383.3456019525</v>
      </c>
      <c r="CA130" s="13" t="n">
        <f aca="false">IF(CA$69=1,SUMIFS(dr_USD,dr_Mes,73,dr_Cod,"TRIB",dr_Est,"&lt;&gt;Excluido"),p_Trib*CA$129)</f>
        <v>7457.17905797203</v>
      </c>
      <c r="CB130" s="13" t="n">
        <f aca="false">IF(CB$69=1,SUMIFS(dr_USD,dr_Mes,74,dr_Cod,"TRIB",dr_Est,"&lt;&gt;Excluido"),p_Trib*CB$129)</f>
        <v>7457.17905797203</v>
      </c>
      <c r="CC130" s="13" t="n">
        <f aca="false">IF(CC$69=1,SUMIFS(dr_USD,dr_Mes,75,dr_Cod,"TRIB",dr_Est,"&lt;&gt;Excluido"),p_Trib*CC$129)</f>
        <v>7457.17905797203</v>
      </c>
      <c r="CD130" s="13" t="n">
        <f aca="false">IF(CD$69=1,SUMIFS(dr_USD,dr_Mes,76,dr_Cod,"TRIB",dr_Est,"&lt;&gt;Excluido"),p_Trib*CD$129)</f>
        <v>7457.17905797203</v>
      </c>
      <c r="CE130" s="13" t="n">
        <f aca="false">IF(CE$69=1,SUMIFS(dr_USD,dr_Mes,77,dr_Cod,"TRIB",dr_Est,"&lt;&gt;Excluido"),p_Trib*CE$129)</f>
        <v>7457.17905797203</v>
      </c>
      <c r="CF130" s="13" t="n">
        <f aca="false">IF(CF$69=1,SUMIFS(dr_USD,dr_Mes,78,dr_Cod,"TRIB",dr_Est,"&lt;&gt;Excluido"),p_Trib*CF$129)</f>
        <v>7457.17905797203</v>
      </c>
      <c r="CG130" s="13" t="n">
        <f aca="false">IF(CG$69=1,SUMIFS(dr_USD,dr_Mes,79,dr_Cod,"TRIB",dr_Est,"&lt;&gt;Excluido"),p_Trib*CG$129)</f>
        <v>7457.17905797203</v>
      </c>
      <c r="CH130" s="13" t="n">
        <f aca="false">IF(CH$69=1,SUMIFS(dr_USD,dr_Mes,80,dr_Cod,"TRIB",dr_Est,"&lt;&gt;Excluido"),p_Trib*CH$129)</f>
        <v>7457.17905797203</v>
      </c>
      <c r="CI130" s="13" t="n">
        <f aca="false">IF(CI$69=1,SUMIFS(dr_USD,dr_Mes,81,dr_Cod,"TRIB",dr_Est,"&lt;&gt;Excluido"),p_Trib*CI$129)</f>
        <v>7457.17905797203</v>
      </c>
      <c r="CJ130" s="13" t="n">
        <f aca="false">IF(CJ$69=1,SUMIFS(dr_USD,dr_Mes,82,dr_Cod,"TRIB",dr_Est,"&lt;&gt;Excluido"),p_Trib*CJ$129)</f>
        <v>7457.17905797203</v>
      </c>
      <c r="CK130" s="13" t="n">
        <f aca="false">IF(CK$69=1,SUMIFS(dr_USD,dr_Mes,83,dr_Cod,"TRIB",dr_Est,"&lt;&gt;Excluido"),p_Trib*CK$129)</f>
        <v>7457.17905797203</v>
      </c>
      <c r="CL130" s="13" t="n">
        <f aca="false">IF(CL$69=1,SUMIFS(dr_USD,dr_Mes,84,dr_Cod,"TRIB",dr_Est,"&lt;&gt;Excluido"),p_Trib*CL$129)</f>
        <v>7457.17905797203</v>
      </c>
      <c r="CM130" s="13" t="n">
        <f aca="false">IF(CM$69=1,SUMIFS(dr_USD,dr_Mes,85,dr_Cod,"TRIB",dr_Est,"&lt;&gt;Excluido"),p_Trib*CM$129)</f>
        <v>7531.75084855175</v>
      </c>
      <c r="CN130" s="13" t="n">
        <f aca="false">IF(CN$69=1,SUMIFS(dr_USD,dr_Mes,86,dr_Cod,"TRIB",dr_Est,"&lt;&gt;Excluido"),p_Trib*CN$129)</f>
        <v>7531.75084855175</v>
      </c>
      <c r="CO130" s="13" t="n">
        <f aca="false">IF(CO$69=1,SUMIFS(dr_USD,dr_Mes,87,dr_Cod,"TRIB",dr_Est,"&lt;&gt;Excluido"),p_Trib*CO$129)</f>
        <v>7531.75084855175</v>
      </c>
      <c r="CP130" s="13" t="n">
        <f aca="false">IF(CP$69=1,SUMIFS(dr_USD,dr_Mes,88,dr_Cod,"TRIB",dr_Est,"&lt;&gt;Excluido"),p_Trib*CP$129)</f>
        <v>7531.75084855175</v>
      </c>
      <c r="CQ130" s="13" t="n">
        <f aca="false">IF(CQ$69=1,SUMIFS(dr_USD,dr_Mes,89,dr_Cod,"TRIB",dr_Est,"&lt;&gt;Excluido"),p_Trib*CQ$129)</f>
        <v>7531.75084855175</v>
      </c>
      <c r="CR130" s="13" t="n">
        <f aca="false">IF(CR$69=1,SUMIFS(dr_USD,dr_Mes,90,dr_Cod,"TRIB",dr_Est,"&lt;&gt;Excluido"),p_Trib*CR$129)</f>
        <v>7531.75084855175</v>
      </c>
      <c r="CS130" s="13" t="n">
        <f aca="false">IF(CS$69=1,SUMIFS(dr_USD,dr_Mes,91,dr_Cod,"TRIB",dr_Est,"&lt;&gt;Excluido"),p_Trib*CS$129)</f>
        <v>7531.75084855175</v>
      </c>
      <c r="CT130" s="13" t="n">
        <f aca="false">IF(CT$69=1,SUMIFS(dr_USD,dr_Mes,92,dr_Cod,"TRIB",dr_Est,"&lt;&gt;Excluido"),p_Trib*CT$129)</f>
        <v>7531.75084855175</v>
      </c>
      <c r="CU130" s="13" t="n">
        <f aca="false">IF(CU$69=1,SUMIFS(dr_USD,dr_Mes,93,dr_Cod,"TRIB",dr_Est,"&lt;&gt;Excluido"),p_Trib*CU$129)</f>
        <v>7531.75084855175</v>
      </c>
      <c r="CV130" s="13" t="n">
        <f aca="false">IF(CV$69=1,SUMIFS(dr_USD,dr_Mes,94,dr_Cod,"TRIB",dr_Est,"&lt;&gt;Excluido"),p_Trib*CV$129)</f>
        <v>7531.75084855175</v>
      </c>
      <c r="CW130" s="13" t="n">
        <f aca="false">IF(CW$69=1,SUMIFS(dr_USD,dr_Mes,95,dr_Cod,"TRIB",dr_Est,"&lt;&gt;Excluido"),p_Trib*CW$129)</f>
        <v>7531.75084855175</v>
      </c>
      <c r="CX130" s="13" t="n">
        <f aca="false">IF(CX$69=1,SUMIFS(dr_USD,dr_Mes,96,dr_Cod,"TRIB",dr_Est,"&lt;&gt;Excluido"),p_Trib*CX$129)</f>
        <v>7531.75084855175</v>
      </c>
      <c r="CY130" s="13" t="n">
        <f aca="false">IF(CY$69=1,SUMIFS(dr_USD,dr_Mes,97,dr_Cod,"TRIB",dr_Est,"&lt;&gt;Excluido"),p_Trib*CY$129)</f>
        <v>7607.06835703726</v>
      </c>
      <c r="CZ130" s="13" t="n">
        <f aca="false">IF(CZ$69=1,SUMIFS(dr_USD,dr_Mes,98,dr_Cod,"TRIB",dr_Est,"&lt;&gt;Excluido"),p_Trib*CZ$129)</f>
        <v>7607.06835703726</v>
      </c>
      <c r="DA130" s="13" t="n">
        <f aca="false">IF(DA$69=1,SUMIFS(dr_USD,dr_Mes,99,dr_Cod,"TRIB",dr_Est,"&lt;&gt;Excluido"),p_Trib*DA$129)</f>
        <v>7607.06835703726</v>
      </c>
      <c r="DB130" s="13" t="n">
        <f aca="false">IF(DB$69=1,SUMIFS(dr_USD,dr_Mes,100,dr_Cod,"TRIB",dr_Est,"&lt;&gt;Excluido"),p_Trib*DB$129)</f>
        <v>7607.06835703726</v>
      </c>
      <c r="DC130" s="13" t="n">
        <f aca="false">IF(DC$69=1,SUMIFS(dr_USD,dr_Mes,101,dr_Cod,"TRIB",dr_Est,"&lt;&gt;Excluido"),p_Trib*DC$129)</f>
        <v>7607.06835703726</v>
      </c>
      <c r="DD130" s="13" t="n">
        <f aca="false">IF(DD$69=1,SUMIFS(dr_USD,dr_Mes,102,dr_Cod,"TRIB",dr_Est,"&lt;&gt;Excluido"),p_Trib*DD$129)</f>
        <v>7607.06835703726</v>
      </c>
      <c r="DE130" s="13" t="n">
        <f aca="false">IF(DE$69=1,SUMIFS(dr_USD,dr_Mes,103,dr_Cod,"TRIB",dr_Est,"&lt;&gt;Excluido"),p_Trib*DE$129)</f>
        <v>7607.06835703726</v>
      </c>
      <c r="DF130" s="13" t="n">
        <f aca="false">IF(DF$69=1,SUMIFS(dr_USD,dr_Mes,104,dr_Cod,"TRIB",dr_Est,"&lt;&gt;Excluido"),p_Trib*DF$129)</f>
        <v>7607.06835703726</v>
      </c>
      <c r="DG130" s="13" t="n">
        <f aca="false">IF(DG$69=1,SUMIFS(dr_USD,dr_Mes,105,dr_Cod,"TRIB",dr_Est,"&lt;&gt;Excluido"),p_Trib*DG$129)</f>
        <v>7607.06835703726</v>
      </c>
      <c r="DH130" s="13" t="n">
        <f aca="false">IF(DH$69=1,SUMIFS(dr_USD,dr_Mes,106,dr_Cod,"TRIB",dr_Est,"&lt;&gt;Excluido"),p_Trib*DH$129)</f>
        <v>7607.06835703726</v>
      </c>
      <c r="DI130" s="13" t="n">
        <f aca="false">IF(DI$69=1,SUMIFS(dr_USD,dr_Mes,107,dr_Cod,"TRIB",dr_Est,"&lt;&gt;Excluido"),p_Trib*DI$129)</f>
        <v>7607.06835703726</v>
      </c>
      <c r="DJ130" s="13" t="n">
        <f aca="false">IF(DJ$69=1,SUMIFS(dr_USD,dr_Mes,108,dr_Cod,"TRIB",dr_Est,"&lt;&gt;Excluido"),p_Trib*DJ$129)</f>
        <v>7607.06835703726</v>
      </c>
      <c r="DK130" s="13" t="n">
        <f aca="false">IF(DK$69=1,SUMIFS(dr_USD,dr_Mes,109,dr_Cod,"TRIB",dr_Est,"&lt;&gt;Excluido"),p_Trib*DK$129)</f>
        <v>7683.13904060764</v>
      </c>
      <c r="DL130" s="13" t="n">
        <f aca="false">IF(DL$69=1,SUMIFS(dr_USD,dr_Mes,110,dr_Cod,"TRIB",dr_Est,"&lt;&gt;Excluido"),p_Trib*DL$129)</f>
        <v>7683.13904060764</v>
      </c>
      <c r="DM130" s="13" t="n">
        <f aca="false">IF(DM$69=1,SUMIFS(dr_USD,dr_Mes,111,dr_Cod,"TRIB",dr_Est,"&lt;&gt;Excluido"),p_Trib*DM$129)</f>
        <v>7683.13904060764</v>
      </c>
      <c r="DN130" s="13" t="n">
        <f aca="false">IF(DN$69=1,SUMIFS(dr_USD,dr_Mes,112,dr_Cod,"TRIB",dr_Est,"&lt;&gt;Excluido"),p_Trib*DN$129)</f>
        <v>7683.13904060764</v>
      </c>
      <c r="DO130" s="13" t="n">
        <f aca="false">IF(DO$69=1,SUMIFS(dr_USD,dr_Mes,113,dr_Cod,"TRIB",dr_Est,"&lt;&gt;Excluido"),p_Trib*DO$129)</f>
        <v>7683.13904060764</v>
      </c>
      <c r="DP130" s="13" t="n">
        <f aca="false">IF(DP$69=1,SUMIFS(dr_USD,dr_Mes,114,dr_Cod,"TRIB",dr_Est,"&lt;&gt;Excluido"),p_Trib*DP$129)</f>
        <v>7683.13904060764</v>
      </c>
      <c r="DQ130" s="13" t="n">
        <f aca="false">IF(DQ$69=1,SUMIFS(dr_USD,dr_Mes,115,dr_Cod,"TRIB",dr_Est,"&lt;&gt;Excluido"),p_Trib*DQ$129)</f>
        <v>7683.13904060764</v>
      </c>
      <c r="DR130" s="13" t="n">
        <f aca="false">IF(DR$69=1,SUMIFS(dr_USD,dr_Mes,116,dr_Cod,"TRIB",dr_Est,"&lt;&gt;Excluido"),p_Trib*DR$129)</f>
        <v>7683.13904060764</v>
      </c>
      <c r="DS130" s="13" t="n">
        <f aca="false">IF(DS$69=1,SUMIFS(dr_USD,dr_Mes,117,dr_Cod,"TRIB",dr_Est,"&lt;&gt;Excluido"),p_Trib*DS$129)</f>
        <v>7683.13904060764</v>
      </c>
      <c r="DT130" s="13" t="n">
        <f aca="false">IF(DT$69=1,SUMIFS(dr_USD,dr_Mes,118,dr_Cod,"TRIB",dr_Est,"&lt;&gt;Excluido"),p_Trib*DT$129)</f>
        <v>7683.13904060764</v>
      </c>
      <c r="DU130" s="13" t="n">
        <f aca="false">IF(DU$69=1,SUMIFS(dr_USD,dr_Mes,119,dr_Cod,"TRIB",dr_Est,"&lt;&gt;Excluido"),p_Trib*DU$129)</f>
        <v>7683.13904060764</v>
      </c>
      <c r="DV130" s="13" t="n">
        <f aca="false">IF(DV$69=1,SUMIFS(dr_USD,dr_Mes,120,dr_Cod,"TRIB",dr_Est,"&lt;&gt;Excluido"),p_Trib*DV$129)</f>
        <v>7683.13904060764</v>
      </c>
      <c r="DW130" s="13" t="n">
        <f aca="false">IF(DW$69=1,SUMIFS(dr_USD,dr_Mes,121,dr_Cod,"TRIB",dr_Est,"&lt;&gt;Excluido"),p_Trib*DW$129)</f>
        <v>0</v>
      </c>
      <c r="DX130" s="13" t="n">
        <f aca="false">IF(DX$69=1,SUMIFS(dr_USD,dr_Mes,122,dr_Cod,"TRIB",dr_Est,"&lt;&gt;Excluido"),p_Trib*DX$129)</f>
        <v>0</v>
      </c>
      <c r="DY130" s="13" t="n">
        <f aca="false">IF(DY$69=1,SUMIFS(dr_USD,dr_Mes,123,dr_Cod,"TRIB",dr_Est,"&lt;&gt;Excluido"),p_Trib*DY$129)</f>
        <v>0</v>
      </c>
      <c r="DZ130" s="13" t="n">
        <f aca="false">IF(DZ$69=1,SUMIFS(dr_USD,dr_Mes,124,dr_Cod,"TRIB",dr_Est,"&lt;&gt;Excluido"),p_Trib*DZ$129)</f>
        <v>0</v>
      </c>
      <c r="EA130" s="13" t="n">
        <f aca="false">IF(EA$69=1,SUMIFS(dr_USD,dr_Mes,125,dr_Cod,"TRIB",dr_Est,"&lt;&gt;Excluido"),p_Trib*EA$129)</f>
        <v>0</v>
      </c>
      <c r="EB130" s="13" t="n">
        <f aca="false">IF(EB$69=1,SUMIFS(dr_USD,dr_Mes,126,dr_Cod,"TRIB",dr_Est,"&lt;&gt;Excluido"),p_Trib*EB$129)</f>
        <v>0</v>
      </c>
      <c r="EC130" s="13" t="n">
        <f aca="false">IF(EC$69=1,SUMIFS(dr_USD,dr_Mes,127,dr_Cod,"TRIB",dr_Est,"&lt;&gt;Excluido"),p_Trib*EC$129)</f>
        <v>0</v>
      </c>
      <c r="ED130" s="13" t="n">
        <f aca="false">IF(ED$69=1,SUMIFS(dr_USD,dr_Mes,128,dr_Cod,"TRIB",dr_Est,"&lt;&gt;Excluido"),p_Trib*ED$129)</f>
        <v>0</v>
      </c>
      <c r="EE130" s="13" t="n">
        <f aca="false">IF(EE$69=1,SUMIFS(dr_USD,dr_Mes,129,dr_Cod,"TRIB",dr_Est,"&lt;&gt;Excluido"),p_Trib*EE$129)</f>
        <v>0</v>
      </c>
      <c r="EF130" s="13" t="n">
        <f aca="false">IF(EF$69=1,SUMIFS(dr_USD,dr_Mes,130,dr_Cod,"TRIB",dr_Est,"&lt;&gt;Excluido"),p_Trib*EF$129)</f>
        <v>0</v>
      </c>
      <c r="EG130" s="13" t="n">
        <f aca="false">IF(EG$69=1,SUMIFS(dr_USD,dr_Mes,131,dr_Cod,"TRIB",dr_Est,"&lt;&gt;Excluido"),p_Trib*EG$129)</f>
        <v>0</v>
      </c>
      <c r="EH130" s="13" t="n">
        <f aca="false">IF(EH$69=1,SUMIFS(dr_USD,dr_Mes,132,dr_Cod,"TRIB",dr_Est,"&lt;&gt;Excluido"),p_Trib*EH$129)</f>
        <v>0</v>
      </c>
      <c r="EI130" s="13" t="n">
        <f aca="false">IF(EI$69=1,SUMIFS(dr_USD,dr_Mes,133,dr_Cod,"TRIB",dr_Est,"&lt;&gt;Excluido"),p_Trib*EI$129)</f>
        <v>0</v>
      </c>
      <c r="EJ130" s="13" t="n">
        <f aca="false">IF(EJ$69=1,SUMIFS(dr_USD,dr_Mes,134,dr_Cod,"TRIB",dr_Est,"&lt;&gt;Excluido"),p_Trib*EJ$129)</f>
        <v>0</v>
      </c>
      <c r="EK130" s="13" t="n">
        <f aca="false">IF(EK$69=1,SUMIFS(dr_USD,dr_Mes,135,dr_Cod,"TRIB",dr_Est,"&lt;&gt;Excluido"),p_Trib*EK$129)</f>
        <v>0</v>
      </c>
      <c r="EL130" s="13" t="n">
        <f aca="false">IF(EL$69=1,SUMIFS(dr_USD,dr_Mes,136,dr_Cod,"TRIB",dr_Est,"&lt;&gt;Excluido"),p_Trib*EL$129)</f>
        <v>0</v>
      </c>
      <c r="EM130" s="13" t="n">
        <f aca="false">IF(EM$69=1,SUMIFS(dr_USD,dr_Mes,137,dr_Cod,"TRIB",dr_Est,"&lt;&gt;Excluido"),p_Trib*EM$129)</f>
        <v>0</v>
      </c>
      <c r="EN130" s="13" t="n">
        <f aca="false">IF(EN$69=1,SUMIFS(dr_USD,dr_Mes,138,dr_Cod,"TRIB",dr_Est,"&lt;&gt;Excluido"),p_Trib*EN$129)</f>
        <v>0</v>
      </c>
      <c r="EO130" s="13" t="n">
        <f aca="false">IF(EO$69=1,SUMIFS(dr_USD,dr_Mes,139,dr_Cod,"TRIB",dr_Est,"&lt;&gt;Excluido"),p_Trib*EO$129)</f>
        <v>0</v>
      </c>
      <c r="EP130" s="13" t="n">
        <f aca="false">IF(EP$69=1,SUMIFS(dr_USD,dr_Mes,140,dr_Cod,"TRIB",dr_Est,"&lt;&gt;Excluido"),p_Trib*EP$129)</f>
        <v>0</v>
      </c>
      <c r="EQ130" s="13" t="n">
        <f aca="false">IF(EQ$69=1,SUMIFS(dr_USD,dr_Mes,141,dr_Cod,"TRIB",dr_Est,"&lt;&gt;Excluido"),p_Trib*EQ$129)</f>
        <v>0</v>
      </c>
      <c r="ER130" s="13" t="n">
        <f aca="false">IF(ER$69=1,SUMIFS(dr_USD,dr_Mes,142,dr_Cod,"TRIB",dr_Est,"&lt;&gt;Excluido"),p_Trib*ER$129)</f>
        <v>0</v>
      </c>
      <c r="ES130" s="13" t="n">
        <f aca="false">IF(ES$69=1,SUMIFS(dr_USD,dr_Mes,143,dr_Cod,"TRIB",dr_Est,"&lt;&gt;Excluido"),p_Trib*ES$129)</f>
        <v>0</v>
      </c>
      <c r="ET130" s="13" t="n">
        <f aca="false">IF(ET$69=1,SUMIFS(dr_USD,dr_Mes,144,dr_Cod,"TRIB",dr_Est,"&lt;&gt;Excluido"),p_Trib*ET$129)</f>
        <v>0</v>
      </c>
      <c r="EU130" s="13" t="n">
        <f aca="false">IF(EU$69=1,SUMIFS(dr_USD,dr_Mes,145,dr_Cod,"TRIB",dr_Est,"&lt;&gt;Excluido"),p_Trib*EU$129)</f>
        <v>0</v>
      </c>
      <c r="EV130" s="13" t="n">
        <f aca="false">IF(EV$69=1,SUMIFS(dr_USD,dr_Mes,146,dr_Cod,"TRIB",dr_Est,"&lt;&gt;Excluido"),p_Trib*EV$129)</f>
        <v>0</v>
      </c>
      <c r="EW130" s="13" t="n">
        <f aca="false">IF(EW$69=1,SUMIFS(dr_USD,dr_Mes,147,dr_Cod,"TRIB",dr_Est,"&lt;&gt;Excluido"),p_Trib*EW$129)</f>
        <v>0</v>
      </c>
      <c r="EX130" s="13" t="n">
        <f aca="false">IF(EX$69=1,SUMIFS(dr_USD,dr_Mes,148,dr_Cod,"TRIB",dr_Est,"&lt;&gt;Excluido"),p_Trib*EX$129)</f>
        <v>0</v>
      </c>
      <c r="EY130" s="13" t="n">
        <f aca="false">IF(EY$69=1,SUMIFS(dr_USD,dr_Mes,149,dr_Cod,"TRIB",dr_Est,"&lt;&gt;Excluido"),p_Trib*EY$129)</f>
        <v>0</v>
      </c>
      <c r="EZ130" s="13" t="n">
        <f aca="false">IF(EZ$69=1,SUMIFS(dr_USD,dr_Mes,150,dr_Cod,"TRIB",dr_Est,"&lt;&gt;Excluido"),p_Trib*EZ$129)</f>
        <v>0</v>
      </c>
      <c r="FA130" s="13" t="n">
        <f aca="false">IF(FA$69=1,SUMIFS(dr_USD,dr_Mes,151,dr_Cod,"TRIB",dr_Est,"&lt;&gt;Excluido"),p_Trib*FA$129)</f>
        <v>0</v>
      </c>
      <c r="FB130" s="13" t="n">
        <f aca="false">IF(FB$69=1,SUMIFS(dr_USD,dr_Mes,152,dr_Cod,"TRIB",dr_Est,"&lt;&gt;Excluido"),p_Trib*FB$129)</f>
        <v>0</v>
      </c>
      <c r="FC130" s="13" t="n">
        <f aca="false">IF(FC$69=1,SUMIFS(dr_USD,dr_Mes,153,dr_Cod,"TRIB",dr_Est,"&lt;&gt;Excluido"),p_Trib*FC$129)</f>
        <v>0</v>
      </c>
      <c r="FD130" s="13" t="n">
        <f aca="false">IF(FD$69=1,SUMIFS(dr_USD,dr_Mes,154,dr_Cod,"TRIB",dr_Est,"&lt;&gt;Excluido"),p_Trib*FD$129)</f>
        <v>0</v>
      </c>
      <c r="FE130" s="13" t="n">
        <f aca="false">IF(FE$69=1,SUMIFS(dr_USD,dr_Mes,155,dr_Cod,"TRIB",dr_Est,"&lt;&gt;Excluido"),p_Trib*FE$129)</f>
        <v>0</v>
      </c>
      <c r="FF130" s="13" t="n">
        <f aca="false">IF(FF$69=1,SUMIFS(dr_USD,dr_Mes,156,dr_Cod,"TRIB",dr_Est,"&lt;&gt;Excluido"),p_Trib*FF$129)</f>
        <v>0</v>
      </c>
    </row>
    <row r="131" customFormat="false" ht="15" hidden="false" customHeight="false" outlineLevel="0" collapsed="false">
      <c r="A131" s="4"/>
      <c r="B131" s="3" t="s">
        <v>1106</v>
      </c>
      <c r="C131" s="4"/>
      <c r="D131" s="4"/>
      <c r="E131" s="4"/>
    </row>
    <row r="132" customFormat="false" ht="15" hidden="false" customHeight="false" outlineLevel="0" collapsed="false">
      <c r="A132" s="2" t="s">
        <v>1107</v>
      </c>
      <c r="B132" s="8" t="s">
        <v>1108</v>
      </c>
      <c r="C132" s="8" t="s">
        <v>255</v>
      </c>
      <c r="E132" s="65" t="n">
        <f aca="false">SUM($F132:$FF132)</f>
        <v>2339456.77885046</v>
      </c>
      <c r="F132" s="13" t="n">
        <f aca="false">IF(F$69=1,SUMIFS(dr_USD,dr_Mes,0,dr_Cod,"ALQ",dr_Est,"&lt;&gt;Excluido"),p_M2*p_AlqM2*(1+p_IVAalq)*(1+p_AlqG)^(Calendario!F$19-1)*F$75)</f>
        <v>0</v>
      </c>
      <c r="G132" s="13" t="n">
        <f aca="false">IF(G$69=1,SUMIFS(dr_USD,dr_Mes,1,dr_Cod,"ALQ",dr_Est,"&lt;&gt;Excluido"),p_M2*p_AlqM2*(1+p_IVAalq)*(1+p_AlqG)^(Calendario!G$19-1)*G$75)</f>
        <v>17006</v>
      </c>
      <c r="H132" s="13" t="n">
        <f aca="false">IF(H$69=1,SUMIFS(dr_USD,dr_Mes,2,dr_Cod,"ALQ",dr_Est,"&lt;&gt;Excluido"),p_M2*p_AlqM2*(1+p_IVAalq)*(1+p_AlqG)^(Calendario!H$19-1)*H$75)</f>
        <v>17006</v>
      </c>
      <c r="I132" s="13" t="n">
        <f aca="false">IF(I$69=1,SUMIFS(dr_USD,dr_Mes,3,dr_Cod,"ALQ",dr_Est,"&lt;&gt;Excluido"),p_M2*p_AlqM2*(1+p_IVAalq)*(1+p_AlqG)^(Calendario!I$19-1)*I$75)</f>
        <v>17006</v>
      </c>
      <c r="J132" s="13" t="n">
        <f aca="false">IF(J$69=1,SUMIFS(dr_USD,dr_Mes,4,dr_Cod,"ALQ",dr_Est,"&lt;&gt;Excluido"),p_M2*p_AlqM2*(1+p_IVAalq)*(1+p_AlqG)^(Calendario!J$19-1)*J$75)</f>
        <v>17006</v>
      </c>
      <c r="K132" s="13" t="n">
        <f aca="false">IF(K$69=1,SUMIFS(dr_USD,dr_Mes,5,dr_Cod,"ALQ",dr_Est,"&lt;&gt;Excluido"),p_M2*p_AlqM2*(1+p_IVAalq)*(1+p_AlqG)^(Calendario!K$19-1)*K$75)</f>
        <v>17006</v>
      </c>
      <c r="L132" s="13" t="n">
        <f aca="false">IF(L$69=1,SUMIFS(dr_USD,dr_Mes,6,dr_Cod,"ALQ",dr_Est,"&lt;&gt;Excluido"),p_M2*p_AlqM2*(1+p_IVAalq)*(1+p_AlqG)^(Calendario!L$19-1)*L$75)</f>
        <v>17006</v>
      </c>
      <c r="M132" s="13" t="n">
        <f aca="false">IF(M$69=1,SUMIFS(dr_USD,dr_Mes,7,dr_Cod,"ALQ",dr_Est,"&lt;&gt;Excluido"),p_M2*p_AlqM2*(1+p_IVAalq)*(1+p_AlqG)^(Calendario!M$19-1)*M$75)</f>
        <v>17006</v>
      </c>
      <c r="N132" s="13" t="n">
        <f aca="false">IF(N$69=1,SUMIFS(dr_USD,dr_Mes,8,dr_Cod,"ALQ",dr_Est,"&lt;&gt;Excluido"),p_M2*p_AlqM2*(1+p_IVAalq)*(1+p_AlqG)^(Calendario!N$19-1)*N$75)</f>
        <v>17006</v>
      </c>
      <c r="O132" s="13" t="n">
        <f aca="false">IF(O$69=1,SUMIFS(dr_USD,dr_Mes,9,dr_Cod,"ALQ",dr_Est,"&lt;&gt;Excluido"),p_M2*p_AlqM2*(1+p_IVAalq)*(1+p_AlqG)^(Calendario!O$19-1)*O$75)</f>
        <v>17006</v>
      </c>
      <c r="P132" s="13" t="n">
        <f aca="false">IF(P$69=1,SUMIFS(dr_USD,dr_Mes,10,dr_Cod,"ALQ",dr_Est,"&lt;&gt;Excluido"),p_M2*p_AlqM2*(1+p_IVAalq)*(1+p_AlqG)^(Calendario!P$19-1)*P$75)</f>
        <v>17006</v>
      </c>
      <c r="Q132" s="13" t="n">
        <f aca="false">IF(Q$69=1,SUMIFS(dr_USD,dr_Mes,11,dr_Cod,"ALQ",dr_Est,"&lt;&gt;Excluido"),p_M2*p_AlqM2*(1+p_IVAalq)*(1+p_AlqG)^(Calendario!Q$19-1)*Q$75)</f>
        <v>17006</v>
      </c>
      <c r="R132" s="13" t="n">
        <f aca="false">IF(R$69=1,SUMIFS(dr_USD,dr_Mes,12,dr_Cod,"ALQ",dr_Est,"&lt;&gt;Excluido"),p_M2*p_AlqM2*(1+p_IVAalq)*(1+p_AlqG)^(Calendario!R$19-1)*R$75)</f>
        <v>17006</v>
      </c>
      <c r="S132" s="13" t="n">
        <f aca="false">IF(S$69=1,SUMIFS(dr_USD,dr_Mes,13,dr_Cod,"ALQ",dr_Est,"&lt;&gt;Excluido"),p_M2*p_AlqM2*(1+p_IVAalq)*(1+p_AlqG)^(Calendario!S$19-1)*S$75)</f>
        <v>17516.18</v>
      </c>
      <c r="T132" s="13" t="n">
        <f aca="false">IF(T$69=1,SUMIFS(dr_USD,dr_Mes,14,dr_Cod,"ALQ",dr_Est,"&lt;&gt;Excluido"),p_M2*p_AlqM2*(1+p_IVAalq)*(1+p_AlqG)^(Calendario!T$19-1)*T$75)</f>
        <v>17516.18</v>
      </c>
      <c r="U132" s="13" t="n">
        <f aca="false">IF(U$69=1,SUMIFS(dr_USD,dr_Mes,15,dr_Cod,"ALQ",dr_Est,"&lt;&gt;Excluido"),p_M2*p_AlqM2*(1+p_IVAalq)*(1+p_AlqG)^(Calendario!U$19-1)*U$75)</f>
        <v>17516.18</v>
      </c>
      <c r="V132" s="13" t="n">
        <f aca="false">IF(V$69=1,SUMIFS(dr_USD,dr_Mes,16,dr_Cod,"ALQ",dr_Est,"&lt;&gt;Excluido"),p_M2*p_AlqM2*(1+p_IVAalq)*(1+p_AlqG)^(Calendario!V$19-1)*V$75)</f>
        <v>17516.18</v>
      </c>
      <c r="W132" s="13" t="n">
        <f aca="false">IF(W$69=1,SUMIFS(dr_USD,dr_Mes,17,dr_Cod,"ALQ",dr_Est,"&lt;&gt;Excluido"),p_M2*p_AlqM2*(1+p_IVAalq)*(1+p_AlqG)^(Calendario!W$19-1)*W$75)</f>
        <v>17516.18</v>
      </c>
      <c r="X132" s="13" t="n">
        <f aca="false">IF(X$69=1,SUMIFS(dr_USD,dr_Mes,18,dr_Cod,"ALQ",dr_Est,"&lt;&gt;Excluido"),p_M2*p_AlqM2*(1+p_IVAalq)*(1+p_AlqG)^(Calendario!X$19-1)*X$75)</f>
        <v>17516.18</v>
      </c>
      <c r="Y132" s="13" t="n">
        <f aca="false">IF(Y$69=1,SUMIFS(dr_USD,dr_Mes,19,dr_Cod,"ALQ",dr_Est,"&lt;&gt;Excluido"),p_M2*p_AlqM2*(1+p_IVAalq)*(1+p_AlqG)^(Calendario!Y$19-1)*Y$75)</f>
        <v>17516.18</v>
      </c>
      <c r="Z132" s="13" t="n">
        <f aca="false">IF(Z$69=1,SUMIFS(dr_USD,dr_Mes,20,dr_Cod,"ALQ",dr_Est,"&lt;&gt;Excluido"),p_M2*p_AlqM2*(1+p_IVAalq)*(1+p_AlqG)^(Calendario!Z$19-1)*Z$75)</f>
        <v>17516.18</v>
      </c>
      <c r="AA132" s="13" t="n">
        <f aca="false">IF(AA$69=1,SUMIFS(dr_USD,dr_Mes,21,dr_Cod,"ALQ",dr_Est,"&lt;&gt;Excluido"),p_M2*p_AlqM2*(1+p_IVAalq)*(1+p_AlqG)^(Calendario!AA$19-1)*AA$75)</f>
        <v>17516.18</v>
      </c>
      <c r="AB132" s="13" t="n">
        <f aca="false">IF(AB$69=1,SUMIFS(dr_USD,dr_Mes,22,dr_Cod,"ALQ",dr_Est,"&lt;&gt;Excluido"),p_M2*p_AlqM2*(1+p_IVAalq)*(1+p_AlqG)^(Calendario!AB$19-1)*AB$75)</f>
        <v>17516.18</v>
      </c>
      <c r="AC132" s="13" t="n">
        <f aca="false">IF(AC$69=1,SUMIFS(dr_USD,dr_Mes,23,dr_Cod,"ALQ",dr_Est,"&lt;&gt;Excluido"),p_M2*p_AlqM2*(1+p_IVAalq)*(1+p_AlqG)^(Calendario!AC$19-1)*AC$75)</f>
        <v>17516.18</v>
      </c>
      <c r="AD132" s="13" t="n">
        <f aca="false">IF(AD$69=1,SUMIFS(dr_USD,dr_Mes,24,dr_Cod,"ALQ",dr_Est,"&lt;&gt;Excluido"),p_M2*p_AlqM2*(1+p_IVAalq)*(1+p_AlqG)^(Calendario!AD$19-1)*AD$75)</f>
        <v>17516.18</v>
      </c>
      <c r="AE132" s="13" t="n">
        <f aca="false">IF(AE$69=1,SUMIFS(dr_USD,dr_Mes,25,dr_Cod,"ALQ",dr_Est,"&lt;&gt;Excluido"),p_M2*p_AlqM2*(1+p_IVAalq)*(1+p_AlqG)^(Calendario!AE$19-1)*AE$75)</f>
        <v>18041.6654</v>
      </c>
      <c r="AF132" s="13" t="n">
        <f aca="false">IF(AF$69=1,SUMIFS(dr_USD,dr_Mes,26,dr_Cod,"ALQ",dr_Est,"&lt;&gt;Excluido"),p_M2*p_AlqM2*(1+p_IVAalq)*(1+p_AlqG)^(Calendario!AF$19-1)*AF$75)</f>
        <v>18041.6654</v>
      </c>
      <c r="AG132" s="13" t="n">
        <f aca="false">IF(AG$69=1,SUMIFS(dr_USD,dr_Mes,27,dr_Cod,"ALQ",dr_Est,"&lt;&gt;Excluido"),p_M2*p_AlqM2*(1+p_IVAalq)*(1+p_AlqG)^(Calendario!AG$19-1)*AG$75)</f>
        <v>18041.6654</v>
      </c>
      <c r="AH132" s="13" t="n">
        <f aca="false">IF(AH$69=1,SUMIFS(dr_USD,dr_Mes,28,dr_Cod,"ALQ",dr_Est,"&lt;&gt;Excluido"),p_M2*p_AlqM2*(1+p_IVAalq)*(1+p_AlqG)^(Calendario!AH$19-1)*AH$75)</f>
        <v>18041.6654</v>
      </c>
      <c r="AI132" s="13" t="n">
        <f aca="false">IF(AI$69=1,SUMIFS(dr_USD,dr_Mes,29,dr_Cod,"ALQ",dr_Est,"&lt;&gt;Excluido"),p_M2*p_AlqM2*(1+p_IVAalq)*(1+p_AlqG)^(Calendario!AI$19-1)*AI$75)</f>
        <v>18041.6654</v>
      </c>
      <c r="AJ132" s="13" t="n">
        <f aca="false">IF(AJ$69=1,SUMIFS(dr_USD,dr_Mes,30,dr_Cod,"ALQ",dr_Est,"&lt;&gt;Excluido"),p_M2*p_AlqM2*(1+p_IVAalq)*(1+p_AlqG)^(Calendario!AJ$19-1)*AJ$75)</f>
        <v>18041.6654</v>
      </c>
      <c r="AK132" s="13" t="n">
        <f aca="false">IF(AK$69=1,SUMIFS(dr_USD,dr_Mes,31,dr_Cod,"ALQ",dr_Est,"&lt;&gt;Excluido"),p_M2*p_AlqM2*(1+p_IVAalq)*(1+p_AlqG)^(Calendario!AK$19-1)*AK$75)</f>
        <v>18041.6654</v>
      </c>
      <c r="AL132" s="13" t="n">
        <f aca="false">IF(AL$69=1,SUMIFS(dr_USD,dr_Mes,32,dr_Cod,"ALQ",dr_Est,"&lt;&gt;Excluido"),p_M2*p_AlqM2*(1+p_IVAalq)*(1+p_AlqG)^(Calendario!AL$19-1)*AL$75)</f>
        <v>18041.6654</v>
      </c>
      <c r="AM132" s="13" t="n">
        <f aca="false">IF(AM$69=1,SUMIFS(dr_USD,dr_Mes,33,dr_Cod,"ALQ",dr_Est,"&lt;&gt;Excluido"),p_M2*p_AlqM2*(1+p_IVAalq)*(1+p_AlqG)^(Calendario!AM$19-1)*AM$75)</f>
        <v>18041.6654</v>
      </c>
      <c r="AN132" s="13" t="n">
        <f aca="false">IF(AN$69=1,SUMIFS(dr_USD,dr_Mes,34,dr_Cod,"ALQ",dr_Est,"&lt;&gt;Excluido"),p_M2*p_AlqM2*(1+p_IVAalq)*(1+p_AlqG)^(Calendario!AN$19-1)*AN$75)</f>
        <v>18041.6654</v>
      </c>
      <c r="AO132" s="13" t="n">
        <f aca="false">IF(AO$69=1,SUMIFS(dr_USD,dr_Mes,35,dr_Cod,"ALQ",dr_Est,"&lt;&gt;Excluido"),p_M2*p_AlqM2*(1+p_IVAalq)*(1+p_AlqG)^(Calendario!AO$19-1)*AO$75)</f>
        <v>18041.6654</v>
      </c>
      <c r="AP132" s="13" t="n">
        <f aca="false">IF(AP$69=1,SUMIFS(dr_USD,dr_Mes,36,dr_Cod,"ALQ",dr_Est,"&lt;&gt;Excluido"),p_M2*p_AlqM2*(1+p_IVAalq)*(1+p_AlqG)^(Calendario!AP$19-1)*AP$75)</f>
        <v>18041.6654</v>
      </c>
      <c r="AQ132" s="13" t="n">
        <f aca="false">IF(AQ$69=1,SUMIFS(dr_USD,dr_Mes,37,dr_Cod,"ALQ",dr_Est,"&lt;&gt;Excluido"),p_M2*p_AlqM2*(1+p_IVAalq)*(1+p_AlqG)^(Calendario!AQ$19-1)*AQ$75)</f>
        <v>18582.915362</v>
      </c>
      <c r="AR132" s="13" t="n">
        <f aca="false">IF(AR$69=1,SUMIFS(dr_USD,dr_Mes,38,dr_Cod,"ALQ",dr_Est,"&lt;&gt;Excluido"),p_M2*p_AlqM2*(1+p_IVAalq)*(1+p_AlqG)^(Calendario!AR$19-1)*AR$75)</f>
        <v>18582.915362</v>
      </c>
      <c r="AS132" s="13" t="n">
        <f aca="false">IF(AS$69=1,SUMIFS(dr_USD,dr_Mes,39,dr_Cod,"ALQ",dr_Est,"&lt;&gt;Excluido"),p_M2*p_AlqM2*(1+p_IVAalq)*(1+p_AlqG)^(Calendario!AS$19-1)*AS$75)</f>
        <v>18582.915362</v>
      </c>
      <c r="AT132" s="13" t="n">
        <f aca="false">IF(AT$69=1,SUMIFS(dr_USD,dr_Mes,40,dr_Cod,"ALQ",dr_Est,"&lt;&gt;Excluido"),p_M2*p_AlqM2*(1+p_IVAalq)*(1+p_AlqG)^(Calendario!AT$19-1)*AT$75)</f>
        <v>18582.915362</v>
      </c>
      <c r="AU132" s="13" t="n">
        <f aca="false">IF(AU$69=1,SUMIFS(dr_USD,dr_Mes,41,dr_Cod,"ALQ",dr_Est,"&lt;&gt;Excluido"),p_M2*p_AlqM2*(1+p_IVAalq)*(1+p_AlqG)^(Calendario!AU$19-1)*AU$75)</f>
        <v>18582.915362</v>
      </c>
      <c r="AV132" s="13" t="n">
        <f aca="false">IF(AV$69=1,SUMIFS(dr_USD,dr_Mes,42,dr_Cod,"ALQ",dr_Est,"&lt;&gt;Excluido"),p_M2*p_AlqM2*(1+p_IVAalq)*(1+p_AlqG)^(Calendario!AV$19-1)*AV$75)</f>
        <v>18582.915362</v>
      </c>
      <c r="AW132" s="13" t="n">
        <f aca="false">IF(AW$69=1,SUMIFS(dr_USD,dr_Mes,43,dr_Cod,"ALQ",dr_Est,"&lt;&gt;Excluido"),p_M2*p_AlqM2*(1+p_IVAalq)*(1+p_AlqG)^(Calendario!AW$19-1)*AW$75)</f>
        <v>18582.915362</v>
      </c>
      <c r="AX132" s="13" t="n">
        <f aca="false">IF(AX$69=1,SUMIFS(dr_USD,dr_Mes,44,dr_Cod,"ALQ",dr_Est,"&lt;&gt;Excluido"),p_M2*p_AlqM2*(1+p_IVAalq)*(1+p_AlqG)^(Calendario!AX$19-1)*AX$75)</f>
        <v>18582.915362</v>
      </c>
      <c r="AY132" s="13" t="n">
        <f aca="false">IF(AY$69=1,SUMIFS(dr_USD,dr_Mes,45,dr_Cod,"ALQ",dr_Est,"&lt;&gt;Excluido"),p_M2*p_AlqM2*(1+p_IVAalq)*(1+p_AlqG)^(Calendario!AY$19-1)*AY$75)</f>
        <v>18582.915362</v>
      </c>
      <c r="AZ132" s="13" t="n">
        <f aca="false">IF(AZ$69=1,SUMIFS(dr_USD,dr_Mes,46,dr_Cod,"ALQ",dr_Est,"&lt;&gt;Excluido"),p_M2*p_AlqM2*(1+p_IVAalq)*(1+p_AlqG)^(Calendario!AZ$19-1)*AZ$75)</f>
        <v>18582.915362</v>
      </c>
      <c r="BA132" s="13" t="n">
        <f aca="false">IF(BA$69=1,SUMIFS(dr_USD,dr_Mes,47,dr_Cod,"ALQ",dr_Est,"&lt;&gt;Excluido"),p_M2*p_AlqM2*(1+p_IVAalq)*(1+p_AlqG)^(Calendario!BA$19-1)*BA$75)</f>
        <v>18582.915362</v>
      </c>
      <c r="BB132" s="13" t="n">
        <f aca="false">IF(BB$69=1,SUMIFS(dr_USD,dr_Mes,48,dr_Cod,"ALQ",dr_Est,"&lt;&gt;Excluido"),p_M2*p_AlqM2*(1+p_IVAalq)*(1+p_AlqG)^(Calendario!BB$19-1)*BB$75)</f>
        <v>18582.915362</v>
      </c>
      <c r="BC132" s="13" t="n">
        <f aca="false">IF(BC$69=1,SUMIFS(dr_USD,dr_Mes,49,dr_Cod,"ALQ",dr_Est,"&lt;&gt;Excluido"),p_M2*p_AlqM2*(1+p_IVAalq)*(1+p_AlqG)^(Calendario!BC$19-1)*BC$75)</f>
        <v>19140.40282286</v>
      </c>
      <c r="BD132" s="13" t="n">
        <f aca="false">IF(BD$69=1,SUMIFS(dr_USD,dr_Mes,50,dr_Cod,"ALQ",dr_Est,"&lt;&gt;Excluido"),p_M2*p_AlqM2*(1+p_IVAalq)*(1+p_AlqG)^(Calendario!BD$19-1)*BD$75)</f>
        <v>19140.40282286</v>
      </c>
      <c r="BE132" s="13" t="n">
        <f aca="false">IF(BE$69=1,SUMIFS(dr_USD,dr_Mes,51,dr_Cod,"ALQ",dr_Est,"&lt;&gt;Excluido"),p_M2*p_AlqM2*(1+p_IVAalq)*(1+p_AlqG)^(Calendario!BE$19-1)*BE$75)</f>
        <v>19140.40282286</v>
      </c>
      <c r="BF132" s="13" t="n">
        <f aca="false">IF(BF$69=1,SUMIFS(dr_USD,dr_Mes,52,dr_Cod,"ALQ",dr_Est,"&lt;&gt;Excluido"),p_M2*p_AlqM2*(1+p_IVAalq)*(1+p_AlqG)^(Calendario!BF$19-1)*BF$75)</f>
        <v>19140.40282286</v>
      </c>
      <c r="BG132" s="13" t="n">
        <f aca="false">IF(BG$69=1,SUMIFS(dr_USD,dr_Mes,53,dr_Cod,"ALQ",dr_Est,"&lt;&gt;Excluido"),p_M2*p_AlqM2*(1+p_IVAalq)*(1+p_AlqG)^(Calendario!BG$19-1)*BG$75)</f>
        <v>19140.40282286</v>
      </c>
      <c r="BH132" s="13" t="n">
        <f aca="false">IF(BH$69=1,SUMIFS(dr_USD,dr_Mes,54,dr_Cod,"ALQ",dr_Est,"&lt;&gt;Excluido"),p_M2*p_AlqM2*(1+p_IVAalq)*(1+p_AlqG)^(Calendario!BH$19-1)*BH$75)</f>
        <v>19140.40282286</v>
      </c>
      <c r="BI132" s="13" t="n">
        <f aca="false">IF(BI$69=1,SUMIFS(dr_USD,dr_Mes,55,dr_Cod,"ALQ",dr_Est,"&lt;&gt;Excluido"),p_M2*p_AlqM2*(1+p_IVAalq)*(1+p_AlqG)^(Calendario!BI$19-1)*BI$75)</f>
        <v>19140.40282286</v>
      </c>
      <c r="BJ132" s="13" t="n">
        <f aca="false">IF(BJ$69=1,SUMIFS(dr_USD,dr_Mes,56,dr_Cod,"ALQ",dr_Est,"&lt;&gt;Excluido"),p_M2*p_AlqM2*(1+p_IVAalq)*(1+p_AlqG)^(Calendario!BJ$19-1)*BJ$75)</f>
        <v>19140.40282286</v>
      </c>
      <c r="BK132" s="13" t="n">
        <f aca="false">IF(BK$69=1,SUMIFS(dr_USD,dr_Mes,57,dr_Cod,"ALQ",dr_Est,"&lt;&gt;Excluido"),p_M2*p_AlqM2*(1+p_IVAalq)*(1+p_AlqG)^(Calendario!BK$19-1)*BK$75)</f>
        <v>19140.40282286</v>
      </c>
      <c r="BL132" s="13" t="n">
        <f aca="false">IF(BL$69=1,SUMIFS(dr_USD,dr_Mes,58,dr_Cod,"ALQ",dr_Est,"&lt;&gt;Excluido"),p_M2*p_AlqM2*(1+p_IVAalq)*(1+p_AlqG)^(Calendario!BL$19-1)*BL$75)</f>
        <v>19140.40282286</v>
      </c>
      <c r="BM132" s="13" t="n">
        <f aca="false">IF(BM$69=1,SUMIFS(dr_USD,dr_Mes,59,dr_Cod,"ALQ",dr_Est,"&lt;&gt;Excluido"),p_M2*p_AlqM2*(1+p_IVAalq)*(1+p_AlqG)^(Calendario!BM$19-1)*BM$75)</f>
        <v>19140.40282286</v>
      </c>
      <c r="BN132" s="13" t="n">
        <f aca="false">IF(BN$69=1,SUMIFS(dr_USD,dr_Mes,60,dr_Cod,"ALQ",dr_Est,"&lt;&gt;Excluido"),p_M2*p_AlqM2*(1+p_IVAalq)*(1+p_AlqG)^(Calendario!BN$19-1)*BN$75)</f>
        <v>19140.40282286</v>
      </c>
      <c r="BO132" s="13" t="n">
        <f aca="false">IF(BO$69=1,SUMIFS(dr_USD,dr_Mes,61,dr_Cod,"ALQ",dr_Est,"&lt;&gt;Excluido"),p_M2*p_AlqM2*(1+p_IVAalq)*(1+p_AlqG)^(Calendario!BO$19-1)*BO$75)</f>
        <v>19714.6149075458</v>
      </c>
      <c r="BP132" s="13" t="n">
        <f aca="false">IF(BP$69=1,SUMIFS(dr_USD,dr_Mes,62,dr_Cod,"ALQ",dr_Est,"&lt;&gt;Excluido"),p_M2*p_AlqM2*(1+p_IVAalq)*(1+p_AlqG)^(Calendario!BP$19-1)*BP$75)</f>
        <v>19714.6149075458</v>
      </c>
      <c r="BQ132" s="13" t="n">
        <f aca="false">IF(BQ$69=1,SUMIFS(dr_USD,dr_Mes,63,dr_Cod,"ALQ",dr_Est,"&lt;&gt;Excluido"),p_M2*p_AlqM2*(1+p_IVAalq)*(1+p_AlqG)^(Calendario!BQ$19-1)*BQ$75)</f>
        <v>19714.6149075458</v>
      </c>
      <c r="BR132" s="13" t="n">
        <f aca="false">IF(BR$69=1,SUMIFS(dr_USD,dr_Mes,64,dr_Cod,"ALQ",dr_Est,"&lt;&gt;Excluido"),p_M2*p_AlqM2*(1+p_IVAalq)*(1+p_AlqG)^(Calendario!BR$19-1)*BR$75)</f>
        <v>19714.6149075458</v>
      </c>
      <c r="BS132" s="13" t="n">
        <f aca="false">IF(BS$69=1,SUMIFS(dr_USD,dr_Mes,65,dr_Cod,"ALQ",dr_Est,"&lt;&gt;Excluido"),p_M2*p_AlqM2*(1+p_IVAalq)*(1+p_AlqG)^(Calendario!BS$19-1)*BS$75)</f>
        <v>19714.6149075458</v>
      </c>
      <c r="BT132" s="13" t="n">
        <f aca="false">IF(BT$69=1,SUMIFS(dr_USD,dr_Mes,66,dr_Cod,"ALQ",dr_Est,"&lt;&gt;Excluido"),p_M2*p_AlqM2*(1+p_IVAalq)*(1+p_AlqG)^(Calendario!BT$19-1)*BT$75)</f>
        <v>19714.6149075458</v>
      </c>
      <c r="BU132" s="13" t="n">
        <f aca="false">IF(BU$69=1,SUMIFS(dr_USD,dr_Mes,67,dr_Cod,"ALQ",dr_Est,"&lt;&gt;Excluido"),p_M2*p_AlqM2*(1+p_IVAalq)*(1+p_AlqG)^(Calendario!BU$19-1)*BU$75)</f>
        <v>19714.6149075458</v>
      </c>
      <c r="BV132" s="13" t="n">
        <f aca="false">IF(BV$69=1,SUMIFS(dr_USD,dr_Mes,68,dr_Cod,"ALQ",dr_Est,"&lt;&gt;Excluido"),p_M2*p_AlqM2*(1+p_IVAalq)*(1+p_AlqG)^(Calendario!BV$19-1)*BV$75)</f>
        <v>19714.6149075458</v>
      </c>
      <c r="BW132" s="13" t="n">
        <f aca="false">IF(BW$69=1,SUMIFS(dr_USD,dr_Mes,69,dr_Cod,"ALQ",dr_Est,"&lt;&gt;Excluido"),p_M2*p_AlqM2*(1+p_IVAalq)*(1+p_AlqG)^(Calendario!BW$19-1)*BW$75)</f>
        <v>19714.6149075458</v>
      </c>
      <c r="BX132" s="13" t="n">
        <f aca="false">IF(BX$69=1,SUMIFS(dr_USD,dr_Mes,70,dr_Cod,"ALQ",dr_Est,"&lt;&gt;Excluido"),p_M2*p_AlqM2*(1+p_IVAalq)*(1+p_AlqG)^(Calendario!BX$19-1)*BX$75)</f>
        <v>19714.6149075458</v>
      </c>
      <c r="BY132" s="13" t="n">
        <f aca="false">IF(BY$69=1,SUMIFS(dr_USD,dr_Mes,71,dr_Cod,"ALQ",dr_Est,"&lt;&gt;Excluido"),p_M2*p_AlqM2*(1+p_IVAalq)*(1+p_AlqG)^(Calendario!BY$19-1)*BY$75)</f>
        <v>19714.6149075458</v>
      </c>
      <c r="BZ132" s="13" t="n">
        <f aca="false">IF(BZ$69=1,SUMIFS(dr_USD,dr_Mes,72,dr_Cod,"ALQ",dr_Est,"&lt;&gt;Excluido"),p_M2*p_AlqM2*(1+p_IVAalq)*(1+p_AlqG)^(Calendario!BZ$19-1)*BZ$75)</f>
        <v>19714.6149075458</v>
      </c>
      <c r="CA132" s="13" t="n">
        <f aca="false">IF(CA$69=1,SUMIFS(dr_USD,dr_Mes,73,dr_Cod,"ALQ",dr_Est,"&lt;&gt;Excluido"),p_M2*p_AlqM2*(1+p_IVAalq)*(1+p_AlqG)^(Calendario!CA$19-1)*CA$75)</f>
        <v>20306.0533547722</v>
      </c>
      <c r="CB132" s="13" t="n">
        <f aca="false">IF(CB$69=1,SUMIFS(dr_USD,dr_Mes,74,dr_Cod,"ALQ",dr_Est,"&lt;&gt;Excluido"),p_M2*p_AlqM2*(1+p_IVAalq)*(1+p_AlqG)^(Calendario!CB$19-1)*CB$75)</f>
        <v>20306.0533547722</v>
      </c>
      <c r="CC132" s="13" t="n">
        <f aca="false">IF(CC$69=1,SUMIFS(dr_USD,dr_Mes,75,dr_Cod,"ALQ",dr_Est,"&lt;&gt;Excluido"),p_M2*p_AlqM2*(1+p_IVAalq)*(1+p_AlqG)^(Calendario!CC$19-1)*CC$75)</f>
        <v>20306.0533547722</v>
      </c>
      <c r="CD132" s="13" t="n">
        <f aca="false">IF(CD$69=1,SUMIFS(dr_USD,dr_Mes,76,dr_Cod,"ALQ",dr_Est,"&lt;&gt;Excluido"),p_M2*p_AlqM2*(1+p_IVAalq)*(1+p_AlqG)^(Calendario!CD$19-1)*CD$75)</f>
        <v>20306.0533547722</v>
      </c>
      <c r="CE132" s="13" t="n">
        <f aca="false">IF(CE$69=1,SUMIFS(dr_USD,dr_Mes,77,dr_Cod,"ALQ",dr_Est,"&lt;&gt;Excluido"),p_M2*p_AlqM2*(1+p_IVAalq)*(1+p_AlqG)^(Calendario!CE$19-1)*CE$75)</f>
        <v>20306.0533547722</v>
      </c>
      <c r="CF132" s="13" t="n">
        <f aca="false">IF(CF$69=1,SUMIFS(dr_USD,dr_Mes,78,dr_Cod,"ALQ",dr_Est,"&lt;&gt;Excluido"),p_M2*p_AlqM2*(1+p_IVAalq)*(1+p_AlqG)^(Calendario!CF$19-1)*CF$75)</f>
        <v>20306.0533547722</v>
      </c>
      <c r="CG132" s="13" t="n">
        <f aca="false">IF(CG$69=1,SUMIFS(dr_USD,dr_Mes,79,dr_Cod,"ALQ",dr_Est,"&lt;&gt;Excluido"),p_M2*p_AlqM2*(1+p_IVAalq)*(1+p_AlqG)^(Calendario!CG$19-1)*CG$75)</f>
        <v>20306.0533547722</v>
      </c>
      <c r="CH132" s="13" t="n">
        <f aca="false">IF(CH$69=1,SUMIFS(dr_USD,dr_Mes,80,dr_Cod,"ALQ",dr_Est,"&lt;&gt;Excluido"),p_M2*p_AlqM2*(1+p_IVAalq)*(1+p_AlqG)^(Calendario!CH$19-1)*CH$75)</f>
        <v>20306.0533547722</v>
      </c>
      <c r="CI132" s="13" t="n">
        <f aca="false">IF(CI$69=1,SUMIFS(dr_USD,dr_Mes,81,dr_Cod,"ALQ",dr_Est,"&lt;&gt;Excluido"),p_M2*p_AlqM2*(1+p_IVAalq)*(1+p_AlqG)^(Calendario!CI$19-1)*CI$75)</f>
        <v>20306.0533547722</v>
      </c>
      <c r="CJ132" s="13" t="n">
        <f aca="false">IF(CJ$69=1,SUMIFS(dr_USD,dr_Mes,82,dr_Cod,"ALQ",dr_Est,"&lt;&gt;Excluido"),p_M2*p_AlqM2*(1+p_IVAalq)*(1+p_AlqG)^(Calendario!CJ$19-1)*CJ$75)</f>
        <v>20306.0533547722</v>
      </c>
      <c r="CK132" s="13" t="n">
        <f aca="false">IF(CK$69=1,SUMIFS(dr_USD,dr_Mes,83,dr_Cod,"ALQ",dr_Est,"&lt;&gt;Excluido"),p_M2*p_AlqM2*(1+p_IVAalq)*(1+p_AlqG)^(Calendario!CK$19-1)*CK$75)</f>
        <v>20306.0533547722</v>
      </c>
      <c r="CL132" s="13" t="n">
        <f aca="false">IF(CL$69=1,SUMIFS(dr_USD,dr_Mes,84,dr_Cod,"ALQ",dr_Est,"&lt;&gt;Excluido"),p_M2*p_AlqM2*(1+p_IVAalq)*(1+p_AlqG)^(Calendario!CL$19-1)*CL$75)</f>
        <v>20306.0533547722</v>
      </c>
      <c r="CM132" s="13" t="n">
        <f aca="false">IF(CM$69=1,SUMIFS(dr_USD,dr_Mes,85,dr_Cod,"ALQ",dr_Est,"&lt;&gt;Excluido"),p_M2*p_AlqM2*(1+p_IVAalq)*(1+p_AlqG)^(Calendario!CM$19-1)*CM$75)</f>
        <v>20915.2349554153</v>
      </c>
      <c r="CN132" s="13" t="n">
        <f aca="false">IF(CN$69=1,SUMIFS(dr_USD,dr_Mes,86,dr_Cod,"ALQ",dr_Est,"&lt;&gt;Excluido"),p_M2*p_AlqM2*(1+p_IVAalq)*(1+p_AlqG)^(Calendario!CN$19-1)*CN$75)</f>
        <v>20915.2349554153</v>
      </c>
      <c r="CO132" s="13" t="n">
        <f aca="false">IF(CO$69=1,SUMIFS(dr_USD,dr_Mes,87,dr_Cod,"ALQ",dr_Est,"&lt;&gt;Excluido"),p_M2*p_AlqM2*(1+p_IVAalq)*(1+p_AlqG)^(Calendario!CO$19-1)*CO$75)</f>
        <v>20915.2349554153</v>
      </c>
      <c r="CP132" s="13" t="n">
        <f aca="false">IF(CP$69=1,SUMIFS(dr_USD,dr_Mes,88,dr_Cod,"ALQ",dr_Est,"&lt;&gt;Excluido"),p_M2*p_AlqM2*(1+p_IVAalq)*(1+p_AlqG)^(Calendario!CP$19-1)*CP$75)</f>
        <v>20915.2349554153</v>
      </c>
      <c r="CQ132" s="13" t="n">
        <f aca="false">IF(CQ$69=1,SUMIFS(dr_USD,dr_Mes,89,dr_Cod,"ALQ",dr_Est,"&lt;&gt;Excluido"),p_M2*p_AlqM2*(1+p_IVAalq)*(1+p_AlqG)^(Calendario!CQ$19-1)*CQ$75)</f>
        <v>20915.2349554153</v>
      </c>
      <c r="CR132" s="13" t="n">
        <f aca="false">IF(CR$69=1,SUMIFS(dr_USD,dr_Mes,90,dr_Cod,"ALQ",dr_Est,"&lt;&gt;Excluido"),p_M2*p_AlqM2*(1+p_IVAalq)*(1+p_AlqG)^(Calendario!CR$19-1)*CR$75)</f>
        <v>20915.2349554153</v>
      </c>
      <c r="CS132" s="13" t="n">
        <f aca="false">IF(CS$69=1,SUMIFS(dr_USD,dr_Mes,91,dr_Cod,"ALQ",dr_Est,"&lt;&gt;Excluido"),p_M2*p_AlqM2*(1+p_IVAalq)*(1+p_AlqG)^(Calendario!CS$19-1)*CS$75)</f>
        <v>20915.2349554153</v>
      </c>
      <c r="CT132" s="13" t="n">
        <f aca="false">IF(CT$69=1,SUMIFS(dr_USD,dr_Mes,92,dr_Cod,"ALQ",dr_Est,"&lt;&gt;Excluido"),p_M2*p_AlqM2*(1+p_IVAalq)*(1+p_AlqG)^(Calendario!CT$19-1)*CT$75)</f>
        <v>20915.2349554153</v>
      </c>
      <c r="CU132" s="13" t="n">
        <f aca="false">IF(CU$69=1,SUMIFS(dr_USD,dr_Mes,93,dr_Cod,"ALQ",dr_Est,"&lt;&gt;Excluido"),p_M2*p_AlqM2*(1+p_IVAalq)*(1+p_AlqG)^(Calendario!CU$19-1)*CU$75)</f>
        <v>20915.2349554153</v>
      </c>
      <c r="CV132" s="13" t="n">
        <f aca="false">IF(CV$69=1,SUMIFS(dr_USD,dr_Mes,94,dr_Cod,"ALQ",dr_Est,"&lt;&gt;Excluido"),p_M2*p_AlqM2*(1+p_IVAalq)*(1+p_AlqG)^(Calendario!CV$19-1)*CV$75)</f>
        <v>20915.2349554153</v>
      </c>
      <c r="CW132" s="13" t="n">
        <f aca="false">IF(CW$69=1,SUMIFS(dr_USD,dr_Mes,95,dr_Cod,"ALQ",dr_Est,"&lt;&gt;Excluido"),p_M2*p_AlqM2*(1+p_IVAalq)*(1+p_AlqG)^(Calendario!CW$19-1)*CW$75)</f>
        <v>20915.2349554153</v>
      </c>
      <c r="CX132" s="13" t="n">
        <f aca="false">IF(CX$69=1,SUMIFS(dr_USD,dr_Mes,96,dr_Cod,"ALQ",dr_Est,"&lt;&gt;Excluido"),p_M2*p_AlqM2*(1+p_IVAalq)*(1+p_AlqG)^(Calendario!CX$19-1)*CX$75)</f>
        <v>20915.2349554153</v>
      </c>
      <c r="CY132" s="13" t="n">
        <f aca="false">IF(CY$69=1,SUMIFS(dr_USD,dr_Mes,97,dr_Cod,"ALQ",dr_Est,"&lt;&gt;Excluido"),p_M2*p_AlqM2*(1+p_IVAalq)*(1+p_AlqG)^(Calendario!CY$19-1)*CY$75)</f>
        <v>21542.6920040778</v>
      </c>
      <c r="CZ132" s="13" t="n">
        <f aca="false">IF(CZ$69=1,SUMIFS(dr_USD,dr_Mes,98,dr_Cod,"ALQ",dr_Est,"&lt;&gt;Excluido"),p_M2*p_AlqM2*(1+p_IVAalq)*(1+p_AlqG)^(Calendario!CZ$19-1)*CZ$75)</f>
        <v>21542.6920040778</v>
      </c>
      <c r="DA132" s="13" t="n">
        <f aca="false">IF(DA$69=1,SUMIFS(dr_USD,dr_Mes,99,dr_Cod,"ALQ",dr_Est,"&lt;&gt;Excluido"),p_M2*p_AlqM2*(1+p_IVAalq)*(1+p_AlqG)^(Calendario!DA$19-1)*DA$75)</f>
        <v>21542.6920040778</v>
      </c>
      <c r="DB132" s="13" t="n">
        <f aca="false">IF(DB$69=1,SUMIFS(dr_USD,dr_Mes,100,dr_Cod,"ALQ",dr_Est,"&lt;&gt;Excluido"),p_M2*p_AlqM2*(1+p_IVAalq)*(1+p_AlqG)^(Calendario!DB$19-1)*DB$75)</f>
        <v>21542.6920040778</v>
      </c>
      <c r="DC132" s="13" t="n">
        <f aca="false">IF(DC$69=1,SUMIFS(dr_USD,dr_Mes,101,dr_Cod,"ALQ",dr_Est,"&lt;&gt;Excluido"),p_M2*p_AlqM2*(1+p_IVAalq)*(1+p_AlqG)^(Calendario!DC$19-1)*DC$75)</f>
        <v>21542.6920040778</v>
      </c>
      <c r="DD132" s="13" t="n">
        <f aca="false">IF(DD$69=1,SUMIFS(dr_USD,dr_Mes,102,dr_Cod,"ALQ",dr_Est,"&lt;&gt;Excluido"),p_M2*p_AlqM2*(1+p_IVAalq)*(1+p_AlqG)^(Calendario!DD$19-1)*DD$75)</f>
        <v>21542.6920040778</v>
      </c>
      <c r="DE132" s="13" t="n">
        <f aca="false">IF(DE$69=1,SUMIFS(dr_USD,dr_Mes,103,dr_Cod,"ALQ",dr_Est,"&lt;&gt;Excluido"),p_M2*p_AlqM2*(1+p_IVAalq)*(1+p_AlqG)^(Calendario!DE$19-1)*DE$75)</f>
        <v>21542.6920040778</v>
      </c>
      <c r="DF132" s="13" t="n">
        <f aca="false">IF(DF$69=1,SUMIFS(dr_USD,dr_Mes,104,dr_Cod,"ALQ",dr_Est,"&lt;&gt;Excluido"),p_M2*p_AlqM2*(1+p_IVAalq)*(1+p_AlqG)^(Calendario!DF$19-1)*DF$75)</f>
        <v>21542.6920040778</v>
      </c>
      <c r="DG132" s="13" t="n">
        <f aca="false">IF(DG$69=1,SUMIFS(dr_USD,dr_Mes,105,dr_Cod,"ALQ",dr_Est,"&lt;&gt;Excluido"),p_M2*p_AlqM2*(1+p_IVAalq)*(1+p_AlqG)^(Calendario!DG$19-1)*DG$75)</f>
        <v>21542.6920040778</v>
      </c>
      <c r="DH132" s="13" t="n">
        <f aca="false">IF(DH$69=1,SUMIFS(dr_USD,dr_Mes,106,dr_Cod,"ALQ",dr_Est,"&lt;&gt;Excluido"),p_M2*p_AlqM2*(1+p_IVAalq)*(1+p_AlqG)^(Calendario!DH$19-1)*DH$75)</f>
        <v>21542.6920040778</v>
      </c>
      <c r="DI132" s="13" t="n">
        <f aca="false">IF(DI$69=1,SUMIFS(dr_USD,dr_Mes,107,dr_Cod,"ALQ",dr_Est,"&lt;&gt;Excluido"),p_M2*p_AlqM2*(1+p_IVAalq)*(1+p_AlqG)^(Calendario!DI$19-1)*DI$75)</f>
        <v>21542.6920040778</v>
      </c>
      <c r="DJ132" s="13" t="n">
        <f aca="false">IF(DJ$69=1,SUMIFS(dr_USD,dr_Mes,108,dr_Cod,"ALQ",dr_Est,"&lt;&gt;Excluido"),p_M2*p_AlqM2*(1+p_IVAalq)*(1+p_AlqG)^(Calendario!DJ$19-1)*DJ$75)</f>
        <v>21542.6920040778</v>
      </c>
      <c r="DK132" s="13" t="n">
        <f aca="false">IF(DK$69=1,SUMIFS(dr_USD,dr_Mes,109,dr_Cod,"ALQ",dr_Est,"&lt;&gt;Excluido"),p_M2*p_AlqM2*(1+p_IVAalq)*(1+p_AlqG)^(Calendario!DK$19-1)*DK$75)</f>
        <v>22188.9727642001</v>
      </c>
      <c r="DL132" s="13" t="n">
        <f aca="false">IF(DL$69=1,SUMIFS(dr_USD,dr_Mes,110,dr_Cod,"ALQ",dr_Est,"&lt;&gt;Excluido"),p_M2*p_AlqM2*(1+p_IVAalq)*(1+p_AlqG)^(Calendario!DL$19-1)*DL$75)</f>
        <v>22188.9727642001</v>
      </c>
      <c r="DM132" s="13" t="n">
        <f aca="false">IF(DM$69=1,SUMIFS(dr_USD,dr_Mes,111,dr_Cod,"ALQ",dr_Est,"&lt;&gt;Excluido"),p_M2*p_AlqM2*(1+p_IVAalq)*(1+p_AlqG)^(Calendario!DM$19-1)*DM$75)</f>
        <v>22188.9727642001</v>
      </c>
      <c r="DN132" s="13" t="n">
        <f aca="false">IF(DN$69=1,SUMIFS(dr_USD,dr_Mes,112,dr_Cod,"ALQ",dr_Est,"&lt;&gt;Excluido"),p_M2*p_AlqM2*(1+p_IVAalq)*(1+p_AlqG)^(Calendario!DN$19-1)*DN$75)</f>
        <v>22188.9727642001</v>
      </c>
      <c r="DO132" s="13" t="n">
        <f aca="false">IF(DO$69=1,SUMIFS(dr_USD,dr_Mes,113,dr_Cod,"ALQ",dr_Est,"&lt;&gt;Excluido"),p_M2*p_AlqM2*(1+p_IVAalq)*(1+p_AlqG)^(Calendario!DO$19-1)*DO$75)</f>
        <v>22188.9727642001</v>
      </c>
      <c r="DP132" s="13" t="n">
        <f aca="false">IF(DP$69=1,SUMIFS(dr_USD,dr_Mes,114,dr_Cod,"ALQ",dr_Est,"&lt;&gt;Excluido"),p_M2*p_AlqM2*(1+p_IVAalq)*(1+p_AlqG)^(Calendario!DP$19-1)*DP$75)</f>
        <v>22188.9727642001</v>
      </c>
      <c r="DQ132" s="13" t="n">
        <f aca="false">IF(DQ$69=1,SUMIFS(dr_USD,dr_Mes,115,dr_Cod,"ALQ",dr_Est,"&lt;&gt;Excluido"),p_M2*p_AlqM2*(1+p_IVAalq)*(1+p_AlqG)^(Calendario!DQ$19-1)*DQ$75)</f>
        <v>22188.9727642001</v>
      </c>
      <c r="DR132" s="13" t="n">
        <f aca="false">IF(DR$69=1,SUMIFS(dr_USD,dr_Mes,116,dr_Cod,"ALQ",dr_Est,"&lt;&gt;Excluido"),p_M2*p_AlqM2*(1+p_IVAalq)*(1+p_AlqG)^(Calendario!DR$19-1)*DR$75)</f>
        <v>22188.9727642001</v>
      </c>
      <c r="DS132" s="13" t="n">
        <f aca="false">IF(DS$69=1,SUMIFS(dr_USD,dr_Mes,117,dr_Cod,"ALQ",dr_Est,"&lt;&gt;Excluido"),p_M2*p_AlqM2*(1+p_IVAalq)*(1+p_AlqG)^(Calendario!DS$19-1)*DS$75)</f>
        <v>22188.9727642001</v>
      </c>
      <c r="DT132" s="13" t="n">
        <f aca="false">IF(DT$69=1,SUMIFS(dr_USD,dr_Mes,118,dr_Cod,"ALQ",dr_Est,"&lt;&gt;Excluido"),p_M2*p_AlqM2*(1+p_IVAalq)*(1+p_AlqG)^(Calendario!DT$19-1)*DT$75)</f>
        <v>22188.9727642001</v>
      </c>
      <c r="DU132" s="13" t="n">
        <f aca="false">IF(DU$69=1,SUMIFS(dr_USD,dr_Mes,119,dr_Cod,"ALQ",dr_Est,"&lt;&gt;Excluido"),p_M2*p_AlqM2*(1+p_IVAalq)*(1+p_AlqG)^(Calendario!DU$19-1)*DU$75)</f>
        <v>22188.9727642001</v>
      </c>
      <c r="DV132" s="13" t="n">
        <f aca="false">IF(DV$69=1,SUMIFS(dr_USD,dr_Mes,120,dr_Cod,"ALQ",dr_Est,"&lt;&gt;Excluido"),p_M2*p_AlqM2*(1+p_IVAalq)*(1+p_AlqG)^(Calendario!DV$19-1)*DV$75)</f>
        <v>22188.9727642001</v>
      </c>
      <c r="DW132" s="13" t="n">
        <f aca="false">IF(DW$69=1,SUMIFS(dr_USD,dr_Mes,121,dr_Cod,"ALQ",dr_Est,"&lt;&gt;Excluido"),p_M2*p_AlqM2*(1+p_IVAalq)*(1+p_AlqG)^(Calendario!DW$19-1)*DW$75)</f>
        <v>0</v>
      </c>
      <c r="DX132" s="13" t="n">
        <f aca="false">IF(DX$69=1,SUMIFS(dr_USD,dr_Mes,122,dr_Cod,"ALQ",dr_Est,"&lt;&gt;Excluido"),p_M2*p_AlqM2*(1+p_IVAalq)*(1+p_AlqG)^(Calendario!DX$19-1)*DX$75)</f>
        <v>0</v>
      </c>
      <c r="DY132" s="13" t="n">
        <f aca="false">IF(DY$69=1,SUMIFS(dr_USD,dr_Mes,123,dr_Cod,"ALQ",dr_Est,"&lt;&gt;Excluido"),p_M2*p_AlqM2*(1+p_IVAalq)*(1+p_AlqG)^(Calendario!DY$19-1)*DY$75)</f>
        <v>0</v>
      </c>
      <c r="DZ132" s="13" t="n">
        <f aca="false">IF(DZ$69=1,SUMIFS(dr_USD,dr_Mes,124,dr_Cod,"ALQ",dr_Est,"&lt;&gt;Excluido"),p_M2*p_AlqM2*(1+p_IVAalq)*(1+p_AlqG)^(Calendario!DZ$19-1)*DZ$75)</f>
        <v>0</v>
      </c>
      <c r="EA132" s="13" t="n">
        <f aca="false">IF(EA$69=1,SUMIFS(dr_USD,dr_Mes,125,dr_Cod,"ALQ",dr_Est,"&lt;&gt;Excluido"),p_M2*p_AlqM2*(1+p_IVAalq)*(1+p_AlqG)^(Calendario!EA$19-1)*EA$75)</f>
        <v>0</v>
      </c>
      <c r="EB132" s="13" t="n">
        <f aca="false">IF(EB$69=1,SUMIFS(dr_USD,dr_Mes,126,dr_Cod,"ALQ",dr_Est,"&lt;&gt;Excluido"),p_M2*p_AlqM2*(1+p_IVAalq)*(1+p_AlqG)^(Calendario!EB$19-1)*EB$75)</f>
        <v>0</v>
      </c>
      <c r="EC132" s="13" t="n">
        <f aca="false">IF(EC$69=1,SUMIFS(dr_USD,dr_Mes,127,dr_Cod,"ALQ",dr_Est,"&lt;&gt;Excluido"),p_M2*p_AlqM2*(1+p_IVAalq)*(1+p_AlqG)^(Calendario!EC$19-1)*EC$75)</f>
        <v>0</v>
      </c>
      <c r="ED132" s="13" t="n">
        <f aca="false">IF(ED$69=1,SUMIFS(dr_USD,dr_Mes,128,dr_Cod,"ALQ",dr_Est,"&lt;&gt;Excluido"),p_M2*p_AlqM2*(1+p_IVAalq)*(1+p_AlqG)^(Calendario!ED$19-1)*ED$75)</f>
        <v>0</v>
      </c>
      <c r="EE132" s="13" t="n">
        <f aca="false">IF(EE$69=1,SUMIFS(dr_USD,dr_Mes,129,dr_Cod,"ALQ",dr_Est,"&lt;&gt;Excluido"),p_M2*p_AlqM2*(1+p_IVAalq)*(1+p_AlqG)^(Calendario!EE$19-1)*EE$75)</f>
        <v>0</v>
      </c>
      <c r="EF132" s="13" t="n">
        <f aca="false">IF(EF$69=1,SUMIFS(dr_USD,dr_Mes,130,dr_Cod,"ALQ",dr_Est,"&lt;&gt;Excluido"),p_M2*p_AlqM2*(1+p_IVAalq)*(1+p_AlqG)^(Calendario!EF$19-1)*EF$75)</f>
        <v>0</v>
      </c>
      <c r="EG132" s="13" t="n">
        <f aca="false">IF(EG$69=1,SUMIFS(dr_USD,dr_Mes,131,dr_Cod,"ALQ",dr_Est,"&lt;&gt;Excluido"),p_M2*p_AlqM2*(1+p_IVAalq)*(1+p_AlqG)^(Calendario!EG$19-1)*EG$75)</f>
        <v>0</v>
      </c>
      <c r="EH132" s="13" t="n">
        <f aca="false">IF(EH$69=1,SUMIFS(dr_USD,dr_Mes,132,dr_Cod,"ALQ",dr_Est,"&lt;&gt;Excluido"),p_M2*p_AlqM2*(1+p_IVAalq)*(1+p_AlqG)^(Calendario!EH$19-1)*EH$75)</f>
        <v>0</v>
      </c>
      <c r="EI132" s="13" t="n">
        <f aca="false">IF(EI$69=1,SUMIFS(dr_USD,dr_Mes,133,dr_Cod,"ALQ",dr_Est,"&lt;&gt;Excluido"),p_M2*p_AlqM2*(1+p_IVAalq)*(1+p_AlqG)^(Calendario!EI$19-1)*EI$75)</f>
        <v>0</v>
      </c>
      <c r="EJ132" s="13" t="n">
        <f aca="false">IF(EJ$69=1,SUMIFS(dr_USD,dr_Mes,134,dr_Cod,"ALQ",dr_Est,"&lt;&gt;Excluido"),p_M2*p_AlqM2*(1+p_IVAalq)*(1+p_AlqG)^(Calendario!EJ$19-1)*EJ$75)</f>
        <v>0</v>
      </c>
      <c r="EK132" s="13" t="n">
        <f aca="false">IF(EK$69=1,SUMIFS(dr_USD,dr_Mes,135,dr_Cod,"ALQ",dr_Est,"&lt;&gt;Excluido"),p_M2*p_AlqM2*(1+p_IVAalq)*(1+p_AlqG)^(Calendario!EK$19-1)*EK$75)</f>
        <v>0</v>
      </c>
      <c r="EL132" s="13" t="n">
        <f aca="false">IF(EL$69=1,SUMIFS(dr_USD,dr_Mes,136,dr_Cod,"ALQ",dr_Est,"&lt;&gt;Excluido"),p_M2*p_AlqM2*(1+p_IVAalq)*(1+p_AlqG)^(Calendario!EL$19-1)*EL$75)</f>
        <v>0</v>
      </c>
      <c r="EM132" s="13" t="n">
        <f aca="false">IF(EM$69=1,SUMIFS(dr_USD,dr_Mes,137,dr_Cod,"ALQ",dr_Est,"&lt;&gt;Excluido"),p_M2*p_AlqM2*(1+p_IVAalq)*(1+p_AlqG)^(Calendario!EM$19-1)*EM$75)</f>
        <v>0</v>
      </c>
      <c r="EN132" s="13" t="n">
        <f aca="false">IF(EN$69=1,SUMIFS(dr_USD,dr_Mes,138,dr_Cod,"ALQ",dr_Est,"&lt;&gt;Excluido"),p_M2*p_AlqM2*(1+p_IVAalq)*(1+p_AlqG)^(Calendario!EN$19-1)*EN$75)</f>
        <v>0</v>
      </c>
      <c r="EO132" s="13" t="n">
        <f aca="false">IF(EO$69=1,SUMIFS(dr_USD,dr_Mes,139,dr_Cod,"ALQ",dr_Est,"&lt;&gt;Excluido"),p_M2*p_AlqM2*(1+p_IVAalq)*(1+p_AlqG)^(Calendario!EO$19-1)*EO$75)</f>
        <v>0</v>
      </c>
      <c r="EP132" s="13" t="n">
        <f aca="false">IF(EP$69=1,SUMIFS(dr_USD,dr_Mes,140,dr_Cod,"ALQ",dr_Est,"&lt;&gt;Excluido"),p_M2*p_AlqM2*(1+p_IVAalq)*(1+p_AlqG)^(Calendario!EP$19-1)*EP$75)</f>
        <v>0</v>
      </c>
      <c r="EQ132" s="13" t="n">
        <f aca="false">IF(EQ$69=1,SUMIFS(dr_USD,dr_Mes,141,dr_Cod,"ALQ",dr_Est,"&lt;&gt;Excluido"),p_M2*p_AlqM2*(1+p_IVAalq)*(1+p_AlqG)^(Calendario!EQ$19-1)*EQ$75)</f>
        <v>0</v>
      </c>
      <c r="ER132" s="13" t="n">
        <f aca="false">IF(ER$69=1,SUMIFS(dr_USD,dr_Mes,142,dr_Cod,"ALQ",dr_Est,"&lt;&gt;Excluido"),p_M2*p_AlqM2*(1+p_IVAalq)*(1+p_AlqG)^(Calendario!ER$19-1)*ER$75)</f>
        <v>0</v>
      </c>
      <c r="ES132" s="13" t="n">
        <f aca="false">IF(ES$69=1,SUMIFS(dr_USD,dr_Mes,143,dr_Cod,"ALQ",dr_Est,"&lt;&gt;Excluido"),p_M2*p_AlqM2*(1+p_IVAalq)*(1+p_AlqG)^(Calendario!ES$19-1)*ES$75)</f>
        <v>0</v>
      </c>
      <c r="ET132" s="13" t="n">
        <f aca="false">IF(ET$69=1,SUMIFS(dr_USD,dr_Mes,144,dr_Cod,"ALQ",dr_Est,"&lt;&gt;Excluido"),p_M2*p_AlqM2*(1+p_IVAalq)*(1+p_AlqG)^(Calendario!ET$19-1)*ET$75)</f>
        <v>0</v>
      </c>
      <c r="EU132" s="13" t="n">
        <f aca="false">IF(EU$69=1,SUMIFS(dr_USD,dr_Mes,145,dr_Cod,"ALQ",dr_Est,"&lt;&gt;Excluido"),p_M2*p_AlqM2*(1+p_IVAalq)*(1+p_AlqG)^(Calendario!EU$19-1)*EU$75)</f>
        <v>0</v>
      </c>
      <c r="EV132" s="13" t="n">
        <f aca="false">IF(EV$69=1,SUMIFS(dr_USD,dr_Mes,146,dr_Cod,"ALQ",dr_Est,"&lt;&gt;Excluido"),p_M2*p_AlqM2*(1+p_IVAalq)*(1+p_AlqG)^(Calendario!EV$19-1)*EV$75)</f>
        <v>0</v>
      </c>
      <c r="EW132" s="13" t="n">
        <f aca="false">IF(EW$69=1,SUMIFS(dr_USD,dr_Mes,147,dr_Cod,"ALQ",dr_Est,"&lt;&gt;Excluido"),p_M2*p_AlqM2*(1+p_IVAalq)*(1+p_AlqG)^(Calendario!EW$19-1)*EW$75)</f>
        <v>0</v>
      </c>
      <c r="EX132" s="13" t="n">
        <f aca="false">IF(EX$69=1,SUMIFS(dr_USD,dr_Mes,148,dr_Cod,"ALQ",dr_Est,"&lt;&gt;Excluido"),p_M2*p_AlqM2*(1+p_IVAalq)*(1+p_AlqG)^(Calendario!EX$19-1)*EX$75)</f>
        <v>0</v>
      </c>
      <c r="EY132" s="13" t="n">
        <f aca="false">IF(EY$69=1,SUMIFS(dr_USD,dr_Mes,149,dr_Cod,"ALQ",dr_Est,"&lt;&gt;Excluido"),p_M2*p_AlqM2*(1+p_IVAalq)*(1+p_AlqG)^(Calendario!EY$19-1)*EY$75)</f>
        <v>0</v>
      </c>
      <c r="EZ132" s="13" t="n">
        <f aca="false">IF(EZ$69=1,SUMIFS(dr_USD,dr_Mes,150,dr_Cod,"ALQ",dr_Est,"&lt;&gt;Excluido"),p_M2*p_AlqM2*(1+p_IVAalq)*(1+p_AlqG)^(Calendario!EZ$19-1)*EZ$75)</f>
        <v>0</v>
      </c>
      <c r="FA132" s="13" t="n">
        <f aca="false">IF(FA$69=1,SUMIFS(dr_USD,dr_Mes,151,dr_Cod,"ALQ",dr_Est,"&lt;&gt;Excluido"),p_M2*p_AlqM2*(1+p_IVAalq)*(1+p_AlqG)^(Calendario!FA$19-1)*FA$75)</f>
        <v>0</v>
      </c>
      <c r="FB132" s="13" t="n">
        <f aca="false">IF(FB$69=1,SUMIFS(dr_USD,dr_Mes,152,dr_Cod,"ALQ",dr_Est,"&lt;&gt;Excluido"),p_M2*p_AlqM2*(1+p_IVAalq)*(1+p_AlqG)^(Calendario!FB$19-1)*FB$75)</f>
        <v>0</v>
      </c>
      <c r="FC132" s="13" t="n">
        <f aca="false">IF(FC$69=1,SUMIFS(dr_USD,dr_Mes,153,dr_Cod,"ALQ",dr_Est,"&lt;&gt;Excluido"),p_M2*p_AlqM2*(1+p_IVAalq)*(1+p_AlqG)^(Calendario!FC$19-1)*FC$75)</f>
        <v>0</v>
      </c>
      <c r="FD132" s="13" t="n">
        <f aca="false">IF(FD$69=1,SUMIFS(dr_USD,dr_Mes,154,dr_Cod,"ALQ",dr_Est,"&lt;&gt;Excluido"),p_M2*p_AlqM2*(1+p_IVAalq)*(1+p_AlqG)^(Calendario!FD$19-1)*FD$75)</f>
        <v>0</v>
      </c>
      <c r="FE132" s="13" t="n">
        <f aca="false">IF(FE$69=1,SUMIFS(dr_USD,dr_Mes,155,dr_Cod,"ALQ",dr_Est,"&lt;&gt;Excluido"),p_M2*p_AlqM2*(1+p_IVAalq)*(1+p_AlqG)^(Calendario!FE$19-1)*FE$75)</f>
        <v>0</v>
      </c>
      <c r="FF132" s="13" t="n">
        <f aca="false">IF(FF$69=1,SUMIFS(dr_USD,dr_Mes,156,dr_Cod,"ALQ",dr_Est,"&lt;&gt;Excluido"),p_M2*p_AlqM2*(1+p_IVAalq)*(1+p_AlqG)^(Calendario!FF$19-1)*FF$75)</f>
        <v>0</v>
      </c>
    </row>
    <row r="133" customFormat="false" ht="15" hidden="false" customHeight="false" outlineLevel="0" collapsed="false">
      <c r="A133" s="2" t="s">
        <v>1109</v>
      </c>
      <c r="B133" s="8" t="s">
        <v>301</v>
      </c>
      <c r="C133" s="8" t="s">
        <v>255</v>
      </c>
      <c r="E133" s="65" t="n">
        <f aca="false">SUM($F133:$FF133)</f>
        <v>106338.944493203</v>
      </c>
      <c r="F133" s="13" t="n">
        <f aca="false">IF(F$69=1,SUMIFS(dr_USD,dr_Mes,0,dr_Cod,"EXP",dr_Est,"&lt;&gt;Excluido"),p_M2*p_ExpM2*(1+p_AlqG)^(Calendario!F$19-1)*F$75)</f>
        <v>0</v>
      </c>
      <c r="G133" s="13" t="n">
        <f aca="false">IF(G$69=1,SUMIFS(dr_USD,dr_Mes,1,dr_Cod,"EXP",dr_Est,"&lt;&gt;Excluido"),p_M2*p_ExpM2*(1+p_AlqG)^(Calendario!G$19-1)*G$75)</f>
        <v>773</v>
      </c>
      <c r="H133" s="13" t="n">
        <f aca="false">IF(H$69=1,SUMIFS(dr_USD,dr_Mes,2,dr_Cod,"EXP",dr_Est,"&lt;&gt;Excluido"),p_M2*p_ExpM2*(1+p_AlqG)^(Calendario!H$19-1)*H$75)</f>
        <v>773</v>
      </c>
      <c r="I133" s="13" t="n">
        <f aca="false">IF(I$69=1,SUMIFS(dr_USD,dr_Mes,3,dr_Cod,"EXP",dr_Est,"&lt;&gt;Excluido"),p_M2*p_ExpM2*(1+p_AlqG)^(Calendario!I$19-1)*I$75)</f>
        <v>773</v>
      </c>
      <c r="J133" s="13" t="n">
        <f aca="false">IF(J$69=1,SUMIFS(dr_USD,dr_Mes,4,dr_Cod,"EXP",dr_Est,"&lt;&gt;Excluido"),p_M2*p_ExpM2*(1+p_AlqG)^(Calendario!J$19-1)*J$75)</f>
        <v>773</v>
      </c>
      <c r="K133" s="13" t="n">
        <f aca="false">IF(K$69=1,SUMIFS(dr_USD,dr_Mes,5,dr_Cod,"EXP",dr_Est,"&lt;&gt;Excluido"),p_M2*p_ExpM2*(1+p_AlqG)^(Calendario!K$19-1)*K$75)</f>
        <v>773</v>
      </c>
      <c r="L133" s="13" t="n">
        <f aca="false">IF(L$69=1,SUMIFS(dr_USD,dr_Mes,6,dr_Cod,"EXP",dr_Est,"&lt;&gt;Excluido"),p_M2*p_ExpM2*(1+p_AlqG)^(Calendario!L$19-1)*L$75)</f>
        <v>773</v>
      </c>
      <c r="M133" s="13" t="n">
        <f aca="false">IF(M$69=1,SUMIFS(dr_USD,dr_Mes,7,dr_Cod,"EXP",dr_Est,"&lt;&gt;Excluido"),p_M2*p_ExpM2*(1+p_AlqG)^(Calendario!M$19-1)*M$75)</f>
        <v>773</v>
      </c>
      <c r="N133" s="13" t="n">
        <f aca="false">IF(N$69=1,SUMIFS(dr_USD,dr_Mes,8,dr_Cod,"EXP",dr_Est,"&lt;&gt;Excluido"),p_M2*p_ExpM2*(1+p_AlqG)^(Calendario!N$19-1)*N$75)</f>
        <v>773</v>
      </c>
      <c r="O133" s="13" t="n">
        <f aca="false">IF(O$69=1,SUMIFS(dr_USD,dr_Mes,9,dr_Cod,"EXP",dr_Est,"&lt;&gt;Excluido"),p_M2*p_ExpM2*(1+p_AlqG)^(Calendario!O$19-1)*O$75)</f>
        <v>773</v>
      </c>
      <c r="P133" s="13" t="n">
        <f aca="false">IF(P$69=1,SUMIFS(dr_USD,dr_Mes,10,dr_Cod,"EXP",dr_Est,"&lt;&gt;Excluido"),p_M2*p_ExpM2*(1+p_AlqG)^(Calendario!P$19-1)*P$75)</f>
        <v>773</v>
      </c>
      <c r="Q133" s="13" t="n">
        <f aca="false">IF(Q$69=1,SUMIFS(dr_USD,dr_Mes,11,dr_Cod,"EXP",dr_Est,"&lt;&gt;Excluido"),p_M2*p_ExpM2*(1+p_AlqG)^(Calendario!Q$19-1)*Q$75)</f>
        <v>773</v>
      </c>
      <c r="R133" s="13" t="n">
        <f aca="false">IF(R$69=1,SUMIFS(dr_USD,dr_Mes,12,dr_Cod,"EXP",dr_Est,"&lt;&gt;Excluido"),p_M2*p_ExpM2*(1+p_AlqG)^(Calendario!R$19-1)*R$75)</f>
        <v>773</v>
      </c>
      <c r="S133" s="13" t="n">
        <f aca="false">IF(S$69=1,SUMIFS(dr_USD,dr_Mes,13,dr_Cod,"EXP",dr_Est,"&lt;&gt;Excluido"),p_M2*p_ExpM2*(1+p_AlqG)^(Calendario!S$19-1)*S$75)</f>
        <v>796.19</v>
      </c>
      <c r="T133" s="13" t="n">
        <f aca="false">IF(T$69=1,SUMIFS(dr_USD,dr_Mes,14,dr_Cod,"EXP",dr_Est,"&lt;&gt;Excluido"),p_M2*p_ExpM2*(1+p_AlqG)^(Calendario!T$19-1)*T$75)</f>
        <v>796.19</v>
      </c>
      <c r="U133" s="13" t="n">
        <f aca="false">IF(U$69=1,SUMIFS(dr_USD,dr_Mes,15,dr_Cod,"EXP",dr_Est,"&lt;&gt;Excluido"),p_M2*p_ExpM2*(1+p_AlqG)^(Calendario!U$19-1)*U$75)</f>
        <v>796.19</v>
      </c>
      <c r="V133" s="13" t="n">
        <f aca="false">IF(V$69=1,SUMIFS(dr_USD,dr_Mes,16,dr_Cod,"EXP",dr_Est,"&lt;&gt;Excluido"),p_M2*p_ExpM2*(1+p_AlqG)^(Calendario!V$19-1)*V$75)</f>
        <v>796.19</v>
      </c>
      <c r="W133" s="13" t="n">
        <f aca="false">IF(W$69=1,SUMIFS(dr_USD,dr_Mes,17,dr_Cod,"EXP",dr_Est,"&lt;&gt;Excluido"),p_M2*p_ExpM2*(1+p_AlqG)^(Calendario!W$19-1)*W$75)</f>
        <v>796.19</v>
      </c>
      <c r="X133" s="13" t="n">
        <f aca="false">IF(X$69=1,SUMIFS(dr_USD,dr_Mes,18,dr_Cod,"EXP",dr_Est,"&lt;&gt;Excluido"),p_M2*p_ExpM2*(1+p_AlqG)^(Calendario!X$19-1)*X$75)</f>
        <v>796.19</v>
      </c>
      <c r="Y133" s="13" t="n">
        <f aca="false">IF(Y$69=1,SUMIFS(dr_USD,dr_Mes,19,dr_Cod,"EXP",dr_Est,"&lt;&gt;Excluido"),p_M2*p_ExpM2*(1+p_AlqG)^(Calendario!Y$19-1)*Y$75)</f>
        <v>796.19</v>
      </c>
      <c r="Z133" s="13" t="n">
        <f aca="false">IF(Z$69=1,SUMIFS(dr_USD,dr_Mes,20,dr_Cod,"EXP",dr_Est,"&lt;&gt;Excluido"),p_M2*p_ExpM2*(1+p_AlqG)^(Calendario!Z$19-1)*Z$75)</f>
        <v>796.19</v>
      </c>
      <c r="AA133" s="13" t="n">
        <f aca="false">IF(AA$69=1,SUMIFS(dr_USD,dr_Mes,21,dr_Cod,"EXP",dr_Est,"&lt;&gt;Excluido"),p_M2*p_ExpM2*(1+p_AlqG)^(Calendario!AA$19-1)*AA$75)</f>
        <v>796.19</v>
      </c>
      <c r="AB133" s="13" t="n">
        <f aca="false">IF(AB$69=1,SUMIFS(dr_USD,dr_Mes,22,dr_Cod,"EXP",dr_Est,"&lt;&gt;Excluido"),p_M2*p_ExpM2*(1+p_AlqG)^(Calendario!AB$19-1)*AB$75)</f>
        <v>796.19</v>
      </c>
      <c r="AC133" s="13" t="n">
        <f aca="false">IF(AC$69=1,SUMIFS(dr_USD,dr_Mes,23,dr_Cod,"EXP",dr_Est,"&lt;&gt;Excluido"),p_M2*p_ExpM2*(1+p_AlqG)^(Calendario!AC$19-1)*AC$75)</f>
        <v>796.19</v>
      </c>
      <c r="AD133" s="13" t="n">
        <f aca="false">IF(AD$69=1,SUMIFS(dr_USD,dr_Mes,24,dr_Cod,"EXP",dr_Est,"&lt;&gt;Excluido"),p_M2*p_ExpM2*(1+p_AlqG)^(Calendario!AD$19-1)*AD$75)</f>
        <v>796.19</v>
      </c>
      <c r="AE133" s="13" t="n">
        <f aca="false">IF(AE$69=1,SUMIFS(dr_USD,dr_Mes,25,dr_Cod,"EXP",dr_Est,"&lt;&gt;Excluido"),p_M2*p_ExpM2*(1+p_AlqG)^(Calendario!AE$19-1)*AE$75)</f>
        <v>820.0757</v>
      </c>
      <c r="AF133" s="13" t="n">
        <f aca="false">IF(AF$69=1,SUMIFS(dr_USD,dr_Mes,26,dr_Cod,"EXP",dr_Est,"&lt;&gt;Excluido"),p_M2*p_ExpM2*(1+p_AlqG)^(Calendario!AF$19-1)*AF$75)</f>
        <v>820.0757</v>
      </c>
      <c r="AG133" s="13" t="n">
        <f aca="false">IF(AG$69=1,SUMIFS(dr_USD,dr_Mes,27,dr_Cod,"EXP",dr_Est,"&lt;&gt;Excluido"),p_M2*p_ExpM2*(1+p_AlqG)^(Calendario!AG$19-1)*AG$75)</f>
        <v>820.0757</v>
      </c>
      <c r="AH133" s="13" t="n">
        <f aca="false">IF(AH$69=1,SUMIFS(dr_USD,dr_Mes,28,dr_Cod,"EXP",dr_Est,"&lt;&gt;Excluido"),p_M2*p_ExpM2*(1+p_AlqG)^(Calendario!AH$19-1)*AH$75)</f>
        <v>820.0757</v>
      </c>
      <c r="AI133" s="13" t="n">
        <f aca="false">IF(AI$69=1,SUMIFS(dr_USD,dr_Mes,29,dr_Cod,"EXP",dr_Est,"&lt;&gt;Excluido"),p_M2*p_ExpM2*(1+p_AlqG)^(Calendario!AI$19-1)*AI$75)</f>
        <v>820.0757</v>
      </c>
      <c r="AJ133" s="13" t="n">
        <f aca="false">IF(AJ$69=1,SUMIFS(dr_USD,dr_Mes,30,dr_Cod,"EXP",dr_Est,"&lt;&gt;Excluido"),p_M2*p_ExpM2*(1+p_AlqG)^(Calendario!AJ$19-1)*AJ$75)</f>
        <v>820.0757</v>
      </c>
      <c r="AK133" s="13" t="n">
        <f aca="false">IF(AK$69=1,SUMIFS(dr_USD,dr_Mes,31,dr_Cod,"EXP",dr_Est,"&lt;&gt;Excluido"),p_M2*p_ExpM2*(1+p_AlqG)^(Calendario!AK$19-1)*AK$75)</f>
        <v>820.0757</v>
      </c>
      <c r="AL133" s="13" t="n">
        <f aca="false">IF(AL$69=1,SUMIFS(dr_USD,dr_Mes,32,dr_Cod,"EXP",dr_Est,"&lt;&gt;Excluido"),p_M2*p_ExpM2*(1+p_AlqG)^(Calendario!AL$19-1)*AL$75)</f>
        <v>820.0757</v>
      </c>
      <c r="AM133" s="13" t="n">
        <f aca="false">IF(AM$69=1,SUMIFS(dr_USD,dr_Mes,33,dr_Cod,"EXP",dr_Est,"&lt;&gt;Excluido"),p_M2*p_ExpM2*(1+p_AlqG)^(Calendario!AM$19-1)*AM$75)</f>
        <v>820.0757</v>
      </c>
      <c r="AN133" s="13" t="n">
        <f aca="false">IF(AN$69=1,SUMIFS(dr_USD,dr_Mes,34,dr_Cod,"EXP",dr_Est,"&lt;&gt;Excluido"),p_M2*p_ExpM2*(1+p_AlqG)^(Calendario!AN$19-1)*AN$75)</f>
        <v>820.0757</v>
      </c>
      <c r="AO133" s="13" t="n">
        <f aca="false">IF(AO$69=1,SUMIFS(dr_USD,dr_Mes,35,dr_Cod,"EXP",dr_Est,"&lt;&gt;Excluido"),p_M2*p_ExpM2*(1+p_AlqG)^(Calendario!AO$19-1)*AO$75)</f>
        <v>820.0757</v>
      </c>
      <c r="AP133" s="13" t="n">
        <f aca="false">IF(AP$69=1,SUMIFS(dr_USD,dr_Mes,36,dr_Cod,"EXP",dr_Est,"&lt;&gt;Excluido"),p_M2*p_ExpM2*(1+p_AlqG)^(Calendario!AP$19-1)*AP$75)</f>
        <v>820.0757</v>
      </c>
      <c r="AQ133" s="13" t="n">
        <f aca="false">IF(AQ$69=1,SUMIFS(dr_USD,dr_Mes,37,dr_Cod,"EXP",dr_Est,"&lt;&gt;Excluido"),p_M2*p_ExpM2*(1+p_AlqG)^(Calendario!AQ$19-1)*AQ$75)</f>
        <v>844.677971</v>
      </c>
      <c r="AR133" s="13" t="n">
        <f aca="false">IF(AR$69=1,SUMIFS(dr_USD,dr_Mes,38,dr_Cod,"EXP",dr_Est,"&lt;&gt;Excluido"),p_M2*p_ExpM2*(1+p_AlqG)^(Calendario!AR$19-1)*AR$75)</f>
        <v>844.677971</v>
      </c>
      <c r="AS133" s="13" t="n">
        <f aca="false">IF(AS$69=1,SUMIFS(dr_USD,dr_Mes,39,dr_Cod,"EXP",dr_Est,"&lt;&gt;Excluido"),p_M2*p_ExpM2*(1+p_AlqG)^(Calendario!AS$19-1)*AS$75)</f>
        <v>844.677971</v>
      </c>
      <c r="AT133" s="13" t="n">
        <f aca="false">IF(AT$69=1,SUMIFS(dr_USD,dr_Mes,40,dr_Cod,"EXP",dr_Est,"&lt;&gt;Excluido"),p_M2*p_ExpM2*(1+p_AlqG)^(Calendario!AT$19-1)*AT$75)</f>
        <v>844.677971</v>
      </c>
      <c r="AU133" s="13" t="n">
        <f aca="false">IF(AU$69=1,SUMIFS(dr_USD,dr_Mes,41,dr_Cod,"EXP",dr_Est,"&lt;&gt;Excluido"),p_M2*p_ExpM2*(1+p_AlqG)^(Calendario!AU$19-1)*AU$75)</f>
        <v>844.677971</v>
      </c>
      <c r="AV133" s="13" t="n">
        <f aca="false">IF(AV$69=1,SUMIFS(dr_USD,dr_Mes,42,dr_Cod,"EXP",dr_Est,"&lt;&gt;Excluido"),p_M2*p_ExpM2*(1+p_AlqG)^(Calendario!AV$19-1)*AV$75)</f>
        <v>844.677971</v>
      </c>
      <c r="AW133" s="13" t="n">
        <f aca="false">IF(AW$69=1,SUMIFS(dr_USD,dr_Mes,43,dr_Cod,"EXP",dr_Est,"&lt;&gt;Excluido"),p_M2*p_ExpM2*(1+p_AlqG)^(Calendario!AW$19-1)*AW$75)</f>
        <v>844.677971</v>
      </c>
      <c r="AX133" s="13" t="n">
        <f aca="false">IF(AX$69=1,SUMIFS(dr_USD,dr_Mes,44,dr_Cod,"EXP",dr_Est,"&lt;&gt;Excluido"),p_M2*p_ExpM2*(1+p_AlqG)^(Calendario!AX$19-1)*AX$75)</f>
        <v>844.677971</v>
      </c>
      <c r="AY133" s="13" t="n">
        <f aca="false">IF(AY$69=1,SUMIFS(dr_USD,dr_Mes,45,dr_Cod,"EXP",dr_Est,"&lt;&gt;Excluido"),p_M2*p_ExpM2*(1+p_AlqG)^(Calendario!AY$19-1)*AY$75)</f>
        <v>844.677971</v>
      </c>
      <c r="AZ133" s="13" t="n">
        <f aca="false">IF(AZ$69=1,SUMIFS(dr_USD,dr_Mes,46,dr_Cod,"EXP",dr_Est,"&lt;&gt;Excluido"),p_M2*p_ExpM2*(1+p_AlqG)^(Calendario!AZ$19-1)*AZ$75)</f>
        <v>844.677971</v>
      </c>
      <c r="BA133" s="13" t="n">
        <f aca="false">IF(BA$69=1,SUMIFS(dr_USD,dr_Mes,47,dr_Cod,"EXP",dr_Est,"&lt;&gt;Excluido"),p_M2*p_ExpM2*(1+p_AlqG)^(Calendario!BA$19-1)*BA$75)</f>
        <v>844.677971</v>
      </c>
      <c r="BB133" s="13" t="n">
        <f aca="false">IF(BB$69=1,SUMIFS(dr_USD,dr_Mes,48,dr_Cod,"EXP",dr_Est,"&lt;&gt;Excluido"),p_M2*p_ExpM2*(1+p_AlqG)^(Calendario!BB$19-1)*BB$75)</f>
        <v>844.677971</v>
      </c>
      <c r="BC133" s="13" t="n">
        <f aca="false">IF(BC$69=1,SUMIFS(dr_USD,dr_Mes,49,dr_Cod,"EXP",dr_Est,"&lt;&gt;Excluido"),p_M2*p_ExpM2*(1+p_AlqG)^(Calendario!BC$19-1)*BC$75)</f>
        <v>870.01831013</v>
      </c>
      <c r="BD133" s="13" t="n">
        <f aca="false">IF(BD$69=1,SUMIFS(dr_USD,dr_Mes,50,dr_Cod,"EXP",dr_Est,"&lt;&gt;Excluido"),p_M2*p_ExpM2*(1+p_AlqG)^(Calendario!BD$19-1)*BD$75)</f>
        <v>870.01831013</v>
      </c>
      <c r="BE133" s="13" t="n">
        <f aca="false">IF(BE$69=1,SUMIFS(dr_USD,dr_Mes,51,dr_Cod,"EXP",dr_Est,"&lt;&gt;Excluido"),p_M2*p_ExpM2*(1+p_AlqG)^(Calendario!BE$19-1)*BE$75)</f>
        <v>870.01831013</v>
      </c>
      <c r="BF133" s="13" t="n">
        <f aca="false">IF(BF$69=1,SUMIFS(dr_USD,dr_Mes,52,dr_Cod,"EXP",dr_Est,"&lt;&gt;Excluido"),p_M2*p_ExpM2*(1+p_AlqG)^(Calendario!BF$19-1)*BF$75)</f>
        <v>870.01831013</v>
      </c>
      <c r="BG133" s="13" t="n">
        <f aca="false">IF(BG$69=1,SUMIFS(dr_USD,dr_Mes,53,dr_Cod,"EXP",dr_Est,"&lt;&gt;Excluido"),p_M2*p_ExpM2*(1+p_AlqG)^(Calendario!BG$19-1)*BG$75)</f>
        <v>870.01831013</v>
      </c>
      <c r="BH133" s="13" t="n">
        <f aca="false">IF(BH$69=1,SUMIFS(dr_USD,dr_Mes,54,dr_Cod,"EXP",dr_Est,"&lt;&gt;Excluido"),p_M2*p_ExpM2*(1+p_AlqG)^(Calendario!BH$19-1)*BH$75)</f>
        <v>870.01831013</v>
      </c>
      <c r="BI133" s="13" t="n">
        <f aca="false">IF(BI$69=1,SUMIFS(dr_USD,dr_Mes,55,dr_Cod,"EXP",dr_Est,"&lt;&gt;Excluido"),p_M2*p_ExpM2*(1+p_AlqG)^(Calendario!BI$19-1)*BI$75)</f>
        <v>870.01831013</v>
      </c>
      <c r="BJ133" s="13" t="n">
        <f aca="false">IF(BJ$69=1,SUMIFS(dr_USD,dr_Mes,56,dr_Cod,"EXP",dr_Est,"&lt;&gt;Excluido"),p_M2*p_ExpM2*(1+p_AlqG)^(Calendario!BJ$19-1)*BJ$75)</f>
        <v>870.01831013</v>
      </c>
      <c r="BK133" s="13" t="n">
        <f aca="false">IF(BK$69=1,SUMIFS(dr_USD,dr_Mes,57,dr_Cod,"EXP",dr_Est,"&lt;&gt;Excluido"),p_M2*p_ExpM2*(1+p_AlqG)^(Calendario!BK$19-1)*BK$75)</f>
        <v>870.01831013</v>
      </c>
      <c r="BL133" s="13" t="n">
        <f aca="false">IF(BL$69=1,SUMIFS(dr_USD,dr_Mes,58,dr_Cod,"EXP",dr_Est,"&lt;&gt;Excluido"),p_M2*p_ExpM2*(1+p_AlqG)^(Calendario!BL$19-1)*BL$75)</f>
        <v>870.01831013</v>
      </c>
      <c r="BM133" s="13" t="n">
        <f aca="false">IF(BM$69=1,SUMIFS(dr_USD,dr_Mes,59,dr_Cod,"EXP",dr_Est,"&lt;&gt;Excluido"),p_M2*p_ExpM2*(1+p_AlqG)^(Calendario!BM$19-1)*BM$75)</f>
        <v>870.01831013</v>
      </c>
      <c r="BN133" s="13" t="n">
        <f aca="false">IF(BN$69=1,SUMIFS(dr_USD,dr_Mes,60,dr_Cod,"EXP",dr_Est,"&lt;&gt;Excluido"),p_M2*p_ExpM2*(1+p_AlqG)^(Calendario!BN$19-1)*BN$75)</f>
        <v>870.01831013</v>
      </c>
      <c r="BO133" s="13" t="n">
        <f aca="false">IF(BO$69=1,SUMIFS(dr_USD,dr_Mes,61,dr_Cod,"EXP",dr_Est,"&lt;&gt;Excluido"),p_M2*p_ExpM2*(1+p_AlqG)^(Calendario!BO$19-1)*BO$75)</f>
        <v>896.1188594339</v>
      </c>
      <c r="BP133" s="13" t="n">
        <f aca="false">IF(BP$69=1,SUMIFS(dr_USD,dr_Mes,62,dr_Cod,"EXP",dr_Est,"&lt;&gt;Excluido"),p_M2*p_ExpM2*(1+p_AlqG)^(Calendario!BP$19-1)*BP$75)</f>
        <v>896.1188594339</v>
      </c>
      <c r="BQ133" s="13" t="n">
        <f aca="false">IF(BQ$69=1,SUMIFS(dr_USD,dr_Mes,63,dr_Cod,"EXP",dr_Est,"&lt;&gt;Excluido"),p_M2*p_ExpM2*(1+p_AlqG)^(Calendario!BQ$19-1)*BQ$75)</f>
        <v>896.1188594339</v>
      </c>
      <c r="BR133" s="13" t="n">
        <f aca="false">IF(BR$69=1,SUMIFS(dr_USD,dr_Mes,64,dr_Cod,"EXP",dr_Est,"&lt;&gt;Excluido"),p_M2*p_ExpM2*(1+p_AlqG)^(Calendario!BR$19-1)*BR$75)</f>
        <v>896.1188594339</v>
      </c>
      <c r="BS133" s="13" t="n">
        <f aca="false">IF(BS$69=1,SUMIFS(dr_USD,dr_Mes,65,dr_Cod,"EXP",dr_Est,"&lt;&gt;Excluido"),p_M2*p_ExpM2*(1+p_AlqG)^(Calendario!BS$19-1)*BS$75)</f>
        <v>896.1188594339</v>
      </c>
      <c r="BT133" s="13" t="n">
        <f aca="false">IF(BT$69=1,SUMIFS(dr_USD,dr_Mes,66,dr_Cod,"EXP",dr_Est,"&lt;&gt;Excluido"),p_M2*p_ExpM2*(1+p_AlqG)^(Calendario!BT$19-1)*BT$75)</f>
        <v>896.1188594339</v>
      </c>
      <c r="BU133" s="13" t="n">
        <f aca="false">IF(BU$69=1,SUMIFS(dr_USD,dr_Mes,67,dr_Cod,"EXP",dr_Est,"&lt;&gt;Excluido"),p_M2*p_ExpM2*(1+p_AlqG)^(Calendario!BU$19-1)*BU$75)</f>
        <v>896.1188594339</v>
      </c>
      <c r="BV133" s="13" t="n">
        <f aca="false">IF(BV$69=1,SUMIFS(dr_USD,dr_Mes,68,dr_Cod,"EXP",dr_Est,"&lt;&gt;Excluido"),p_M2*p_ExpM2*(1+p_AlqG)^(Calendario!BV$19-1)*BV$75)</f>
        <v>896.1188594339</v>
      </c>
      <c r="BW133" s="13" t="n">
        <f aca="false">IF(BW$69=1,SUMIFS(dr_USD,dr_Mes,69,dr_Cod,"EXP",dr_Est,"&lt;&gt;Excluido"),p_M2*p_ExpM2*(1+p_AlqG)^(Calendario!BW$19-1)*BW$75)</f>
        <v>896.1188594339</v>
      </c>
      <c r="BX133" s="13" t="n">
        <f aca="false">IF(BX$69=1,SUMIFS(dr_USD,dr_Mes,70,dr_Cod,"EXP",dr_Est,"&lt;&gt;Excluido"),p_M2*p_ExpM2*(1+p_AlqG)^(Calendario!BX$19-1)*BX$75)</f>
        <v>896.1188594339</v>
      </c>
      <c r="BY133" s="13" t="n">
        <f aca="false">IF(BY$69=1,SUMIFS(dr_USD,dr_Mes,71,dr_Cod,"EXP",dr_Est,"&lt;&gt;Excluido"),p_M2*p_ExpM2*(1+p_AlqG)^(Calendario!BY$19-1)*BY$75)</f>
        <v>896.1188594339</v>
      </c>
      <c r="BZ133" s="13" t="n">
        <f aca="false">IF(BZ$69=1,SUMIFS(dr_USD,dr_Mes,72,dr_Cod,"EXP",dr_Est,"&lt;&gt;Excluido"),p_M2*p_ExpM2*(1+p_AlqG)^(Calendario!BZ$19-1)*BZ$75)</f>
        <v>896.1188594339</v>
      </c>
      <c r="CA133" s="13" t="n">
        <f aca="false">IF(CA$69=1,SUMIFS(dr_USD,dr_Mes,73,dr_Cod,"EXP",dr_Est,"&lt;&gt;Excluido"),p_M2*p_ExpM2*(1+p_AlqG)^(Calendario!CA$19-1)*CA$75)</f>
        <v>923.002425216917</v>
      </c>
      <c r="CB133" s="13" t="n">
        <f aca="false">IF(CB$69=1,SUMIFS(dr_USD,dr_Mes,74,dr_Cod,"EXP",dr_Est,"&lt;&gt;Excluido"),p_M2*p_ExpM2*(1+p_AlqG)^(Calendario!CB$19-1)*CB$75)</f>
        <v>923.002425216917</v>
      </c>
      <c r="CC133" s="13" t="n">
        <f aca="false">IF(CC$69=1,SUMIFS(dr_USD,dr_Mes,75,dr_Cod,"EXP",dr_Est,"&lt;&gt;Excluido"),p_M2*p_ExpM2*(1+p_AlqG)^(Calendario!CC$19-1)*CC$75)</f>
        <v>923.002425216917</v>
      </c>
      <c r="CD133" s="13" t="n">
        <f aca="false">IF(CD$69=1,SUMIFS(dr_USD,dr_Mes,76,dr_Cod,"EXP",dr_Est,"&lt;&gt;Excluido"),p_M2*p_ExpM2*(1+p_AlqG)^(Calendario!CD$19-1)*CD$75)</f>
        <v>923.002425216917</v>
      </c>
      <c r="CE133" s="13" t="n">
        <f aca="false">IF(CE$69=1,SUMIFS(dr_USD,dr_Mes,77,dr_Cod,"EXP",dr_Est,"&lt;&gt;Excluido"),p_M2*p_ExpM2*(1+p_AlqG)^(Calendario!CE$19-1)*CE$75)</f>
        <v>923.002425216917</v>
      </c>
      <c r="CF133" s="13" t="n">
        <f aca="false">IF(CF$69=1,SUMIFS(dr_USD,dr_Mes,78,dr_Cod,"EXP",dr_Est,"&lt;&gt;Excluido"),p_M2*p_ExpM2*(1+p_AlqG)^(Calendario!CF$19-1)*CF$75)</f>
        <v>923.002425216917</v>
      </c>
      <c r="CG133" s="13" t="n">
        <f aca="false">IF(CG$69=1,SUMIFS(dr_USD,dr_Mes,79,dr_Cod,"EXP",dr_Est,"&lt;&gt;Excluido"),p_M2*p_ExpM2*(1+p_AlqG)^(Calendario!CG$19-1)*CG$75)</f>
        <v>923.002425216917</v>
      </c>
      <c r="CH133" s="13" t="n">
        <f aca="false">IF(CH$69=1,SUMIFS(dr_USD,dr_Mes,80,dr_Cod,"EXP",dr_Est,"&lt;&gt;Excluido"),p_M2*p_ExpM2*(1+p_AlqG)^(Calendario!CH$19-1)*CH$75)</f>
        <v>923.002425216917</v>
      </c>
      <c r="CI133" s="13" t="n">
        <f aca="false">IF(CI$69=1,SUMIFS(dr_USD,dr_Mes,81,dr_Cod,"EXP",dr_Est,"&lt;&gt;Excluido"),p_M2*p_ExpM2*(1+p_AlqG)^(Calendario!CI$19-1)*CI$75)</f>
        <v>923.002425216917</v>
      </c>
      <c r="CJ133" s="13" t="n">
        <f aca="false">IF(CJ$69=1,SUMIFS(dr_USD,dr_Mes,82,dr_Cod,"EXP",dr_Est,"&lt;&gt;Excluido"),p_M2*p_ExpM2*(1+p_AlqG)^(Calendario!CJ$19-1)*CJ$75)</f>
        <v>923.002425216917</v>
      </c>
      <c r="CK133" s="13" t="n">
        <f aca="false">IF(CK$69=1,SUMIFS(dr_USD,dr_Mes,83,dr_Cod,"EXP",dr_Est,"&lt;&gt;Excluido"),p_M2*p_ExpM2*(1+p_AlqG)^(Calendario!CK$19-1)*CK$75)</f>
        <v>923.002425216917</v>
      </c>
      <c r="CL133" s="13" t="n">
        <f aca="false">IF(CL$69=1,SUMIFS(dr_USD,dr_Mes,84,dr_Cod,"EXP",dr_Est,"&lt;&gt;Excluido"),p_M2*p_ExpM2*(1+p_AlqG)^(Calendario!CL$19-1)*CL$75)</f>
        <v>923.002425216917</v>
      </c>
      <c r="CM133" s="13" t="n">
        <f aca="false">IF(CM$69=1,SUMIFS(dr_USD,dr_Mes,85,dr_Cod,"EXP",dr_Est,"&lt;&gt;Excluido"),p_M2*p_ExpM2*(1+p_AlqG)^(Calendario!CM$19-1)*CM$75)</f>
        <v>950.692497973425</v>
      </c>
      <c r="CN133" s="13" t="n">
        <f aca="false">IF(CN$69=1,SUMIFS(dr_USD,dr_Mes,86,dr_Cod,"EXP",dr_Est,"&lt;&gt;Excluido"),p_M2*p_ExpM2*(1+p_AlqG)^(Calendario!CN$19-1)*CN$75)</f>
        <v>950.692497973425</v>
      </c>
      <c r="CO133" s="13" t="n">
        <f aca="false">IF(CO$69=1,SUMIFS(dr_USD,dr_Mes,87,dr_Cod,"EXP",dr_Est,"&lt;&gt;Excluido"),p_M2*p_ExpM2*(1+p_AlqG)^(Calendario!CO$19-1)*CO$75)</f>
        <v>950.692497973425</v>
      </c>
      <c r="CP133" s="13" t="n">
        <f aca="false">IF(CP$69=1,SUMIFS(dr_USD,dr_Mes,88,dr_Cod,"EXP",dr_Est,"&lt;&gt;Excluido"),p_M2*p_ExpM2*(1+p_AlqG)^(Calendario!CP$19-1)*CP$75)</f>
        <v>950.692497973425</v>
      </c>
      <c r="CQ133" s="13" t="n">
        <f aca="false">IF(CQ$69=1,SUMIFS(dr_USD,dr_Mes,89,dr_Cod,"EXP",dr_Est,"&lt;&gt;Excluido"),p_M2*p_ExpM2*(1+p_AlqG)^(Calendario!CQ$19-1)*CQ$75)</f>
        <v>950.692497973425</v>
      </c>
      <c r="CR133" s="13" t="n">
        <f aca="false">IF(CR$69=1,SUMIFS(dr_USD,dr_Mes,90,dr_Cod,"EXP",dr_Est,"&lt;&gt;Excluido"),p_M2*p_ExpM2*(1+p_AlqG)^(Calendario!CR$19-1)*CR$75)</f>
        <v>950.692497973425</v>
      </c>
      <c r="CS133" s="13" t="n">
        <f aca="false">IF(CS$69=1,SUMIFS(dr_USD,dr_Mes,91,dr_Cod,"EXP",dr_Est,"&lt;&gt;Excluido"),p_M2*p_ExpM2*(1+p_AlqG)^(Calendario!CS$19-1)*CS$75)</f>
        <v>950.692497973425</v>
      </c>
      <c r="CT133" s="13" t="n">
        <f aca="false">IF(CT$69=1,SUMIFS(dr_USD,dr_Mes,92,dr_Cod,"EXP",dr_Est,"&lt;&gt;Excluido"),p_M2*p_ExpM2*(1+p_AlqG)^(Calendario!CT$19-1)*CT$75)</f>
        <v>950.692497973425</v>
      </c>
      <c r="CU133" s="13" t="n">
        <f aca="false">IF(CU$69=1,SUMIFS(dr_USD,dr_Mes,93,dr_Cod,"EXP",dr_Est,"&lt;&gt;Excluido"),p_M2*p_ExpM2*(1+p_AlqG)^(Calendario!CU$19-1)*CU$75)</f>
        <v>950.692497973425</v>
      </c>
      <c r="CV133" s="13" t="n">
        <f aca="false">IF(CV$69=1,SUMIFS(dr_USD,dr_Mes,94,dr_Cod,"EXP",dr_Est,"&lt;&gt;Excluido"),p_M2*p_ExpM2*(1+p_AlqG)^(Calendario!CV$19-1)*CV$75)</f>
        <v>950.692497973425</v>
      </c>
      <c r="CW133" s="13" t="n">
        <f aca="false">IF(CW$69=1,SUMIFS(dr_USD,dr_Mes,95,dr_Cod,"EXP",dr_Est,"&lt;&gt;Excluido"),p_M2*p_ExpM2*(1+p_AlqG)^(Calendario!CW$19-1)*CW$75)</f>
        <v>950.692497973425</v>
      </c>
      <c r="CX133" s="13" t="n">
        <f aca="false">IF(CX$69=1,SUMIFS(dr_USD,dr_Mes,96,dr_Cod,"EXP",dr_Est,"&lt;&gt;Excluido"),p_M2*p_ExpM2*(1+p_AlqG)^(Calendario!CX$19-1)*CX$75)</f>
        <v>950.692497973425</v>
      </c>
      <c r="CY133" s="13" t="n">
        <f aca="false">IF(CY$69=1,SUMIFS(dr_USD,dr_Mes,97,dr_Cod,"EXP",dr_Est,"&lt;&gt;Excluido"),p_M2*p_ExpM2*(1+p_AlqG)^(Calendario!CY$19-1)*CY$75)</f>
        <v>979.213272912627</v>
      </c>
      <c r="CZ133" s="13" t="n">
        <f aca="false">IF(CZ$69=1,SUMIFS(dr_USD,dr_Mes,98,dr_Cod,"EXP",dr_Est,"&lt;&gt;Excluido"),p_M2*p_ExpM2*(1+p_AlqG)^(Calendario!CZ$19-1)*CZ$75)</f>
        <v>979.213272912627</v>
      </c>
      <c r="DA133" s="13" t="n">
        <f aca="false">IF(DA$69=1,SUMIFS(dr_USD,dr_Mes,99,dr_Cod,"EXP",dr_Est,"&lt;&gt;Excluido"),p_M2*p_ExpM2*(1+p_AlqG)^(Calendario!DA$19-1)*DA$75)</f>
        <v>979.213272912627</v>
      </c>
      <c r="DB133" s="13" t="n">
        <f aca="false">IF(DB$69=1,SUMIFS(dr_USD,dr_Mes,100,dr_Cod,"EXP",dr_Est,"&lt;&gt;Excluido"),p_M2*p_ExpM2*(1+p_AlqG)^(Calendario!DB$19-1)*DB$75)</f>
        <v>979.213272912627</v>
      </c>
      <c r="DC133" s="13" t="n">
        <f aca="false">IF(DC$69=1,SUMIFS(dr_USD,dr_Mes,101,dr_Cod,"EXP",dr_Est,"&lt;&gt;Excluido"),p_M2*p_ExpM2*(1+p_AlqG)^(Calendario!DC$19-1)*DC$75)</f>
        <v>979.213272912627</v>
      </c>
      <c r="DD133" s="13" t="n">
        <f aca="false">IF(DD$69=1,SUMIFS(dr_USD,dr_Mes,102,dr_Cod,"EXP",dr_Est,"&lt;&gt;Excluido"),p_M2*p_ExpM2*(1+p_AlqG)^(Calendario!DD$19-1)*DD$75)</f>
        <v>979.213272912627</v>
      </c>
      <c r="DE133" s="13" t="n">
        <f aca="false">IF(DE$69=1,SUMIFS(dr_USD,dr_Mes,103,dr_Cod,"EXP",dr_Est,"&lt;&gt;Excluido"),p_M2*p_ExpM2*(1+p_AlqG)^(Calendario!DE$19-1)*DE$75)</f>
        <v>979.213272912627</v>
      </c>
      <c r="DF133" s="13" t="n">
        <f aca="false">IF(DF$69=1,SUMIFS(dr_USD,dr_Mes,104,dr_Cod,"EXP",dr_Est,"&lt;&gt;Excluido"),p_M2*p_ExpM2*(1+p_AlqG)^(Calendario!DF$19-1)*DF$75)</f>
        <v>979.213272912627</v>
      </c>
      <c r="DG133" s="13" t="n">
        <f aca="false">IF(DG$69=1,SUMIFS(dr_USD,dr_Mes,105,dr_Cod,"EXP",dr_Est,"&lt;&gt;Excluido"),p_M2*p_ExpM2*(1+p_AlqG)^(Calendario!DG$19-1)*DG$75)</f>
        <v>979.213272912627</v>
      </c>
      <c r="DH133" s="13" t="n">
        <f aca="false">IF(DH$69=1,SUMIFS(dr_USD,dr_Mes,106,dr_Cod,"EXP",dr_Est,"&lt;&gt;Excluido"),p_M2*p_ExpM2*(1+p_AlqG)^(Calendario!DH$19-1)*DH$75)</f>
        <v>979.213272912627</v>
      </c>
      <c r="DI133" s="13" t="n">
        <f aca="false">IF(DI$69=1,SUMIFS(dr_USD,dr_Mes,107,dr_Cod,"EXP",dr_Est,"&lt;&gt;Excluido"),p_M2*p_ExpM2*(1+p_AlqG)^(Calendario!DI$19-1)*DI$75)</f>
        <v>979.213272912627</v>
      </c>
      <c r="DJ133" s="13" t="n">
        <f aca="false">IF(DJ$69=1,SUMIFS(dr_USD,dr_Mes,108,dr_Cod,"EXP",dr_Est,"&lt;&gt;Excluido"),p_M2*p_ExpM2*(1+p_AlqG)^(Calendario!DJ$19-1)*DJ$75)</f>
        <v>979.213272912627</v>
      </c>
      <c r="DK133" s="13" t="n">
        <f aca="false">IF(DK$69=1,SUMIFS(dr_USD,dr_Mes,109,dr_Cod,"EXP",dr_Est,"&lt;&gt;Excluido"),p_M2*p_ExpM2*(1+p_AlqG)^(Calendario!DK$19-1)*DK$75)</f>
        <v>1008.58967110001</v>
      </c>
      <c r="DL133" s="13" t="n">
        <f aca="false">IF(DL$69=1,SUMIFS(dr_USD,dr_Mes,110,dr_Cod,"EXP",dr_Est,"&lt;&gt;Excluido"),p_M2*p_ExpM2*(1+p_AlqG)^(Calendario!DL$19-1)*DL$75)</f>
        <v>1008.58967110001</v>
      </c>
      <c r="DM133" s="13" t="n">
        <f aca="false">IF(DM$69=1,SUMIFS(dr_USD,dr_Mes,111,dr_Cod,"EXP",dr_Est,"&lt;&gt;Excluido"),p_M2*p_ExpM2*(1+p_AlqG)^(Calendario!DM$19-1)*DM$75)</f>
        <v>1008.58967110001</v>
      </c>
      <c r="DN133" s="13" t="n">
        <f aca="false">IF(DN$69=1,SUMIFS(dr_USD,dr_Mes,112,dr_Cod,"EXP",dr_Est,"&lt;&gt;Excluido"),p_M2*p_ExpM2*(1+p_AlqG)^(Calendario!DN$19-1)*DN$75)</f>
        <v>1008.58967110001</v>
      </c>
      <c r="DO133" s="13" t="n">
        <f aca="false">IF(DO$69=1,SUMIFS(dr_USD,dr_Mes,113,dr_Cod,"EXP",dr_Est,"&lt;&gt;Excluido"),p_M2*p_ExpM2*(1+p_AlqG)^(Calendario!DO$19-1)*DO$75)</f>
        <v>1008.58967110001</v>
      </c>
      <c r="DP133" s="13" t="n">
        <f aca="false">IF(DP$69=1,SUMIFS(dr_USD,dr_Mes,114,dr_Cod,"EXP",dr_Est,"&lt;&gt;Excluido"),p_M2*p_ExpM2*(1+p_AlqG)^(Calendario!DP$19-1)*DP$75)</f>
        <v>1008.58967110001</v>
      </c>
      <c r="DQ133" s="13" t="n">
        <f aca="false">IF(DQ$69=1,SUMIFS(dr_USD,dr_Mes,115,dr_Cod,"EXP",dr_Est,"&lt;&gt;Excluido"),p_M2*p_ExpM2*(1+p_AlqG)^(Calendario!DQ$19-1)*DQ$75)</f>
        <v>1008.58967110001</v>
      </c>
      <c r="DR133" s="13" t="n">
        <f aca="false">IF(DR$69=1,SUMIFS(dr_USD,dr_Mes,116,dr_Cod,"EXP",dr_Est,"&lt;&gt;Excluido"),p_M2*p_ExpM2*(1+p_AlqG)^(Calendario!DR$19-1)*DR$75)</f>
        <v>1008.58967110001</v>
      </c>
      <c r="DS133" s="13" t="n">
        <f aca="false">IF(DS$69=1,SUMIFS(dr_USD,dr_Mes,117,dr_Cod,"EXP",dr_Est,"&lt;&gt;Excluido"),p_M2*p_ExpM2*(1+p_AlqG)^(Calendario!DS$19-1)*DS$75)</f>
        <v>1008.58967110001</v>
      </c>
      <c r="DT133" s="13" t="n">
        <f aca="false">IF(DT$69=1,SUMIFS(dr_USD,dr_Mes,118,dr_Cod,"EXP",dr_Est,"&lt;&gt;Excluido"),p_M2*p_ExpM2*(1+p_AlqG)^(Calendario!DT$19-1)*DT$75)</f>
        <v>1008.58967110001</v>
      </c>
      <c r="DU133" s="13" t="n">
        <f aca="false">IF(DU$69=1,SUMIFS(dr_USD,dr_Mes,119,dr_Cod,"EXP",dr_Est,"&lt;&gt;Excluido"),p_M2*p_ExpM2*(1+p_AlqG)^(Calendario!DU$19-1)*DU$75)</f>
        <v>1008.58967110001</v>
      </c>
      <c r="DV133" s="13" t="n">
        <f aca="false">IF(DV$69=1,SUMIFS(dr_USD,dr_Mes,120,dr_Cod,"EXP",dr_Est,"&lt;&gt;Excluido"),p_M2*p_ExpM2*(1+p_AlqG)^(Calendario!DV$19-1)*DV$75)</f>
        <v>1008.58967110001</v>
      </c>
      <c r="DW133" s="13" t="n">
        <f aca="false">IF(DW$69=1,SUMIFS(dr_USD,dr_Mes,121,dr_Cod,"EXP",dr_Est,"&lt;&gt;Excluido"),p_M2*p_ExpM2*(1+p_AlqG)^(Calendario!DW$19-1)*DW$75)</f>
        <v>0</v>
      </c>
      <c r="DX133" s="13" t="n">
        <f aca="false">IF(DX$69=1,SUMIFS(dr_USD,dr_Mes,122,dr_Cod,"EXP",dr_Est,"&lt;&gt;Excluido"),p_M2*p_ExpM2*(1+p_AlqG)^(Calendario!DX$19-1)*DX$75)</f>
        <v>0</v>
      </c>
      <c r="DY133" s="13" t="n">
        <f aca="false">IF(DY$69=1,SUMIFS(dr_USD,dr_Mes,123,dr_Cod,"EXP",dr_Est,"&lt;&gt;Excluido"),p_M2*p_ExpM2*(1+p_AlqG)^(Calendario!DY$19-1)*DY$75)</f>
        <v>0</v>
      </c>
      <c r="DZ133" s="13" t="n">
        <f aca="false">IF(DZ$69=1,SUMIFS(dr_USD,dr_Mes,124,dr_Cod,"EXP",dr_Est,"&lt;&gt;Excluido"),p_M2*p_ExpM2*(1+p_AlqG)^(Calendario!DZ$19-1)*DZ$75)</f>
        <v>0</v>
      </c>
      <c r="EA133" s="13" t="n">
        <f aca="false">IF(EA$69=1,SUMIFS(dr_USD,dr_Mes,125,dr_Cod,"EXP",dr_Est,"&lt;&gt;Excluido"),p_M2*p_ExpM2*(1+p_AlqG)^(Calendario!EA$19-1)*EA$75)</f>
        <v>0</v>
      </c>
      <c r="EB133" s="13" t="n">
        <f aca="false">IF(EB$69=1,SUMIFS(dr_USD,dr_Mes,126,dr_Cod,"EXP",dr_Est,"&lt;&gt;Excluido"),p_M2*p_ExpM2*(1+p_AlqG)^(Calendario!EB$19-1)*EB$75)</f>
        <v>0</v>
      </c>
      <c r="EC133" s="13" t="n">
        <f aca="false">IF(EC$69=1,SUMIFS(dr_USD,dr_Mes,127,dr_Cod,"EXP",dr_Est,"&lt;&gt;Excluido"),p_M2*p_ExpM2*(1+p_AlqG)^(Calendario!EC$19-1)*EC$75)</f>
        <v>0</v>
      </c>
      <c r="ED133" s="13" t="n">
        <f aca="false">IF(ED$69=1,SUMIFS(dr_USD,dr_Mes,128,dr_Cod,"EXP",dr_Est,"&lt;&gt;Excluido"),p_M2*p_ExpM2*(1+p_AlqG)^(Calendario!ED$19-1)*ED$75)</f>
        <v>0</v>
      </c>
      <c r="EE133" s="13" t="n">
        <f aca="false">IF(EE$69=1,SUMIFS(dr_USD,dr_Mes,129,dr_Cod,"EXP",dr_Est,"&lt;&gt;Excluido"),p_M2*p_ExpM2*(1+p_AlqG)^(Calendario!EE$19-1)*EE$75)</f>
        <v>0</v>
      </c>
      <c r="EF133" s="13" t="n">
        <f aca="false">IF(EF$69=1,SUMIFS(dr_USD,dr_Mes,130,dr_Cod,"EXP",dr_Est,"&lt;&gt;Excluido"),p_M2*p_ExpM2*(1+p_AlqG)^(Calendario!EF$19-1)*EF$75)</f>
        <v>0</v>
      </c>
      <c r="EG133" s="13" t="n">
        <f aca="false">IF(EG$69=1,SUMIFS(dr_USD,dr_Mes,131,dr_Cod,"EXP",dr_Est,"&lt;&gt;Excluido"),p_M2*p_ExpM2*(1+p_AlqG)^(Calendario!EG$19-1)*EG$75)</f>
        <v>0</v>
      </c>
      <c r="EH133" s="13" t="n">
        <f aca="false">IF(EH$69=1,SUMIFS(dr_USD,dr_Mes,132,dr_Cod,"EXP",dr_Est,"&lt;&gt;Excluido"),p_M2*p_ExpM2*(1+p_AlqG)^(Calendario!EH$19-1)*EH$75)</f>
        <v>0</v>
      </c>
      <c r="EI133" s="13" t="n">
        <f aca="false">IF(EI$69=1,SUMIFS(dr_USD,dr_Mes,133,dr_Cod,"EXP",dr_Est,"&lt;&gt;Excluido"),p_M2*p_ExpM2*(1+p_AlqG)^(Calendario!EI$19-1)*EI$75)</f>
        <v>0</v>
      </c>
      <c r="EJ133" s="13" t="n">
        <f aca="false">IF(EJ$69=1,SUMIFS(dr_USD,dr_Mes,134,dr_Cod,"EXP",dr_Est,"&lt;&gt;Excluido"),p_M2*p_ExpM2*(1+p_AlqG)^(Calendario!EJ$19-1)*EJ$75)</f>
        <v>0</v>
      </c>
      <c r="EK133" s="13" t="n">
        <f aca="false">IF(EK$69=1,SUMIFS(dr_USD,dr_Mes,135,dr_Cod,"EXP",dr_Est,"&lt;&gt;Excluido"),p_M2*p_ExpM2*(1+p_AlqG)^(Calendario!EK$19-1)*EK$75)</f>
        <v>0</v>
      </c>
      <c r="EL133" s="13" t="n">
        <f aca="false">IF(EL$69=1,SUMIFS(dr_USD,dr_Mes,136,dr_Cod,"EXP",dr_Est,"&lt;&gt;Excluido"),p_M2*p_ExpM2*(1+p_AlqG)^(Calendario!EL$19-1)*EL$75)</f>
        <v>0</v>
      </c>
      <c r="EM133" s="13" t="n">
        <f aca="false">IF(EM$69=1,SUMIFS(dr_USD,dr_Mes,137,dr_Cod,"EXP",dr_Est,"&lt;&gt;Excluido"),p_M2*p_ExpM2*(1+p_AlqG)^(Calendario!EM$19-1)*EM$75)</f>
        <v>0</v>
      </c>
      <c r="EN133" s="13" t="n">
        <f aca="false">IF(EN$69=1,SUMIFS(dr_USD,dr_Mes,138,dr_Cod,"EXP",dr_Est,"&lt;&gt;Excluido"),p_M2*p_ExpM2*(1+p_AlqG)^(Calendario!EN$19-1)*EN$75)</f>
        <v>0</v>
      </c>
      <c r="EO133" s="13" t="n">
        <f aca="false">IF(EO$69=1,SUMIFS(dr_USD,dr_Mes,139,dr_Cod,"EXP",dr_Est,"&lt;&gt;Excluido"),p_M2*p_ExpM2*(1+p_AlqG)^(Calendario!EO$19-1)*EO$75)</f>
        <v>0</v>
      </c>
      <c r="EP133" s="13" t="n">
        <f aca="false">IF(EP$69=1,SUMIFS(dr_USD,dr_Mes,140,dr_Cod,"EXP",dr_Est,"&lt;&gt;Excluido"),p_M2*p_ExpM2*(1+p_AlqG)^(Calendario!EP$19-1)*EP$75)</f>
        <v>0</v>
      </c>
      <c r="EQ133" s="13" t="n">
        <f aca="false">IF(EQ$69=1,SUMIFS(dr_USD,dr_Mes,141,dr_Cod,"EXP",dr_Est,"&lt;&gt;Excluido"),p_M2*p_ExpM2*(1+p_AlqG)^(Calendario!EQ$19-1)*EQ$75)</f>
        <v>0</v>
      </c>
      <c r="ER133" s="13" t="n">
        <f aca="false">IF(ER$69=1,SUMIFS(dr_USD,dr_Mes,142,dr_Cod,"EXP",dr_Est,"&lt;&gt;Excluido"),p_M2*p_ExpM2*(1+p_AlqG)^(Calendario!ER$19-1)*ER$75)</f>
        <v>0</v>
      </c>
      <c r="ES133" s="13" t="n">
        <f aca="false">IF(ES$69=1,SUMIFS(dr_USD,dr_Mes,143,dr_Cod,"EXP",dr_Est,"&lt;&gt;Excluido"),p_M2*p_ExpM2*(1+p_AlqG)^(Calendario!ES$19-1)*ES$75)</f>
        <v>0</v>
      </c>
      <c r="ET133" s="13" t="n">
        <f aca="false">IF(ET$69=1,SUMIFS(dr_USD,dr_Mes,144,dr_Cod,"EXP",dr_Est,"&lt;&gt;Excluido"),p_M2*p_ExpM2*(1+p_AlqG)^(Calendario!ET$19-1)*ET$75)</f>
        <v>0</v>
      </c>
      <c r="EU133" s="13" t="n">
        <f aca="false">IF(EU$69=1,SUMIFS(dr_USD,dr_Mes,145,dr_Cod,"EXP",dr_Est,"&lt;&gt;Excluido"),p_M2*p_ExpM2*(1+p_AlqG)^(Calendario!EU$19-1)*EU$75)</f>
        <v>0</v>
      </c>
      <c r="EV133" s="13" t="n">
        <f aca="false">IF(EV$69=1,SUMIFS(dr_USD,dr_Mes,146,dr_Cod,"EXP",dr_Est,"&lt;&gt;Excluido"),p_M2*p_ExpM2*(1+p_AlqG)^(Calendario!EV$19-1)*EV$75)</f>
        <v>0</v>
      </c>
      <c r="EW133" s="13" t="n">
        <f aca="false">IF(EW$69=1,SUMIFS(dr_USD,dr_Mes,147,dr_Cod,"EXP",dr_Est,"&lt;&gt;Excluido"),p_M2*p_ExpM2*(1+p_AlqG)^(Calendario!EW$19-1)*EW$75)</f>
        <v>0</v>
      </c>
      <c r="EX133" s="13" t="n">
        <f aca="false">IF(EX$69=1,SUMIFS(dr_USD,dr_Mes,148,dr_Cod,"EXP",dr_Est,"&lt;&gt;Excluido"),p_M2*p_ExpM2*(1+p_AlqG)^(Calendario!EX$19-1)*EX$75)</f>
        <v>0</v>
      </c>
      <c r="EY133" s="13" t="n">
        <f aca="false">IF(EY$69=1,SUMIFS(dr_USD,dr_Mes,149,dr_Cod,"EXP",dr_Est,"&lt;&gt;Excluido"),p_M2*p_ExpM2*(1+p_AlqG)^(Calendario!EY$19-1)*EY$75)</f>
        <v>0</v>
      </c>
      <c r="EZ133" s="13" t="n">
        <f aca="false">IF(EZ$69=1,SUMIFS(dr_USD,dr_Mes,150,dr_Cod,"EXP",dr_Est,"&lt;&gt;Excluido"),p_M2*p_ExpM2*(1+p_AlqG)^(Calendario!EZ$19-1)*EZ$75)</f>
        <v>0</v>
      </c>
      <c r="FA133" s="13" t="n">
        <f aca="false">IF(FA$69=1,SUMIFS(dr_USD,dr_Mes,151,dr_Cod,"EXP",dr_Est,"&lt;&gt;Excluido"),p_M2*p_ExpM2*(1+p_AlqG)^(Calendario!FA$19-1)*FA$75)</f>
        <v>0</v>
      </c>
      <c r="FB133" s="13" t="n">
        <f aca="false">IF(FB$69=1,SUMIFS(dr_USD,dr_Mes,152,dr_Cod,"EXP",dr_Est,"&lt;&gt;Excluido"),p_M2*p_ExpM2*(1+p_AlqG)^(Calendario!FB$19-1)*FB$75)</f>
        <v>0</v>
      </c>
      <c r="FC133" s="13" t="n">
        <f aca="false">IF(FC$69=1,SUMIFS(dr_USD,dr_Mes,153,dr_Cod,"EXP",dr_Est,"&lt;&gt;Excluido"),p_M2*p_ExpM2*(1+p_AlqG)^(Calendario!FC$19-1)*FC$75)</f>
        <v>0</v>
      </c>
      <c r="FD133" s="13" t="n">
        <f aca="false">IF(FD$69=1,SUMIFS(dr_USD,dr_Mes,154,dr_Cod,"EXP",dr_Est,"&lt;&gt;Excluido"),p_M2*p_ExpM2*(1+p_AlqG)^(Calendario!FD$19-1)*FD$75)</f>
        <v>0</v>
      </c>
      <c r="FE133" s="13" t="n">
        <f aca="false">IF(FE$69=1,SUMIFS(dr_USD,dr_Mes,155,dr_Cod,"EXP",dr_Est,"&lt;&gt;Excluido"),p_M2*p_ExpM2*(1+p_AlqG)^(Calendario!FE$19-1)*FE$75)</f>
        <v>0</v>
      </c>
      <c r="FF133" s="13" t="n">
        <f aca="false">IF(FF$69=1,SUMIFS(dr_USD,dr_Mes,156,dr_Cod,"EXP",dr_Est,"&lt;&gt;Excluido"),p_M2*p_ExpM2*(1+p_AlqG)^(Calendario!FF$19-1)*FF$75)</f>
        <v>0</v>
      </c>
    </row>
    <row r="134" customFormat="false" ht="15" hidden="false" customHeight="false" outlineLevel="0" collapsed="false">
      <c r="A134" s="2" t="s">
        <v>1110</v>
      </c>
      <c r="B134" s="8" t="s">
        <v>1111</v>
      </c>
      <c r="C134" s="8" t="s">
        <v>255</v>
      </c>
      <c r="E134" s="65" t="n">
        <f aca="false">SUM($F134:$FF134)</f>
        <v>12328.7671232877</v>
      </c>
      <c r="F134" s="13" t="n">
        <f aca="false">IF(F$69=1,SUMIFS(dr_USD,dr_Mes,0,dr_Cod,"SRV",dr_Est,"&lt;&gt;Excluido"),IF($E$48="PYG",$F$48/F$71,$F$48)/12*F$74*F$75)</f>
        <v>0</v>
      </c>
      <c r="G134" s="13" t="n">
        <f aca="false">IF(G$69=1,SUMIFS(dr_USD,dr_Mes,1,dr_Cod,"SRV",dr_Est,"&lt;&gt;Excluido"),IF($E$48="PYG",$F$48/G$71,$F$48)/12*G$74*G$75)</f>
        <v>102.739726027397</v>
      </c>
      <c r="H134" s="13" t="n">
        <f aca="false">IF(H$69=1,SUMIFS(dr_USD,dr_Mes,2,dr_Cod,"SRV",dr_Est,"&lt;&gt;Excluido"),IF($E$48="PYG",$F$48/H$71,$F$48)/12*H$74*H$75)</f>
        <v>102.739726027397</v>
      </c>
      <c r="I134" s="13" t="n">
        <f aca="false">IF(I$69=1,SUMIFS(dr_USD,dr_Mes,3,dr_Cod,"SRV",dr_Est,"&lt;&gt;Excluido"),IF($E$48="PYG",$F$48/I$71,$F$48)/12*I$74*I$75)</f>
        <v>102.739726027397</v>
      </c>
      <c r="J134" s="13" t="n">
        <f aca="false">IF(J$69=1,SUMIFS(dr_USD,dr_Mes,4,dr_Cod,"SRV",dr_Est,"&lt;&gt;Excluido"),IF($E$48="PYG",$F$48/J$71,$F$48)/12*J$74*J$75)</f>
        <v>102.739726027397</v>
      </c>
      <c r="K134" s="13" t="n">
        <f aca="false">IF(K$69=1,SUMIFS(dr_USD,dr_Mes,5,dr_Cod,"SRV",dr_Est,"&lt;&gt;Excluido"),IF($E$48="PYG",$F$48/K$71,$F$48)/12*K$74*K$75)</f>
        <v>102.739726027397</v>
      </c>
      <c r="L134" s="13" t="n">
        <f aca="false">IF(L$69=1,SUMIFS(dr_USD,dr_Mes,6,dr_Cod,"SRV",dr_Est,"&lt;&gt;Excluido"),IF($E$48="PYG",$F$48/L$71,$F$48)/12*L$74*L$75)</f>
        <v>102.739726027397</v>
      </c>
      <c r="M134" s="13" t="n">
        <f aca="false">IF(M$69=1,SUMIFS(dr_USD,dr_Mes,7,dr_Cod,"SRV",dr_Est,"&lt;&gt;Excluido"),IF($E$48="PYG",$F$48/M$71,$F$48)/12*M$74*M$75)</f>
        <v>102.739726027397</v>
      </c>
      <c r="N134" s="13" t="n">
        <f aca="false">IF(N$69=1,SUMIFS(dr_USD,dr_Mes,8,dr_Cod,"SRV",dr_Est,"&lt;&gt;Excluido"),IF($E$48="PYG",$F$48/N$71,$F$48)/12*N$74*N$75)</f>
        <v>102.739726027397</v>
      </c>
      <c r="O134" s="13" t="n">
        <f aca="false">IF(O$69=1,SUMIFS(dr_USD,dr_Mes,9,dr_Cod,"SRV",dr_Est,"&lt;&gt;Excluido"),IF($E$48="PYG",$F$48/O$71,$F$48)/12*O$74*O$75)</f>
        <v>102.739726027397</v>
      </c>
      <c r="P134" s="13" t="n">
        <f aca="false">IF(P$69=1,SUMIFS(dr_USD,dr_Mes,10,dr_Cod,"SRV",dr_Est,"&lt;&gt;Excluido"),IF($E$48="PYG",$F$48/P$71,$F$48)/12*P$74*P$75)</f>
        <v>102.739726027397</v>
      </c>
      <c r="Q134" s="13" t="n">
        <f aca="false">IF(Q$69=1,SUMIFS(dr_USD,dr_Mes,11,dr_Cod,"SRV",dr_Est,"&lt;&gt;Excluido"),IF($E$48="PYG",$F$48/Q$71,$F$48)/12*Q$74*Q$75)</f>
        <v>102.739726027397</v>
      </c>
      <c r="R134" s="13" t="n">
        <f aca="false">IF(R$69=1,SUMIFS(dr_USD,dr_Mes,12,dr_Cod,"SRV",dr_Est,"&lt;&gt;Excluido"),IF($E$48="PYG",$F$48/R$71,$F$48)/12*R$74*R$75)</f>
        <v>102.739726027397</v>
      </c>
      <c r="S134" s="13" t="n">
        <f aca="false">IF(S$69=1,SUMIFS(dr_USD,dr_Mes,13,dr_Cod,"SRV",dr_Est,"&lt;&gt;Excluido"),IF($E$48="PYG",$F$48/S$71,$F$48)/12*S$74*S$75)</f>
        <v>102.739726027397</v>
      </c>
      <c r="T134" s="13" t="n">
        <f aca="false">IF(T$69=1,SUMIFS(dr_USD,dr_Mes,14,dr_Cod,"SRV",dr_Est,"&lt;&gt;Excluido"),IF($E$48="PYG",$F$48/T$71,$F$48)/12*T$74*T$75)</f>
        <v>102.739726027397</v>
      </c>
      <c r="U134" s="13" t="n">
        <f aca="false">IF(U$69=1,SUMIFS(dr_USD,dr_Mes,15,dr_Cod,"SRV",dr_Est,"&lt;&gt;Excluido"),IF($E$48="PYG",$F$48/U$71,$F$48)/12*U$74*U$75)</f>
        <v>102.739726027397</v>
      </c>
      <c r="V134" s="13" t="n">
        <f aca="false">IF(V$69=1,SUMIFS(dr_USD,dr_Mes,16,dr_Cod,"SRV",dr_Est,"&lt;&gt;Excluido"),IF($E$48="PYG",$F$48/V$71,$F$48)/12*V$74*V$75)</f>
        <v>102.739726027397</v>
      </c>
      <c r="W134" s="13" t="n">
        <f aca="false">IF(W$69=1,SUMIFS(dr_USD,dr_Mes,17,dr_Cod,"SRV",dr_Est,"&lt;&gt;Excluido"),IF($E$48="PYG",$F$48/W$71,$F$48)/12*W$74*W$75)</f>
        <v>102.739726027397</v>
      </c>
      <c r="X134" s="13" t="n">
        <f aca="false">IF(X$69=1,SUMIFS(dr_USD,dr_Mes,18,dr_Cod,"SRV",dr_Est,"&lt;&gt;Excluido"),IF($E$48="PYG",$F$48/X$71,$F$48)/12*X$74*X$75)</f>
        <v>102.739726027397</v>
      </c>
      <c r="Y134" s="13" t="n">
        <f aca="false">IF(Y$69=1,SUMIFS(dr_USD,dr_Mes,19,dr_Cod,"SRV",dr_Est,"&lt;&gt;Excluido"),IF($E$48="PYG",$F$48/Y$71,$F$48)/12*Y$74*Y$75)</f>
        <v>102.739726027397</v>
      </c>
      <c r="Z134" s="13" t="n">
        <f aca="false">IF(Z$69=1,SUMIFS(dr_USD,dr_Mes,20,dr_Cod,"SRV",dr_Est,"&lt;&gt;Excluido"),IF($E$48="PYG",$F$48/Z$71,$F$48)/12*Z$74*Z$75)</f>
        <v>102.739726027397</v>
      </c>
      <c r="AA134" s="13" t="n">
        <f aca="false">IF(AA$69=1,SUMIFS(dr_USD,dr_Mes,21,dr_Cod,"SRV",dr_Est,"&lt;&gt;Excluido"),IF($E$48="PYG",$F$48/AA$71,$F$48)/12*AA$74*AA$75)</f>
        <v>102.739726027397</v>
      </c>
      <c r="AB134" s="13" t="n">
        <f aca="false">IF(AB$69=1,SUMIFS(dr_USD,dr_Mes,22,dr_Cod,"SRV",dr_Est,"&lt;&gt;Excluido"),IF($E$48="PYG",$F$48/AB$71,$F$48)/12*AB$74*AB$75)</f>
        <v>102.739726027397</v>
      </c>
      <c r="AC134" s="13" t="n">
        <f aca="false">IF(AC$69=1,SUMIFS(dr_USD,dr_Mes,23,dr_Cod,"SRV",dr_Est,"&lt;&gt;Excluido"),IF($E$48="PYG",$F$48/AC$71,$F$48)/12*AC$74*AC$75)</f>
        <v>102.739726027397</v>
      </c>
      <c r="AD134" s="13" t="n">
        <f aca="false">IF(AD$69=1,SUMIFS(dr_USD,dr_Mes,24,dr_Cod,"SRV",dr_Est,"&lt;&gt;Excluido"),IF($E$48="PYG",$F$48/AD$71,$F$48)/12*AD$74*AD$75)</f>
        <v>102.739726027397</v>
      </c>
      <c r="AE134" s="13" t="n">
        <f aca="false">IF(AE$69=1,SUMIFS(dr_USD,dr_Mes,25,dr_Cod,"SRV",dr_Est,"&lt;&gt;Excluido"),IF($E$48="PYG",$F$48/AE$71,$F$48)/12*AE$74*AE$75)</f>
        <v>102.739726027397</v>
      </c>
      <c r="AF134" s="13" t="n">
        <f aca="false">IF(AF$69=1,SUMIFS(dr_USD,dr_Mes,26,dr_Cod,"SRV",dr_Est,"&lt;&gt;Excluido"),IF($E$48="PYG",$F$48/AF$71,$F$48)/12*AF$74*AF$75)</f>
        <v>102.739726027397</v>
      </c>
      <c r="AG134" s="13" t="n">
        <f aca="false">IF(AG$69=1,SUMIFS(dr_USD,dr_Mes,27,dr_Cod,"SRV",dr_Est,"&lt;&gt;Excluido"),IF($E$48="PYG",$F$48/AG$71,$F$48)/12*AG$74*AG$75)</f>
        <v>102.739726027397</v>
      </c>
      <c r="AH134" s="13" t="n">
        <f aca="false">IF(AH$69=1,SUMIFS(dr_USD,dr_Mes,28,dr_Cod,"SRV",dr_Est,"&lt;&gt;Excluido"),IF($E$48="PYG",$F$48/AH$71,$F$48)/12*AH$74*AH$75)</f>
        <v>102.739726027397</v>
      </c>
      <c r="AI134" s="13" t="n">
        <f aca="false">IF(AI$69=1,SUMIFS(dr_USD,dr_Mes,29,dr_Cod,"SRV",dr_Est,"&lt;&gt;Excluido"),IF($E$48="PYG",$F$48/AI$71,$F$48)/12*AI$74*AI$75)</f>
        <v>102.739726027397</v>
      </c>
      <c r="AJ134" s="13" t="n">
        <f aca="false">IF(AJ$69=1,SUMIFS(dr_USD,dr_Mes,30,dr_Cod,"SRV",dr_Est,"&lt;&gt;Excluido"),IF($E$48="PYG",$F$48/AJ$71,$F$48)/12*AJ$74*AJ$75)</f>
        <v>102.739726027397</v>
      </c>
      <c r="AK134" s="13" t="n">
        <f aca="false">IF(AK$69=1,SUMIFS(dr_USD,dr_Mes,31,dr_Cod,"SRV",dr_Est,"&lt;&gt;Excluido"),IF($E$48="PYG",$F$48/AK$71,$F$48)/12*AK$74*AK$75)</f>
        <v>102.739726027397</v>
      </c>
      <c r="AL134" s="13" t="n">
        <f aca="false">IF(AL$69=1,SUMIFS(dr_USD,dr_Mes,32,dr_Cod,"SRV",dr_Est,"&lt;&gt;Excluido"),IF($E$48="PYG",$F$48/AL$71,$F$48)/12*AL$74*AL$75)</f>
        <v>102.739726027397</v>
      </c>
      <c r="AM134" s="13" t="n">
        <f aca="false">IF(AM$69=1,SUMIFS(dr_USD,dr_Mes,33,dr_Cod,"SRV",dr_Est,"&lt;&gt;Excluido"),IF($E$48="PYG",$F$48/AM$71,$F$48)/12*AM$74*AM$75)</f>
        <v>102.739726027397</v>
      </c>
      <c r="AN134" s="13" t="n">
        <f aca="false">IF(AN$69=1,SUMIFS(dr_USD,dr_Mes,34,dr_Cod,"SRV",dr_Est,"&lt;&gt;Excluido"),IF($E$48="PYG",$F$48/AN$71,$F$48)/12*AN$74*AN$75)</f>
        <v>102.739726027397</v>
      </c>
      <c r="AO134" s="13" t="n">
        <f aca="false">IF(AO$69=1,SUMIFS(dr_USD,dr_Mes,35,dr_Cod,"SRV",dr_Est,"&lt;&gt;Excluido"),IF($E$48="PYG",$F$48/AO$71,$F$48)/12*AO$74*AO$75)</f>
        <v>102.739726027397</v>
      </c>
      <c r="AP134" s="13" t="n">
        <f aca="false">IF(AP$69=1,SUMIFS(dr_USD,dr_Mes,36,dr_Cod,"SRV",dr_Est,"&lt;&gt;Excluido"),IF($E$48="PYG",$F$48/AP$71,$F$48)/12*AP$74*AP$75)</f>
        <v>102.739726027397</v>
      </c>
      <c r="AQ134" s="13" t="n">
        <f aca="false">IF(AQ$69=1,SUMIFS(dr_USD,dr_Mes,37,dr_Cod,"SRV",dr_Est,"&lt;&gt;Excluido"),IF($E$48="PYG",$F$48/AQ$71,$F$48)/12*AQ$74*AQ$75)</f>
        <v>102.739726027397</v>
      </c>
      <c r="AR134" s="13" t="n">
        <f aca="false">IF(AR$69=1,SUMIFS(dr_USD,dr_Mes,38,dr_Cod,"SRV",dr_Est,"&lt;&gt;Excluido"),IF($E$48="PYG",$F$48/AR$71,$F$48)/12*AR$74*AR$75)</f>
        <v>102.739726027397</v>
      </c>
      <c r="AS134" s="13" t="n">
        <f aca="false">IF(AS$69=1,SUMIFS(dr_USD,dr_Mes,39,dr_Cod,"SRV",dr_Est,"&lt;&gt;Excluido"),IF($E$48="PYG",$F$48/AS$71,$F$48)/12*AS$74*AS$75)</f>
        <v>102.739726027397</v>
      </c>
      <c r="AT134" s="13" t="n">
        <f aca="false">IF(AT$69=1,SUMIFS(dr_USD,dr_Mes,40,dr_Cod,"SRV",dr_Est,"&lt;&gt;Excluido"),IF($E$48="PYG",$F$48/AT$71,$F$48)/12*AT$74*AT$75)</f>
        <v>102.739726027397</v>
      </c>
      <c r="AU134" s="13" t="n">
        <f aca="false">IF(AU$69=1,SUMIFS(dr_USD,dr_Mes,41,dr_Cod,"SRV",dr_Est,"&lt;&gt;Excluido"),IF($E$48="PYG",$F$48/AU$71,$F$48)/12*AU$74*AU$75)</f>
        <v>102.739726027397</v>
      </c>
      <c r="AV134" s="13" t="n">
        <f aca="false">IF(AV$69=1,SUMIFS(dr_USD,dr_Mes,42,dr_Cod,"SRV",dr_Est,"&lt;&gt;Excluido"),IF($E$48="PYG",$F$48/AV$71,$F$48)/12*AV$74*AV$75)</f>
        <v>102.739726027397</v>
      </c>
      <c r="AW134" s="13" t="n">
        <f aca="false">IF(AW$69=1,SUMIFS(dr_USD,dr_Mes,43,dr_Cod,"SRV",dr_Est,"&lt;&gt;Excluido"),IF($E$48="PYG",$F$48/AW$71,$F$48)/12*AW$74*AW$75)</f>
        <v>102.739726027397</v>
      </c>
      <c r="AX134" s="13" t="n">
        <f aca="false">IF(AX$69=1,SUMIFS(dr_USD,dr_Mes,44,dr_Cod,"SRV",dr_Est,"&lt;&gt;Excluido"),IF($E$48="PYG",$F$48/AX$71,$F$48)/12*AX$74*AX$75)</f>
        <v>102.739726027397</v>
      </c>
      <c r="AY134" s="13" t="n">
        <f aca="false">IF(AY$69=1,SUMIFS(dr_USD,dr_Mes,45,dr_Cod,"SRV",dr_Est,"&lt;&gt;Excluido"),IF($E$48="PYG",$F$48/AY$71,$F$48)/12*AY$74*AY$75)</f>
        <v>102.739726027397</v>
      </c>
      <c r="AZ134" s="13" t="n">
        <f aca="false">IF(AZ$69=1,SUMIFS(dr_USD,dr_Mes,46,dr_Cod,"SRV",dr_Est,"&lt;&gt;Excluido"),IF($E$48="PYG",$F$48/AZ$71,$F$48)/12*AZ$74*AZ$75)</f>
        <v>102.739726027397</v>
      </c>
      <c r="BA134" s="13" t="n">
        <f aca="false">IF(BA$69=1,SUMIFS(dr_USD,dr_Mes,47,dr_Cod,"SRV",dr_Est,"&lt;&gt;Excluido"),IF($E$48="PYG",$F$48/BA$71,$F$48)/12*BA$74*BA$75)</f>
        <v>102.739726027397</v>
      </c>
      <c r="BB134" s="13" t="n">
        <f aca="false">IF(BB$69=1,SUMIFS(dr_USD,dr_Mes,48,dr_Cod,"SRV",dr_Est,"&lt;&gt;Excluido"),IF($E$48="PYG",$F$48/BB$71,$F$48)/12*BB$74*BB$75)</f>
        <v>102.739726027397</v>
      </c>
      <c r="BC134" s="13" t="n">
        <f aca="false">IF(BC$69=1,SUMIFS(dr_USD,dr_Mes,49,dr_Cod,"SRV",dr_Est,"&lt;&gt;Excluido"),IF($E$48="PYG",$F$48/BC$71,$F$48)/12*BC$74*BC$75)</f>
        <v>102.739726027397</v>
      </c>
      <c r="BD134" s="13" t="n">
        <f aca="false">IF(BD$69=1,SUMIFS(dr_USD,dr_Mes,50,dr_Cod,"SRV",dr_Est,"&lt;&gt;Excluido"),IF($E$48="PYG",$F$48/BD$71,$F$48)/12*BD$74*BD$75)</f>
        <v>102.739726027397</v>
      </c>
      <c r="BE134" s="13" t="n">
        <f aca="false">IF(BE$69=1,SUMIFS(dr_USD,dr_Mes,51,dr_Cod,"SRV",dr_Est,"&lt;&gt;Excluido"),IF($E$48="PYG",$F$48/BE$71,$F$48)/12*BE$74*BE$75)</f>
        <v>102.739726027397</v>
      </c>
      <c r="BF134" s="13" t="n">
        <f aca="false">IF(BF$69=1,SUMIFS(dr_USD,dr_Mes,52,dr_Cod,"SRV",dr_Est,"&lt;&gt;Excluido"),IF($E$48="PYG",$F$48/BF$71,$F$48)/12*BF$74*BF$75)</f>
        <v>102.739726027397</v>
      </c>
      <c r="BG134" s="13" t="n">
        <f aca="false">IF(BG$69=1,SUMIFS(dr_USD,dr_Mes,53,dr_Cod,"SRV",dr_Est,"&lt;&gt;Excluido"),IF($E$48="PYG",$F$48/BG$71,$F$48)/12*BG$74*BG$75)</f>
        <v>102.739726027397</v>
      </c>
      <c r="BH134" s="13" t="n">
        <f aca="false">IF(BH$69=1,SUMIFS(dr_USD,dr_Mes,54,dr_Cod,"SRV",dr_Est,"&lt;&gt;Excluido"),IF($E$48="PYG",$F$48/BH$71,$F$48)/12*BH$74*BH$75)</f>
        <v>102.739726027397</v>
      </c>
      <c r="BI134" s="13" t="n">
        <f aca="false">IF(BI$69=1,SUMIFS(dr_USD,dr_Mes,55,dr_Cod,"SRV",dr_Est,"&lt;&gt;Excluido"),IF($E$48="PYG",$F$48/BI$71,$F$48)/12*BI$74*BI$75)</f>
        <v>102.739726027397</v>
      </c>
      <c r="BJ134" s="13" t="n">
        <f aca="false">IF(BJ$69=1,SUMIFS(dr_USD,dr_Mes,56,dr_Cod,"SRV",dr_Est,"&lt;&gt;Excluido"),IF($E$48="PYG",$F$48/BJ$71,$F$48)/12*BJ$74*BJ$75)</f>
        <v>102.739726027397</v>
      </c>
      <c r="BK134" s="13" t="n">
        <f aca="false">IF(BK$69=1,SUMIFS(dr_USD,dr_Mes,57,dr_Cod,"SRV",dr_Est,"&lt;&gt;Excluido"),IF($E$48="PYG",$F$48/BK$71,$F$48)/12*BK$74*BK$75)</f>
        <v>102.739726027397</v>
      </c>
      <c r="BL134" s="13" t="n">
        <f aca="false">IF(BL$69=1,SUMIFS(dr_USD,dr_Mes,58,dr_Cod,"SRV",dr_Est,"&lt;&gt;Excluido"),IF($E$48="PYG",$F$48/BL$71,$F$48)/12*BL$74*BL$75)</f>
        <v>102.739726027397</v>
      </c>
      <c r="BM134" s="13" t="n">
        <f aca="false">IF(BM$69=1,SUMIFS(dr_USD,dr_Mes,59,dr_Cod,"SRV",dr_Est,"&lt;&gt;Excluido"),IF($E$48="PYG",$F$48/BM$71,$F$48)/12*BM$74*BM$75)</f>
        <v>102.739726027397</v>
      </c>
      <c r="BN134" s="13" t="n">
        <f aca="false">IF(BN$69=1,SUMIFS(dr_USD,dr_Mes,60,dr_Cod,"SRV",dr_Est,"&lt;&gt;Excluido"),IF($E$48="PYG",$F$48/BN$71,$F$48)/12*BN$74*BN$75)</f>
        <v>102.739726027397</v>
      </c>
      <c r="BO134" s="13" t="n">
        <f aca="false">IF(BO$69=1,SUMIFS(dr_USD,dr_Mes,61,dr_Cod,"SRV",dr_Est,"&lt;&gt;Excluido"),IF($E$48="PYG",$F$48/BO$71,$F$48)/12*BO$74*BO$75)</f>
        <v>102.739726027397</v>
      </c>
      <c r="BP134" s="13" t="n">
        <f aca="false">IF(BP$69=1,SUMIFS(dr_USD,dr_Mes,62,dr_Cod,"SRV",dr_Est,"&lt;&gt;Excluido"),IF($E$48="PYG",$F$48/BP$71,$F$48)/12*BP$74*BP$75)</f>
        <v>102.739726027397</v>
      </c>
      <c r="BQ134" s="13" t="n">
        <f aca="false">IF(BQ$69=1,SUMIFS(dr_USD,dr_Mes,63,dr_Cod,"SRV",dr_Est,"&lt;&gt;Excluido"),IF($E$48="PYG",$F$48/BQ$71,$F$48)/12*BQ$74*BQ$75)</f>
        <v>102.739726027397</v>
      </c>
      <c r="BR134" s="13" t="n">
        <f aca="false">IF(BR$69=1,SUMIFS(dr_USD,dr_Mes,64,dr_Cod,"SRV",dr_Est,"&lt;&gt;Excluido"),IF($E$48="PYG",$F$48/BR$71,$F$48)/12*BR$74*BR$75)</f>
        <v>102.739726027397</v>
      </c>
      <c r="BS134" s="13" t="n">
        <f aca="false">IF(BS$69=1,SUMIFS(dr_USD,dr_Mes,65,dr_Cod,"SRV",dr_Est,"&lt;&gt;Excluido"),IF($E$48="PYG",$F$48/BS$71,$F$48)/12*BS$74*BS$75)</f>
        <v>102.739726027397</v>
      </c>
      <c r="BT134" s="13" t="n">
        <f aca="false">IF(BT$69=1,SUMIFS(dr_USD,dr_Mes,66,dr_Cod,"SRV",dr_Est,"&lt;&gt;Excluido"),IF($E$48="PYG",$F$48/BT$71,$F$48)/12*BT$74*BT$75)</f>
        <v>102.739726027397</v>
      </c>
      <c r="BU134" s="13" t="n">
        <f aca="false">IF(BU$69=1,SUMIFS(dr_USD,dr_Mes,67,dr_Cod,"SRV",dr_Est,"&lt;&gt;Excluido"),IF($E$48="PYG",$F$48/BU$71,$F$48)/12*BU$74*BU$75)</f>
        <v>102.739726027397</v>
      </c>
      <c r="BV134" s="13" t="n">
        <f aca="false">IF(BV$69=1,SUMIFS(dr_USD,dr_Mes,68,dr_Cod,"SRV",dr_Est,"&lt;&gt;Excluido"),IF($E$48="PYG",$F$48/BV$71,$F$48)/12*BV$74*BV$75)</f>
        <v>102.739726027397</v>
      </c>
      <c r="BW134" s="13" t="n">
        <f aca="false">IF(BW$69=1,SUMIFS(dr_USD,dr_Mes,69,dr_Cod,"SRV",dr_Est,"&lt;&gt;Excluido"),IF($E$48="PYG",$F$48/BW$71,$F$48)/12*BW$74*BW$75)</f>
        <v>102.739726027397</v>
      </c>
      <c r="BX134" s="13" t="n">
        <f aca="false">IF(BX$69=1,SUMIFS(dr_USD,dr_Mes,70,dr_Cod,"SRV",dr_Est,"&lt;&gt;Excluido"),IF($E$48="PYG",$F$48/BX$71,$F$48)/12*BX$74*BX$75)</f>
        <v>102.739726027397</v>
      </c>
      <c r="BY134" s="13" t="n">
        <f aca="false">IF(BY$69=1,SUMIFS(dr_USD,dr_Mes,71,dr_Cod,"SRV",dr_Est,"&lt;&gt;Excluido"),IF($E$48="PYG",$F$48/BY$71,$F$48)/12*BY$74*BY$75)</f>
        <v>102.739726027397</v>
      </c>
      <c r="BZ134" s="13" t="n">
        <f aca="false">IF(BZ$69=1,SUMIFS(dr_USD,dr_Mes,72,dr_Cod,"SRV",dr_Est,"&lt;&gt;Excluido"),IF($E$48="PYG",$F$48/BZ$71,$F$48)/12*BZ$74*BZ$75)</f>
        <v>102.739726027397</v>
      </c>
      <c r="CA134" s="13" t="n">
        <f aca="false">IF(CA$69=1,SUMIFS(dr_USD,dr_Mes,73,dr_Cod,"SRV",dr_Est,"&lt;&gt;Excluido"),IF($E$48="PYG",$F$48/CA$71,$F$48)/12*CA$74*CA$75)</f>
        <v>102.739726027397</v>
      </c>
      <c r="CB134" s="13" t="n">
        <f aca="false">IF(CB$69=1,SUMIFS(dr_USD,dr_Mes,74,dr_Cod,"SRV",dr_Est,"&lt;&gt;Excluido"),IF($E$48="PYG",$F$48/CB$71,$F$48)/12*CB$74*CB$75)</f>
        <v>102.739726027397</v>
      </c>
      <c r="CC134" s="13" t="n">
        <f aca="false">IF(CC$69=1,SUMIFS(dr_USD,dr_Mes,75,dr_Cod,"SRV",dr_Est,"&lt;&gt;Excluido"),IF($E$48="PYG",$F$48/CC$71,$F$48)/12*CC$74*CC$75)</f>
        <v>102.739726027397</v>
      </c>
      <c r="CD134" s="13" t="n">
        <f aca="false">IF(CD$69=1,SUMIFS(dr_USD,dr_Mes,76,dr_Cod,"SRV",dr_Est,"&lt;&gt;Excluido"),IF($E$48="PYG",$F$48/CD$71,$F$48)/12*CD$74*CD$75)</f>
        <v>102.739726027397</v>
      </c>
      <c r="CE134" s="13" t="n">
        <f aca="false">IF(CE$69=1,SUMIFS(dr_USD,dr_Mes,77,dr_Cod,"SRV",dr_Est,"&lt;&gt;Excluido"),IF($E$48="PYG",$F$48/CE$71,$F$48)/12*CE$74*CE$75)</f>
        <v>102.739726027397</v>
      </c>
      <c r="CF134" s="13" t="n">
        <f aca="false">IF(CF$69=1,SUMIFS(dr_USD,dr_Mes,78,dr_Cod,"SRV",dr_Est,"&lt;&gt;Excluido"),IF($E$48="PYG",$F$48/CF$71,$F$48)/12*CF$74*CF$75)</f>
        <v>102.739726027397</v>
      </c>
      <c r="CG134" s="13" t="n">
        <f aca="false">IF(CG$69=1,SUMIFS(dr_USD,dr_Mes,79,dr_Cod,"SRV",dr_Est,"&lt;&gt;Excluido"),IF($E$48="PYG",$F$48/CG$71,$F$48)/12*CG$74*CG$75)</f>
        <v>102.739726027397</v>
      </c>
      <c r="CH134" s="13" t="n">
        <f aca="false">IF(CH$69=1,SUMIFS(dr_USD,dr_Mes,80,dr_Cod,"SRV",dr_Est,"&lt;&gt;Excluido"),IF($E$48="PYG",$F$48/CH$71,$F$48)/12*CH$74*CH$75)</f>
        <v>102.739726027397</v>
      </c>
      <c r="CI134" s="13" t="n">
        <f aca="false">IF(CI$69=1,SUMIFS(dr_USD,dr_Mes,81,dr_Cod,"SRV",dr_Est,"&lt;&gt;Excluido"),IF($E$48="PYG",$F$48/CI$71,$F$48)/12*CI$74*CI$75)</f>
        <v>102.739726027397</v>
      </c>
      <c r="CJ134" s="13" t="n">
        <f aca="false">IF(CJ$69=1,SUMIFS(dr_USD,dr_Mes,82,dr_Cod,"SRV",dr_Est,"&lt;&gt;Excluido"),IF($E$48="PYG",$F$48/CJ$71,$F$48)/12*CJ$74*CJ$75)</f>
        <v>102.739726027397</v>
      </c>
      <c r="CK134" s="13" t="n">
        <f aca="false">IF(CK$69=1,SUMIFS(dr_USD,dr_Mes,83,dr_Cod,"SRV",dr_Est,"&lt;&gt;Excluido"),IF($E$48="PYG",$F$48/CK$71,$F$48)/12*CK$74*CK$75)</f>
        <v>102.739726027397</v>
      </c>
      <c r="CL134" s="13" t="n">
        <f aca="false">IF(CL$69=1,SUMIFS(dr_USD,dr_Mes,84,dr_Cod,"SRV",dr_Est,"&lt;&gt;Excluido"),IF($E$48="PYG",$F$48/CL$71,$F$48)/12*CL$74*CL$75)</f>
        <v>102.739726027397</v>
      </c>
      <c r="CM134" s="13" t="n">
        <f aca="false">IF(CM$69=1,SUMIFS(dr_USD,dr_Mes,85,dr_Cod,"SRV",dr_Est,"&lt;&gt;Excluido"),IF($E$48="PYG",$F$48/CM$71,$F$48)/12*CM$74*CM$75)</f>
        <v>102.739726027397</v>
      </c>
      <c r="CN134" s="13" t="n">
        <f aca="false">IF(CN$69=1,SUMIFS(dr_USD,dr_Mes,86,dr_Cod,"SRV",dr_Est,"&lt;&gt;Excluido"),IF($E$48="PYG",$F$48/CN$71,$F$48)/12*CN$74*CN$75)</f>
        <v>102.739726027397</v>
      </c>
      <c r="CO134" s="13" t="n">
        <f aca="false">IF(CO$69=1,SUMIFS(dr_USD,dr_Mes,87,dr_Cod,"SRV",dr_Est,"&lt;&gt;Excluido"),IF($E$48="PYG",$F$48/CO$71,$F$48)/12*CO$74*CO$75)</f>
        <v>102.739726027397</v>
      </c>
      <c r="CP134" s="13" t="n">
        <f aca="false">IF(CP$69=1,SUMIFS(dr_USD,dr_Mes,88,dr_Cod,"SRV",dr_Est,"&lt;&gt;Excluido"),IF($E$48="PYG",$F$48/CP$71,$F$48)/12*CP$74*CP$75)</f>
        <v>102.739726027397</v>
      </c>
      <c r="CQ134" s="13" t="n">
        <f aca="false">IF(CQ$69=1,SUMIFS(dr_USD,dr_Mes,89,dr_Cod,"SRV",dr_Est,"&lt;&gt;Excluido"),IF($E$48="PYG",$F$48/CQ$71,$F$48)/12*CQ$74*CQ$75)</f>
        <v>102.739726027397</v>
      </c>
      <c r="CR134" s="13" t="n">
        <f aca="false">IF(CR$69=1,SUMIFS(dr_USD,dr_Mes,90,dr_Cod,"SRV",dr_Est,"&lt;&gt;Excluido"),IF($E$48="PYG",$F$48/CR$71,$F$48)/12*CR$74*CR$75)</f>
        <v>102.739726027397</v>
      </c>
      <c r="CS134" s="13" t="n">
        <f aca="false">IF(CS$69=1,SUMIFS(dr_USD,dr_Mes,91,dr_Cod,"SRV",dr_Est,"&lt;&gt;Excluido"),IF($E$48="PYG",$F$48/CS$71,$F$48)/12*CS$74*CS$75)</f>
        <v>102.739726027397</v>
      </c>
      <c r="CT134" s="13" t="n">
        <f aca="false">IF(CT$69=1,SUMIFS(dr_USD,dr_Mes,92,dr_Cod,"SRV",dr_Est,"&lt;&gt;Excluido"),IF($E$48="PYG",$F$48/CT$71,$F$48)/12*CT$74*CT$75)</f>
        <v>102.739726027397</v>
      </c>
      <c r="CU134" s="13" t="n">
        <f aca="false">IF(CU$69=1,SUMIFS(dr_USD,dr_Mes,93,dr_Cod,"SRV",dr_Est,"&lt;&gt;Excluido"),IF($E$48="PYG",$F$48/CU$71,$F$48)/12*CU$74*CU$75)</f>
        <v>102.739726027397</v>
      </c>
      <c r="CV134" s="13" t="n">
        <f aca="false">IF(CV$69=1,SUMIFS(dr_USD,dr_Mes,94,dr_Cod,"SRV",dr_Est,"&lt;&gt;Excluido"),IF($E$48="PYG",$F$48/CV$71,$F$48)/12*CV$74*CV$75)</f>
        <v>102.739726027397</v>
      </c>
      <c r="CW134" s="13" t="n">
        <f aca="false">IF(CW$69=1,SUMIFS(dr_USD,dr_Mes,95,dr_Cod,"SRV",dr_Est,"&lt;&gt;Excluido"),IF($E$48="PYG",$F$48/CW$71,$F$48)/12*CW$74*CW$75)</f>
        <v>102.739726027397</v>
      </c>
      <c r="CX134" s="13" t="n">
        <f aca="false">IF(CX$69=1,SUMIFS(dr_USD,dr_Mes,96,dr_Cod,"SRV",dr_Est,"&lt;&gt;Excluido"),IF($E$48="PYG",$F$48/CX$71,$F$48)/12*CX$74*CX$75)</f>
        <v>102.739726027397</v>
      </c>
      <c r="CY134" s="13" t="n">
        <f aca="false">IF(CY$69=1,SUMIFS(dr_USD,dr_Mes,97,dr_Cod,"SRV",dr_Est,"&lt;&gt;Excluido"),IF($E$48="PYG",$F$48/CY$71,$F$48)/12*CY$74*CY$75)</f>
        <v>102.739726027397</v>
      </c>
      <c r="CZ134" s="13" t="n">
        <f aca="false">IF(CZ$69=1,SUMIFS(dr_USD,dr_Mes,98,dr_Cod,"SRV",dr_Est,"&lt;&gt;Excluido"),IF($E$48="PYG",$F$48/CZ$71,$F$48)/12*CZ$74*CZ$75)</f>
        <v>102.739726027397</v>
      </c>
      <c r="DA134" s="13" t="n">
        <f aca="false">IF(DA$69=1,SUMIFS(dr_USD,dr_Mes,99,dr_Cod,"SRV",dr_Est,"&lt;&gt;Excluido"),IF($E$48="PYG",$F$48/DA$71,$F$48)/12*DA$74*DA$75)</f>
        <v>102.739726027397</v>
      </c>
      <c r="DB134" s="13" t="n">
        <f aca="false">IF(DB$69=1,SUMIFS(dr_USD,dr_Mes,100,dr_Cod,"SRV",dr_Est,"&lt;&gt;Excluido"),IF($E$48="PYG",$F$48/DB$71,$F$48)/12*DB$74*DB$75)</f>
        <v>102.739726027397</v>
      </c>
      <c r="DC134" s="13" t="n">
        <f aca="false">IF(DC$69=1,SUMIFS(dr_USD,dr_Mes,101,dr_Cod,"SRV",dr_Est,"&lt;&gt;Excluido"),IF($E$48="PYG",$F$48/DC$71,$F$48)/12*DC$74*DC$75)</f>
        <v>102.739726027397</v>
      </c>
      <c r="DD134" s="13" t="n">
        <f aca="false">IF(DD$69=1,SUMIFS(dr_USD,dr_Mes,102,dr_Cod,"SRV",dr_Est,"&lt;&gt;Excluido"),IF($E$48="PYG",$F$48/DD$71,$F$48)/12*DD$74*DD$75)</f>
        <v>102.739726027397</v>
      </c>
      <c r="DE134" s="13" t="n">
        <f aca="false">IF(DE$69=1,SUMIFS(dr_USD,dr_Mes,103,dr_Cod,"SRV",dr_Est,"&lt;&gt;Excluido"),IF($E$48="PYG",$F$48/DE$71,$F$48)/12*DE$74*DE$75)</f>
        <v>102.739726027397</v>
      </c>
      <c r="DF134" s="13" t="n">
        <f aca="false">IF(DF$69=1,SUMIFS(dr_USD,dr_Mes,104,dr_Cod,"SRV",dr_Est,"&lt;&gt;Excluido"),IF($E$48="PYG",$F$48/DF$71,$F$48)/12*DF$74*DF$75)</f>
        <v>102.739726027397</v>
      </c>
      <c r="DG134" s="13" t="n">
        <f aca="false">IF(DG$69=1,SUMIFS(dr_USD,dr_Mes,105,dr_Cod,"SRV",dr_Est,"&lt;&gt;Excluido"),IF($E$48="PYG",$F$48/DG$71,$F$48)/12*DG$74*DG$75)</f>
        <v>102.739726027397</v>
      </c>
      <c r="DH134" s="13" t="n">
        <f aca="false">IF(DH$69=1,SUMIFS(dr_USD,dr_Mes,106,dr_Cod,"SRV",dr_Est,"&lt;&gt;Excluido"),IF($E$48="PYG",$F$48/DH$71,$F$48)/12*DH$74*DH$75)</f>
        <v>102.739726027397</v>
      </c>
      <c r="DI134" s="13" t="n">
        <f aca="false">IF(DI$69=1,SUMIFS(dr_USD,dr_Mes,107,dr_Cod,"SRV",dr_Est,"&lt;&gt;Excluido"),IF($E$48="PYG",$F$48/DI$71,$F$48)/12*DI$74*DI$75)</f>
        <v>102.739726027397</v>
      </c>
      <c r="DJ134" s="13" t="n">
        <f aca="false">IF(DJ$69=1,SUMIFS(dr_USD,dr_Mes,108,dr_Cod,"SRV",dr_Est,"&lt;&gt;Excluido"),IF($E$48="PYG",$F$48/DJ$71,$F$48)/12*DJ$74*DJ$75)</f>
        <v>102.739726027397</v>
      </c>
      <c r="DK134" s="13" t="n">
        <f aca="false">IF(DK$69=1,SUMIFS(dr_USD,dr_Mes,109,dr_Cod,"SRV",dr_Est,"&lt;&gt;Excluido"),IF($E$48="PYG",$F$48/DK$71,$F$48)/12*DK$74*DK$75)</f>
        <v>102.739726027397</v>
      </c>
      <c r="DL134" s="13" t="n">
        <f aca="false">IF(DL$69=1,SUMIFS(dr_USD,dr_Mes,110,dr_Cod,"SRV",dr_Est,"&lt;&gt;Excluido"),IF($E$48="PYG",$F$48/DL$71,$F$48)/12*DL$74*DL$75)</f>
        <v>102.739726027397</v>
      </c>
      <c r="DM134" s="13" t="n">
        <f aca="false">IF(DM$69=1,SUMIFS(dr_USD,dr_Mes,111,dr_Cod,"SRV",dr_Est,"&lt;&gt;Excluido"),IF($E$48="PYG",$F$48/DM$71,$F$48)/12*DM$74*DM$75)</f>
        <v>102.739726027397</v>
      </c>
      <c r="DN134" s="13" t="n">
        <f aca="false">IF(DN$69=1,SUMIFS(dr_USD,dr_Mes,112,dr_Cod,"SRV",dr_Est,"&lt;&gt;Excluido"),IF($E$48="PYG",$F$48/DN$71,$F$48)/12*DN$74*DN$75)</f>
        <v>102.739726027397</v>
      </c>
      <c r="DO134" s="13" t="n">
        <f aca="false">IF(DO$69=1,SUMIFS(dr_USD,dr_Mes,113,dr_Cod,"SRV",dr_Est,"&lt;&gt;Excluido"),IF($E$48="PYG",$F$48/DO$71,$F$48)/12*DO$74*DO$75)</f>
        <v>102.739726027397</v>
      </c>
      <c r="DP134" s="13" t="n">
        <f aca="false">IF(DP$69=1,SUMIFS(dr_USD,dr_Mes,114,dr_Cod,"SRV",dr_Est,"&lt;&gt;Excluido"),IF($E$48="PYG",$F$48/DP$71,$F$48)/12*DP$74*DP$75)</f>
        <v>102.739726027397</v>
      </c>
      <c r="DQ134" s="13" t="n">
        <f aca="false">IF(DQ$69=1,SUMIFS(dr_USD,dr_Mes,115,dr_Cod,"SRV",dr_Est,"&lt;&gt;Excluido"),IF($E$48="PYG",$F$48/DQ$71,$F$48)/12*DQ$74*DQ$75)</f>
        <v>102.739726027397</v>
      </c>
      <c r="DR134" s="13" t="n">
        <f aca="false">IF(DR$69=1,SUMIFS(dr_USD,dr_Mes,116,dr_Cod,"SRV",dr_Est,"&lt;&gt;Excluido"),IF($E$48="PYG",$F$48/DR$71,$F$48)/12*DR$74*DR$75)</f>
        <v>102.739726027397</v>
      </c>
      <c r="DS134" s="13" t="n">
        <f aca="false">IF(DS$69=1,SUMIFS(dr_USD,dr_Mes,117,dr_Cod,"SRV",dr_Est,"&lt;&gt;Excluido"),IF($E$48="PYG",$F$48/DS$71,$F$48)/12*DS$74*DS$75)</f>
        <v>102.739726027397</v>
      </c>
      <c r="DT134" s="13" t="n">
        <f aca="false">IF(DT$69=1,SUMIFS(dr_USD,dr_Mes,118,dr_Cod,"SRV",dr_Est,"&lt;&gt;Excluido"),IF($E$48="PYG",$F$48/DT$71,$F$48)/12*DT$74*DT$75)</f>
        <v>102.739726027397</v>
      </c>
      <c r="DU134" s="13" t="n">
        <f aca="false">IF(DU$69=1,SUMIFS(dr_USD,dr_Mes,119,dr_Cod,"SRV",dr_Est,"&lt;&gt;Excluido"),IF($E$48="PYG",$F$48/DU$71,$F$48)/12*DU$74*DU$75)</f>
        <v>102.739726027397</v>
      </c>
      <c r="DV134" s="13" t="n">
        <f aca="false">IF(DV$69=1,SUMIFS(dr_USD,dr_Mes,120,dr_Cod,"SRV",dr_Est,"&lt;&gt;Excluido"),IF($E$48="PYG",$F$48/DV$71,$F$48)/12*DV$74*DV$75)</f>
        <v>102.739726027397</v>
      </c>
      <c r="DW134" s="13" t="n">
        <f aca="false">IF(DW$69=1,SUMIFS(dr_USD,dr_Mes,121,dr_Cod,"SRV",dr_Est,"&lt;&gt;Excluido"),IF($E$48="PYG",$F$48/DW$71,$F$48)/12*DW$74*DW$75)</f>
        <v>0</v>
      </c>
      <c r="DX134" s="13" t="n">
        <f aca="false">IF(DX$69=1,SUMIFS(dr_USD,dr_Mes,122,dr_Cod,"SRV",dr_Est,"&lt;&gt;Excluido"),IF($E$48="PYG",$F$48/DX$71,$F$48)/12*DX$74*DX$75)</f>
        <v>0</v>
      </c>
      <c r="DY134" s="13" t="n">
        <f aca="false">IF(DY$69=1,SUMIFS(dr_USD,dr_Mes,123,dr_Cod,"SRV",dr_Est,"&lt;&gt;Excluido"),IF($E$48="PYG",$F$48/DY$71,$F$48)/12*DY$74*DY$75)</f>
        <v>0</v>
      </c>
      <c r="DZ134" s="13" t="n">
        <f aca="false">IF(DZ$69=1,SUMIFS(dr_USD,dr_Mes,124,dr_Cod,"SRV",dr_Est,"&lt;&gt;Excluido"),IF($E$48="PYG",$F$48/DZ$71,$F$48)/12*DZ$74*DZ$75)</f>
        <v>0</v>
      </c>
      <c r="EA134" s="13" t="n">
        <f aca="false">IF(EA$69=1,SUMIFS(dr_USD,dr_Mes,125,dr_Cod,"SRV",dr_Est,"&lt;&gt;Excluido"),IF($E$48="PYG",$F$48/EA$71,$F$48)/12*EA$74*EA$75)</f>
        <v>0</v>
      </c>
      <c r="EB134" s="13" t="n">
        <f aca="false">IF(EB$69=1,SUMIFS(dr_USD,dr_Mes,126,dr_Cod,"SRV",dr_Est,"&lt;&gt;Excluido"),IF($E$48="PYG",$F$48/EB$71,$F$48)/12*EB$74*EB$75)</f>
        <v>0</v>
      </c>
      <c r="EC134" s="13" t="n">
        <f aca="false">IF(EC$69=1,SUMIFS(dr_USD,dr_Mes,127,dr_Cod,"SRV",dr_Est,"&lt;&gt;Excluido"),IF($E$48="PYG",$F$48/EC$71,$F$48)/12*EC$74*EC$75)</f>
        <v>0</v>
      </c>
      <c r="ED134" s="13" t="n">
        <f aca="false">IF(ED$69=1,SUMIFS(dr_USD,dr_Mes,128,dr_Cod,"SRV",dr_Est,"&lt;&gt;Excluido"),IF($E$48="PYG",$F$48/ED$71,$F$48)/12*ED$74*ED$75)</f>
        <v>0</v>
      </c>
      <c r="EE134" s="13" t="n">
        <f aca="false">IF(EE$69=1,SUMIFS(dr_USD,dr_Mes,129,dr_Cod,"SRV",dr_Est,"&lt;&gt;Excluido"),IF($E$48="PYG",$F$48/EE$71,$F$48)/12*EE$74*EE$75)</f>
        <v>0</v>
      </c>
      <c r="EF134" s="13" t="n">
        <f aca="false">IF(EF$69=1,SUMIFS(dr_USD,dr_Mes,130,dr_Cod,"SRV",dr_Est,"&lt;&gt;Excluido"),IF($E$48="PYG",$F$48/EF$71,$F$48)/12*EF$74*EF$75)</f>
        <v>0</v>
      </c>
      <c r="EG134" s="13" t="n">
        <f aca="false">IF(EG$69=1,SUMIFS(dr_USD,dr_Mes,131,dr_Cod,"SRV",dr_Est,"&lt;&gt;Excluido"),IF($E$48="PYG",$F$48/EG$71,$F$48)/12*EG$74*EG$75)</f>
        <v>0</v>
      </c>
      <c r="EH134" s="13" t="n">
        <f aca="false">IF(EH$69=1,SUMIFS(dr_USD,dr_Mes,132,dr_Cod,"SRV",dr_Est,"&lt;&gt;Excluido"),IF($E$48="PYG",$F$48/EH$71,$F$48)/12*EH$74*EH$75)</f>
        <v>0</v>
      </c>
      <c r="EI134" s="13" t="n">
        <f aca="false">IF(EI$69=1,SUMIFS(dr_USD,dr_Mes,133,dr_Cod,"SRV",dr_Est,"&lt;&gt;Excluido"),IF($E$48="PYG",$F$48/EI$71,$F$48)/12*EI$74*EI$75)</f>
        <v>0</v>
      </c>
      <c r="EJ134" s="13" t="n">
        <f aca="false">IF(EJ$69=1,SUMIFS(dr_USD,dr_Mes,134,dr_Cod,"SRV",dr_Est,"&lt;&gt;Excluido"),IF($E$48="PYG",$F$48/EJ$71,$F$48)/12*EJ$74*EJ$75)</f>
        <v>0</v>
      </c>
      <c r="EK134" s="13" t="n">
        <f aca="false">IF(EK$69=1,SUMIFS(dr_USD,dr_Mes,135,dr_Cod,"SRV",dr_Est,"&lt;&gt;Excluido"),IF($E$48="PYG",$F$48/EK$71,$F$48)/12*EK$74*EK$75)</f>
        <v>0</v>
      </c>
      <c r="EL134" s="13" t="n">
        <f aca="false">IF(EL$69=1,SUMIFS(dr_USD,dr_Mes,136,dr_Cod,"SRV",dr_Est,"&lt;&gt;Excluido"),IF($E$48="PYG",$F$48/EL$71,$F$48)/12*EL$74*EL$75)</f>
        <v>0</v>
      </c>
      <c r="EM134" s="13" t="n">
        <f aca="false">IF(EM$69=1,SUMIFS(dr_USD,dr_Mes,137,dr_Cod,"SRV",dr_Est,"&lt;&gt;Excluido"),IF($E$48="PYG",$F$48/EM$71,$F$48)/12*EM$74*EM$75)</f>
        <v>0</v>
      </c>
      <c r="EN134" s="13" t="n">
        <f aca="false">IF(EN$69=1,SUMIFS(dr_USD,dr_Mes,138,dr_Cod,"SRV",dr_Est,"&lt;&gt;Excluido"),IF($E$48="PYG",$F$48/EN$71,$F$48)/12*EN$74*EN$75)</f>
        <v>0</v>
      </c>
      <c r="EO134" s="13" t="n">
        <f aca="false">IF(EO$69=1,SUMIFS(dr_USD,dr_Mes,139,dr_Cod,"SRV",dr_Est,"&lt;&gt;Excluido"),IF($E$48="PYG",$F$48/EO$71,$F$48)/12*EO$74*EO$75)</f>
        <v>0</v>
      </c>
      <c r="EP134" s="13" t="n">
        <f aca="false">IF(EP$69=1,SUMIFS(dr_USD,dr_Mes,140,dr_Cod,"SRV",dr_Est,"&lt;&gt;Excluido"),IF($E$48="PYG",$F$48/EP$71,$F$48)/12*EP$74*EP$75)</f>
        <v>0</v>
      </c>
      <c r="EQ134" s="13" t="n">
        <f aca="false">IF(EQ$69=1,SUMIFS(dr_USD,dr_Mes,141,dr_Cod,"SRV",dr_Est,"&lt;&gt;Excluido"),IF($E$48="PYG",$F$48/EQ$71,$F$48)/12*EQ$74*EQ$75)</f>
        <v>0</v>
      </c>
      <c r="ER134" s="13" t="n">
        <f aca="false">IF(ER$69=1,SUMIFS(dr_USD,dr_Mes,142,dr_Cod,"SRV",dr_Est,"&lt;&gt;Excluido"),IF($E$48="PYG",$F$48/ER$71,$F$48)/12*ER$74*ER$75)</f>
        <v>0</v>
      </c>
      <c r="ES134" s="13" t="n">
        <f aca="false">IF(ES$69=1,SUMIFS(dr_USD,dr_Mes,143,dr_Cod,"SRV",dr_Est,"&lt;&gt;Excluido"),IF($E$48="PYG",$F$48/ES$71,$F$48)/12*ES$74*ES$75)</f>
        <v>0</v>
      </c>
      <c r="ET134" s="13" t="n">
        <f aca="false">IF(ET$69=1,SUMIFS(dr_USD,dr_Mes,144,dr_Cod,"SRV",dr_Est,"&lt;&gt;Excluido"),IF($E$48="PYG",$F$48/ET$71,$F$48)/12*ET$74*ET$75)</f>
        <v>0</v>
      </c>
      <c r="EU134" s="13" t="n">
        <f aca="false">IF(EU$69=1,SUMIFS(dr_USD,dr_Mes,145,dr_Cod,"SRV",dr_Est,"&lt;&gt;Excluido"),IF($E$48="PYG",$F$48/EU$71,$F$48)/12*EU$74*EU$75)</f>
        <v>0</v>
      </c>
      <c r="EV134" s="13" t="n">
        <f aca="false">IF(EV$69=1,SUMIFS(dr_USD,dr_Mes,146,dr_Cod,"SRV",dr_Est,"&lt;&gt;Excluido"),IF($E$48="PYG",$F$48/EV$71,$F$48)/12*EV$74*EV$75)</f>
        <v>0</v>
      </c>
      <c r="EW134" s="13" t="n">
        <f aca="false">IF(EW$69=1,SUMIFS(dr_USD,dr_Mes,147,dr_Cod,"SRV",dr_Est,"&lt;&gt;Excluido"),IF($E$48="PYG",$F$48/EW$71,$F$48)/12*EW$74*EW$75)</f>
        <v>0</v>
      </c>
      <c r="EX134" s="13" t="n">
        <f aca="false">IF(EX$69=1,SUMIFS(dr_USD,dr_Mes,148,dr_Cod,"SRV",dr_Est,"&lt;&gt;Excluido"),IF($E$48="PYG",$F$48/EX$71,$F$48)/12*EX$74*EX$75)</f>
        <v>0</v>
      </c>
      <c r="EY134" s="13" t="n">
        <f aca="false">IF(EY$69=1,SUMIFS(dr_USD,dr_Mes,149,dr_Cod,"SRV",dr_Est,"&lt;&gt;Excluido"),IF($E$48="PYG",$F$48/EY$71,$F$48)/12*EY$74*EY$75)</f>
        <v>0</v>
      </c>
      <c r="EZ134" s="13" t="n">
        <f aca="false">IF(EZ$69=1,SUMIFS(dr_USD,dr_Mes,150,dr_Cod,"SRV",dr_Est,"&lt;&gt;Excluido"),IF($E$48="PYG",$F$48/EZ$71,$F$48)/12*EZ$74*EZ$75)</f>
        <v>0</v>
      </c>
      <c r="FA134" s="13" t="n">
        <f aca="false">IF(FA$69=1,SUMIFS(dr_USD,dr_Mes,151,dr_Cod,"SRV",dr_Est,"&lt;&gt;Excluido"),IF($E$48="PYG",$F$48/FA$71,$F$48)/12*FA$74*FA$75)</f>
        <v>0</v>
      </c>
      <c r="FB134" s="13" t="n">
        <f aca="false">IF(FB$69=1,SUMIFS(dr_USD,dr_Mes,152,dr_Cod,"SRV",dr_Est,"&lt;&gt;Excluido"),IF($E$48="PYG",$F$48/FB$71,$F$48)/12*FB$74*FB$75)</f>
        <v>0</v>
      </c>
      <c r="FC134" s="13" t="n">
        <f aca="false">IF(FC$69=1,SUMIFS(dr_USD,dr_Mes,153,dr_Cod,"SRV",dr_Est,"&lt;&gt;Excluido"),IF($E$48="PYG",$F$48/FC$71,$F$48)/12*FC$74*FC$75)</f>
        <v>0</v>
      </c>
      <c r="FD134" s="13" t="n">
        <f aca="false">IF(FD$69=1,SUMIFS(dr_USD,dr_Mes,154,dr_Cod,"SRV",dr_Est,"&lt;&gt;Excluido"),IF($E$48="PYG",$F$48/FD$71,$F$48)/12*FD$74*FD$75)</f>
        <v>0</v>
      </c>
      <c r="FE134" s="13" t="n">
        <f aca="false">IF(FE$69=1,SUMIFS(dr_USD,dr_Mes,155,dr_Cod,"SRV",dr_Est,"&lt;&gt;Excluido"),IF($E$48="PYG",$F$48/FE$71,$F$48)/12*FE$74*FE$75)</f>
        <v>0</v>
      </c>
      <c r="FF134" s="13" t="n">
        <f aca="false">IF(FF$69=1,SUMIFS(dr_USD,dr_Mes,156,dr_Cod,"SRV",dr_Est,"&lt;&gt;Excluido"),IF($E$48="PYG",$F$48/FF$71,$F$48)/12*FF$74*FF$75)</f>
        <v>0</v>
      </c>
    </row>
    <row r="135" customFormat="false" ht="15" hidden="false" customHeight="false" outlineLevel="0" collapsed="false">
      <c r="A135" s="2" t="s">
        <v>1112</v>
      </c>
      <c r="B135" s="8" t="s">
        <v>982</v>
      </c>
      <c r="C135" s="8" t="s">
        <v>255</v>
      </c>
      <c r="E135" s="65" t="n">
        <f aca="false">SUM($F135:$FF135)</f>
        <v>49315.0684931507</v>
      </c>
      <c r="F135" s="13" t="n">
        <f aca="false">IF(F$69=1,SUMIFS(dr_USD,dr_Mes,0,dr_Cod,"MAA",dr_Est,"&lt;&gt;Excluido"),IF($E$49="PYG",$F$49/F$71,$F$49)/12*F$74*F$75)</f>
        <v>0</v>
      </c>
      <c r="G135" s="13" t="n">
        <f aca="false">IF(G$69=1,SUMIFS(dr_USD,dr_Mes,1,dr_Cod,"MAA",dr_Est,"&lt;&gt;Excluido"),IF($E$49="PYG",$F$49/G$71,$F$49)/12*G$74*G$75)</f>
        <v>410.958904109589</v>
      </c>
      <c r="H135" s="13" t="n">
        <f aca="false">IF(H$69=1,SUMIFS(dr_USD,dr_Mes,2,dr_Cod,"MAA",dr_Est,"&lt;&gt;Excluido"),IF($E$49="PYG",$F$49/H$71,$F$49)/12*H$74*H$75)</f>
        <v>410.958904109589</v>
      </c>
      <c r="I135" s="13" t="n">
        <f aca="false">IF(I$69=1,SUMIFS(dr_USD,dr_Mes,3,dr_Cod,"MAA",dr_Est,"&lt;&gt;Excluido"),IF($E$49="PYG",$F$49/I$71,$F$49)/12*I$74*I$75)</f>
        <v>410.958904109589</v>
      </c>
      <c r="J135" s="13" t="n">
        <f aca="false">IF(J$69=1,SUMIFS(dr_USD,dr_Mes,4,dr_Cod,"MAA",dr_Est,"&lt;&gt;Excluido"),IF($E$49="PYG",$F$49/J$71,$F$49)/12*J$74*J$75)</f>
        <v>410.958904109589</v>
      </c>
      <c r="K135" s="13" t="n">
        <f aca="false">IF(K$69=1,SUMIFS(dr_USD,dr_Mes,5,dr_Cod,"MAA",dr_Est,"&lt;&gt;Excluido"),IF($E$49="PYG",$F$49/K$71,$F$49)/12*K$74*K$75)</f>
        <v>410.958904109589</v>
      </c>
      <c r="L135" s="13" t="n">
        <f aca="false">IF(L$69=1,SUMIFS(dr_USD,dr_Mes,6,dr_Cod,"MAA",dr_Est,"&lt;&gt;Excluido"),IF($E$49="PYG",$F$49/L$71,$F$49)/12*L$74*L$75)</f>
        <v>410.958904109589</v>
      </c>
      <c r="M135" s="13" t="n">
        <f aca="false">IF(M$69=1,SUMIFS(dr_USD,dr_Mes,7,dr_Cod,"MAA",dr_Est,"&lt;&gt;Excluido"),IF($E$49="PYG",$F$49/M$71,$F$49)/12*M$74*M$75)</f>
        <v>410.958904109589</v>
      </c>
      <c r="N135" s="13" t="n">
        <f aca="false">IF(N$69=1,SUMIFS(dr_USD,dr_Mes,8,dr_Cod,"MAA",dr_Est,"&lt;&gt;Excluido"),IF($E$49="PYG",$F$49/N$71,$F$49)/12*N$74*N$75)</f>
        <v>410.958904109589</v>
      </c>
      <c r="O135" s="13" t="n">
        <f aca="false">IF(O$69=1,SUMIFS(dr_USD,dr_Mes,9,dr_Cod,"MAA",dr_Est,"&lt;&gt;Excluido"),IF($E$49="PYG",$F$49/O$71,$F$49)/12*O$74*O$75)</f>
        <v>410.958904109589</v>
      </c>
      <c r="P135" s="13" t="n">
        <f aca="false">IF(P$69=1,SUMIFS(dr_USD,dr_Mes,10,dr_Cod,"MAA",dr_Est,"&lt;&gt;Excluido"),IF($E$49="PYG",$F$49/P$71,$F$49)/12*P$74*P$75)</f>
        <v>410.958904109589</v>
      </c>
      <c r="Q135" s="13" t="n">
        <f aca="false">IF(Q$69=1,SUMIFS(dr_USD,dr_Mes,11,dr_Cod,"MAA",dr_Est,"&lt;&gt;Excluido"),IF($E$49="PYG",$F$49/Q$71,$F$49)/12*Q$74*Q$75)</f>
        <v>410.958904109589</v>
      </c>
      <c r="R135" s="13" t="n">
        <f aca="false">IF(R$69=1,SUMIFS(dr_USD,dr_Mes,12,dr_Cod,"MAA",dr_Est,"&lt;&gt;Excluido"),IF($E$49="PYG",$F$49/R$71,$F$49)/12*R$74*R$75)</f>
        <v>410.958904109589</v>
      </c>
      <c r="S135" s="13" t="n">
        <f aca="false">IF(S$69=1,SUMIFS(dr_USD,dr_Mes,13,dr_Cod,"MAA",dr_Est,"&lt;&gt;Excluido"),IF($E$49="PYG",$F$49/S$71,$F$49)/12*S$74*S$75)</f>
        <v>410.958904109589</v>
      </c>
      <c r="T135" s="13" t="n">
        <f aca="false">IF(T$69=1,SUMIFS(dr_USD,dr_Mes,14,dr_Cod,"MAA",dr_Est,"&lt;&gt;Excluido"),IF($E$49="PYG",$F$49/T$71,$F$49)/12*T$74*T$75)</f>
        <v>410.958904109589</v>
      </c>
      <c r="U135" s="13" t="n">
        <f aca="false">IF(U$69=1,SUMIFS(dr_USD,dr_Mes,15,dr_Cod,"MAA",dr_Est,"&lt;&gt;Excluido"),IF($E$49="PYG",$F$49/U$71,$F$49)/12*U$74*U$75)</f>
        <v>410.958904109589</v>
      </c>
      <c r="V135" s="13" t="n">
        <f aca="false">IF(V$69=1,SUMIFS(dr_USD,dr_Mes,16,dr_Cod,"MAA",dr_Est,"&lt;&gt;Excluido"),IF($E$49="PYG",$F$49/V$71,$F$49)/12*V$74*V$75)</f>
        <v>410.958904109589</v>
      </c>
      <c r="W135" s="13" t="n">
        <f aca="false">IF(W$69=1,SUMIFS(dr_USD,dr_Mes,17,dr_Cod,"MAA",dr_Est,"&lt;&gt;Excluido"),IF($E$49="PYG",$F$49/W$71,$F$49)/12*W$74*W$75)</f>
        <v>410.958904109589</v>
      </c>
      <c r="X135" s="13" t="n">
        <f aca="false">IF(X$69=1,SUMIFS(dr_USD,dr_Mes,18,dr_Cod,"MAA",dr_Est,"&lt;&gt;Excluido"),IF($E$49="PYG",$F$49/X$71,$F$49)/12*X$74*X$75)</f>
        <v>410.958904109589</v>
      </c>
      <c r="Y135" s="13" t="n">
        <f aca="false">IF(Y$69=1,SUMIFS(dr_USD,dr_Mes,19,dr_Cod,"MAA",dr_Est,"&lt;&gt;Excluido"),IF($E$49="PYG",$F$49/Y$71,$F$49)/12*Y$74*Y$75)</f>
        <v>410.958904109589</v>
      </c>
      <c r="Z135" s="13" t="n">
        <f aca="false">IF(Z$69=1,SUMIFS(dr_USD,dr_Mes,20,dr_Cod,"MAA",dr_Est,"&lt;&gt;Excluido"),IF($E$49="PYG",$F$49/Z$71,$F$49)/12*Z$74*Z$75)</f>
        <v>410.958904109589</v>
      </c>
      <c r="AA135" s="13" t="n">
        <f aca="false">IF(AA$69=1,SUMIFS(dr_USD,dr_Mes,21,dr_Cod,"MAA",dr_Est,"&lt;&gt;Excluido"),IF($E$49="PYG",$F$49/AA$71,$F$49)/12*AA$74*AA$75)</f>
        <v>410.958904109589</v>
      </c>
      <c r="AB135" s="13" t="n">
        <f aca="false">IF(AB$69=1,SUMIFS(dr_USD,dr_Mes,22,dr_Cod,"MAA",dr_Est,"&lt;&gt;Excluido"),IF($E$49="PYG",$F$49/AB$71,$F$49)/12*AB$74*AB$75)</f>
        <v>410.958904109589</v>
      </c>
      <c r="AC135" s="13" t="n">
        <f aca="false">IF(AC$69=1,SUMIFS(dr_USD,dr_Mes,23,dr_Cod,"MAA",dr_Est,"&lt;&gt;Excluido"),IF($E$49="PYG",$F$49/AC$71,$F$49)/12*AC$74*AC$75)</f>
        <v>410.958904109589</v>
      </c>
      <c r="AD135" s="13" t="n">
        <f aca="false">IF(AD$69=1,SUMIFS(dr_USD,dr_Mes,24,dr_Cod,"MAA",dr_Est,"&lt;&gt;Excluido"),IF($E$49="PYG",$F$49/AD$71,$F$49)/12*AD$74*AD$75)</f>
        <v>410.958904109589</v>
      </c>
      <c r="AE135" s="13" t="n">
        <f aca="false">IF(AE$69=1,SUMIFS(dr_USD,dr_Mes,25,dr_Cod,"MAA",dr_Est,"&lt;&gt;Excluido"),IF($E$49="PYG",$F$49/AE$71,$F$49)/12*AE$74*AE$75)</f>
        <v>410.958904109589</v>
      </c>
      <c r="AF135" s="13" t="n">
        <f aca="false">IF(AF$69=1,SUMIFS(dr_USD,dr_Mes,26,dr_Cod,"MAA",dr_Est,"&lt;&gt;Excluido"),IF($E$49="PYG",$F$49/AF$71,$F$49)/12*AF$74*AF$75)</f>
        <v>410.958904109589</v>
      </c>
      <c r="AG135" s="13" t="n">
        <f aca="false">IF(AG$69=1,SUMIFS(dr_USD,dr_Mes,27,dr_Cod,"MAA",dr_Est,"&lt;&gt;Excluido"),IF($E$49="PYG",$F$49/AG$71,$F$49)/12*AG$74*AG$75)</f>
        <v>410.958904109589</v>
      </c>
      <c r="AH135" s="13" t="n">
        <f aca="false">IF(AH$69=1,SUMIFS(dr_USD,dr_Mes,28,dr_Cod,"MAA",dr_Est,"&lt;&gt;Excluido"),IF($E$49="PYG",$F$49/AH$71,$F$49)/12*AH$74*AH$75)</f>
        <v>410.958904109589</v>
      </c>
      <c r="AI135" s="13" t="n">
        <f aca="false">IF(AI$69=1,SUMIFS(dr_USD,dr_Mes,29,dr_Cod,"MAA",dr_Est,"&lt;&gt;Excluido"),IF($E$49="PYG",$F$49/AI$71,$F$49)/12*AI$74*AI$75)</f>
        <v>410.958904109589</v>
      </c>
      <c r="AJ135" s="13" t="n">
        <f aca="false">IF(AJ$69=1,SUMIFS(dr_USD,dr_Mes,30,dr_Cod,"MAA",dr_Est,"&lt;&gt;Excluido"),IF($E$49="PYG",$F$49/AJ$71,$F$49)/12*AJ$74*AJ$75)</f>
        <v>410.958904109589</v>
      </c>
      <c r="AK135" s="13" t="n">
        <f aca="false">IF(AK$69=1,SUMIFS(dr_USD,dr_Mes,31,dr_Cod,"MAA",dr_Est,"&lt;&gt;Excluido"),IF($E$49="PYG",$F$49/AK$71,$F$49)/12*AK$74*AK$75)</f>
        <v>410.958904109589</v>
      </c>
      <c r="AL135" s="13" t="n">
        <f aca="false">IF(AL$69=1,SUMIFS(dr_USD,dr_Mes,32,dr_Cod,"MAA",dr_Est,"&lt;&gt;Excluido"),IF($E$49="PYG",$F$49/AL$71,$F$49)/12*AL$74*AL$75)</f>
        <v>410.958904109589</v>
      </c>
      <c r="AM135" s="13" t="n">
        <f aca="false">IF(AM$69=1,SUMIFS(dr_USD,dr_Mes,33,dr_Cod,"MAA",dr_Est,"&lt;&gt;Excluido"),IF($E$49="PYG",$F$49/AM$71,$F$49)/12*AM$74*AM$75)</f>
        <v>410.958904109589</v>
      </c>
      <c r="AN135" s="13" t="n">
        <f aca="false">IF(AN$69=1,SUMIFS(dr_USD,dr_Mes,34,dr_Cod,"MAA",dr_Est,"&lt;&gt;Excluido"),IF($E$49="PYG",$F$49/AN$71,$F$49)/12*AN$74*AN$75)</f>
        <v>410.958904109589</v>
      </c>
      <c r="AO135" s="13" t="n">
        <f aca="false">IF(AO$69=1,SUMIFS(dr_USD,dr_Mes,35,dr_Cod,"MAA",dr_Est,"&lt;&gt;Excluido"),IF($E$49="PYG",$F$49/AO$71,$F$49)/12*AO$74*AO$75)</f>
        <v>410.958904109589</v>
      </c>
      <c r="AP135" s="13" t="n">
        <f aca="false">IF(AP$69=1,SUMIFS(dr_USD,dr_Mes,36,dr_Cod,"MAA",dr_Est,"&lt;&gt;Excluido"),IF($E$49="PYG",$F$49/AP$71,$F$49)/12*AP$74*AP$75)</f>
        <v>410.958904109589</v>
      </c>
      <c r="AQ135" s="13" t="n">
        <f aca="false">IF(AQ$69=1,SUMIFS(dr_USD,dr_Mes,37,dr_Cod,"MAA",dr_Est,"&lt;&gt;Excluido"),IF($E$49="PYG",$F$49/AQ$71,$F$49)/12*AQ$74*AQ$75)</f>
        <v>410.958904109589</v>
      </c>
      <c r="AR135" s="13" t="n">
        <f aca="false">IF(AR$69=1,SUMIFS(dr_USD,dr_Mes,38,dr_Cod,"MAA",dr_Est,"&lt;&gt;Excluido"),IF($E$49="PYG",$F$49/AR$71,$F$49)/12*AR$74*AR$75)</f>
        <v>410.958904109589</v>
      </c>
      <c r="AS135" s="13" t="n">
        <f aca="false">IF(AS$69=1,SUMIFS(dr_USD,dr_Mes,39,dr_Cod,"MAA",dr_Est,"&lt;&gt;Excluido"),IF($E$49="PYG",$F$49/AS$71,$F$49)/12*AS$74*AS$75)</f>
        <v>410.958904109589</v>
      </c>
      <c r="AT135" s="13" t="n">
        <f aca="false">IF(AT$69=1,SUMIFS(dr_USD,dr_Mes,40,dr_Cod,"MAA",dr_Est,"&lt;&gt;Excluido"),IF($E$49="PYG",$F$49/AT$71,$F$49)/12*AT$74*AT$75)</f>
        <v>410.958904109589</v>
      </c>
      <c r="AU135" s="13" t="n">
        <f aca="false">IF(AU$69=1,SUMIFS(dr_USD,dr_Mes,41,dr_Cod,"MAA",dr_Est,"&lt;&gt;Excluido"),IF($E$49="PYG",$F$49/AU$71,$F$49)/12*AU$74*AU$75)</f>
        <v>410.958904109589</v>
      </c>
      <c r="AV135" s="13" t="n">
        <f aca="false">IF(AV$69=1,SUMIFS(dr_USD,dr_Mes,42,dr_Cod,"MAA",dr_Est,"&lt;&gt;Excluido"),IF($E$49="PYG",$F$49/AV$71,$F$49)/12*AV$74*AV$75)</f>
        <v>410.958904109589</v>
      </c>
      <c r="AW135" s="13" t="n">
        <f aca="false">IF(AW$69=1,SUMIFS(dr_USD,dr_Mes,43,dr_Cod,"MAA",dr_Est,"&lt;&gt;Excluido"),IF($E$49="PYG",$F$49/AW$71,$F$49)/12*AW$74*AW$75)</f>
        <v>410.958904109589</v>
      </c>
      <c r="AX135" s="13" t="n">
        <f aca="false">IF(AX$69=1,SUMIFS(dr_USD,dr_Mes,44,dr_Cod,"MAA",dr_Est,"&lt;&gt;Excluido"),IF($E$49="PYG",$F$49/AX$71,$F$49)/12*AX$74*AX$75)</f>
        <v>410.958904109589</v>
      </c>
      <c r="AY135" s="13" t="n">
        <f aca="false">IF(AY$69=1,SUMIFS(dr_USD,dr_Mes,45,dr_Cod,"MAA",dr_Est,"&lt;&gt;Excluido"),IF($E$49="PYG",$F$49/AY$71,$F$49)/12*AY$74*AY$75)</f>
        <v>410.958904109589</v>
      </c>
      <c r="AZ135" s="13" t="n">
        <f aca="false">IF(AZ$69=1,SUMIFS(dr_USD,dr_Mes,46,dr_Cod,"MAA",dr_Est,"&lt;&gt;Excluido"),IF($E$49="PYG",$F$49/AZ$71,$F$49)/12*AZ$74*AZ$75)</f>
        <v>410.958904109589</v>
      </c>
      <c r="BA135" s="13" t="n">
        <f aca="false">IF(BA$69=1,SUMIFS(dr_USD,dr_Mes,47,dr_Cod,"MAA",dr_Est,"&lt;&gt;Excluido"),IF($E$49="PYG",$F$49/BA$71,$F$49)/12*BA$74*BA$75)</f>
        <v>410.958904109589</v>
      </c>
      <c r="BB135" s="13" t="n">
        <f aca="false">IF(BB$69=1,SUMIFS(dr_USD,dr_Mes,48,dr_Cod,"MAA",dr_Est,"&lt;&gt;Excluido"),IF($E$49="PYG",$F$49/BB$71,$F$49)/12*BB$74*BB$75)</f>
        <v>410.958904109589</v>
      </c>
      <c r="BC135" s="13" t="n">
        <f aca="false">IF(BC$69=1,SUMIFS(dr_USD,dr_Mes,49,dr_Cod,"MAA",dr_Est,"&lt;&gt;Excluido"),IF($E$49="PYG",$F$49/BC$71,$F$49)/12*BC$74*BC$75)</f>
        <v>410.958904109589</v>
      </c>
      <c r="BD135" s="13" t="n">
        <f aca="false">IF(BD$69=1,SUMIFS(dr_USD,dr_Mes,50,dr_Cod,"MAA",dr_Est,"&lt;&gt;Excluido"),IF($E$49="PYG",$F$49/BD$71,$F$49)/12*BD$74*BD$75)</f>
        <v>410.958904109589</v>
      </c>
      <c r="BE135" s="13" t="n">
        <f aca="false">IF(BE$69=1,SUMIFS(dr_USD,dr_Mes,51,dr_Cod,"MAA",dr_Est,"&lt;&gt;Excluido"),IF($E$49="PYG",$F$49/BE$71,$F$49)/12*BE$74*BE$75)</f>
        <v>410.958904109589</v>
      </c>
      <c r="BF135" s="13" t="n">
        <f aca="false">IF(BF$69=1,SUMIFS(dr_USD,dr_Mes,52,dr_Cod,"MAA",dr_Est,"&lt;&gt;Excluido"),IF($E$49="PYG",$F$49/BF$71,$F$49)/12*BF$74*BF$75)</f>
        <v>410.958904109589</v>
      </c>
      <c r="BG135" s="13" t="n">
        <f aca="false">IF(BG$69=1,SUMIFS(dr_USD,dr_Mes,53,dr_Cod,"MAA",dr_Est,"&lt;&gt;Excluido"),IF($E$49="PYG",$F$49/BG$71,$F$49)/12*BG$74*BG$75)</f>
        <v>410.958904109589</v>
      </c>
      <c r="BH135" s="13" t="n">
        <f aca="false">IF(BH$69=1,SUMIFS(dr_USD,dr_Mes,54,dr_Cod,"MAA",dr_Est,"&lt;&gt;Excluido"),IF($E$49="PYG",$F$49/BH$71,$F$49)/12*BH$74*BH$75)</f>
        <v>410.958904109589</v>
      </c>
      <c r="BI135" s="13" t="n">
        <f aca="false">IF(BI$69=1,SUMIFS(dr_USD,dr_Mes,55,dr_Cod,"MAA",dr_Est,"&lt;&gt;Excluido"),IF($E$49="PYG",$F$49/BI$71,$F$49)/12*BI$74*BI$75)</f>
        <v>410.958904109589</v>
      </c>
      <c r="BJ135" s="13" t="n">
        <f aca="false">IF(BJ$69=1,SUMIFS(dr_USD,dr_Mes,56,dr_Cod,"MAA",dr_Est,"&lt;&gt;Excluido"),IF($E$49="PYG",$F$49/BJ$71,$F$49)/12*BJ$74*BJ$75)</f>
        <v>410.958904109589</v>
      </c>
      <c r="BK135" s="13" t="n">
        <f aca="false">IF(BK$69=1,SUMIFS(dr_USD,dr_Mes,57,dr_Cod,"MAA",dr_Est,"&lt;&gt;Excluido"),IF($E$49="PYG",$F$49/BK$71,$F$49)/12*BK$74*BK$75)</f>
        <v>410.958904109589</v>
      </c>
      <c r="BL135" s="13" t="n">
        <f aca="false">IF(BL$69=1,SUMIFS(dr_USD,dr_Mes,58,dr_Cod,"MAA",dr_Est,"&lt;&gt;Excluido"),IF($E$49="PYG",$F$49/BL$71,$F$49)/12*BL$74*BL$75)</f>
        <v>410.958904109589</v>
      </c>
      <c r="BM135" s="13" t="n">
        <f aca="false">IF(BM$69=1,SUMIFS(dr_USD,dr_Mes,59,dr_Cod,"MAA",dr_Est,"&lt;&gt;Excluido"),IF($E$49="PYG",$F$49/BM$71,$F$49)/12*BM$74*BM$75)</f>
        <v>410.958904109589</v>
      </c>
      <c r="BN135" s="13" t="n">
        <f aca="false">IF(BN$69=1,SUMIFS(dr_USD,dr_Mes,60,dr_Cod,"MAA",dr_Est,"&lt;&gt;Excluido"),IF($E$49="PYG",$F$49/BN$71,$F$49)/12*BN$74*BN$75)</f>
        <v>410.958904109589</v>
      </c>
      <c r="BO135" s="13" t="n">
        <f aca="false">IF(BO$69=1,SUMIFS(dr_USD,dr_Mes,61,dr_Cod,"MAA",dr_Est,"&lt;&gt;Excluido"),IF($E$49="PYG",$F$49/BO$71,$F$49)/12*BO$74*BO$75)</f>
        <v>410.958904109589</v>
      </c>
      <c r="BP135" s="13" t="n">
        <f aca="false">IF(BP$69=1,SUMIFS(dr_USD,dr_Mes,62,dr_Cod,"MAA",dr_Est,"&lt;&gt;Excluido"),IF($E$49="PYG",$F$49/BP$71,$F$49)/12*BP$74*BP$75)</f>
        <v>410.958904109589</v>
      </c>
      <c r="BQ135" s="13" t="n">
        <f aca="false">IF(BQ$69=1,SUMIFS(dr_USD,dr_Mes,63,dr_Cod,"MAA",dr_Est,"&lt;&gt;Excluido"),IF($E$49="PYG",$F$49/BQ$71,$F$49)/12*BQ$74*BQ$75)</f>
        <v>410.958904109589</v>
      </c>
      <c r="BR135" s="13" t="n">
        <f aca="false">IF(BR$69=1,SUMIFS(dr_USD,dr_Mes,64,dr_Cod,"MAA",dr_Est,"&lt;&gt;Excluido"),IF($E$49="PYG",$F$49/BR$71,$F$49)/12*BR$74*BR$75)</f>
        <v>410.958904109589</v>
      </c>
      <c r="BS135" s="13" t="n">
        <f aca="false">IF(BS$69=1,SUMIFS(dr_USD,dr_Mes,65,dr_Cod,"MAA",dr_Est,"&lt;&gt;Excluido"),IF($E$49="PYG",$F$49/BS$71,$F$49)/12*BS$74*BS$75)</f>
        <v>410.958904109589</v>
      </c>
      <c r="BT135" s="13" t="n">
        <f aca="false">IF(BT$69=1,SUMIFS(dr_USD,dr_Mes,66,dr_Cod,"MAA",dr_Est,"&lt;&gt;Excluido"),IF($E$49="PYG",$F$49/BT$71,$F$49)/12*BT$74*BT$75)</f>
        <v>410.958904109589</v>
      </c>
      <c r="BU135" s="13" t="n">
        <f aca="false">IF(BU$69=1,SUMIFS(dr_USD,dr_Mes,67,dr_Cod,"MAA",dr_Est,"&lt;&gt;Excluido"),IF($E$49="PYG",$F$49/BU$71,$F$49)/12*BU$74*BU$75)</f>
        <v>410.958904109589</v>
      </c>
      <c r="BV135" s="13" t="n">
        <f aca="false">IF(BV$69=1,SUMIFS(dr_USD,dr_Mes,68,dr_Cod,"MAA",dr_Est,"&lt;&gt;Excluido"),IF($E$49="PYG",$F$49/BV$71,$F$49)/12*BV$74*BV$75)</f>
        <v>410.958904109589</v>
      </c>
      <c r="BW135" s="13" t="n">
        <f aca="false">IF(BW$69=1,SUMIFS(dr_USD,dr_Mes,69,dr_Cod,"MAA",dr_Est,"&lt;&gt;Excluido"),IF($E$49="PYG",$F$49/BW$71,$F$49)/12*BW$74*BW$75)</f>
        <v>410.958904109589</v>
      </c>
      <c r="BX135" s="13" t="n">
        <f aca="false">IF(BX$69=1,SUMIFS(dr_USD,dr_Mes,70,dr_Cod,"MAA",dr_Est,"&lt;&gt;Excluido"),IF($E$49="PYG",$F$49/BX$71,$F$49)/12*BX$74*BX$75)</f>
        <v>410.958904109589</v>
      </c>
      <c r="BY135" s="13" t="n">
        <f aca="false">IF(BY$69=1,SUMIFS(dr_USD,dr_Mes,71,dr_Cod,"MAA",dr_Est,"&lt;&gt;Excluido"),IF($E$49="PYG",$F$49/BY$71,$F$49)/12*BY$74*BY$75)</f>
        <v>410.958904109589</v>
      </c>
      <c r="BZ135" s="13" t="n">
        <f aca="false">IF(BZ$69=1,SUMIFS(dr_USD,dr_Mes,72,dr_Cod,"MAA",dr_Est,"&lt;&gt;Excluido"),IF($E$49="PYG",$F$49/BZ$71,$F$49)/12*BZ$74*BZ$75)</f>
        <v>410.958904109589</v>
      </c>
      <c r="CA135" s="13" t="n">
        <f aca="false">IF(CA$69=1,SUMIFS(dr_USD,dr_Mes,73,dr_Cod,"MAA",dr_Est,"&lt;&gt;Excluido"),IF($E$49="PYG",$F$49/CA$71,$F$49)/12*CA$74*CA$75)</f>
        <v>410.958904109589</v>
      </c>
      <c r="CB135" s="13" t="n">
        <f aca="false">IF(CB$69=1,SUMIFS(dr_USD,dr_Mes,74,dr_Cod,"MAA",dr_Est,"&lt;&gt;Excluido"),IF($E$49="PYG",$F$49/CB$71,$F$49)/12*CB$74*CB$75)</f>
        <v>410.958904109589</v>
      </c>
      <c r="CC135" s="13" t="n">
        <f aca="false">IF(CC$69=1,SUMIFS(dr_USD,dr_Mes,75,dr_Cod,"MAA",dr_Est,"&lt;&gt;Excluido"),IF($E$49="PYG",$F$49/CC$71,$F$49)/12*CC$74*CC$75)</f>
        <v>410.958904109589</v>
      </c>
      <c r="CD135" s="13" t="n">
        <f aca="false">IF(CD$69=1,SUMIFS(dr_USD,dr_Mes,76,dr_Cod,"MAA",dr_Est,"&lt;&gt;Excluido"),IF($E$49="PYG",$F$49/CD$71,$F$49)/12*CD$74*CD$75)</f>
        <v>410.958904109589</v>
      </c>
      <c r="CE135" s="13" t="n">
        <f aca="false">IF(CE$69=1,SUMIFS(dr_USD,dr_Mes,77,dr_Cod,"MAA",dr_Est,"&lt;&gt;Excluido"),IF($E$49="PYG",$F$49/CE$71,$F$49)/12*CE$74*CE$75)</f>
        <v>410.958904109589</v>
      </c>
      <c r="CF135" s="13" t="n">
        <f aca="false">IF(CF$69=1,SUMIFS(dr_USD,dr_Mes,78,dr_Cod,"MAA",dr_Est,"&lt;&gt;Excluido"),IF($E$49="PYG",$F$49/CF$71,$F$49)/12*CF$74*CF$75)</f>
        <v>410.958904109589</v>
      </c>
      <c r="CG135" s="13" t="n">
        <f aca="false">IF(CG$69=1,SUMIFS(dr_USD,dr_Mes,79,dr_Cod,"MAA",dr_Est,"&lt;&gt;Excluido"),IF($E$49="PYG",$F$49/CG$71,$F$49)/12*CG$74*CG$75)</f>
        <v>410.958904109589</v>
      </c>
      <c r="CH135" s="13" t="n">
        <f aca="false">IF(CH$69=1,SUMIFS(dr_USD,dr_Mes,80,dr_Cod,"MAA",dr_Est,"&lt;&gt;Excluido"),IF($E$49="PYG",$F$49/CH$71,$F$49)/12*CH$74*CH$75)</f>
        <v>410.958904109589</v>
      </c>
      <c r="CI135" s="13" t="n">
        <f aca="false">IF(CI$69=1,SUMIFS(dr_USD,dr_Mes,81,dr_Cod,"MAA",dr_Est,"&lt;&gt;Excluido"),IF($E$49="PYG",$F$49/CI$71,$F$49)/12*CI$74*CI$75)</f>
        <v>410.958904109589</v>
      </c>
      <c r="CJ135" s="13" t="n">
        <f aca="false">IF(CJ$69=1,SUMIFS(dr_USD,dr_Mes,82,dr_Cod,"MAA",dr_Est,"&lt;&gt;Excluido"),IF($E$49="PYG",$F$49/CJ$71,$F$49)/12*CJ$74*CJ$75)</f>
        <v>410.958904109589</v>
      </c>
      <c r="CK135" s="13" t="n">
        <f aca="false">IF(CK$69=1,SUMIFS(dr_USD,dr_Mes,83,dr_Cod,"MAA",dr_Est,"&lt;&gt;Excluido"),IF($E$49="PYG",$F$49/CK$71,$F$49)/12*CK$74*CK$75)</f>
        <v>410.958904109589</v>
      </c>
      <c r="CL135" s="13" t="n">
        <f aca="false">IF(CL$69=1,SUMIFS(dr_USD,dr_Mes,84,dr_Cod,"MAA",dr_Est,"&lt;&gt;Excluido"),IF($E$49="PYG",$F$49/CL$71,$F$49)/12*CL$74*CL$75)</f>
        <v>410.958904109589</v>
      </c>
      <c r="CM135" s="13" t="n">
        <f aca="false">IF(CM$69=1,SUMIFS(dr_USD,dr_Mes,85,dr_Cod,"MAA",dr_Est,"&lt;&gt;Excluido"),IF($E$49="PYG",$F$49/CM$71,$F$49)/12*CM$74*CM$75)</f>
        <v>410.958904109589</v>
      </c>
      <c r="CN135" s="13" t="n">
        <f aca="false">IF(CN$69=1,SUMIFS(dr_USD,dr_Mes,86,dr_Cod,"MAA",dr_Est,"&lt;&gt;Excluido"),IF($E$49="PYG",$F$49/CN$71,$F$49)/12*CN$74*CN$75)</f>
        <v>410.958904109589</v>
      </c>
      <c r="CO135" s="13" t="n">
        <f aca="false">IF(CO$69=1,SUMIFS(dr_USD,dr_Mes,87,dr_Cod,"MAA",dr_Est,"&lt;&gt;Excluido"),IF($E$49="PYG",$F$49/CO$71,$F$49)/12*CO$74*CO$75)</f>
        <v>410.958904109589</v>
      </c>
      <c r="CP135" s="13" t="n">
        <f aca="false">IF(CP$69=1,SUMIFS(dr_USD,dr_Mes,88,dr_Cod,"MAA",dr_Est,"&lt;&gt;Excluido"),IF($E$49="PYG",$F$49/CP$71,$F$49)/12*CP$74*CP$75)</f>
        <v>410.958904109589</v>
      </c>
      <c r="CQ135" s="13" t="n">
        <f aca="false">IF(CQ$69=1,SUMIFS(dr_USD,dr_Mes,89,dr_Cod,"MAA",dr_Est,"&lt;&gt;Excluido"),IF($E$49="PYG",$F$49/CQ$71,$F$49)/12*CQ$74*CQ$75)</f>
        <v>410.958904109589</v>
      </c>
      <c r="CR135" s="13" t="n">
        <f aca="false">IF(CR$69=1,SUMIFS(dr_USD,dr_Mes,90,dr_Cod,"MAA",dr_Est,"&lt;&gt;Excluido"),IF($E$49="PYG",$F$49/CR$71,$F$49)/12*CR$74*CR$75)</f>
        <v>410.958904109589</v>
      </c>
      <c r="CS135" s="13" t="n">
        <f aca="false">IF(CS$69=1,SUMIFS(dr_USD,dr_Mes,91,dr_Cod,"MAA",dr_Est,"&lt;&gt;Excluido"),IF($E$49="PYG",$F$49/CS$71,$F$49)/12*CS$74*CS$75)</f>
        <v>410.958904109589</v>
      </c>
      <c r="CT135" s="13" t="n">
        <f aca="false">IF(CT$69=1,SUMIFS(dr_USD,dr_Mes,92,dr_Cod,"MAA",dr_Est,"&lt;&gt;Excluido"),IF($E$49="PYG",$F$49/CT$71,$F$49)/12*CT$74*CT$75)</f>
        <v>410.958904109589</v>
      </c>
      <c r="CU135" s="13" t="n">
        <f aca="false">IF(CU$69=1,SUMIFS(dr_USD,dr_Mes,93,dr_Cod,"MAA",dr_Est,"&lt;&gt;Excluido"),IF($E$49="PYG",$F$49/CU$71,$F$49)/12*CU$74*CU$75)</f>
        <v>410.958904109589</v>
      </c>
      <c r="CV135" s="13" t="n">
        <f aca="false">IF(CV$69=1,SUMIFS(dr_USD,dr_Mes,94,dr_Cod,"MAA",dr_Est,"&lt;&gt;Excluido"),IF($E$49="PYG",$F$49/CV$71,$F$49)/12*CV$74*CV$75)</f>
        <v>410.958904109589</v>
      </c>
      <c r="CW135" s="13" t="n">
        <f aca="false">IF(CW$69=1,SUMIFS(dr_USD,dr_Mes,95,dr_Cod,"MAA",dr_Est,"&lt;&gt;Excluido"),IF($E$49="PYG",$F$49/CW$71,$F$49)/12*CW$74*CW$75)</f>
        <v>410.958904109589</v>
      </c>
      <c r="CX135" s="13" t="n">
        <f aca="false">IF(CX$69=1,SUMIFS(dr_USD,dr_Mes,96,dr_Cod,"MAA",dr_Est,"&lt;&gt;Excluido"),IF($E$49="PYG",$F$49/CX$71,$F$49)/12*CX$74*CX$75)</f>
        <v>410.958904109589</v>
      </c>
      <c r="CY135" s="13" t="n">
        <f aca="false">IF(CY$69=1,SUMIFS(dr_USD,dr_Mes,97,dr_Cod,"MAA",dr_Est,"&lt;&gt;Excluido"),IF($E$49="PYG",$F$49/CY$71,$F$49)/12*CY$74*CY$75)</f>
        <v>410.958904109589</v>
      </c>
      <c r="CZ135" s="13" t="n">
        <f aca="false">IF(CZ$69=1,SUMIFS(dr_USD,dr_Mes,98,dr_Cod,"MAA",dr_Est,"&lt;&gt;Excluido"),IF($E$49="PYG",$F$49/CZ$71,$F$49)/12*CZ$74*CZ$75)</f>
        <v>410.958904109589</v>
      </c>
      <c r="DA135" s="13" t="n">
        <f aca="false">IF(DA$69=1,SUMIFS(dr_USD,dr_Mes,99,dr_Cod,"MAA",dr_Est,"&lt;&gt;Excluido"),IF($E$49="PYG",$F$49/DA$71,$F$49)/12*DA$74*DA$75)</f>
        <v>410.958904109589</v>
      </c>
      <c r="DB135" s="13" t="n">
        <f aca="false">IF(DB$69=1,SUMIFS(dr_USD,dr_Mes,100,dr_Cod,"MAA",dr_Est,"&lt;&gt;Excluido"),IF($E$49="PYG",$F$49/DB$71,$F$49)/12*DB$74*DB$75)</f>
        <v>410.958904109589</v>
      </c>
      <c r="DC135" s="13" t="n">
        <f aca="false">IF(DC$69=1,SUMIFS(dr_USD,dr_Mes,101,dr_Cod,"MAA",dr_Est,"&lt;&gt;Excluido"),IF($E$49="PYG",$F$49/DC$71,$F$49)/12*DC$74*DC$75)</f>
        <v>410.958904109589</v>
      </c>
      <c r="DD135" s="13" t="n">
        <f aca="false">IF(DD$69=1,SUMIFS(dr_USD,dr_Mes,102,dr_Cod,"MAA",dr_Est,"&lt;&gt;Excluido"),IF($E$49="PYG",$F$49/DD$71,$F$49)/12*DD$74*DD$75)</f>
        <v>410.958904109589</v>
      </c>
      <c r="DE135" s="13" t="n">
        <f aca="false">IF(DE$69=1,SUMIFS(dr_USD,dr_Mes,103,dr_Cod,"MAA",dr_Est,"&lt;&gt;Excluido"),IF($E$49="PYG",$F$49/DE$71,$F$49)/12*DE$74*DE$75)</f>
        <v>410.958904109589</v>
      </c>
      <c r="DF135" s="13" t="n">
        <f aca="false">IF(DF$69=1,SUMIFS(dr_USD,dr_Mes,104,dr_Cod,"MAA",dr_Est,"&lt;&gt;Excluido"),IF($E$49="PYG",$F$49/DF$71,$F$49)/12*DF$74*DF$75)</f>
        <v>410.958904109589</v>
      </c>
      <c r="DG135" s="13" t="n">
        <f aca="false">IF(DG$69=1,SUMIFS(dr_USD,dr_Mes,105,dr_Cod,"MAA",dr_Est,"&lt;&gt;Excluido"),IF($E$49="PYG",$F$49/DG$71,$F$49)/12*DG$74*DG$75)</f>
        <v>410.958904109589</v>
      </c>
      <c r="DH135" s="13" t="n">
        <f aca="false">IF(DH$69=1,SUMIFS(dr_USD,dr_Mes,106,dr_Cod,"MAA",dr_Est,"&lt;&gt;Excluido"),IF($E$49="PYG",$F$49/DH$71,$F$49)/12*DH$74*DH$75)</f>
        <v>410.958904109589</v>
      </c>
      <c r="DI135" s="13" t="n">
        <f aca="false">IF(DI$69=1,SUMIFS(dr_USD,dr_Mes,107,dr_Cod,"MAA",dr_Est,"&lt;&gt;Excluido"),IF($E$49="PYG",$F$49/DI$71,$F$49)/12*DI$74*DI$75)</f>
        <v>410.958904109589</v>
      </c>
      <c r="DJ135" s="13" t="n">
        <f aca="false">IF(DJ$69=1,SUMIFS(dr_USD,dr_Mes,108,dr_Cod,"MAA",dr_Est,"&lt;&gt;Excluido"),IF($E$49="PYG",$F$49/DJ$71,$F$49)/12*DJ$74*DJ$75)</f>
        <v>410.958904109589</v>
      </c>
      <c r="DK135" s="13" t="n">
        <f aca="false">IF(DK$69=1,SUMIFS(dr_USD,dr_Mes,109,dr_Cod,"MAA",dr_Est,"&lt;&gt;Excluido"),IF($E$49="PYG",$F$49/DK$71,$F$49)/12*DK$74*DK$75)</f>
        <v>410.958904109589</v>
      </c>
      <c r="DL135" s="13" t="n">
        <f aca="false">IF(DL$69=1,SUMIFS(dr_USD,dr_Mes,110,dr_Cod,"MAA",dr_Est,"&lt;&gt;Excluido"),IF($E$49="PYG",$F$49/DL$71,$F$49)/12*DL$74*DL$75)</f>
        <v>410.958904109589</v>
      </c>
      <c r="DM135" s="13" t="n">
        <f aca="false">IF(DM$69=1,SUMIFS(dr_USD,dr_Mes,111,dr_Cod,"MAA",dr_Est,"&lt;&gt;Excluido"),IF($E$49="PYG",$F$49/DM$71,$F$49)/12*DM$74*DM$75)</f>
        <v>410.958904109589</v>
      </c>
      <c r="DN135" s="13" t="n">
        <f aca="false">IF(DN$69=1,SUMIFS(dr_USD,dr_Mes,112,dr_Cod,"MAA",dr_Est,"&lt;&gt;Excluido"),IF($E$49="PYG",$F$49/DN$71,$F$49)/12*DN$74*DN$75)</f>
        <v>410.958904109589</v>
      </c>
      <c r="DO135" s="13" t="n">
        <f aca="false">IF(DO$69=1,SUMIFS(dr_USD,dr_Mes,113,dr_Cod,"MAA",dr_Est,"&lt;&gt;Excluido"),IF($E$49="PYG",$F$49/DO$71,$F$49)/12*DO$74*DO$75)</f>
        <v>410.958904109589</v>
      </c>
      <c r="DP135" s="13" t="n">
        <f aca="false">IF(DP$69=1,SUMIFS(dr_USD,dr_Mes,114,dr_Cod,"MAA",dr_Est,"&lt;&gt;Excluido"),IF($E$49="PYG",$F$49/DP$71,$F$49)/12*DP$74*DP$75)</f>
        <v>410.958904109589</v>
      </c>
      <c r="DQ135" s="13" t="n">
        <f aca="false">IF(DQ$69=1,SUMIFS(dr_USD,dr_Mes,115,dr_Cod,"MAA",dr_Est,"&lt;&gt;Excluido"),IF($E$49="PYG",$F$49/DQ$71,$F$49)/12*DQ$74*DQ$75)</f>
        <v>410.958904109589</v>
      </c>
      <c r="DR135" s="13" t="n">
        <f aca="false">IF(DR$69=1,SUMIFS(dr_USD,dr_Mes,116,dr_Cod,"MAA",dr_Est,"&lt;&gt;Excluido"),IF($E$49="PYG",$F$49/DR$71,$F$49)/12*DR$74*DR$75)</f>
        <v>410.958904109589</v>
      </c>
      <c r="DS135" s="13" t="n">
        <f aca="false">IF(DS$69=1,SUMIFS(dr_USD,dr_Mes,117,dr_Cod,"MAA",dr_Est,"&lt;&gt;Excluido"),IF($E$49="PYG",$F$49/DS$71,$F$49)/12*DS$74*DS$75)</f>
        <v>410.958904109589</v>
      </c>
      <c r="DT135" s="13" t="n">
        <f aca="false">IF(DT$69=1,SUMIFS(dr_USD,dr_Mes,118,dr_Cod,"MAA",dr_Est,"&lt;&gt;Excluido"),IF($E$49="PYG",$F$49/DT$71,$F$49)/12*DT$74*DT$75)</f>
        <v>410.958904109589</v>
      </c>
      <c r="DU135" s="13" t="n">
        <f aca="false">IF(DU$69=1,SUMIFS(dr_USD,dr_Mes,119,dr_Cod,"MAA",dr_Est,"&lt;&gt;Excluido"),IF($E$49="PYG",$F$49/DU$71,$F$49)/12*DU$74*DU$75)</f>
        <v>410.958904109589</v>
      </c>
      <c r="DV135" s="13" t="n">
        <f aca="false">IF(DV$69=1,SUMIFS(dr_USD,dr_Mes,120,dr_Cod,"MAA",dr_Est,"&lt;&gt;Excluido"),IF($E$49="PYG",$F$49/DV$71,$F$49)/12*DV$74*DV$75)</f>
        <v>410.958904109589</v>
      </c>
      <c r="DW135" s="13" t="n">
        <f aca="false">IF(DW$69=1,SUMIFS(dr_USD,dr_Mes,121,dr_Cod,"MAA",dr_Est,"&lt;&gt;Excluido"),IF($E$49="PYG",$F$49/DW$71,$F$49)/12*DW$74*DW$75)</f>
        <v>0</v>
      </c>
      <c r="DX135" s="13" t="n">
        <f aca="false">IF(DX$69=1,SUMIFS(dr_USD,dr_Mes,122,dr_Cod,"MAA",dr_Est,"&lt;&gt;Excluido"),IF($E$49="PYG",$F$49/DX$71,$F$49)/12*DX$74*DX$75)</f>
        <v>0</v>
      </c>
      <c r="DY135" s="13" t="n">
        <f aca="false">IF(DY$69=1,SUMIFS(dr_USD,dr_Mes,123,dr_Cod,"MAA",dr_Est,"&lt;&gt;Excluido"),IF($E$49="PYG",$F$49/DY$71,$F$49)/12*DY$74*DY$75)</f>
        <v>0</v>
      </c>
      <c r="DZ135" s="13" t="n">
        <f aca="false">IF(DZ$69=1,SUMIFS(dr_USD,dr_Mes,124,dr_Cod,"MAA",dr_Est,"&lt;&gt;Excluido"),IF($E$49="PYG",$F$49/DZ$71,$F$49)/12*DZ$74*DZ$75)</f>
        <v>0</v>
      </c>
      <c r="EA135" s="13" t="n">
        <f aca="false">IF(EA$69=1,SUMIFS(dr_USD,dr_Mes,125,dr_Cod,"MAA",dr_Est,"&lt;&gt;Excluido"),IF($E$49="PYG",$F$49/EA$71,$F$49)/12*EA$74*EA$75)</f>
        <v>0</v>
      </c>
      <c r="EB135" s="13" t="n">
        <f aca="false">IF(EB$69=1,SUMIFS(dr_USD,dr_Mes,126,dr_Cod,"MAA",dr_Est,"&lt;&gt;Excluido"),IF($E$49="PYG",$F$49/EB$71,$F$49)/12*EB$74*EB$75)</f>
        <v>0</v>
      </c>
      <c r="EC135" s="13" t="n">
        <f aca="false">IF(EC$69=1,SUMIFS(dr_USD,dr_Mes,127,dr_Cod,"MAA",dr_Est,"&lt;&gt;Excluido"),IF($E$49="PYG",$F$49/EC$71,$F$49)/12*EC$74*EC$75)</f>
        <v>0</v>
      </c>
      <c r="ED135" s="13" t="n">
        <f aca="false">IF(ED$69=1,SUMIFS(dr_USD,dr_Mes,128,dr_Cod,"MAA",dr_Est,"&lt;&gt;Excluido"),IF($E$49="PYG",$F$49/ED$71,$F$49)/12*ED$74*ED$75)</f>
        <v>0</v>
      </c>
      <c r="EE135" s="13" t="n">
        <f aca="false">IF(EE$69=1,SUMIFS(dr_USD,dr_Mes,129,dr_Cod,"MAA",dr_Est,"&lt;&gt;Excluido"),IF($E$49="PYG",$F$49/EE$71,$F$49)/12*EE$74*EE$75)</f>
        <v>0</v>
      </c>
      <c r="EF135" s="13" t="n">
        <f aca="false">IF(EF$69=1,SUMIFS(dr_USD,dr_Mes,130,dr_Cod,"MAA",dr_Est,"&lt;&gt;Excluido"),IF($E$49="PYG",$F$49/EF$71,$F$49)/12*EF$74*EF$75)</f>
        <v>0</v>
      </c>
      <c r="EG135" s="13" t="n">
        <f aca="false">IF(EG$69=1,SUMIFS(dr_USD,dr_Mes,131,dr_Cod,"MAA",dr_Est,"&lt;&gt;Excluido"),IF($E$49="PYG",$F$49/EG$71,$F$49)/12*EG$74*EG$75)</f>
        <v>0</v>
      </c>
      <c r="EH135" s="13" t="n">
        <f aca="false">IF(EH$69=1,SUMIFS(dr_USD,dr_Mes,132,dr_Cod,"MAA",dr_Est,"&lt;&gt;Excluido"),IF($E$49="PYG",$F$49/EH$71,$F$49)/12*EH$74*EH$75)</f>
        <v>0</v>
      </c>
      <c r="EI135" s="13" t="n">
        <f aca="false">IF(EI$69=1,SUMIFS(dr_USD,dr_Mes,133,dr_Cod,"MAA",dr_Est,"&lt;&gt;Excluido"),IF($E$49="PYG",$F$49/EI$71,$F$49)/12*EI$74*EI$75)</f>
        <v>0</v>
      </c>
      <c r="EJ135" s="13" t="n">
        <f aca="false">IF(EJ$69=1,SUMIFS(dr_USD,dr_Mes,134,dr_Cod,"MAA",dr_Est,"&lt;&gt;Excluido"),IF($E$49="PYG",$F$49/EJ$71,$F$49)/12*EJ$74*EJ$75)</f>
        <v>0</v>
      </c>
      <c r="EK135" s="13" t="n">
        <f aca="false">IF(EK$69=1,SUMIFS(dr_USD,dr_Mes,135,dr_Cod,"MAA",dr_Est,"&lt;&gt;Excluido"),IF($E$49="PYG",$F$49/EK$71,$F$49)/12*EK$74*EK$75)</f>
        <v>0</v>
      </c>
      <c r="EL135" s="13" t="n">
        <f aca="false">IF(EL$69=1,SUMIFS(dr_USD,dr_Mes,136,dr_Cod,"MAA",dr_Est,"&lt;&gt;Excluido"),IF($E$49="PYG",$F$49/EL$71,$F$49)/12*EL$74*EL$75)</f>
        <v>0</v>
      </c>
      <c r="EM135" s="13" t="n">
        <f aca="false">IF(EM$69=1,SUMIFS(dr_USD,dr_Mes,137,dr_Cod,"MAA",dr_Est,"&lt;&gt;Excluido"),IF($E$49="PYG",$F$49/EM$71,$F$49)/12*EM$74*EM$75)</f>
        <v>0</v>
      </c>
      <c r="EN135" s="13" t="n">
        <f aca="false">IF(EN$69=1,SUMIFS(dr_USD,dr_Mes,138,dr_Cod,"MAA",dr_Est,"&lt;&gt;Excluido"),IF($E$49="PYG",$F$49/EN$71,$F$49)/12*EN$74*EN$75)</f>
        <v>0</v>
      </c>
      <c r="EO135" s="13" t="n">
        <f aca="false">IF(EO$69=1,SUMIFS(dr_USD,dr_Mes,139,dr_Cod,"MAA",dr_Est,"&lt;&gt;Excluido"),IF($E$49="PYG",$F$49/EO$71,$F$49)/12*EO$74*EO$75)</f>
        <v>0</v>
      </c>
      <c r="EP135" s="13" t="n">
        <f aca="false">IF(EP$69=1,SUMIFS(dr_USD,dr_Mes,140,dr_Cod,"MAA",dr_Est,"&lt;&gt;Excluido"),IF($E$49="PYG",$F$49/EP$71,$F$49)/12*EP$74*EP$75)</f>
        <v>0</v>
      </c>
      <c r="EQ135" s="13" t="n">
        <f aca="false">IF(EQ$69=1,SUMIFS(dr_USD,dr_Mes,141,dr_Cod,"MAA",dr_Est,"&lt;&gt;Excluido"),IF($E$49="PYG",$F$49/EQ$71,$F$49)/12*EQ$74*EQ$75)</f>
        <v>0</v>
      </c>
      <c r="ER135" s="13" t="n">
        <f aca="false">IF(ER$69=1,SUMIFS(dr_USD,dr_Mes,142,dr_Cod,"MAA",dr_Est,"&lt;&gt;Excluido"),IF($E$49="PYG",$F$49/ER$71,$F$49)/12*ER$74*ER$75)</f>
        <v>0</v>
      </c>
      <c r="ES135" s="13" t="n">
        <f aca="false">IF(ES$69=1,SUMIFS(dr_USD,dr_Mes,143,dr_Cod,"MAA",dr_Est,"&lt;&gt;Excluido"),IF($E$49="PYG",$F$49/ES$71,$F$49)/12*ES$74*ES$75)</f>
        <v>0</v>
      </c>
      <c r="ET135" s="13" t="n">
        <f aca="false">IF(ET$69=1,SUMIFS(dr_USD,dr_Mes,144,dr_Cod,"MAA",dr_Est,"&lt;&gt;Excluido"),IF($E$49="PYG",$F$49/ET$71,$F$49)/12*ET$74*ET$75)</f>
        <v>0</v>
      </c>
      <c r="EU135" s="13" t="n">
        <f aca="false">IF(EU$69=1,SUMIFS(dr_USD,dr_Mes,145,dr_Cod,"MAA",dr_Est,"&lt;&gt;Excluido"),IF($E$49="PYG",$F$49/EU$71,$F$49)/12*EU$74*EU$75)</f>
        <v>0</v>
      </c>
      <c r="EV135" s="13" t="n">
        <f aca="false">IF(EV$69=1,SUMIFS(dr_USD,dr_Mes,146,dr_Cod,"MAA",dr_Est,"&lt;&gt;Excluido"),IF($E$49="PYG",$F$49/EV$71,$F$49)/12*EV$74*EV$75)</f>
        <v>0</v>
      </c>
      <c r="EW135" s="13" t="n">
        <f aca="false">IF(EW$69=1,SUMIFS(dr_USD,dr_Mes,147,dr_Cod,"MAA",dr_Est,"&lt;&gt;Excluido"),IF($E$49="PYG",$F$49/EW$71,$F$49)/12*EW$74*EW$75)</f>
        <v>0</v>
      </c>
      <c r="EX135" s="13" t="n">
        <f aca="false">IF(EX$69=1,SUMIFS(dr_USD,dr_Mes,148,dr_Cod,"MAA",dr_Est,"&lt;&gt;Excluido"),IF($E$49="PYG",$F$49/EX$71,$F$49)/12*EX$74*EX$75)</f>
        <v>0</v>
      </c>
      <c r="EY135" s="13" t="n">
        <f aca="false">IF(EY$69=1,SUMIFS(dr_USD,dr_Mes,149,dr_Cod,"MAA",dr_Est,"&lt;&gt;Excluido"),IF($E$49="PYG",$F$49/EY$71,$F$49)/12*EY$74*EY$75)</f>
        <v>0</v>
      </c>
      <c r="EZ135" s="13" t="n">
        <f aca="false">IF(EZ$69=1,SUMIFS(dr_USD,dr_Mes,150,dr_Cod,"MAA",dr_Est,"&lt;&gt;Excluido"),IF($E$49="PYG",$F$49/EZ$71,$F$49)/12*EZ$74*EZ$75)</f>
        <v>0</v>
      </c>
      <c r="FA135" s="13" t="n">
        <f aca="false">IF(FA$69=1,SUMIFS(dr_USD,dr_Mes,151,dr_Cod,"MAA",dr_Est,"&lt;&gt;Excluido"),IF($E$49="PYG",$F$49/FA$71,$F$49)/12*FA$74*FA$75)</f>
        <v>0</v>
      </c>
      <c r="FB135" s="13" t="n">
        <f aca="false">IF(FB$69=1,SUMIFS(dr_USD,dr_Mes,152,dr_Cod,"MAA",dr_Est,"&lt;&gt;Excluido"),IF($E$49="PYG",$F$49/FB$71,$F$49)/12*FB$74*FB$75)</f>
        <v>0</v>
      </c>
      <c r="FC135" s="13" t="n">
        <f aca="false">IF(FC$69=1,SUMIFS(dr_USD,dr_Mes,153,dr_Cod,"MAA",dr_Est,"&lt;&gt;Excluido"),IF($E$49="PYG",$F$49/FC$71,$F$49)/12*FC$74*FC$75)</f>
        <v>0</v>
      </c>
      <c r="FD135" s="13" t="n">
        <f aca="false">IF(FD$69=1,SUMIFS(dr_USD,dr_Mes,154,dr_Cod,"MAA",dr_Est,"&lt;&gt;Excluido"),IF($E$49="PYG",$F$49/FD$71,$F$49)/12*FD$74*FD$75)</f>
        <v>0</v>
      </c>
      <c r="FE135" s="13" t="n">
        <f aca="false">IF(FE$69=1,SUMIFS(dr_USD,dr_Mes,155,dr_Cod,"MAA",dr_Est,"&lt;&gt;Excluido"),IF($E$49="PYG",$F$49/FE$71,$F$49)/12*FE$74*FE$75)</f>
        <v>0</v>
      </c>
      <c r="FF135" s="13" t="n">
        <f aca="false">IF(FF$69=1,SUMIFS(dr_USD,dr_Mes,156,dr_Cod,"MAA",dr_Est,"&lt;&gt;Excluido"),IF($E$49="PYG",$F$49/FF$71,$F$49)/12*FF$74*FF$75)</f>
        <v>0</v>
      </c>
    </row>
    <row r="136" customFormat="false" ht="15" hidden="false" customHeight="false" outlineLevel="0" collapsed="false">
      <c r="A136" s="2" t="s">
        <v>1113</v>
      </c>
      <c r="B136" s="8" t="s">
        <v>985</v>
      </c>
      <c r="C136" s="8" t="s">
        <v>255</v>
      </c>
      <c r="E136" s="65" t="n">
        <f aca="false">SUM($F136:$FF136)</f>
        <v>82191.7808219178</v>
      </c>
      <c r="F136" s="13" t="n">
        <f aca="false">IF(F$69=1,SUMIFS(dr_USD,dr_Mes,0,dr_Cod,"SGA",dr_Est,"&lt;&gt;Excluido"),IF($E$50="PYG",$F$50/F$71,$F$50)/12*F$74*F$75)</f>
        <v>0</v>
      </c>
      <c r="G136" s="13" t="n">
        <f aca="false">IF(G$69=1,SUMIFS(dr_USD,dr_Mes,1,dr_Cod,"SGA",dr_Est,"&lt;&gt;Excluido"),IF($E$50="PYG",$F$50/G$71,$F$50)/12*G$74*G$75)</f>
        <v>684.931506849315</v>
      </c>
      <c r="H136" s="13" t="n">
        <f aca="false">IF(H$69=1,SUMIFS(dr_USD,dr_Mes,2,dr_Cod,"SGA",dr_Est,"&lt;&gt;Excluido"),IF($E$50="PYG",$F$50/H$71,$F$50)/12*H$74*H$75)</f>
        <v>684.931506849315</v>
      </c>
      <c r="I136" s="13" t="n">
        <f aca="false">IF(I$69=1,SUMIFS(dr_USD,dr_Mes,3,dr_Cod,"SGA",dr_Est,"&lt;&gt;Excluido"),IF($E$50="PYG",$F$50/I$71,$F$50)/12*I$74*I$75)</f>
        <v>684.931506849315</v>
      </c>
      <c r="J136" s="13" t="n">
        <f aca="false">IF(J$69=1,SUMIFS(dr_USD,dr_Mes,4,dr_Cod,"SGA",dr_Est,"&lt;&gt;Excluido"),IF($E$50="PYG",$F$50/J$71,$F$50)/12*J$74*J$75)</f>
        <v>684.931506849315</v>
      </c>
      <c r="K136" s="13" t="n">
        <f aca="false">IF(K$69=1,SUMIFS(dr_USD,dr_Mes,5,dr_Cod,"SGA",dr_Est,"&lt;&gt;Excluido"),IF($E$50="PYG",$F$50/K$71,$F$50)/12*K$74*K$75)</f>
        <v>684.931506849315</v>
      </c>
      <c r="L136" s="13" t="n">
        <f aca="false">IF(L$69=1,SUMIFS(dr_USD,dr_Mes,6,dr_Cod,"SGA",dr_Est,"&lt;&gt;Excluido"),IF($E$50="PYG",$F$50/L$71,$F$50)/12*L$74*L$75)</f>
        <v>684.931506849315</v>
      </c>
      <c r="M136" s="13" t="n">
        <f aca="false">IF(M$69=1,SUMIFS(dr_USD,dr_Mes,7,dr_Cod,"SGA",dr_Est,"&lt;&gt;Excluido"),IF($E$50="PYG",$F$50/M$71,$F$50)/12*M$74*M$75)</f>
        <v>684.931506849315</v>
      </c>
      <c r="N136" s="13" t="n">
        <f aca="false">IF(N$69=1,SUMIFS(dr_USD,dr_Mes,8,dr_Cod,"SGA",dr_Est,"&lt;&gt;Excluido"),IF($E$50="PYG",$F$50/N$71,$F$50)/12*N$74*N$75)</f>
        <v>684.931506849315</v>
      </c>
      <c r="O136" s="13" t="n">
        <f aca="false">IF(O$69=1,SUMIFS(dr_USD,dr_Mes,9,dr_Cod,"SGA",dr_Est,"&lt;&gt;Excluido"),IF($E$50="PYG",$F$50/O$71,$F$50)/12*O$74*O$75)</f>
        <v>684.931506849315</v>
      </c>
      <c r="P136" s="13" t="n">
        <f aca="false">IF(P$69=1,SUMIFS(dr_USD,dr_Mes,10,dr_Cod,"SGA",dr_Est,"&lt;&gt;Excluido"),IF($E$50="PYG",$F$50/P$71,$F$50)/12*P$74*P$75)</f>
        <v>684.931506849315</v>
      </c>
      <c r="Q136" s="13" t="n">
        <f aca="false">IF(Q$69=1,SUMIFS(dr_USD,dr_Mes,11,dr_Cod,"SGA",dr_Est,"&lt;&gt;Excluido"),IF($E$50="PYG",$F$50/Q$71,$F$50)/12*Q$74*Q$75)</f>
        <v>684.931506849315</v>
      </c>
      <c r="R136" s="13" t="n">
        <f aca="false">IF(R$69=1,SUMIFS(dr_USD,dr_Mes,12,dr_Cod,"SGA",dr_Est,"&lt;&gt;Excluido"),IF($E$50="PYG",$F$50/R$71,$F$50)/12*R$74*R$75)</f>
        <v>684.931506849315</v>
      </c>
      <c r="S136" s="13" t="n">
        <f aca="false">IF(S$69=1,SUMIFS(dr_USD,dr_Mes,13,dr_Cod,"SGA",dr_Est,"&lt;&gt;Excluido"),IF($E$50="PYG",$F$50/S$71,$F$50)/12*S$74*S$75)</f>
        <v>684.931506849315</v>
      </c>
      <c r="T136" s="13" t="n">
        <f aca="false">IF(T$69=1,SUMIFS(dr_USD,dr_Mes,14,dr_Cod,"SGA",dr_Est,"&lt;&gt;Excluido"),IF($E$50="PYG",$F$50/T$71,$F$50)/12*T$74*T$75)</f>
        <v>684.931506849315</v>
      </c>
      <c r="U136" s="13" t="n">
        <f aca="false">IF(U$69=1,SUMIFS(dr_USD,dr_Mes,15,dr_Cod,"SGA",dr_Est,"&lt;&gt;Excluido"),IF($E$50="PYG",$F$50/U$71,$F$50)/12*U$74*U$75)</f>
        <v>684.931506849315</v>
      </c>
      <c r="V136" s="13" t="n">
        <f aca="false">IF(V$69=1,SUMIFS(dr_USD,dr_Mes,16,dr_Cod,"SGA",dr_Est,"&lt;&gt;Excluido"),IF($E$50="PYG",$F$50/V$71,$F$50)/12*V$74*V$75)</f>
        <v>684.931506849315</v>
      </c>
      <c r="W136" s="13" t="n">
        <f aca="false">IF(W$69=1,SUMIFS(dr_USD,dr_Mes,17,dr_Cod,"SGA",dr_Est,"&lt;&gt;Excluido"),IF($E$50="PYG",$F$50/W$71,$F$50)/12*W$74*W$75)</f>
        <v>684.931506849315</v>
      </c>
      <c r="X136" s="13" t="n">
        <f aca="false">IF(X$69=1,SUMIFS(dr_USD,dr_Mes,18,dr_Cod,"SGA",dr_Est,"&lt;&gt;Excluido"),IF($E$50="PYG",$F$50/X$71,$F$50)/12*X$74*X$75)</f>
        <v>684.931506849315</v>
      </c>
      <c r="Y136" s="13" t="n">
        <f aca="false">IF(Y$69=1,SUMIFS(dr_USD,dr_Mes,19,dr_Cod,"SGA",dr_Est,"&lt;&gt;Excluido"),IF($E$50="PYG",$F$50/Y$71,$F$50)/12*Y$74*Y$75)</f>
        <v>684.931506849315</v>
      </c>
      <c r="Z136" s="13" t="n">
        <f aca="false">IF(Z$69=1,SUMIFS(dr_USD,dr_Mes,20,dr_Cod,"SGA",dr_Est,"&lt;&gt;Excluido"),IF($E$50="PYG",$F$50/Z$71,$F$50)/12*Z$74*Z$75)</f>
        <v>684.931506849315</v>
      </c>
      <c r="AA136" s="13" t="n">
        <f aca="false">IF(AA$69=1,SUMIFS(dr_USD,dr_Mes,21,dr_Cod,"SGA",dr_Est,"&lt;&gt;Excluido"),IF($E$50="PYG",$F$50/AA$71,$F$50)/12*AA$74*AA$75)</f>
        <v>684.931506849315</v>
      </c>
      <c r="AB136" s="13" t="n">
        <f aca="false">IF(AB$69=1,SUMIFS(dr_USD,dr_Mes,22,dr_Cod,"SGA",dr_Est,"&lt;&gt;Excluido"),IF($E$50="PYG",$F$50/AB$71,$F$50)/12*AB$74*AB$75)</f>
        <v>684.931506849315</v>
      </c>
      <c r="AC136" s="13" t="n">
        <f aca="false">IF(AC$69=1,SUMIFS(dr_USD,dr_Mes,23,dr_Cod,"SGA",dr_Est,"&lt;&gt;Excluido"),IF($E$50="PYG",$F$50/AC$71,$F$50)/12*AC$74*AC$75)</f>
        <v>684.931506849315</v>
      </c>
      <c r="AD136" s="13" t="n">
        <f aca="false">IF(AD$69=1,SUMIFS(dr_USD,dr_Mes,24,dr_Cod,"SGA",dr_Est,"&lt;&gt;Excluido"),IF($E$50="PYG",$F$50/AD$71,$F$50)/12*AD$74*AD$75)</f>
        <v>684.931506849315</v>
      </c>
      <c r="AE136" s="13" t="n">
        <f aca="false">IF(AE$69=1,SUMIFS(dr_USD,dr_Mes,25,dr_Cod,"SGA",dr_Est,"&lt;&gt;Excluido"),IF($E$50="PYG",$F$50/AE$71,$F$50)/12*AE$74*AE$75)</f>
        <v>684.931506849315</v>
      </c>
      <c r="AF136" s="13" t="n">
        <f aca="false">IF(AF$69=1,SUMIFS(dr_USD,dr_Mes,26,dr_Cod,"SGA",dr_Est,"&lt;&gt;Excluido"),IF($E$50="PYG",$F$50/AF$71,$F$50)/12*AF$74*AF$75)</f>
        <v>684.931506849315</v>
      </c>
      <c r="AG136" s="13" t="n">
        <f aca="false">IF(AG$69=1,SUMIFS(dr_USD,dr_Mes,27,dr_Cod,"SGA",dr_Est,"&lt;&gt;Excluido"),IF($E$50="PYG",$F$50/AG$71,$F$50)/12*AG$74*AG$75)</f>
        <v>684.931506849315</v>
      </c>
      <c r="AH136" s="13" t="n">
        <f aca="false">IF(AH$69=1,SUMIFS(dr_USD,dr_Mes,28,dr_Cod,"SGA",dr_Est,"&lt;&gt;Excluido"),IF($E$50="PYG",$F$50/AH$71,$F$50)/12*AH$74*AH$75)</f>
        <v>684.931506849315</v>
      </c>
      <c r="AI136" s="13" t="n">
        <f aca="false">IF(AI$69=1,SUMIFS(dr_USD,dr_Mes,29,dr_Cod,"SGA",dr_Est,"&lt;&gt;Excluido"),IF($E$50="PYG",$F$50/AI$71,$F$50)/12*AI$74*AI$75)</f>
        <v>684.931506849315</v>
      </c>
      <c r="AJ136" s="13" t="n">
        <f aca="false">IF(AJ$69=1,SUMIFS(dr_USD,dr_Mes,30,dr_Cod,"SGA",dr_Est,"&lt;&gt;Excluido"),IF($E$50="PYG",$F$50/AJ$71,$F$50)/12*AJ$74*AJ$75)</f>
        <v>684.931506849315</v>
      </c>
      <c r="AK136" s="13" t="n">
        <f aca="false">IF(AK$69=1,SUMIFS(dr_USD,dr_Mes,31,dr_Cod,"SGA",dr_Est,"&lt;&gt;Excluido"),IF($E$50="PYG",$F$50/AK$71,$F$50)/12*AK$74*AK$75)</f>
        <v>684.931506849315</v>
      </c>
      <c r="AL136" s="13" t="n">
        <f aca="false">IF(AL$69=1,SUMIFS(dr_USD,dr_Mes,32,dr_Cod,"SGA",dr_Est,"&lt;&gt;Excluido"),IF($E$50="PYG",$F$50/AL$71,$F$50)/12*AL$74*AL$75)</f>
        <v>684.931506849315</v>
      </c>
      <c r="AM136" s="13" t="n">
        <f aca="false">IF(AM$69=1,SUMIFS(dr_USD,dr_Mes,33,dr_Cod,"SGA",dr_Est,"&lt;&gt;Excluido"),IF($E$50="PYG",$F$50/AM$71,$F$50)/12*AM$74*AM$75)</f>
        <v>684.931506849315</v>
      </c>
      <c r="AN136" s="13" t="n">
        <f aca="false">IF(AN$69=1,SUMIFS(dr_USD,dr_Mes,34,dr_Cod,"SGA",dr_Est,"&lt;&gt;Excluido"),IF($E$50="PYG",$F$50/AN$71,$F$50)/12*AN$74*AN$75)</f>
        <v>684.931506849315</v>
      </c>
      <c r="AO136" s="13" t="n">
        <f aca="false">IF(AO$69=1,SUMIFS(dr_USD,dr_Mes,35,dr_Cod,"SGA",dr_Est,"&lt;&gt;Excluido"),IF($E$50="PYG",$F$50/AO$71,$F$50)/12*AO$74*AO$75)</f>
        <v>684.931506849315</v>
      </c>
      <c r="AP136" s="13" t="n">
        <f aca="false">IF(AP$69=1,SUMIFS(dr_USD,dr_Mes,36,dr_Cod,"SGA",dr_Est,"&lt;&gt;Excluido"),IF($E$50="PYG",$F$50/AP$71,$F$50)/12*AP$74*AP$75)</f>
        <v>684.931506849315</v>
      </c>
      <c r="AQ136" s="13" t="n">
        <f aca="false">IF(AQ$69=1,SUMIFS(dr_USD,dr_Mes,37,dr_Cod,"SGA",dr_Est,"&lt;&gt;Excluido"),IF($E$50="PYG",$F$50/AQ$71,$F$50)/12*AQ$74*AQ$75)</f>
        <v>684.931506849315</v>
      </c>
      <c r="AR136" s="13" t="n">
        <f aca="false">IF(AR$69=1,SUMIFS(dr_USD,dr_Mes,38,dr_Cod,"SGA",dr_Est,"&lt;&gt;Excluido"),IF($E$50="PYG",$F$50/AR$71,$F$50)/12*AR$74*AR$75)</f>
        <v>684.931506849315</v>
      </c>
      <c r="AS136" s="13" t="n">
        <f aca="false">IF(AS$69=1,SUMIFS(dr_USD,dr_Mes,39,dr_Cod,"SGA",dr_Est,"&lt;&gt;Excluido"),IF($E$50="PYG",$F$50/AS$71,$F$50)/12*AS$74*AS$75)</f>
        <v>684.931506849315</v>
      </c>
      <c r="AT136" s="13" t="n">
        <f aca="false">IF(AT$69=1,SUMIFS(dr_USD,dr_Mes,40,dr_Cod,"SGA",dr_Est,"&lt;&gt;Excluido"),IF($E$50="PYG",$F$50/AT$71,$F$50)/12*AT$74*AT$75)</f>
        <v>684.931506849315</v>
      </c>
      <c r="AU136" s="13" t="n">
        <f aca="false">IF(AU$69=1,SUMIFS(dr_USD,dr_Mes,41,dr_Cod,"SGA",dr_Est,"&lt;&gt;Excluido"),IF($E$50="PYG",$F$50/AU$71,$F$50)/12*AU$74*AU$75)</f>
        <v>684.931506849315</v>
      </c>
      <c r="AV136" s="13" t="n">
        <f aca="false">IF(AV$69=1,SUMIFS(dr_USD,dr_Mes,42,dr_Cod,"SGA",dr_Est,"&lt;&gt;Excluido"),IF($E$50="PYG",$F$50/AV$71,$F$50)/12*AV$74*AV$75)</f>
        <v>684.931506849315</v>
      </c>
      <c r="AW136" s="13" t="n">
        <f aca="false">IF(AW$69=1,SUMIFS(dr_USD,dr_Mes,43,dr_Cod,"SGA",dr_Est,"&lt;&gt;Excluido"),IF($E$50="PYG",$F$50/AW$71,$F$50)/12*AW$74*AW$75)</f>
        <v>684.931506849315</v>
      </c>
      <c r="AX136" s="13" t="n">
        <f aca="false">IF(AX$69=1,SUMIFS(dr_USD,dr_Mes,44,dr_Cod,"SGA",dr_Est,"&lt;&gt;Excluido"),IF($E$50="PYG",$F$50/AX$71,$F$50)/12*AX$74*AX$75)</f>
        <v>684.931506849315</v>
      </c>
      <c r="AY136" s="13" t="n">
        <f aca="false">IF(AY$69=1,SUMIFS(dr_USD,dr_Mes,45,dr_Cod,"SGA",dr_Est,"&lt;&gt;Excluido"),IF($E$50="PYG",$F$50/AY$71,$F$50)/12*AY$74*AY$75)</f>
        <v>684.931506849315</v>
      </c>
      <c r="AZ136" s="13" t="n">
        <f aca="false">IF(AZ$69=1,SUMIFS(dr_USD,dr_Mes,46,dr_Cod,"SGA",dr_Est,"&lt;&gt;Excluido"),IF($E$50="PYG",$F$50/AZ$71,$F$50)/12*AZ$74*AZ$75)</f>
        <v>684.931506849315</v>
      </c>
      <c r="BA136" s="13" t="n">
        <f aca="false">IF(BA$69=1,SUMIFS(dr_USD,dr_Mes,47,dr_Cod,"SGA",dr_Est,"&lt;&gt;Excluido"),IF($E$50="PYG",$F$50/BA$71,$F$50)/12*BA$74*BA$75)</f>
        <v>684.931506849315</v>
      </c>
      <c r="BB136" s="13" t="n">
        <f aca="false">IF(BB$69=1,SUMIFS(dr_USD,dr_Mes,48,dr_Cod,"SGA",dr_Est,"&lt;&gt;Excluido"),IF($E$50="PYG",$F$50/BB$71,$F$50)/12*BB$74*BB$75)</f>
        <v>684.931506849315</v>
      </c>
      <c r="BC136" s="13" t="n">
        <f aca="false">IF(BC$69=1,SUMIFS(dr_USD,dr_Mes,49,dr_Cod,"SGA",dr_Est,"&lt;&gt;Excluido"),IF($E$50="PYG",$F$50/BC$71,$F$50)/12*BC$74*BC$75)</f>
        <v>684.931506849315</v>
      </c>
      <c r="BD136" s="13" t="n">
        <f aca="false">IF(BD$69=1,SUMIFS(dr_USD,dr_Mes,50,dr_Cod,"SGA",dr_Est,"&lt;&gt;Excluido"),IF($E$50="PYG",$F$50/BD$71,$F$50)/12*BD$74*BD$75)</f>
        <v>684.931506849315</v>
      </c>
      <c r="BE136" s="13" t="n">
        <f aca="false">IF(BE$69=1,SUMIFS(dr_USD,dr_Mes,51,dr_Cod,"SGA",dr_Est,"&lt;&gt;Excluido"),IF($E$50="PYG",$F$50/BE$71,$F$50)/12*BE$74*BE$75)</f>
        <v>684.931506849315</v>
      </c>
      <c r="BF136" s="13" t="n">
        <f aca="false">IF(BF$69=1,SUMIFS(dr_USD,dr_Mes,52,dr_Cod,"SGA",dr_Est,"&lt;&gt;Excluido"),IF($E$50="PYG",$F$50/BF$71,$F$50)/12*BF$74*BF$75)</f>
        <v>684.931506849315</v>
      </c>
      <c r="BG136" s="13" t="n">
        <f aca="false">IF(BG$69=1,SUMIFS(dr_USD,dr_Mes,53,dr_Cod,"SGA",dr_Est,"&lt;&gt;Excluido"),IF($E$50="PYG",$F$50/BG$71,$F$50)/12*BG$74*BG$75)</f>
        <v>684.931506849315</v>
      </c>
      <c r="BH136" s="13" t="n">
        <f aca="false">IF(BH$69=1,SUMIFS(dr_USD,dr_Mes,54,dr_Cod,"SGA",dr_Est,"&lt;&gt;Excluido"),IF($E$50="PYG",$F$50/BH$71,$F$50)/12*BH$74*BH$75)</f>
        <v>684.931506849315</v>
      </c>
      <c r="BI136" s="13" t="n">
        <f aca="false">IF(BI$69=1,SUMIFS(dr_USD,dr_Mes,55,dr_Cod,"SGA",dr_Est,"&lt;&gt;Excluido"),IF($E$50="PYG",$F$50/BI$71,$F$50)/12*BI$74*BI$75)</f>
        <v>684.931506849315</v>
      </c>
      <c r="BJ136" s="13" t="n">
        <f aca="false">IF(BJ$69=1,SUMIFS(dr_USD,dr_Mes,56,dr_Cod,"SGA",dr_Est,"&lt;&gt;Excluido"),IF($E$50="PYG",$F$50/BJ$71,$F$50)/12*BJ$74*BJ$75)</f>
        <v>684.931506849315</v>
      </c>
      <c r="BK136" s="13" t="n">
        <f aca="false">IF(BK$69=1,SUMIFS(dr_USD,dr_Mes,57,dr_Cod,"SGA",dr_Est,"&lt;&gt;Excluido"),IF($E$50="PYG",$F$50/BK$71,$F$50)/12*BK$74*BK$75)</f>
        <v>684.931506849315</v>
      </c>
      <c r="BL136" s="13" t="n">
        <f aca="false">IF(BL$69=1,SUMIFS(dr_USD,dr_Mes,58,dr_Cod,"SGA",dr_Est,"&lt;&gt;Excluido"),IF($E$50="PYG",$F$50/BL$71,$F$50)/12*BL$74*BL$75)</f>
        <v>684.931506849315</v>
      </c>
      <c r="BM136" s="13" t="n">
        <f aca="false">IF(BM$69=1,SUMIFS(dr_USD,dr_Mes,59,dr_Cod,"SGA",dr_Est,"&lt;&gt;Excluido"),IF($E$50="PYG",$F$50/BM$71,$F$50)/12*BM$74*BM$75)</f>
        <v>684.931506849315</v>
      </c>
      <c r="BN136" s="13" t="n">
        <f aca="false">IF(BN$69=1,SUMIFS(dr_USD,dr_Mes,60,dr_Cod,"SGA",dr_Est,"&lt;&gt;Excluido"),IF($E$50="PYG",$F$50/BN$71,$F$50)/12*BN$74*BN$75)</f>
        <v>684.931506849315</v>
      </c>
      <c r="BO136" s="13" t="n">
        <f aca="false">IF(BO$69=1,SUMIFS(dr_USD,dr_Mes,61,dr_Cod,"SGA",dr_Est,"&lt;&gt;Excluido"),IF($E$50="PYG",$F$50/BO$71,$F$50)/12*BO$74*BO$75)</f>
        <v>684.931506849315</v>
      </c>
      <c r="BP136" s="13" t="n">
        <f aca="false">IF(BP$69=1,SUMIFS(dr_USD,dr_Mes,62,dr_Cod,"SGA",dr_Est,"&lt;&gt;Excluido"),IF($E$50="PYG",$F$50/BP$71,$F$50)/12*BP$74*BP$75)</f>
        <v>684.931506849315</v>
      </c>
      <c r="BQ136" s="13" t="n">
        <f aca="false">IF(BQ$69=1,SUMIFS(dr_USD,dr_Mes,63,dr_Cod,"SGA",dr_Est,"&lt;&gt;Excluido"),IF($E$50="PYG",$F$50/BQ$71,$F$50)/12*BQ$74*BQ$75)</f>
        <v>684.931506849315</v>
      </c>
      <c r="BR136" s="13" t="n">
        <f aca="false">IF(BR$69=1,SUMIFS(dr_USD,dr_Mes,64,dr_Cod,"SGA",dr_Est,"&lt;&gt;Excluido"),IF($E$50="PYG",$F$50/BR$71,$F$50)/12*BR$74*BR$75)</f>
        <v>684.931506849315</v>
      </c>
      <c r="BS136" s="13" t="n">
        <f aca="false">IF(BS$69=1,SUMIFS(dr_USD,dr_Mes,65,dr_Cod,"SGA",dr_Est,"&lt;&gt;Excluido"),IF($E$50="PYG",$F$50/BS$71,$F$50)/12*BS$74*BS$75)</f>
        <v>684.931506849315</v>
      </c>
      <c r="BT136" s="13" t="n">
        <f aca="false">IF(BT$69=1,SUMIFS(dr_USD,dr_Mes,66,dr_Cod,"SGA",dr_Est,"&lt;&gt;Excluido"),IF($E$50="PYG",$F$50/BT$71,$F$50)/12*BT$74*BT$75)</f>
        <v>684.931506849315</v>
      </c>
      <c r="BU136" s="13" t="n">
        <f aca="false">IF(BU$69=1,SUMIFS(dr_USD,dr_Mes,67,dr_Cod,"SGA",dr_Est,"&lt;&gt;Excluido"),IF($E$50="PYG",$F$50/BU$71,$F$50)/12*BU$74*BU$75)</f>
        <v>684.931506849315</v>
      </c>
      <c r="BV136" s="13" t="n">
        <f aca="false">IF(BV$69=1,SUMIFS(dr_USD,dr_Mes,68,dr_Cod,"SGA",dr_Est,"&lt;&gt;Excluido"),IF($E$50="PYG",$F$50/BV$71,$F$50)/12*BV$74*BV$75)</f>
        <v>684.931506849315</v>
      </c>
      <c r="BW136" s="13" t="n">
        <f aca="false">IF(BW$69=1,SUMIFS(dr_USD,dr_Mes,69,dr_Cod,"SGA",dr_Est,"&lt;&gt;Excluido"),IF($E$50="PYG",$F$50/BW$71,$F$50)/12*BW$74*BW$75)</f>
        <v>684.931506849315</v>
      </c>
      <c r="BX136" s="13" t="n">
        <f aca="false">IF(BX$69=1,SUMIFS(dr_USD,dr_Mes,70,dr_Cod,"SGA",dr_Est,"&lt;&gt;Excluido"),IF($E$50="PYG",$F$50/BX$71,$F$50)/12*BX$74*BX$75)</f>
        <v>684.931506849315</v>
      </c>
      <c r="BY136" s="13" t="n">
        <f aca="false">IF(BY$69=1,SUMIFS(dr_USD,dr_Mes,71,dr_Cod,"SGA",dr_Est,"&lt;&gt;Excluido"),IF($E$50="PYG",$F$50/BY$71,$F$50)/12*BY$74*BY$75)</f>
        <v>684.931506849315</v>
      </c>
      <c r="BZ136" s="13" t="n">
        <f aca="false">IF(BZ$69=1,SUMIFS(dr_USD,dr_Mes,72,dr_Cod,"SGA",dr_Est,"&lt;&gt;Excluido"),IF($E$50="PYG",$F$50/BZ$71,$F$50)/12*BZ$74*BZ$75)</f>
        <v>684.931506849315</v>
      </c>
      <c r="CA136" s="13" t="n">
        <f aca="false">IF(CA$69=1,SUMIFS(dr_USD,dr_Mes,73,dr_Cod,"SGA",dr_Est,"&lt;&gt;Excluido"),IF($E$50="PYG",$F$50/CA$71,$F$50)/12*CA$74*CA$75)</f>
        <v>684.931506849315</v>
      </c>
      <c r="CB136" s="13" t="n">
        <f aca="false">IF(CB$69=1,SUMIFS(dr_USD,dr_Mes,74,dr_Cod,"SGA",dr_Est,"&lt;&gt;Excluido"),IF($E$50="PYG",$F$50/CB$71,$F$50)/12*CB$74*CB$75)</f>
        <v>684.931506849315</v>
      </c>
      <c r="CC136" s="13" t="n">
        <f aca="false">IF(CC$69=1,SUMIFS(dr_USD,dr_Mes,75,dr_Cod,"SGA",dr_Est,"&lt;&gt;Excluido"),IF($E$50="PYG",$F$50/CC$71,$F$50)/12*CC$74*CC$75)</f>
        <v>684.931506849315</v>
      </c>
      <c r="CD136" s="13" t="n">
        <f aca="false">IF(CD$69=1,SUMIFS(dr_USD,dr_Mes,76,dr_Cod,"SGA",dr_Est,"&lt;&gt;Excluido"),IF($E$50="PYG",$F$50/CD$71,$F$50)/12*CD$74*CD$75)</f>
        <v>684.931506849315</v>
      </c>
      <c r="CE136" s="13" t="n">
        <f aca="false">IF(CE$69=1,SUMIFS(dr_USD,dr_Mes,77,dr_Cod,"SGA",dr_Est,"&lt;&gt;Excluido"),IF($E$50="PYG",$F$50/CE$71,$F$50)/12*CE$74*CE$75)</f>
        <v>684.931506849315</v>
      </c>
      <c r="CF136" s="13" t="n">
        <f aca="false">IF(CF$69=1,SUMIFS(dr_USD,dr_Mes,78,dr_Cod,"SGA",dr_Est,"&lt;&gt;Excluido"),IF($E$50="PYG",$F$50/CF$71,$F$50)/12*CF$74*CF$75)</f>
        <v>684.931506849315</v>
      </c>
      <c r="CG136" s="13" t="n">
        <f aca="false">IF(CG$69=1,SUMIFS(dr_USD,dr_Mes,79,dr_Cod,"SGA",dr_Est,"&lt;&gt;Excluido"),IF($E$50="PYG",$F$50/CG$71,$F$50)/12*CG$74*CG$75)</f>
        <v>684.931506849315</v>
      </c>
      <c r="CH136" s="13" t="n">
        <f aca="false">IF(CH$69=1,SUMIFS(dr_USD,dr_Mes,80,dr_Cod,"SGA",dr_Est,"&lt;&gt;Excluido"),IF($E$50="PYG",$F$50/CH$71,$F$50)/12*CH$74*CH$75)</f>
        <v>684.931506849315</v>
      </c>
      <c r="CI136" s="13" t="n">
        <f aca="false">IF(CI$69=1,SUMIFS(dr_USD,dr_Mes,81,dr_Cod,"SGA",dr_Est,"&lt;&gt;Excluido"),IF($E$50="PYG",$F$50/CI$71,$F$50)/12*CI$74*CI$75)</f>
        <v>684.931506849315</v>
      </c>
      <c r="CJ136" s="13" t="n">
        <f aca="false">IF(CJ$69=1,SUMIFS(dr_USD,dr_Mes,82,dr_Cod,"SGA",dr_Est,"&lt;&gt;Excluido"),IF($E$50="PYG",$F$50/CJ$71,$F$50)/12*CJ$74*CJ$75)</f>
        <v>684.931506849315</v>
      </c>
      <c r="CK136" s="13" t="n">
        <f aca="false">IF(CK$69=1,SUMIFS(dr_USD,dr_Mes,83,dr_Cod,"SGA",dr_Est,"&lt;&gt;Excluido"),IF($E$50="PYG",$F$50/CK$71,$F$50)/12*CK$74*CK$75)</f>
        <v>684.931506849315</v>
      </c>
      <c r="CL136" s="13" t="n">
        <f aca="false">IF(CL$69=1,SUMIFS(dr_USD,dr_Mes,84,dr_Cod,"SGA",dr_Est,"&lt;&gt;Excluido"),IF($E$50="PYG",$F$50/CL$71,$F$50)/12*CL$74*CL$75)</f>
        <v>684.931506849315</v>
      </c>
      <c r="CM136" s="13" t="n">
        <f aca="false">IF(CM$69=1,SUMIFS(dr_USD,dr_Mes,85,dr_Cod,"SGA",dr_Est,"&lt;&gt;Excluido"),IF($E$50="PYG",$F$50/CM$71,$F$50)/12*CM$74*CM$75)</f>
        <v>684.931506849315</v>
      </c>
      <c r="CN136" s="13" t="n">
        <f aca="false">IF(CN$69=1,SUMIFS(dr_USD,dr_Mes,86,dr_Cod,"SGA",dr_Est,"&lt;&gt;Excluido"),IF($E$50="PYG",$F$50/CN$71,$F$50)/12*CN$74*CN$75)</f>
        <v>684.931506849315</v>
      </c>
      <c r="CO136" s="13" t="n">
        <f aca="false">IF(CO$69=1,SUMIFS(dr_USD,dr_Mes,87,dr_Cod,"SGA",dr_Est,"&lt;&gt;Excluido"),IF($E$50="PYG",$F$50/CO$71,$F$50)/12*CO$74*CO$75)</f>
        <v>684.931506849315</v>
      </c>
      <c r="CP136" s="13" t="n">
        <f aca="false">IF(CP$69=1,SUMIFS(dr_USD,dr_Mes,88,dr_Cod,"SGA",dr_Est,"&lt;&gt;Excluido"),IF($E$50="PYG",$F$50/CP$71,$F$50)/12*CP$74*CP$75)</f>
        <v>684.931506849315</v>
      </c>
      <c r="CQ136" s="13" t="n">
        <f aca="false">IF(CQ$69=1,SUMIFS(dr_USD,dr_Mes,89,dr_Cod,"SGA",dr_Est,"&lt;&gt;Excluido"),IF($E$50="PYG",$F$50/CQ$71,$F$50)/12*CQ$74*CQ$75)</f>
        <v>684.931506849315</v>
      </c>
      <c r="CR136" s="13" t="n">
        <f aca="false">IF(CR$69=1,SUMIFS(dr_USD,dr_Mes,90,dr_Cod,"SGA",dr_Est,"&lt;&gt;Excluido"),IF($E$50="PYG",$F$50/CR$71,$F$50)/12*CR$74*CR$75)</f>
        <v>684.931506849315</v>
      </c>
      <c r="CS136" s="13" t="n">
        <f aca="false">IF(CS$69=1,SUMIFS(dr_USD,dr_Mes,91,dr_Cod,"SGA",dr_Est,"&lt;&gt;Excluido"),IF($E$50="PYG",$F$50/CS$71,$F$50)/12*CS$74*CS$75)</f>
        <v>684.931506849315</v>
      </c>
      <c r="CT136" s="13" t="n">
        <f aca="false">IF(CT$69=1,SUMIFS(dr_USD,dr_Mes,92,dr_Cod,"SGA",dr_Est,"&lt;&gt;Excluido"),IF($E$50="PYG",$F$50/CT$71,$F$50)/12*CT$74*CT$75)</f>
        <v>684.931506849315</v>
      </c>
      <c r="CU136" s="13" t="n">
        <f aca="false">IF(CU$69=1,SUMIFS(dr_USD,dr_Mes,93,dr_Cod,"SGA",dr_Est,"&lt;&gt;Excluido"),IF($E$50="PYG",$F$50/CU$71,$F$50)/12*CU$74*CU$75)</f>
        <v>684.931506849315</v>
      </c>
      <c r="CV136" s="13" t="n">
        <f aca="false">IF(CV$69=1,SUMIFS(dr_USD,dr_Mes,94,dr_Cod,"SGA",dr_Est,"&lt;&gt;Excluido"),IF($E$50="PYG",$F$50/CV$71,$F$50)/12*CV$74*CV$75)</f>
        <v>684.931506849315</v>
      </c>
      <c r="CW136" s="13" t="n">
        <f aca="false">IF(CW$69=1,SUMIFS(dr_USD,dr_Mes,95,dr_Cod,"SGA",dr_Est,"&lt;&gt;Excluido"),IF($E$50="PYG",$F$50/CW$71,$F$50)/12*CW$74*CW$75)</f>
        <v>684.931506849315</v>
      </c>
      <c r="CX136" s="13" t="n">
        <f aca="false">IF(CX$69=1,SUMIFS(dr_USD,dr_Mes,96,dr_Cod,"SGA",dr_Est,"&lt;&gt;Excluido"),IF($E$50="PYG",$F$50/CX$71,$F$50)/12*CX$74*CX$75)</f>
        <v>684.931506849315</v>
      </c>
      <c r="CY136" s="13" t="n">
        <f aca="false">IF(CY$69=1,SUMIFS(dr_USD,dr_Mes,97,dr_Cod,"SGA",dr_Est,"&lt;&gt;Excluido"),IF($E$50="PYG",$F$50/CY$71,$F$50)/12*CY$74*CY$75)</f>
        <v>684.931506849315</v>
      </c>
      <c r="CZ136" s="13" t="n">
        <f aca="false">IF(CZ$69=1,SUMIFS(dr_USD,dr_Mes,98,dr_Cod,"SGA",dr_Est,"&lt;&gt;Excluido"),IF($E$50="PYG",$F$50/CZ$71,$F$50)/12*CZ$74*CZ$75)</f>
        <v>684.931506849315</v>
      </c>
      <c r="DA136" s="13" t="n">
        <f aca="false">IF(DA$69=1,SUMIFS(dr_USD,dr_Mes,99,dr_Cod,"SGA",dr_Est,"&lt;&gt;Excluido"),IF($E$50="PYG",$F$50/DA$71,$F$50)/12*DA$74*DA$75)</f>
        <v>684.931506849315</v>
      </c>
      <c r="DB136" s="13" t="n">
        <f aca="false">IF(DB$69=1,SUMIFS(dr_USD,dr_Mes,100,dr_Cod,"SGA",dr_Est,"&lt;&gt;Excluido"),IF($E$50="PYG",$F$50/DB$71,$F$50)/12*DB$74*DB$75)</f>
        <v>684.931506849315</v>
      </c>
      <c r="DC136" s="13" t="n">
        <f aca="false">IF(DC$69=1,SUMIFS(dr_USD,dr_Mes,101,dr_Cod,"SGA",dr_Est,"&lt;&gt;Excluido"),IF($E$50="PYG",$F$50/DC$71,$F$50)/12*DC$74*DC$75)</f>
        <v>684.931506849315</v>
      </c>
      <c r="DD136" s="13" t="n">
        <f aca="false">IF(DD$69=1,SUMIFS(dr_USD,dr_Mes,102,dr_Cod,"SGA",dr_Est,"&lt;&gt;Excluido"),IF($E$50="PYG",$F$50/DD$71,$F$50)/12*DD$74*DD$75)</f>
        <v>684.931506849315</v>
      </c>
      <c r="DE136" s="13" t="n">
        <f aca="false">IF(DE$69=1,SUMIFS(dr_USD,dr_Mes,103,dr_Cod,"SGA",dr_Est,"&lt;&gt;Excluido"),IF($E$50="PYG",$F$50/DE$71,$F$50)/12*DE$74*DE$75)</f>
        <v>684.931506849315</v>
      </c>
      <c r="DF136" s="13" t="n">
        <f aca="false">IF(DF$69=1,SUMIFS(dr_USD,dr_Mes,104,dr_Cod,"SGA",dr_Est,"&lt;&gt;Excluido"),IF($E$50="PYG",$F$50/DF$71,$F$50)/12*DF$74*DF$75)</f>
        <v>684.931506849315</v>
      </c>
      <c r="DG136" s="13" t="n">
        <f aca="false">IF(DG$69=1,SUMIFS(dr_USD,dr_Mes,105,dr_Cod,"SGA",dr_Est,"&lt;&gt;Excluido"),IF($E$50="PYG",$F$50/DG$71,$F$50)/12*DG$74*DG$75)</f>
        <v>684.931506849315</v>
      </c>
      <c r="DH136" s="13" t="n">
        <f aca="false">IF(DH$69=1,SUMIFS(dr_USD,dr_Mes,106,dr_Cod,"SGA",dr_Est,"&lt;&gt;Excluido"),IF($E$50="PYG",$F$50/DH$71,$F$50)/12*DH$74*DH$75)</f>
        <v>684.931506849315</v>
      </c>
      <c r="DI136" s="13" t="n">
        <f aca="false">IF(DI$69=1,SUMIFS(dr_USD,dr_Mes,107,dr_Cod,"SGA",dr_Est,"&lt;&gt;Excluido"),IF($E$50="PYG",$F$50/DI$71,$F$50)/12*DI$74*DI$75)</f>
        <v>684.931506849315</v>
      </c>
      <c r="DJ136" s="13" t="n">
        <f aca="false">IF(DJ$69=1,SUMIFS(dr_USD,dr_Mes,108,dr_Cod,"SGA",dr_Est,"&lt;&gt;Excluido"),IF($E$50="PYG",$F$50/DJ$71,$F$50)/12*DJ$74*DJ$75)</f>
        <v>684.931506849315</v>
      </c>
      <c r="DK136" s="13" t="n">
        <f aca="false">IF(DK$69=1,SUMIFS(dr_USD,dr_Mes,109,dr_Cod,"SGA",dr_Est,"&lt;&gt;Excluido"),IF($E$50="PYG",$F$50/DK$71,$F$50)/12*DK$74*DK$75)</f>
        <v>684.931506849315</v>
      </c>
      <c r="DL136" s="13" t="n">
        <f aca="false">IF(DL$69=1,SUMIFS(dr_USD,dr_Mes,110,dr_Cod,"SGA",dr_Est,"&lt;&gt;Excluido"),IF($E$50="PYG",$F$50/DL$71,$F$50)/12*DL$74*DL$75)</f>
        <v>684.931506849315</v>
      </c>
      <c r="DM136" s="13" t="n">
        <f aca="false">IF(DM$69=1,SUMIFS(dr_USD,dr_Mes,111,dr_Cod,"SGA",dr_Est,"&lt;&gt;Excluido"),IF($E$50="PYG",$F$50/DM$71,$F$50)/12*DM$74*DM$75)</f>
        <v>684.931506849315</v>
      </c>
      <c r="DN136" s="13" t="n">
        <f aca="false">IF(DN$69=1,SUMIFS(dr_USD,dr_Mes,112,dr_Cod,"SGA",dr_Est,"&lt;&gt;Excluido"),IF($E$50="PYG",$F$50/DN$71,$F$50)/12*DN$74*DN$75)</f>
        <v>684.931506849315</v>
      </c>
      <c r="DO136" s="13" t="n">
        <f aca="false">IF(DO$69=1,SUMIFS(dr_USD,dr_Mes,113,dr_Cod,"SGA",dr_Est,"&lt;&gt;Excluido"),IF($E$50="PYG",$F$50/DO$71,$F$50)/12*DO$74*DO$75)</f>
        <v>684.931506849315</v>
      </c>
      <c r="DP136" s="13" t="n">
        <f aca="false">IF(DP$69=1,SUMIFS(dr_USD,dr_Mes,114,dr_Cod,"SGA",dr_Est,"&lt;&gt;Excluido"),IF($E$50="PYG",$F$50/DP$71,$F$50)/12*DP$74*DP$75)</f>
        <v>684.931506849315</v>
      </c>
      <c r="DQ136" s="13" t="n">
        <f aca="false">IF(DQ$69=1,SUMIFS(dr_USD,dr_Mes,115,dr_Cod,"SGA",dr_Est,"&lt;&gt;Excluido"),IF($E$50="PYG",$F$50/DQ$71,$F$50)/12*DQ$74*DQ$75)</f>
        <v>684.931506849315</v>
      </c>
      <c r="DR136" s="13" t="n">
        <f aca="false">IF(DR$69=1,SUMIFS(dr_USD,dr_Mes,116,dr_Cod,"SGA",dr_Est,"&lt;&gt;Excluido"),IF($E$50="PYG",$F$50/DR$71,$F$50)/12*DR$74*DR$75)</f>
        <v>684.931506849315</v>
      </c>
      <c r="DS136" s="13" t="n">
        <f aca="false">IF(DS$69=1,SUMIFS(dr_USD,dr_Mes,117,dr_Cod,"SGA",dr_Est,"&lt;&gt;Excluido"),IF($E$50="PYG",$F$50/DS$71,$F$50)/12*DS$74*DS$75)</f>
        <v>684.931506849315</v>
      </c>
      <c r="DT136" s="13" t="n">
        <f aca="false">IF(DT$69=1,SUMIFS(dr_USD,dr_Mes,118,dr_Cod,"SGA",dr_Est,"&lt;&gt;Excluido"),IF($E$50="PYG",$F$50/DT$71,$F$50)/12*DT$74*DT$75)</f>
        <v>684.931506849315</v>
      </c>
      <c r="DU136" s="13" t="n">
        <f aca="false">IF(DU$69=1,SUMIFS(dr_USD,dr_Mes,119,dr_Cod,"SGA",dr_Est,"&lt;&gt;Excluido"),IF($E$50="PYG",$F$50/DU$71,$F$50)/12*DU$74*DU$75)</f>
        <v>684.931506849315</v>
      </c>
      <c r="DV136" s="13" t="n">
        <f aca="false">IF(DV$69=1,SUMIFS(dr_USD,dr_Mes,120,dr_Cod,"SGA",dr_Est,"&lt;&gt;Excluido"),IF($E$50="PYG",$F$50/DV$71,$F$50)/12*DV$74*DV$75)</f>
        <v>684.931506849315</v>
      </c>
      <c r="DW136" s="13" t="n">
        <f aca="false">IF(DW$69=1,SUMIFS(dr_USD,dr_Mes,121,dr_Cod,"SGA",dr_Est,"&lt;&gt;Excluido"),IF($E$50="PYG",$F$50/DW$71,$F$50)/12*DW$74*DW$75)</f>
        <v>0</v>
      </c>
      <c r="DX136" s="13" t="n">
        <f aca="false">IF(DX$69=1,SUMIFS(dr_USD,dr_Mes,122,dr_Cod,"SGA",dr_Est,"&lt;&gt;Excluido"),IF($E$50="PYG",$F$50/DX$71,$F$50)/12*DX$74*DX$75)</f>
        <v>0</v>
      </c>
      <c r="DY136" s="13" t="n">
        <f aca="false">IF(DY$69=1,SUMIFS(dr_USD,dr_Mes,123,dr_Cod,"SGA",dr_Est,"&lt;&gt;Excluido"),IF($E$50="PYG",$F$50/DY$71,$F$50)/12*DY$74*DY$75)</f>
        <v>0</v>
      </c>
      <c r="DZ136" s="13" t="n">
        <f aca="false">IF(DZ$69=1,SUMIFS(dr_USD,dr_Mes,124,dr_Cod,"SGA",dr_Est,"&lt;&gt;Excluido"),IF($E$50="PYG",$F$50/DZ$71,$F$50)/12*DZ$74*DZ$75)</f>
        <v>0</v>
      </c>
      <c r="EA136" s="13" t="n">
        <f aca="false">IF(EA$69=1,SUMIFS(dr_USD,dr_Mes,125,dr_Cod,"SGA",dr_Est,"&lt;&gt;Excluido"),IF($E$50="PYG",$F$50/EA$71,$F$50)/12*EA$74*EA$75)</f>
        <v>0</v>
      </c>
      <c r="EB136" s="13" t="n">
        <f aca="false">IF(EB$69=1,SUMIFS(dr_USD,dr_Mes,126,dr_Cod,"SGA",dr_Est,"&lt;&gt;Excluido"),IF($E$50="PYG",$F$50/EB$71,$F$50)/12*EB$74*EB$75)</f>
        <v>0</v>
      </c>
      <c r="EC136" s="13" t="n">
        <f aca="false">IF(EC$69=1,SUMIFS(dr_USD,dr_Mes,127,dr_Cod,"SGA",dr_Est,"&lt;&gt;Excluido"),IF($E$50="PYG",$F$50/EC$71,$F$50)/12*EC$74*EC$75)</f>
        <v>0</v>
      </c>
      <c r="ED136" s="13" t="n">
        <f aca="false">IF(ED$69=1,SUMIFS(dr_USD,dr_Mes,128,dr_Cod,"SGA",dr_Est,"&lt;&gt;Excluido"),IF($E$50="PYG",$F$50/ED$71,$F$50)/12*ED$74*ED$75)</f>
        <v>0</v>
      </c>
      <c r="EE136" s="13" t="n">
        <f aca="false">IF(EE$69=1,SUMIFS(dr_USD,dr_Mes,129,dr_Cod,"SGA",dr_Est,"&lt;&gt;Excluido"),IF($E$50="PYG",$F$50/EE$71,$F$50)/12*EE$74*EE$75)</f>
        <v>0</v>
      </c>
      <c r="EF136" s="13" t="n">
        <f aca="false">IF(EF$69=1,SUMIFS(dr_USD,dr_Mes,130,dr_Cod,"SGA",dr_Est,"&lt;&gt;Excluido"),IF($E$50="PYG",$F$50/EF$71,$F$50)/12*EF$74*EF$75)</f>
        <v>0</v>
      </c>
      <c r="EG136" s="13" t="n">
        <f aca="false">IF(EG$69=1,SUMIFS(dr_USD,dr_Mes,131,dr_Cod,"SGA",dr_Est,"&lt;&gt;Excluido"),IF($E$50="PYG",$F$50/EG$71,$F$50)/12*EG$74*EG$75)</f>
        <v>0</v>
      </c>
      <c r="EH136" s="13" t="n">
        <f aca="false">IF(EH$69=1,SUMIFS(dr_USD,dr_Mes,132,dr_Cod,"SGA",dr_Est,"&lt;&gt;Excluido"),IF($E$50="PYG",$F$50/EH$71,$F$50)/12*EH$74*EH$75)</f>
        <v>0</v>
      </c>
      <c r="EI136" s="13" t="n">
        <f aca="false">IF(EI$69=1,SUMIFS(dr_USD,dr_Mes,133,dr_Cod,"SGA",dr_Est,"&lt;&gt;Excluido"),IF($E$50="PYG",$F$50/EI$71,$F$50)/12*EI$74*EI$75)</f>
        <v>0</v>
      </c>
      <c r="EJ136" s="13" t="n">
        <f aca="false">IF(EJ$69=1,SUMIFS(dr_USD,dr_Mes,134,dr_Cod,"SGA",dr_Est,"&lt;&gt;Excluido"),IF($E$50="PYG",$F$50/EJ$71,$F$50)/12*EJ$74*EJ$75)</f>
        <v>0</v>
      </c>
      <c r="EK136" s="13" t="n">
        <f aca="false">IF(EK$69=1,SUMIFS(dr_USD,dr_Mes,135,dr_Cod,"SGA",dr_Est,"&lt;&gt;Excluido"),IF($E$50="PYG",$F$50/EK$71,$F$50)/12*EK$74*EK$75)</f>
        <v>0</v>
      </c>
      <c r="EL136" s="13" t="n">
        <f aca="false">IF(EL$69=1,SUMIFS(dr_USD,dr_Mes,136,dr_Cod,"SGA",dr_Est,"&lt;&gt;Excluido"),IF($E$50="PYG",$F$50/EL$71,$F$50)/12*EL$74*EL$75)</f>
        <v>0</v>
      </c>
      <c r="EM136" s="13" t="n">
        <f aca="false">IF(EM$69=1,SUMIFS(dr_USD,dr_Mes,137,dr_Cod,"SGA",dr_Est,"&lt;&gt;Excluido"),IF($E$50="PYG",$F$50/EM$71,$F$50)/12*EM$74*EM$75)</f>
        <v>0</v>
      </c>
      <c r="EN136" s="13" t="n">
        <f aca="false">IF(EN$69=1,SUMIFS(dr_USD,dr_Mes,138,dr_Cod,"SGA",dr_Est,"&lt;&gt;Excluido"),IF($E$50="PYG",$F$50/EN$71,$F$50)/12*EN$74*EN$75)</f>
        <v>0</v>
      </c>
      <c r="EO136" s="13" t="n">
        <f aca="false">IF(EO$69=1,SUMIFS(dr_USD,dr_Mes,139,dr_Cod,"SGA",dr_Est,"&lt;&gt;Excluido"),IF($E$50="PYG",$F$50/EO$71,$F$50)/12*EO$74*EO$75)</f>
        <v>0</v>
      </c>
      <c r="EP136" s="13" t="n">
        <f aca="false">IF(EP$69=1,SUMIFS(dr_USD,dr_Mes,140,dr_Cod,"SGA",dr_Est,"&lt;&gt;Excluido"),IF($E$50="PYG",$F$50/EP$71,$F$50)/12*EP$74*EP$75)</f>
        <v>0</v>
      </c>
      <c r="EQ136" s="13" t="n">
        <f aca="false">IF(EQ$69=1,SUMIFS(dr_USD,dr_Mes,141,dr_Cod,"SGA",dr_Est,"&lt;&gt;Excluido"),IF($E$50="PYG",$F$50/EQ$71,$F$50)/12*EQ$74*EQ$75)</f>
        <v>0</v>
      </c>
      <c r="ER136" s="13" t="n">
        <f aca="false">IF(ER$69=1,SUMIFS(dr_USD,dr_Mes,142,dr_Cod,"SGA",dr_Est,"&lt;&gt;Excluido"),IF($E$50="PYG",$F$50/ER$71,$F$50)/12*ER$74*ER$75)</f>
        <v>0</v>
      </c>
      <c r="ES136" s="13" t="n">
        <f aca="false">IF(ES$69=1,SUMIFS(dr_USD,dr_Mes,143,dr_Cod,"SGA",dr_Est,"&lt;&gt;Excluido"),IF($E$50="PYG",$F$50/ES$71,$F$50)/12*ES$74*ES$75)</f>
        <v>0</v>
      </c>
      <c r="ET136" s="13" t="n">
        <f aca="false">IF(ET$69=1,SUMIFS(dr_USD,dr_Mes,144,dr_Cod,"SGA",dr_Est,"&lt;&gt;Excluido"),IF($E$50="PYG",$F$50/ET$71,$F$50)/12*ET$74*ET$75)</f>
        <v>0</v>
      </c>
      <c r="EU136" s="13" t="n">
        <f aca="false">IF(EU$69=1,SUMIFS(dr_USD,dr_Mes,145,dr_Cod,"SGA",dr_Est,"&lt;&gt;Excluido"),IF($E$50="PYG",$F$50/EU$71,$F$50)/12*EU$74*EU$75)</f>
        <v>0</v>
      </c>
      <c r="EV136" s="13" t="n">
        <f aca="false">IF(EV$69=1,SUMIFS(dr_USD,dr_Mes,146,dr_Cod,"SGA",dr_Est,"&lt;&gt;Excluido"),IF($E$50="PYG",$F$50/EV$71,$F$50)/12*EV$74*EV$75)</f>
        <v>0</v>
      </c>
      <c r="EW136" s="13" t="n">
        <f aca="false">IF(EW$69=1,SUMIFS(dr_USD,dr_Mes,147,dr_Cod,"SGA",dr_Est,"&lt;&gt;Excluido"),IF($E$50="PYG",$F$50/EW$71,$F$50)/12*EW$74*EW$75)</f>
        <v>0</v>
      </c>
      <c r="EX136" s="13" t="n">
        <f aca="false">IF(EX$69=1,SUMIFS(dr_USD,dr_Mes,148,dr_Cod,"SGA",dr_Est,"&lt;&gt;Excluido"),IF($E$50="PYG",$F$50/EX$71,$F$50)/12*EX$74*EX$75)</f>
        <v>0</v>
      </c>
      <c r="EY136" s="13" t="n">
        <f aca="false">IF(EY$69=1,SUMIFS(dr_USD,dr_Mes,149,dr_Cod,"SGA",dr_Est,"&lt;&gt;Excluido"),IF($E$50="PYG",$F$50/EY$71,$F$50)/12*EY$74*EY$75)</f>
        <v>0</v>
      </c>
      <c r="EZ136" s="13" t="n">
        <f aca="false">IF(EZ$69=1,SUMIFS(dr_USD,dr_Mes,150,dr_Cod,"SGA",dr_Est,"&lt;&gt;Excluido"),IF($E$50="PYG",$F$50/EZ$71,$F$50)/12*EZ$74*EZ$75)</f>
        <v>0</v>
      </c>
      <c r="FA136" s="13" t="n">
        <f aca="false">IF(FA$69=1,SUMIFS(dr_USD,dr_Mes,151,dr_Cod,"SGA",dr_Est,"&lt;&gt;Excluido"),IF($E$50="PYG",$F$50/FA$71,$F$50)/12*FA$74*FA$75)</f>
        <v>0</v>
      </c>
      <c r="FB136" s="13" t="n">
        <f aca="false">IF(FB$69=1,SUMIFS(dr_USD,dr_Mes,152,dr_Cod,"SGA",dr_Est,"&lt;&gt;Excluido"),IF($E$50="PYG",$F$50/FB$71,$F$50)/12*FB$74*FB$75)</f>
        <v>0</v>
      </c>
      <c r="FC136" s="13" t="n">
        <f aca="false">IF(FC$69=1,SUMIFS(dr_USD,dr_Mes,153,dr_Cod,"SGA",dr_Est,"&lt;&gt;Excluido"),IF($E$50="PYG",$F$50/FC$71,$F$50)/12*FC$74*FC$75)</f>
        <v>0</v>
      </c>
      <c r="FD136" s="13" t="n">
        <f aca="false">IF(FD$69=1,SUMIFS(dr_USD,dr_Mes,154,dr_Cod,"SGA",dr_Est,"&lt;&gt;Excluido"),IF($E$50="PYG",$F$50/FD$71,$F$50)/12*FD$74*FD$75)</f>
        <v>0</v>
      </c>
      <c r="FE136" s="13" t="n">
        <f aca="false">IF(FE$69=1,SUMIFS(dr_USD,dr_Mes,155,dr_Cod,"SGA",dr_Est,"&lt;&gt;Excluido"),IF($E$50="PYG",$F$50/FE$71,$F$50)/12*FE$74*FE$75)</f>
        <v>0</v>
      </c>
      <c r="FF136" s="13" t="n">
        <f aca="false">IF(FF$69=1,SUMIFS(dr_USD,dr_Mes,156,dr_Cod,"SGA",dr_Est,"&lt;&gt;Excluido"),IF($E$50="PYG",$F$50/FF$71,$F$50)/12*FF$74*FF$75)</f>
        <v>0</v>
      </c>
    </row>
    <row r="137" customFormat="false" ht="15" hidden="false" customHeight="false" outlineLevel="0" collapsed="false">
      <c r="A137" s="2" t="s">
        <v>1114</v>
      </c>
      <c r="B137" s="8" t="s">
        <v>988</v>
      </c>
      <c r="C137" s="8" t="s">
        <v>255</v>
      </c>
      <c r="E137" s="65" t="n">
        <f aca="false">SUM($F137:$FF137)</f>
        <v>220600</v>
      </c>
      <c r="F137" s="13" t="n">
        <f aca="false">IF(F$69=1,SUMIFS(dr_USD,dr_Mes,0,dr_Cod,"GG",dr_Est,"&lt;&gt;Excluido"),IF($E$51="PYG",$F$51/F$71,$F$51)/12*F$74*F$75)</f>
        <v>0</v>
      </c>
      <c r="G137" s="13" t="n">
        <f aca="false">IF(G$69=1,SUMIFS(dr_USD,dr_Mes,1,dr_Cod,"GG",dr_Est,"&lt;&gt;Excluido"),IF($E$51="PYG",$F$51/G$71,$F$51)/12*G$74*G$75)</f>
        <v>1838.33333333333</v>
      </c>
      <c r="H137" s="13" t="n">
        <f aca="false">IF(H$69=1,SUMIFS(dr_USD,dr_Mes,2,dr_Cod,"GG",dr_Est,"&lt;&gt;Excluido"),IF($E$51="PYG",$F$51/H$71,$F$51)/12*H$74*H$75)</f>
        <v>1838.33333333333</v>
      </c>
      <c r="I137" s="13" t="n">
        <f aca="false">IF(I$69=1,SUMIFS(dr_USD,dr_Mes,3,dr_Cod,"GG",dr_Est,"&lt;&gt;Excluido"),IF($E$51="PYG",$F$51/I$71,$F$51)/12*I$74*I$75)</f>
        <v>1838.33333333333</v>
      </c>
      <c r="J137" s="13" t="n">
        <f aca="false">IF(J$69=1,SUMIFS(dr_USD,dr_Mes,4,dr_Cod,"GG",dr_Est,"&lt;&gt;Excluido"),IF($E$51="PYG",$F$51/J$71,$F$51)/12*J$74*J$75)</f>
        <v>1838.33333333333</v>
      </c>
      <c r="K137" s="13" t="n">
        <f aca="false">IF(K$69=1,SUMIFS(dr_USD,dr_Mes,5,dr_Cod,"GG",dr_Est,"&lt;&gt;Excluido"),IF($E$51="PYG",$F$51/K$71,$F$51)/12*K$74*K$75)</f>
        <v>1838.33333333333</v>
      </c>
      <c r="L137" s="13" t="n">
        <f aca="false">IF(L$69=1,SUMIFS(dr_USD,dr_Mes,6,dr_Cod,"GG",dr_Est,"&lt;&gt;Excluido"),IF($E$51="PYG",$F$51/L$71,$F$51)/12*L$74*L$75)</f>
        <v>1838.33333333333</v>
      </c>
      <c r="M137" s="13" t="n">
        <f aca="false">IF(M$69=1,SUMIFS(dr_USD,dr_Mes,7,dr_Cod,"GG",dr_Est,"&lt;&gt;Excluido"),IF($E$51="PYG",$F$51/M$71,$F$51)/12*M$74*M$75)</f>
        <v>1838.33333333333</v>
      </c>
      <c r="N137" s="13" t="n">
        <f aca="false">IF(N$69=1,SUMIFS(dr_USD,dr_Mes,8,dr_Cod,"GG",dr_Est,"&lt;&gt;Excluido"),IF($E$51="PYG",$F$51/N$71,$F$51)/12*N$74*N$75)</f>
        <v>1838.33333333333</v>
      </c>
      <c r="O137" s="13" t="n">
        <f aca="false">IF(O$69=1,SUMIFS(dr_USD,dr_Mes,9,dr_Cod,"GG",dr_Est,"&lt;&gt;Excluido"),IF($E$51="PYG",$F$51/O$71,$F$51)/12*O$74*O$75)</f>
        <v>1838.33333333333</v>
      </c>
      <c r="P137" s="13" t="n">
        <f aca="false">IF(P$69=1,SUMIFS(dr_USD,dr_Mes,10,dr_Cod,"GG",dr_Est,"&lt;&gt;Excluido"),IF($E$51="PYG",$F$51/P$71,$F$51)/12*P$74*P$75)</f>
        <v>1838.33333333333</v>
      </c>
      <c r="Q137" s="13" t="n">
        <f aca="false">IF(Q$69=1,SUMIFS(dr_USD,dr_Mes,11,dr_Cod,"GG",dr_Est,"&lt;&gt;Excluido"),IF($E$51="PYG",$F$51/Q$71,$F$51)/12*Q$74*Q$75)</f>
        <v>1838.33333333333</v>
      </c>
      <c r="R137" s="13" t="n">
        <f aca="false">IF(R$69=1,SUMIFS(dr_USD,dr_Mes,12,dr_Cod,"GG",dr_Est,"&lt;&gt;Excluido"),IF($E$51="PYG",$F$51/R$71,$F$51)/12*R$74*R$75)</f>
        <v>1838.33333333333</v>
      </c>
      <c r="S137" s="13" t="n">
        <f aca="false">IF(S$69=1,SUMIFS(dr_USD,dr_Mes,13,dr_Cod,"GG",dr_Est,"&lt;&gt;Excluido"),IF($E$51="PYG",$F$51/S$71,$F$51)/12*S$74*S$75)</f>
        <v>1838.33333333333</v>
      </c>
      <c r="T137" s="13" t="n">
        <f aca="false">IF(T$69=1,SUMIFS(dr_USD,dr_Mes,14,dr_Cod,"GG",dr_Est,"&lt;&gt;Excluido"),IF($E$51="PYG",$F$51/T$71,$F$51)/12*T$74*T$75)</f>
        <v>1838.33333333333</v>
      </c>
      <c r="U137" s="13" t="n">
        <f aca="false">IF(U$69=1,SUMIFS(dr_USD,dr_Mes,15,dr_Cod,"GG",dr_Est,"&lt;&gt;Excluido"),IF($E$51="PYG",$F$51/U$71,$F$51)/12*U$74*U$75)</f>
        <v>1838.33333333333</v>
      </c>
      <c r="V137" s="13" t="n">
        <f aca="false">IF(V$69=1,SUMIFS(dr_USD,dr_Mes,16,dr_Cod,"GG",dr_Est,"&lt;&gt;Excluido"),IF($E$51="PYG",$F$51/V$71,$F$51)/12*V$74*V$75)</f>
        <v>1838.33333333333</v>
      </c>
      <c r="W137" s="13" t="n">
        <f aca="false">IF(W$69=1,SUMIFS(dr_USD,dr_Mes,17,dr_Cod,"GG",dr_Est,"&lt;&gt;Excluido"),IF($E$51="PYG",$F$51/W$71,$F$51)/12*W$74*W$75)</f>
        <v>1838.33333333333</v>
      </c>
      <c r="X137" s="13" t="n">
        <f aca="false">IF(X$69=1,SUMIFS(dr_USD,dr_Mes,18,dr_Cod,"GG",dr_Est,"&lt;&gt;Excluido"),IF($E$51="PYG",$F$51/X$71,$F$51)/12*X$74*X$75)</f>
        <v>1838.33333333333</v>
      </c>
      <c r="Y137" s="13" t="n">
        <f aca="false">IF(Y$69=1,SUMIFS(dr_USD,dr_Mes,19,dr_Cod,"GG",dr_Est,"&lt;&gt;Excluido"),IF($E$51="PYG",$F$51/Y$71,$F$51)/12*Y$74*Y$75)</f>
        <v>1838.33333333333</v>
      </c>
      <c r="Z137" s="13" t="n">
        <f aca="false">IF(Z$69=1,SUMIFS(dr_USD,dr_Mes,20,dr_Cod,"GG",dr_Est,"&lt;&gt;Excluido"),IF($E$51="PYG",$F$51/Z$71,$F$51)/12*Z$74*Z$75)</f>
        <v>1838.33333333333</v>
      </c>
      <c r="AA137" s="13" t="n">
        <f aca="false">IF(AA$69=1,SUMIFS(dr_USD,dr_Mes,21,dr_Cod,"GG",dr_Est,"&lt;&gt;Excluido"),IF($E$51="PYG",$F$51/AA$71,$F$51)/12*AA$74*AA$75)</f>
        <v>1838.33333333333</v>
      </c>
      <c r="AB137" s="13" t="n">
        <f aca="false">IF(AB$69=1,SUMIFS(dr_USD,dr_Mes,22,dr_Cod,"GG",dr_Est,"&lt;&gt;Excluido"),IF($E$51="PYG",$F$51/AB$71,$F$51)/12*AB$74*AB$75)</f>
        <v>1838.33333333333</v>
      </c>
      <c r="AC137" s="13" t="n">
        <f aca="false">IF(AC$69=1,SUMIFS(dr_USD,dr_Mes,23,dr_Cod,"GG",dr_Est,"&lt;&gt;Excluido"),IF($E$51="PYG",$F$51/AC$71,$F$51)/12*AC$74*AC$75)</f>
        <v>1838.33333333333</v>
      </c>
      <c r="AD137" s="13" t="n">
        <f aca="false">IF(AD$69=1,SUMIFS(dr_USD,dr_Mes,24,dr_Cod,"GG",dr_Est,"&lt;&gt;Excluido"),IF($E$51="PYG",$F$51/AD$71,$F$51)/12*AD$74*AD$75)</f>
        <v>1838.33333333333</v>
      </c>
      <c r="AE137" s="13" t="n">
        <f aca="false">IF(AE$69=1,SUMIFS(dr_USD,dr_Mes,25,dr_Cod,"GG",dr_Est,"&lt;&gt;Excluido"),IF($E$51="PYG",$F$51/AE$71,$F$51)/12*AE$74*AE$75)</f>
        <v>1838.33333333333</v>
      </c>
      <c r="AF137" s="13" t="n">
        <f aca="false">IF(AF$69=1,SUMIFS(dr_USD,dr_Mes,26,dr_Cod,"GG",dr_Est,"&lt;&gt;Excluido"),IF($E$51="PYG",$F$51/AF$71,$F$51)/12*AF$74*AF$75)</f>
        <v>1838.33333333333</v>
      </c>
      <c r="AG137" s="13" t="n">
        <f aca="false">IF(AG$69=1,SUMIFS(dr_USD,dr_Mes,27,dr_Cod,"GG",dr_Est,"&lt;&gt;Excluido"),IF($E$51="PYG",$F$51/AG$71,$F$51)/12*AG$74*AG$75)</f>
        <v>1838.33333333333</v>
      </c>
      <c r="AH137" s="13" t="n">
        <f aca="false">IF(AH$69=1,SUMIFS(dr_USD,dr_Mes,28,dr_Cod,"GG",dr_Est,"&lt;&gt;Excluido"),IF($E$51="PYG",$F$51/AH$71,$F$51)/12*AH$74*AH$75)</f>
        <v>1838.33333333333</v>
      </c>
      <c r="AI137" s="13" t="n">
        <f aca="false">IF(AI$69=1,SUMIFS(dr_USD,dr_Mes,29,dr_Cod,"GG",dr_Est,"&lt;&gt;Excluido"),IF($E$51="PYG",$F$51/AI$71,$F$51)/12*AI$74*AI$75)</f>
        <v>1838.33333333333</v>
      </c>
      <c r="AJ137" s="13" t="n">
        <f aca="false">IF(AJ$69=1,SUMIFS(dr_USD,dr_Mes,30,dr_Cod,"GG",dr_Est,"&lt;&gt;Excluido"),IF($E$51="PYG",$F$51/AJ$71,$F$51)/12*AJ$74*AJ$75)</f>
        <v>1838.33333333333</v>
      </c>
      <c r="AK137" s="13" t="n">
        <f aca="false">IF(AK$69=1,SUMIFS(dr_USD,dr_Mes,31,dr_Cod,"GG",dr_Est,"&lt;&gt;Excluido"),IF($E$51="PYG",$F$51/AK$71,$F$51)/12*AK$74*AK$75)</f>
        <v>1838.33333333333</v>
      </c>
      <c r="AL137" s="13" t="n">
        <f aca="false">IF(AL$69=1,SUMIFS(dr_USD,dr_Mes,32,dr_Cod,"GG",dr_Est,"&lt;&gt;Excluido"),IF($E$51="PYG",$F$51/AL$71,$F$51)/12*AL$74*AL$75)</f>
        <v>1838.33333333333</v>
      </c>
      <c r="AM137" s="13" t="n">
        <f aca="false">IF(AM$69=1,SUMIFS(dr_USD,dr_Mes,33,dr_Cod,"GG",dr_Est,"&lt;&gt;Excluido"),IF($E$51="PYG",$F$51/AM$71,$F$51)/12*AM$74*AM$75)</f>
        <v>1838.33333333333</v>
      </c>
      <c r="AN137" s="13" t="n">
        <f aca="false">IF(AN$69=1,SUMIFS(dr_USD,dr_Mes,34,dr_Cod,"GG",dr_Est,"&lt;&gt;Excluido"),IF($E$51="PYG",$F$51/AN$71,$F$51)/12*AN$74*AN$75)</f>
        <v>1838.33333333333</v>
      </c>
      <c r="AO137" s="13" t="n">
        <f aca="false">IF(AO$69=1,SUMIFS(dr_USD,dr_Mes,35,dr_Cod,"GG",dr_Est,"&lt;&gt;Excluido"),IF($E$51="PYG",$F$51/AO$71,$F$51)/12*AO$74*AO$75)</f>
        <v>1838.33333333333</v>
      </c>
      <c r="AP137" s="13" t="n">
        <f aca="false">IF(AP$69=1,SUMIFS(dr_USD,dr_Mes,36,dr_Cod,"GG",dr_Est,"&lt;&gt;Excluido"),IF($E$51="PYG",$F$51/AP$71,$F$51)/12*AP$74*AP$75)</f>
        <v>1838.33333333333</v>
      </c>
      <c r="AQ137" s="13" t="n">
        <f aca="false">IF(AQ$69=1,SUMIFS(dr_USD,dr_Mes,37,dr_Cod,"GG",dr_Est,"&lt;&gt;Excluido"),IF($E$51="PYG",$F$51/AQ$71,$F$51)/12*AQ$74*AQ$75)</f>
        <v>1838.33333333333</v>
      </c>
      <c r="AR137" s="13" t="n">
        <f aca="false">IF(AR$69=1,SUMIFS(dr_USD,dr_Mes,38,dr_Cod,"GG",dr_Est,"&lt;&gt;Excluido"),IF($E$51="PYG",$F$51/AR$71,$F$51)/12*AR$74*AR$75)</f>
        <v>1838.33333333333</v>
      </c>
      <c r="AS137" s="13" t="n">
        <f aca="false">IF(AS$69=1,SUMIFS(dr_USD,dr_Mes,39,dr_Cod,"GG",dr_Est,"&lt;&gt;Excluido"),IF($E$51="PYG",$F$51/AS$71,$F$51)/12*AS$74*AS$75)</f>
        <v>1838.33333333333</v>
      </c>
      <c r="AT137" s="13" t="n">
        <f aca="false">IF(AT$69=1,SUMIFS(dr_USD,dr_Mes,40,dr_Cod,"GG",dr_Est,"&lt;&gt;Excluido"),IF($E$51="PYG",$F$51/AT$71,$F$51)/12*AT$74*AT$75)</f>
        <v>1838.33333333333</v>
      </c>
      <c r="AU137" s="13" t="n">
        <f aca="false">IF(AU$69=1,SUMIFS(dr_USD,dr_Mes,41,dr_Cod,"GG",dr_Est,"&lt;&gt;Excluido"),IF($E$51="PYG",$F$51/AU$71,$F$51)/12*AU$74*AU$75)</f>
        <v>1838.33333333333</v>
      </c>
      <c r="AV137" s="13" t="n">
        <f aca="false">IF(AV$69=1,SUMIFS(dr_USD,dr_Mes,42,dr_Cod,"GG",dr_Est,"&lt;&gt;Excluido"),IF($E$51="PYG",$F$51/AV$71,$F$51)/12*AV$74*AV$75)</f>
        <v>1838.33333333333</v>
      </c>
      <c r="AW137" s="13" t="n">
        <f aca="false">IF(AW$69=1,SUMIFS(dr_USD,dr_Mes,43,dr_Cod,"GG",dr_Est,"&lt;&gt;Excluido"),IF($E$51="PYG",$F$51/AW$71,$F$51)/12*AW$74*AW$75)</f>
        <v>1838.33333333333</v>
      </c>
      <c r="AX137" s="13" t="n">
        <f aca="false">IF(AX$69=1,SUMIFS(dr_USD,dr_Mes,44,dr_Cod,"GG",dr_Est,"&lt;&gt;Excluido"),IF($E$51="PYG",$F$51/AX$71,$F$51)/12*AX$74*AX$75)</f>
        <v>1838.33333333333</v>
      </c>
      <c r="AY137" s="13" t="n">
        <f aca="false">IF(AY$69=1,SUMIFS(dr_USD,dr_Mes,45,dr_Cod,"GG",dr_Est,"&lt;&gt;Excluido"),IF($E$51="PYG",$F$51/AY$71,$F$51)/12*AY$74*AY$75)</f>
        <v>1838.33333333333</v>
      </c>
      <c r="AZ137" s="13" t="n">
        <f aca="false">IF(AZ$69=1,SUMIFS(dr_USD,dr_Mes,46,dr_Cod,"GG",dr_Est,"&lt;&gt;Excluido"),IF($E$51="PYG",$F$51/AZ$71,$F$51)/12*AZ$74*AZ$75)</f>
        <v>1838.33333333333</v>
      </c>
      <c r="BA137" s="13" t="n">
        <f aca="false">IF(BA$69=1,SUMIFS(dr_USD,dr_Mes,47,dr_Cod,"GG",dr_Est,"&lt;&gt;Excluido"),IF($E$51="PYG",$F$51/BA$71,$F$51)/12*BA$74*BA$75)</f>
        <v>1838.33333333333</v>
      </c>
      <c r="BB137" s="13" t="n">
        <f aca="false">IF(BB$69=1,SUMIFS(dr_USD,dr_Mes,48,dr_Cod,"GG",dr_Est,"&lt;&gt;Excluido"),IF($E$51="PYG",$F$51/BB$71,$F$51)/12*BB$74*BB$75)</f>
        <v>1838.33333333333</v>
      </c>
      <c r="BC137" s="13" t="n">
        <f aca="false">IF(BC$69=1,SUMIFS(dr_USD,dr_Mes,49,dr_Cod,"GG",dr_Est,"&lt;&gt;Excluido"),IF($E$51="PYG",$F$51/BC$71,$F$51)/12*BC$74*BC$75)</f>
        <v>1838.33333333333</v>
      </c>
      <c r="BD137" s="13" t="n">
        <f aca="false">IF(BD$69=1,SUMIFS(dr_USD,dr_Mes,50,dr_Cod,"GG",dr_Est,"&lt;&gt;Excluido"),IF($E$51="PYG",$F$51/BD$71,$F$51)/12*BD$74*BD$75)</f>
        <v>1838.33333333333</v>
      </c>
      <c r="BE137" s="13" t="n">
        <f aca="false">IF(BE$69=1,SUMIFS(dr_USD,dr_Mes,51,dr_Cod,"GG",dr_Est,"&lt;&gt;Excluido"),IF($E$51="PYG",$F$51/BE$71,$F$51)/12*BE$74*BE$75)</f>
        <v>1838.33333333333</v>
      </c>
      <c r="BF137" s="13" t="n">
        <f aca="false">IF(BF$69=1,SUMIFS(dr_USD,dr_Mes,52,dr_Cod,"GG",dr_Est,"&lt;&gt;Excluido"),IF($E$51="PYG",$F$51/BF$71,$F$51)/12*BF$74*BF$75)</f>
        <v>1838.33333333333</v>
      </c>
      <c r="BG137" s="13" t="n">
        <f aca="false">IF(BG$69=1,SUMIFS(dr_USD,dr_Mes,53,dr_Cod,"GG",dr_Est,"&lt;&gt;Excluido"),IF($E$51="PYG",$F$51/BG$71,$F$51)/12*BG$74*BG$75)</f>
        <v>1838.33333333333</v>
      </c>
      <c r="BH137" s="13" t="n">
        <f aca="false">IF(BH$69=1,SUMIFS(dr_USD,dr_Mes,54,dr_Cod,"GG",dr_Est,"&lt;&gt;Excluido"),IF($E$51="PYG",$F$51/BH$71,$F$51)/12*BH$74*BH$75)</f>
        <v>1838.33333333333</v>
      </c>
      <c r="BI137" s="13" t="n">
        <f aca="false">IF(BI$69=1,SUMIFS(dr_USD,dr_Mes,55,dr_Cod,"GG",dr_Est,"&lt;&gt;Excluido"),IF($E$51="PYG",$F$51/BI$71,$F$51)/12*BI$74*BI$75)</f>
        <v>1838.33333333333</v>
      </c>
      <c r="BJ137" s="13" t="n">
        <f aca="false">IF(BJ$69=1,SUMIFS(dr_USD,dr_Mes,56,dr_Cod,"GG",dr_Est,"&lt;&gt;Excluido"),IF($E$51="PYG",$F$51/BJ$71,$F$51)/12*BJ$74*BJ$75)</f>
        <v>1838.33333333333</v>
      </c>
      <c r="BK137" s="13" t="n">
        <f aca="false">IF(BK$69=1,SUMIFS(dr_USD,dr_Mes,57,dr_Cod,"GG",dr_Est,"&lt;&gt;Excluido"),IF($E$51="PYG",$F$51/BK$71,$F$51)/12*BK$74*BK$75)</f>
        <v>1838.33333333333</v>
      </c>
      <c r="BL137" s="13" t="n">
        <f aca="false">IF(BL$69=1,SUMIFS(dr_USD,dr_Mes,58,dr_Cod,"GG",dr_Est,"&lt;&gt;Excluido"),IF($E$51="PYG",$F$51/BL$71,$F$51)/12*BL$74*BL$75)</f>
        <v>1838.33333333333</v>
      </c>
      <c r="BM137" s="13" t="n">
        <f aca="false">IF(BM$69=1,SUMIFS(dr_USD,dr_Mes,59,dr_Cod,"GG",dr_Est,"&lt;&gt;Excluido"),IF($E$51="PYG",$F$51/BM$71,$F$51)/12*BM$74*BM$75)</f>
        <v>1838.33333333333</v>
      </c>
      <c r="BN137" s="13" t="n">
        <f aca="false">IF(BN$69=1,SUMIFS(dr_USD,dr_Mes,60,dr_Cod,"GG",dr_Est,"&lt;&gt;Excluido"),IF($E$51="PYG",$F$51/BN$71,$F$51)/12*BN$74*BN$75)</f>
        <v>1838.33333333333</v>
      </c>
      <c r="BO137" s="13" t="n">
        <f aca="false">IF(BO$69=1,SUMIFS(dr_USD,dr_Mes,61,dr_Cod,"GG",dr_Est,"&lt;&gt;Excluido"),IF($E$51="PYG",$F$51/BO$71,$F$51)/12*BO$74*BO$75)</f>
        <v>1838.33333333333</v>
      </c>
      <c r="BP137" s="13" t="n">
        <f aca="false">IF(BP$69=1,SUMIFS(dr_USD,dr_Mes,62,dr_Cod,"GG",dr_Est,"&lt;&gt;Excluido"),IF($E$51="PYG",$F$51/BP$71,$F$51)/12*BP$74*BP$75)</f>
        <v>1838.33333333333</v>
      </c>
      <c r="BQ137" s="13" t="n">
        <f aca="false">IF(BQ$69=1,SUMIFS(dr_USD,dr_Mes,63,dr_Cod,"GG",dr_Est,"&lt;&gt;Excluido"),IF($E$51="PYG",$F$51/BQ$71,$F$51)/12*BQ$74*BQ$75)</f>
        <v>1838.33333333333</v>
      </c>
      <c r="BR137" s="13" t="n">
        <f aca="false">IF(BR$69=1,SUMIFS(dr_USD,dr_Mes,64,dr_Cod,"GG",dr_Est,"&lt;&gt;Excluido"),IF($E$51="PYG",$F$51/BR$71,$F$51)/12*BR$74*BR$75)</f>
        <v>1838.33333333333</v>
      </c>
      <c r="BS137" s="13" t="n">
        <f aca="false">IF(BS$69=1,SUMIFS(dr_USD,dr_Mes,65,dr_Cod,"GG",dr_Est,"&lt;&gt;Excluido"),IF($E$51="PYG",$F$51/BS$71,$F$51)/12*BS$74*BS$75)</f>
        <v>1838.33333333333</v>
      </c>
      <c r="BT137" s="13" t="n">
        <f aca="false">IF(BT$69=1,SUMIFS(dr_USD,dr_Mes,66,dr_Cod,"GG",dr_Est,"&lt;&gt;Excluido"),IF($E$51="PYG",$F$51/BT$71,$F$51)/12*BT$74*BT$75)</f>
        <v>1838.33333333333</v>
      </c>
      <c r="BU137" s="13" t="n">
        <f aca="false">IF(BU$69=1,SUMIFS(dr_USD,dr_Mes,67,dr_Cod,"GG",dr_Est,"&lt;&gt;Excluido"),IF($E$51="PYG",$F$51/BU$71,$F$51)/12*BU$74*BU$75)</f>
        <v>1838.33333333333</v>
      </c>
      <c r="BV137" s="13" t="n">
        <f aca="false">IF(BV$69=1,SUMIFS(dr_USD,dr_Mes,68,dr_Cod,"GG",dr_Est,"&lt;&gt;Excluido"),IF($E$51="PYG",$F$51/BV$71,$F$51)/12*BV$74*BV$75)</f>
        <v>1838.33333333333</v>
      </c>
      <c r="BW137" s="13" t="n">
        <f aca="false">IF(BW$69=1,SUMIFS(dr_USD,dr_Mes,69,dr_Cod,"GG",dr_Est,"&lt;&gt;Excluido"),IF($E$51="PYG",$F$51/BW$71,$F$51)/12*BW$74*BW$75)</f>
        <v>1838.33333333333</v>
      </c>
      <c r="BX137" s="13" t="n">
        <f aca="false">IF(BX$69=1,SUMIFS(dr_USD,dr_Mes,70,dr_Cod,"GG",dr_Est,"&lt;&gt;Excluido"),IF($E$51="PYG",$F$51/BX$71,$F$51)/12*BX$74*BX$75)</f>
        <v>1838.33333333333</v>
      </c>
      <c r="BY137" s="13" t="n">
        <f aca="false">IF(BY$69=1,SUMIFS(dr_USD,dr_Mes,71,dr_Cod,"GG",dr_Est,"&lt;&gt;Excluido"),IF($E$51="PYG",$F$51/BY$71,$F$51)/12*BY$74*BY$75)</f>
        <v>1838.33333333333</v>
      </c>
      <c r="BZ137" s="13" t="n">
        <f aca="false">IF(BZ$69=1,SUMIFS(dr_USD,dr_Mes,72,dr_Cod,"GG",dr_Est,"&lt;&gt;Excluido"),IF($E$51="PYG",$F$51/BZ$71,$F$51)/12*BZ$74*BZ$75)</f>
        <v>1838.33333333333</v>
      </c>
      <c r="CA137" s="13" t="n">
        <f aca="false">IF(CA$69=1,SUMIFS(dr_USD,dr_Mes,73,dr_Cod,"GG",dr_Est,"&lt;&gt;Excluido"),IF($E$51="PYG",$F$51/CA$71,$F$51)/12*CA$74*CA$75)</f>
        <v>1838.33333333333</v>
      </c>
      <c r="CB137" s="13" t="n">
        <f aca="false">IF(CB$69=1,SUMIFS(dr_USD,dr_Mes,74,dr_Cod,"GG",dr_Est,"&lt;&gt;Excluido"),IF($E$51="PYG",$F$51/CB$71,$F$51)/12*CB$74*CB$75)</f>
        <v>1838.33333333333</v>
      </c>
      <c r="CC137" s="13" t="n">
        <f aca="false">IF(CC$69=1,SUMIFS(dr_USD,dr_Mes,75,dr_Cod,"GG",dr_Est,"&lt;&gt;Excluido"),IF($E$51="PYG",$F$51/CC$71,$F$51)/12*CC$74*CC$75)</f>
        <v>1838.33333333333</v>
      </c>
      <c r="CD137" s="13" t="n">
        <f aca="false">IF(CD$69=1,SUMIFS(dr_USD,dr_Mes,76,dr_Cod,"GG",dr_Est,"&lt;&gt;Excluido"),IF($E$51="PYG",$F$51/CD$71,$F$51)/12*CD$74*CD$75)</f>
        <v>1838.33333333333</v>
      </c>
      <c r="CE137" s="13" t="n">
        <f aca="false">IF(CE$69=1,SUMIFS(dr_USD,dr_Mes,77,dr_Cod,"GG",dr_Est,"&lt;&gt;Excluido"),IF($E$51="PYG",$F$51/CE$71,$F$51)/12*CE$74*CE$75)</f>
        <v>1838.33333333333</v>
      </c>
      <c r="CF137" s="13" t="n">
        <f aca="false">IF(CF$69=1,SUMIFS(dr_USD,dr_Mes,78,dr_Cod,"GG",dr_Est,"&lt;&gt;Excluido"),IF($E$51="PYG",$F$51/CF$71,$F$51)/12*CF$74*CF$75)</f>
        <v>1838.33333333333</v>
      </c>
      <c r="CG137" s="13" t="n">
        <f aca="false">IF(CG$69=1,SUMIFS(dr_USD,dr_Mes,79,dr_Cod,"GG",dr_Est,"&lt;&gt;Excluido"),IF($E$51="PYG",$F$51/CG$71,$F$51)/12*CG$74*CG$75)</f>
        <v>1838.33333333333</v>
      </c>
      <c r="CH137" s="13" t="n">
        <f aca="false">IF(CH$69=1,SUMIFS(dr_USD,dr_Mes,80,dr_Cod,"GG",dr_Est,"&lt;&gt;Excluido"),IF($E$51="PYG",$F$51/CH$71,$F$51)/12*CH$74*CH$75)</f>
        <v>1838.33333333333</v>
      </c>
      <c r="CI137" s="13" t="n">
        <f aca="false">IF(CI$69=1,SUMIFS(dr_USD,dr_Mes,81,dr_Cod,"GG",dr_Est,"&lt;&gt;Excluido"),IF($E$51="PYG",$F$51/CI$71,$F$51)/12*CI$74*CI$75)</f>
        <v>1838.33333333333</v>
      </c>
      <c r="CJ137" s="13" t="n">
        <f aca="false">IF(CJ$69=1,SUMIFS(dr_USD,dr_Mes,82,dr_Cod,"GG",dr_Est,"&lt;&gt;Excluido"),IF($E$51="PYG",$F$51/CJ$71,$F$51)/12*CJ$74*CJ$75)</f>
        <v>1838.33333333333</v>
      </c>
      <c r="CK137" s="13" t="n">
        <f aca="false">IF(CK$69=1,SUMIFS(dr_USD,dr_Mes,83,dr_Cod,"GG",dr_Est,"&lt;&gt;Excluido"),IF($E$51="PYG",$F$51/CK$71,$F$51)/12*CK$74*CK$75)</f>
        <v>1838.33333333333</v>
      </c>
      <c r="CL137" s="13" t="n">
        <f aca="false">IF(CL$69=1,SUMIFS(dr_USD,dr_Mes,84,dr_Cod,"GG",dr_Est,"&lt;&gt;Excluido"),IF($E$51="PYG",$F$51/CL$71,$F$51)/12*CL$74*CL$75)</f>
        <v>1838.33333333333</v>
      </c>
      <c r="CM137" s="13" t="n">
        <f aca="false">IF(CM$69=1,SUMIFS(dr_USD,dr_Mes,85,dr_Cod,"GG",dr_Est,"&lt;&gt;Excluido"),IF($E$51="PYG",$F$51/CM$71,$F$51)/12*CM$74*CM$75)</f>
        <v>1838.33333333333</v>
      </c>
      <c r="CN137" s="13" t="n">
        <f aca="false">IF(CN$69=1,SUMIFS(dr_USD,dr_Mes,86,dr_Cod,"GG",dr_Est,"&lt;&gt;Excluido"),IF($E$51="PYG",$F$51/CN$71,$F$51)/12*CN$74*CN$75)</f>
        <v>1838.33333333333</v>
      </c>
      <c r="CO137" s="13" t="n">
        <f aca="false">IF(CO$69=1,SUMIFS(dr_USD,dr_Mes,87,dr_Cod,"GG",dr_Est,"&lt;&gt;Excluido"),IF($E$51="PYG",$F$51/CO$71,$F$51)/12*CO$74*CO$75)</f>
        <v>1838.33333333333</v>
      </c>
      <c r="CP137" s="13" t="n">
        <f aca="false">IF(CP$69=1,SUMIFS(dr_USD,dr_Mes,88,dr_Cod,"GG",dr_Est,"&lt;&gt;Excluido"),IF($E$51="PYG",$F$51/CP$71,$F$51)/12*CP$74*CP$75)</f>
        <v>1838.33333333333</v>
      </c>
      <c r="CQ137" s="13" t="n">
        <f aca="false">IF(CQ$69=1,SUMIFS(dr_USD,dr_Mes,89,dr_Cod,"GG",dr_Est,"&lt;&gt;Excluido"),IF($E$51="PYG",$F$51/CQ$71,$F$51)/12*CQ$74*CQ$75)</f>
        <v>1838.33333333333</v>
      </c>
      <c r="CR137" s="13" t="n">
        <f aca="false">IF(CR$69=1,SUMIFS(dr_USD,dr_Mes,90,dr_Cod,"GG",dr_Est,"&lt;&gt;Excluido"),IF($E$51="PYG",$F$51/CR$71,$F$51)/12*CR$74*CR$75)</f>
        <v>1838.33333333333</v>
      </c>
      <c r="CS137" s="13" t="n">
        <f aca="false">IF(CS$69=1,SUMIFS(dr_USD,dr_Mes,91,dr_Cod,"GG",dr_Est,"&lt;&gt;Excluido"),IF($E$51="PYG",$F$51/CS$71,$F$51)/12*CS$74*CS$75)</f>
        <v>1838.33333333333</v>
      </c>
      <c r="CT137" s="13" t="n">
        <f aca="false">IF(CT$69=1,SUMIFS(dr_USD,dr_Mes,92,dr_Cod,"GG",dr_Est,"&lt;&gt;Excluido"),IF($E$51="PYG",$F$51/CT$71,$F$51)/12*CT$74*CT$75)</f>
        <v>1838.33333333333</v>
      </c>
      <c r="CU137" s="13" t="n">
        <f aca="false">IF(CU$69=1,SUMIFS(dr_USD,dr_Mes,93,dr_Cod,"GG",dr_Est,"&lt;&gt;Excluido"),IF($E$51="PYG",$F$51/CU$71,$F$51)/12*CU$74*CU$75)</f>
        <v>1838.33333333333</v>
      </c>
      <c r="CV137" s="13" t="n">
        <f aca="false">IF(CV$69=1,SUMIFS(dr_USD,dr_Mes,94,dr_Cod,"GG",dr_Est,"&lt;&gt;Excluido"),IF($E$51="PYG",$F$51/CV$71,$F$51)/12*CV$74*CV$75)</f>
        <v>1838.33333333333</v>
      </c>
      <c r="CW137" s="13" t="n">
        <f aca="false">IF(CW$69=1,SUMIFS(dr_USD,dr_Mes,95,dr_Cod,"GG",dr_Est,"&lt;&gt;Excluido"),IF($E$51="PYG",$F$51/CW$71,$F$51)/12*CW$74*CW$75)</f>
        <v>1838.33333333333</v>
      </c>
      <c r="CX137" s="13" t="n">
        <f aca="false">IF(CX$69=1,SUMIFS(dr_USD,dr_Mes,96,dr_Cod,"GG",dr_Est,"&lt;&gt;Excluido"),IF($E$51="PYG",$F$51/CX$71,$F$51)/12*CX$74*CX$75)</f>
        <v>1838.33333333333</v>
      </c>
      <c r="CY137" s="13" t="n">
        <f aca="false">IF(CY$69=1,SUMIFS(dr_USD,dr_Mes,97,dr_Cod,"GG",dr_Est,"&lt;&gt;Excluido"),IF($E$51="PYG",$F$51/CY$71,$F$51)/12*CY$74*CY$75)</f>
        <v>1838.33333333333</v>
      </c>
      <c r="CZ137" s="13" t="n">
        <f aca="false">IF(CZ$69=1,SUMIFS(dr_USD,dr_Mes,98,dr_Cod,"GG",dr_Est,"&lt;&gt;Excluido"),IF($E$51="PYG",$F$51/CZ$71,$F$51)/12*CZ$74*CZ$75)</f>
        <v>1838.33333333333</v>
      </c>
      <c r="DA137" s="13" t="n">
        <f aca="false">IF(DA$69=1,SUMIFS(dr_USD,dr_Mes,99,dr_Cod,"GG",dr_Est,"&lt;&gt;Excluido"),IF($E$51="PYG",$F$51/DA$71,$F$51)/12*DA$74*DA$75)</f>
        <v>1838.33333333333</v>
      </c>
      <c r="DB137" s="13" t="n">
        <f aca="false">IF(DB$69=1,SUMIFS(dr_USD,dr_Mes,100,dr_Cod,"GG",dr_Est,"&lt;&gt;Excluido"),IF($E$51="PYG",$F$51/DB$71,$F$51)/12*DB$74*DB$75)</f>
        <v>1838.33333333333</v>
      </c>
      <c r="DC137" s="13" t="n">
        <f aca="false">IF(DC$69=1,SUMIFS(dr_USD,dr_Mes,101,dr_Cod,"GG",dr_Est,"&lt;&gt;Excluido"),IF($E$51="PYG",$F$51/DC$71,$F$51)/12*DC$74*DC$75)</f>
        <v>1838.33333333333</v>
      </c>
      <c r="DD137" s="13" t="n">
        <f aca="false">IF(DD$69=1,SUMIFS(dr_USD,dr_Mes,102,dr_Cod,"GG",dr_Est,"&lt;&gt;Excluido"),IF($E$51="PYG",$F$51/DD$71,$F$51)/12*DD$74*DD$75)</f>
        <v>1838.33333333333</v>
      </c>
      <c r="DE137" s="13" t="n">
        <f aca="false">IF(DE$69=1,SUMIFS(dr_USD,dr_Mes,103,dr_Cod,"GG",dr_Est,"&lt;&gt;Excluido"),IF($E$51="PYG",$F$51/DE$71,$F$51)/12*DE$74*DE$75)</f>
        <v>1838.33333333333</v>
      </c>
      <c r="DF137" s="13" t="n">
        <f aca="false">IF(DF$69=1,SUMIFS(dr_USD,dr_Mes,104,dr_Cod,"GG",dr_Est,"&lt;&gt;Excluido"),IF($E$51="PYG",$F$51/DF$71,$F$51)/12*DF$74*DF$75)</f>
        <v>1838.33333333333</v>
      </c>
      <c r="DG137" s="13" t="n">
        <f aca="false">IF(DG$69=1,SUMIFS(dr_USD,dr_Mes,105,dr_Cod,"GG",dr_Est,"&lt;&gt;Excluido"),IF($E$51="PYG",$F$51/DG$71,$F$51)/12*DG$74*DG$75)</f>
        <v>1838.33333333333</v>
      </c>
      <c r="DH137" s="13" t="n">
        <f aca="false">IF(DH$69=1,SUMIFS(dr_USD,dr_Mes,106,dr_Cod,"GG",dr_Est,"&lt;&gt;Excluido"),IF($E$51="PYG",$F$51/DH$71,$F$51)/12*DH$74*DH$75)</f>
        <v>1838.33333333333</v>
      </c>
      <c r="DI137" s="13" t="n">
        <f aca="false">IF(DI$69=1,SUMIFS(dr_USD,dr_Mes,107,dr_Cod,"GG",dr_Est,"&lt;&gt;Excluido"),IF($E$51="PYG",$F$51/DI$71,$F$51)/12*DI$74*DI$75)</f>
        <v>1838.33333333333</v>
      </c>
      <c r="DJ137" s="13" t="n">
        <f aca="false">IF(DJ$69=1,SUMIFS(dr_USD,dr_Mes,108,dr_Cod,"GG",dr_Est,"&lt;&gt;Excluido"),IF($E$51="PYG",$F$51/DJ$71,$F$51)/12*DJ$74*DJ$75)</f>
        <v>1838.33333333333</v>
      </c>
      <c r="DK137" s="13" t="n">
        <f aca="false">IF(DK$69=1,SUMIFS(dr_USD,dr_Mes,109,dr_Cod,"GG",dr_Est,"&lt;&gt;Excluido"),IF($E$51="PYG",$F$51/DK$71,$F$51)/12*DK$74*DK$75)</f>
        <v>1838.33333333333</v>
      </c>
      <c r="DL137" s="13" t="n">
        <f aca="false">IF(DL$69=1,SUMIFS(dr_USD,dr_Mes,110,dr_Cod,"GG",dr_Est,"&lt;&gt;Excluido"),IF($E$51="PYG",$F$51/DL$71,$F$51)/12*DL$74*DL$75)</f>
        <v>1838.33333333333</v>
      </c>
      <c r="DM137" s="13" t="n">
        <f aca="false">IF(DM$69=1,SUMIFS(dr_USD,dr_Mes,111,dr_Cod,"GG",dr_Est,"&lt;&gt;Excluido"),IF($E$51="PYG",$F$51/DM$71,$F$51)/12*DM$74*DM$75)</f>
        <v>1838.33333333333</v>
      </c>
      <c r="DN137" s="13" t="n">
        <f aca="false">IF(DN$69=1,SUMIFS(dr_USD,dr_Mes,112,dr_Cod,"GG",dr_Est,"&lt;&gt;Excluido"),IF($E$51="PYG",$F$51/DN$71,$F$51)/12*DN$74*DN$75)</f>
        <v>1838.33333333333</v>
      </c>
      <c r="DO137" s="13" t="n">
        <f aca="false">IF(DO$69=1,SUMIFS(dr_USD,dr_Mes,113,dr_Cod,"GG",dr_Est,"&lt;&gt;Excluido"),IF($E$51="PYG",$F$51/DO$71,$F$51)/12*DO$74*DO$75)</f>
        <v>1838.33333333333</v>
      </c>
      <c r="DP137" s="13" t="n">
        <f aca="false">IF(DP$69=1,SUMIFS(dr_USD,dr_Mes,114,dr_Cod,"GG",dr_Est,"&lt;&gt;Excluido"),IF($E$51="PYG",$F$51/DP$71,$F$51)/12*DP$74*DP$75)</f>
        <v>1838.33333333333</v>
      </c>
      <c r="DQ137" s="13" t="n">
        <f aca="false">IF(DQ$69=1,SUMIFS(dr_USD,dr_Mes,115,dr_Cod,"GG",dr_Est,"&lt;&gt;Excluido"),IF($E$51="PYG",$F$51/DQ$71,$F$51)/12*DQ$74*DQ$75)</f>
        <v>1838.33333333333</v>
      </c>
      <c r="DR137" s="13" t="n">
        <f aca="false">IF(DR$69=1,SUMIFS(dr_USD,dr_Mes,116,dr_Cod,"GG",dr_Est,"&lt;&gt;Excluido"),IF($E$51="PYG",$F$51/DR$71,$F$51)/12*DR$74*DR$75)</f>
        <v>1838.33333333333</v>
      </c>
      <c r="DS137" s="13" t="n">
        <f aca="false">IF(DS$69=1,SUMIFS(dr_USD,dr_Mes,117,dr_Cod,"GG",dr_Est,"&lt;&gt;Excluido"),IF($E$51="PYG",$F$51/DS$71,$F$51)/12*DS$74*DS$75)</f>
        <v>1838.33333333333</v>
      </c>
      <c r="DT137" s="13" t="n">
        <f aca="false">IF(DT$69=1,SUMIFS(dr_USD,dr_Mes,118,dr_Cod,"GG",dr_Est,"&lt;&gt;Excluido"),IF($E$51="PYG",$F$51/DT$71,$F$51)/12*DT$74*DT$75)</f>
        <v>1838.33333333333</v>
      </c>
      <c r="DU137" s="13" t="n">
        <f aca="false">IF(DU$69=1,SUMIFS(dr_USD,dr_Mes,119,dr_Cod,"GG",dr_Est,"&lt;&gt;Excluido"),IF($E$51="PYG",$F$51/DU$71,$F$51)/12*DU$74*DU$75)</f>
        <v>1838.33333333333</v>
      </c>
      <c r="DV137" s="13" t="n">
        <f aca="false">IF(DV$69=1,SUMIFS(dr_USD,dr_Mes,120,dr_Cod,"GG",dr_Est,"&lt;&gt;Excluido"),IF($E$51="PYG",$F$51/DV$71,$F$51)/12*DV$74*DV$75)</f>
        <v>1838.33333333333</v>
      </c>
      <c r="DW137" s="13" t="n">
        <f aca="false">IF(DW$69=1,SUMIFS(dr_USD,dr_Mes,121,dr_Cod,"GG",dr_Est,"&lt;&gt;Excluido"),IF($E$51="PYG",$F$51/DW$71,$F$51)/12*DW$74*DW$75)</f>
        <v>0</v>
      </c>
      <c r="DX137" s="13" t="n">
        <f aca="false">IF(DX$69=1,SUMIFS(dr_USD,dr_Mes,122,dr_Cod,"GG",dr_Est,"&lt;&gt;Excluido"),IF($E$51="PYG",$F$51/DX$71,$F$51)/12*DX$74*DX$75)</f>
        <v>0</v>
      </c>
      <c r="DY137" s="13" t="n">
        <f aca="false">IF(DY$69=1,SUMIFS(dr_USD,dr_Mes,123,dr_Cod,"GG",dr_Est,"&lt;&gt;Excluido"),IF($E$51="PYG",$F$51/DY$71,$F$51)/12*DY$74*DY$75)</f>
        <v>0</v>
      </c>
      <c r="DZ137" s="13" t="n">
        <f aca="false">IF(DZ$69=1,SUMIFS(dr_USD,dr_Mes,124,dr_Cod,"GG",dr_Est,"&lt;&gt;Excluido"),IF($E$51="PYG",$F$51/DZ$71,$F$51)/12*DZ$74*DZ$75)</f>
        <v>0</v>
      </c>
      <c r="EA137" s="13" t="n">
        <f aca="false">IF(EA$69=1,SUMIFS(dr_USD,dr_Mes,125,dr_Cod,"GG",dr_Est,"&lt;&gt;Excluido"),IF($E$51="PYG",$F$51/EA$71,$F$51)/12*EA$74*EA$75)</f>
        <v>0</v>
      </c>
      <c r="EB137" s="13" t="n">
        <f aca="false">IF(EB$69=1,SUMIFS(dr_USD,dr_Mes,126,dr_Cod,"GG",dr_Est,"&lt;&gt;Excluido"),IF($E$51="PYG",$F$51/EB$71,$F$51)/12*EB$74*EB$75)</f>
        <v>0</v>
      </c>
      <c r="EC137" s="13" t="n">
        <f aca="false">IF(EC$69=1,SUMIFS(dr_USD,dr_Mes,127,dr_Cod,"GG",dr_Est,"&lt;&gt;Excluido"),IF($E$51="PYG",$F$51/EC$71,$F$51)/12*EC$74*EC$75)</f>
        <v>0</v>
      </c>
      <c r="ED137" s="13" t="n">
        <f aca="false">IF(ED$69=1,SUMIFS(dr_USD,dr_Mes,128,dr_Cod,"GG",dr_Est,"&lt;&gt;Excluido"),IF($E$51="PYG",$F$51/ED$71,$F$51)/12*ED$74*ED$75)</f>
        <v>0</v>
      </c>
      <c r="EE137" s="13" t="n">
        <f aca="false">IF(EE$69=1,SUMIFS(dr_USD,dr_Mes,129,dr_Cod,"GG",dr_Est,"&lt;&gt;Excluido"),IF($E$51="PYG",$F$51/EE$71,$F$51)/12*EE$74*EE$75)</f>
        <v>0</v>
      </c>
      <c r="EF137" s="13" t="n">
        <f aca="false">IF(EF$69=1,SUMIFS(dr_USD,dr_Mes,130,dr_Cod,"GG",dr_Est,"&lt;&gt;Excluido"),IF($E$51="PYG",$F$51/EF$71,$F$51)/12*EF$74*EF$75)</f>
        <v>0</v>
      </c>
      <c r="EG137" s="13" t="n">
        <f aca="false">IF(EG$69=1,SUMIFS(dr_USD,dr_Mes,131,dr_Cod,"GG",dr_Est,"&lt;&gt;Excluido"),IF($E$51="PYG",$F$51/EG$71,$F$51)/12*EG$74*EG$75)</f>
        <v>0</v>
      </c>
      <c r="EH137" s="13" t="n">
        <f aca="false">IF(EH$69=1,SUMIFS(dr_USD,dr_Mes,132,dr_Cod,"GG",dr_Est,"&lt;&gt;Excluido"),IF($E$51="PYG",$F$51/EH$71,$F$51)/12*EH$74*EH$75)</f>
        <v>0</v>
      </c>
      <c r="EI137" s="13" t="n">
        <f aca="false">IF(EI$69=1,SUMIFS(dr_USD,dr_Mes,133,dr_Cod,"GG",dr_Est,"&lt;&gt;Excluido"),IF($E$51="PYG",$F$51/EI$71,$F$51)/12*EI$74*EI$75)</f>
        <v>0</v>
      </c>
      <c r="EJ137" s="13" t="n">
        <f aca="false">IF(EJ$69=1,SUMIFS(dr_USD,dr_Mes,134,dr_Cod,"GG",dr_Est,"&lt;&gt;Excluido"),IF($E$51="PYG",$F$51/EJ$71,$F$51)/12*EJ$74*EJ$75)</f>
        <v>0</v>
      </c>
      <c r="EK137" s="13" t="n">
        <f aca="false">IF(EK$69=1,SUMIFS(dr_USD,dr_Mes,135,dr_Cod,"GG",dr_Est,"&lt;&gt;Excluido"),IF($E$51="PYG",$F$51/EK$71,$F$51)/12*EK$74*EK$75)</f>
        <v>0</v>
      </c>
      <c r="EL137" s="13" t="n">
        <f aca="false">IF(EL$69=1,SUMIFS(dr_USD,dr_Mes,136,dr_Cod,"GG",dr_Est,"&lt;&gt;Excluido"),IF($E$51="PYG",$F$51/EL$71,$F$51)/12*EL$74*EL$75)</f>
        <v>0</v>
      </c>
      <c r="EM137" s="13" t="n">
        <f aca="false">IF(EM$69=1,SUMIFS(dr_USD,dr_Mes,137,dr_Cod,"GG",dr_Est,"&lt;&gt;Excluido"),IF($E$51="PYG",$F$51/EM$71,$F$51)/12*EM$74*EM$75)</f>
        <v>0</v>
      </c>
      <c r="EN137" s="13" t="n">
        <f aca="false">IF(EN$69=1,SUMIFS(dr_USD,dr_Mes,138,dr_Cod,"GG",dr_Est,"&lt;&gt;Excluido"),IF($E$51="PYG",$F$51/EN$71,$F$51)/12*EN$74*EN$75)</f>
        <v>0</v>
      </c>
      <c r="EO137" s="13" t="n">
        <f aca="false">IF(EO$69=1,SUMIFS(dr_USD,dr_Mes,139,dr_Cod,"GG",dr_Est,"&lt;&gt;Excluido"),IF($E$51="PYG",$F$51/EO$71,$F$51)/12*EO$74*EO$75)</f>
        <v>0</v>
      </c>
      <c r="EP137" s="13" t="n">
        <f aca="false">IF(EP$69=1,SUMIFS(dr_USD,dr_Mes,140,dr_Cod,"GG",dr_Est,"&lt;&gt;Excluido"),IF($E$51="PYG",$F$51/EP$71,$F$51)/12*EP$74*EP$75)</f>
        <v>0</v>
      </c>
      <c r="EQ137" s="13" t="n">
        <f aca="false">IF(EQ$69=1,SUMIFS(dr_USD,dr_Mes,141,dr_Cod,"GG",dr_Est,"&lt;&gt;Excluido"),IF($E$51="PYG",$F$51/EQ$71,$F$51)/12*EQ$74*EQ$75)</f>
        <v>0</v>
      </c>
      <c r="ER137" s="13" t="n">
        <f aca="false">IF(ER$69=1,SUMIFS(dr_USD,dr_Mes,142,dr_Cod,"GG",dr_Est,"&lt;&gt;Excluido"),IF($E$51="PYG",$F$51/ER$71,$F$51)/12*ER$74*ER$75)</f>
        <v>0</v>
      </c>
      <c r="ES137" s="13" t="n">
        <f aca="false">IF(ES$69=1,SUMIFS(dr_USD,dr_Mes,143,dr_Cod,"GG",dr_Est,"&lt;&gt;Excluido"),IF($E$51="PYG",$F$51/ES$71,$F$51)/12*ES$74*ES$75)</f>
        <v>0</v>
      </c>
      <c r="ET137" s="13" t="n">
        <f aca="false">IF(ET$69=1,SUMIFS(dr_USD,dr_Mes,144,dr_Cod,"GG",dr_Est,"&lt;&gt;Excluido"),IF($E$51="PYG",$F$51/ET$71,$F$51)/12*ET$74*ET$75)</f>
        <v>0</v>
      </c>
      <c r="EU137" s="13" t="n">
        <f aca="false">IF(EU$69=1,SUMIFS(dr_USD,dr_Mes,145,dr_Cod,"GG",dr_Est,"&lt;&gt;Excluido"),IF($E$51="PYG",$F$51/EU$71,$F$51)/12*EU$74*EU$75)</f>
        <v>0</v>
      </c>
      <c r="EV137" s="13" t="n">
        <f aca="false">IF(EV$69=1,SUMIFS(dr_USD,dr_Mes,146,dr_Cod,"GG",dr_Est,"&lt;&gt;Excluido"),IF($E$51="PYG",$F$51/EV$71,$F$51)/12*EV$74*EV$75)</f>
        <v>0</v>
      </c>
      <c r="EW137" s="13" t="n">
        <f aca="false">IF(EW$69=1,SUMIFS(dr_USD,dr_Mes,147,dr_Cod,"GG",dr_Est,"&lt;&gt;Excluido"),IF($E$51="PYG",$F$51/EW$71,$F$51)/12*EW$74*EW$75)</f>
        <v>0</v>
      </c>
      <c r="EX137" s="13" t="n">
        <f aca="false">IF(EX$69=1,SUMIFS(dr_USD,dr_Mes,148,dr_Cod,"GG",dr_Est,"&lt;&gt;Excluido"),IF($E$51="PYG",$F$51/EX$71,$F$51)/12*EX$74*EX$75)</f>
        <v>0</v>
      </c>
      <c r="EY137" s="13" t="n">
        <f aca="false">IF(EY$69=1,SUMIFS(dr_USD,dr_Mes,149,dr_Cod,"GG",dr_Est,"&lt;&gt;Excluido"),IF($E$51="PYG",$F$51/EY$71,$F$51)/12*EY$74*EY$75)</f>
        <v>0</v>
      </c>
      <c r="EZ137" s="13" t="n">
        <f aca="false">IF(EZ$69=1,SUMIFS(dr_USD,dr_Mes,150,dr_Cod,"GG",dr_Est,"&lt;&gt;Excluido"),IF($E$51="PYG",$F$51/EZ$71,$F$51)/12*EZ$74*EZ$75)</f>
        <v>0</v>
      </c>
      <c r="FA137" s="13" t="n">
        <f aca="false">IF(FA$69=1,SUMIFS(dr_USD,dr_Mes,151,dr_Cod,"GG",dr_Est,"&lt;&gt;Excluido"),IF($E$51="PYG",$F$51/FA$71,$F$51)/12*FA$74*FA$75)</f>
        <v>0</v>
      </c>
      <c r="FB137" s="13" t="n">
        <f aca="false">IF(FB$69=1,SUMIFS(dr_USD,dr_Mes,152,dr_Cod,"GG",dr_Est,"&lt;&gt;Excluido"),IF($E$51="PYG",$F$51/FB$71,$F$51)/12*FB$74*FB$75)</f>
        <v>0</v>
      </c>
      <c r="FC137" s="13" t="n">
        <f aca="false">IF(FC$69=1,SUMIFS(dr_USD,dr_Mes,153,dr_Cod,"GG",dr_Est,"&lt;&gt;Excluido"),IF($E$51="PYG",$F$51/FC$71,$F$51)/12*FC$74*FC$75)</f>
        <v>0</v>
      </c>
      <c r="FD137" s="13" t="n">
        <f aca="false">IF(FD$69=1,SUMIFS(dr_USD,dr_Mes,154,dr_Cod,"GG",dr_Est,"&lt;&gt;Excluido"),IF($E$51="PYG",$F$51/FD$71,$F$51)/12*FD$74*FD$75)</f>
        <v>0</v>
      </c>
      <c r="FE137" s="13" t="n">
        <f aca="false">IF(FE$69=1,SUMIFS(dr_USD,dr_Mes,155,dr_Cod,"GG",dr_Est,"&lt;&gt;Excluido"),IF($E$51="PYG",$F$51/FE$71,$F$51)/12*FE$74*FE$75)</f>
        <v>0</v>
      </c>
      <c r="FF137" s="13" t="n">
        <f aca="false">IF(FF$69=1,SUMIFS(dr_USD,dr_Mes,156,dr_Cod,"GG",dr_Est,"&lt;&gt;Excluido"),IF($E$51="PYG",$F$51/FF$71,$F$51)/12*FF$74*FF$75)</f>
        <v>0</v>
      </c>
    </row>
    <row r="138" customFormat="false" ht="15" hidden="false" customHeight="false" outlineLevel="0" collapsed="false">
      <c r="A138" s="2" t="s">
        <v>1115</v>
      </c>
      <c r="B138" s="8" t="s">
        <v>990</v>
      </c>
      <c r="C138" s="8" t="s">
        <v>255</v>
      </c>
      <c r="E138" s="65" t="n">
        <f aca="false">SUM($F138:$FF138)</f>
        <v>249315.068493151</v>
      </c>
      <c r="F138" s="13" t="n">
        <f aca="false">IF(F$69=1,SUMIFS(dr_USD,dr_Mes,0,dr_Cod,"HON",dr_Est,"&lt;&gt;Excluido"),IF($E$52="PYG",$F$52/F$71,$F$52)/12*F$74*F$75)</f>
        <v>0</v>
      </c>
      <c r="G138" s="13" t="n">
        <f aca="false">IF(G$69=1,SUMIFS(dr_USD,dr_Mes,1,dr_Cod,"HON",dr_Est,"&lt;&gt;Excluido"),IF($E$52="PYG",$F$52/G$71,$F$52)/12*G$74*G$75)</f>
        <v>2077.62557077626</v>
      </c>
      <c r="H138" s="13" t="n">
        <f aca="false">IF(H$69=1,SUMIFS(dr_USD,dr_Mes,2,dr_Cod,"HON",dr_Est,"&lt;&gt;Excluido"),IF($E$52="PYG",$F$52/H$71,$F$52)/12*H$74*H$75)</f>
        <v>2077.62557077626</v>
      </c>
      <c r="I138" s="13" t="n">
        <f aca="false">IF(I$69=1,SUMIFS(dr_USD,dr_Mes,3,dr_Cod,"HON",dr_Est,"&lt;&gt;Excluido"),IF($E$52="PYG",$F$52/I$71,$F$52)/12*I$74*I$75)</f>
        <v>2077.62557077626</v>
      </c>
      <c r="J138" s="13" t="n">
        <f aca="false">IF(J$69=1,SUMIFS(dr_USD,dr_Mes,4,dr_Cod,"HON",dr_Est,"&lt;&gt;Excluido"),IF($E$52="PYG",$F$52/J$71,$F$52)/12*J$74*J$75)</f>
        <v>2077.62557077626</v>
      </c>
      <c r="K138" s="13" t="n">
        <f aca="false">IF(K$69=1,SUMIFS(dr_USD,dr_Mes,5,dr_Cod,"HON",dr_Est,"&lt;&gt;Excluido"),IF($E$52="PYG",$F$52/K$71,$F$52)/12*K$74*K$75)</f>
        <v>2077.62557077626</v>
      </c>
      <c r="L138" s="13" t="n">
        <f aca="false">IF(L$69=1,SUMIFS(dr_USD,dr_Mes,6,dr_Cod,"HON",dr_Est,"&lt;&gt;Excluido"),IF($E$52="PYG",$F$52/L$71,$F$52)/12*L$74*L$75)</f>
        <v>2077.62557077626</v>
      </c>
      <c r="M138" s="13" t="n">
        <f aca="false">IF(M$69=1,SUMIFS(dr_USD,dr_Mes,7,dr_Cod,"HON",dr_Est,"&lt;&gt;Excluido"),IF($E$52="PYG",$F$52/M$71,$F$52)/12*M$74*M$75)</f>
        <v>2077.62557077626</v>
      </c>
      <c r="N138" s="13" t="n">
        <f aca="false">IF(N$69=1,SUMIFS(dr_USD,dr_Mes,8,dr_Cod,"HON",dr_Est,"&lt;&gt;Excluido"),IF($E$52="PYG",$F$52/N$71,$F$52)/12*N$74*N$75)</f>
        <v>2077.62557077626</v>
      </c>
      <c r="O138" s="13" t="n">
        <f aca="false">IF(O$69=1,SUMIFS(dr_USD,dr_Mes,9,dr_Cod,"HON",dr_Est,"&lt;&gt;Excluido"),IF($E$52="PYG",$F$52/O$71,$F$52)/12*O$74*O$75)</f>
        <v>2077.62557077626</v>
      </c>
      <c r="P138" s="13" t="n">
        <f aca="false">IF(P$69=1,SUMIFS(dr_USD,dr_Mes,10,dr_Cod,"HON",dr_Est,"&lt;&gt;Excluido"),IF($E$52="PYG",$F$52/P$71,$F$52)/12*P$74*P$75)</f>
        <v>2077.62557077626</v>
      </c>
      <c r="Q138" s="13" t="n">
        <f aca="false">IF(Q$69=1,SUMIFS(dr_USD,dr_Mes,11,dr_Cod,"HON",dr_Est,"&lt;&gt;Excluido"),IF($E$52="PYG",$F$52/Q$71,$F$52)/12*Q$74*Q$75)</f>
        <v>2077.62557077626</v>
      </c>
      <c r="R138" s="13" t="n">
        <f aca="false">IF(R$69=1,SUMIFS(dr_USD,dr_Mes,12,dr_Cod,"HON",dr_Est,"&lt;&gt;Excluido"),IF($E$52="PYG",$F$52/R$71,$F$52)/12*R$74*R$75)</f>
        <v>2077.62557077626</v>
      </c>
      <c r="S138" s="13" t="n">
        <f aca="false">IF(S$69=1,SUMIFS(dr_USD,dr_Mes,13,dr_Cod,"HON",dr_Est,"&lt;&gt;Excluido"),IF($E$52="PYG",$F$52/S$71,$F$52)/12*S$74*S$75)</f>
        <v>2077.62557077626</v>
      </c>
      <c r="T138" s="13" t="n">
        <f aca="false">IF(T$69=1,SUMIFS(dr_USD,dr_Mes,14,dr_Cod,"HON",dr_Est,"&lt;&gt;Excluido"),IF($E$52="PYG",$F$52/T$71,$F$52)/12*T$74*T$75)</f>
        <v>2077.62557077626</v>
      </c>
      <c r="U138" s="13" t="n">
        <f aca="false">IF(U$69=1,SUMIFS(dr_USD,dr_Mes,15,dr_Cod,"HON",dr_Est,"&lt;&gt;Excluido"),IF($E$52="PYG",$F$52/U$71,$F$52)/12*U$74*U$75)</f>
        <v>2077.62557077626</v>
      </c>
      <c r="V138" s="13" t="n">
        <f aca="false">IF(V$69=1,SUMIFS(dr_USD,dr_Mes,16,dr_Cod,"HON",dr_Est,"&lt;&gt;Excluido"),IF($E$52="PYG",$F$52/V$71,$F$52)/12*V$74*V$75)</f>
        <v>2077.62557077626</v>
      </c>
      <c r="W138" s="13" t="n">
        <f aca="false">IF(W$69=1,SUMIFS(dr_USD,dr_Mes,17,dr_Cod,"HON",dr_Est,"&lt;&gt;Excluido"),IF($E$52="PYG",$F$52/W$71,$F$52)/12*W$74*W$75)</f>
        <v>2077.62557077626</v>
      </c>
      <c r="X138" s="13" t="n">
        <f aca="false">IF(X$69=1,SUMIFS(dr_USD,dr_Mes,18,dr_Cod,"HON",dr_Est,"&lt;&gt;Excluido"),IF($E$52="PYG",$F$52/X$71,$F$52)/12*X$74*X$75)</f>
        <v>2077.62557077626</v>
      </c>
      <c r="Y138" s="13" t="n">
        <f aca="false">IF(Y$69=1,SUMIFS(dr_USD,dr_Mes,19,dr_Cod,"HON",dr_Est,"&lt;&gt;Excluido"),IF($E$52="PYG",$F$52/Y$71,$F$52)/12*Y$74*Y$75)</f>
        <v>2077.62557077626</v>
      </c>
      <c r="Z138" s="13" t="n">
        <f aca="false">IF(Z$69=1,SUMIFS(dr_USD,dr_Mes,20,dr_Cod,"HON",dr_Est,"&lt;&gt;Excluido"),IF($E$52="PYG",$F$52/Z$71,$F$52)/12*Z$74*Z$75)</f>
        <v>2077.62557077626</v>
      </c>
      <c r="AA138" s="13" t="n">
        <f aca="false">IF(AA$69=1,SUMIFS(dr_USD,dr_Mes,21,dr_Cod,"HON",dr_Est,"&lt;&gt;Excluido"),IF($E$52="PYG",$F$52/AA$71,$F$52)/12*AA$74*AA$75)</f>
        <v>2077.62557077626</v>
      </c>
      <c r="AB138" s="13" t="n">
        <f aca="false">IF(AB$69=1,SUMIFS(dr_USD,dr_Mes,22,dr_Cod,"HON",dr_Est,"&lt;&gt;Excluido"),IF($E$52="PYG",$F$52/AB$71,$F$52)/12*AB$74*AB$75)</f>
        <v>2077.62557077626</v>
      </c>
      <c r="AC138" s="13" t="n">
        <f aca="false">IF(AC$69=1,SUMIFS(dr_USD,dr_Mes,23,dr_Cod,"HON",dr_Est,"&lt;&gt;Excluido"),IF($E$52="PYG",$F$52/AC$71,$F$52)/12*AC$74*AC$75)</f>
        <v>2077.62557077626</v>
      </c>
      <c r="AD138" s="13" t="n">
        <f aca="false">IF(AD$69=1,SUMIFS(dr_USD,dr_Mes,24,dr_Cod,"HON",dr_Est,"&lt;&gt;Excluido"),IF($E$52="PYG",$F$52/AD$71,$F$52)/12*AD$74*AD$75)</f>
        <v>2077.62557077626</v>
      </c>
      <c r="AE138" s="13" t="n">
        <f aca="false">IF(AE$69=1,SUMIFS(dr_USD,dr_Mes,25,dr_Cod,"HON",dr_Est,"&lt;&gt;Excluido"),IF($E$52="PYG",$F$52/AE$71,$F$52)/12*AE$74*AE$75)</f>
        <v>2077.62557077626</v>
      </c>
      <c r="AF138" s="13" t="n">
        <f aca="false">IF(AF$69=1,SUMIFS(dr_USD,dr_Mes,26,dr_Cod,"HON",dr_Est,"&lt;&gt;Excluido"),IF($E$52="PYG",$F$52/AF$71,$F$52)/12*AF$74*AF$75)</f>
        <v>2077.62557077626</v>
      </c>
      <c r="AG138" s="13" t="n">
        <f aca="false">IF(AG$69=1,SUMIFS(dr_USD,dr_Mes,27,dr_Cod,"HON",dr_Est,"&lt;&gt;Excluido"),IF($E$52="PYG",$F$52/AG$71,$F$52)/12*AG$74*AG$75)</f>
        <v>2077.62557077626</v>
      </c>
      <c r="AH138" s="13" t="n">
        <f aca="false">IF(AH$69=1,SUMIFS(dr_USD,dr_Mes,28,dr_Cod,"HON",dr_Est,"&lt;&gt;Excluido"),IF($E$52="PYG",$F$52/AH$71,$F$52)/12*AH$74*AH$75)</f>
        <v>2077.62557077626</v>
      </c>
      <c r="AI138" s="13" t="n">
        <f aca="false">IF(AI$69=1,SUMIFS(dr_USD,dr_Mes,29,dr_Cod,"HON",dr_Est,"&lt;&gt;Excluido"),IF($E$52="PYG",$F$52/AI$71,$F$52)/12*AI$74*AI$75)</f>
        <v>2077.62557077626</v>
      </c>
      <c r="AJ138" s="13" t="n">
        <f aca="false">IF(AJ$69=1,SUMIFS(dr_USD,dr_Mes,30,dr_Cod,"HON",dr_Est,"&lt;&gt;Excluido"),IF($E$52="PYG",$F$52/AJ$71,$F$52)/12*AJ$74*AJ$75)</f>
        <v>2077.62557077626</v>
      </c>
      <c r="AK138" s="13" t="n">
        <f aca="false">IF(AK$69=1,SUMIFS(dr_USD,dr_Mes,31,dr_Cod,"HON",dr_Est,"&lt;&gt;Excluido"),IF($E$52="PYG",$F$52/AK$71,$F$52)/12*AK$74*AK$75)</f>
        <v>2077.62557077626</v>
      </c>
      <c r="AL138" s="13" t="n">
        <f aca="false">IF(AL$69=1,SUMIFS(dr_USD,dr_Mes,32,dr_Cod,"HON",dr_Est,"&lt;&gt;Excluido"),IF($E$52="PYG",$F$52/AL$71,$F$52)/12*AL$74*AL$75)</f>
        <v>2077.62557077626</v>
      </c>
      <c r="AM138" s="13" t="n">
        <f aca="false">IF(AM$69=1,SUMIFS(dr_USD,dr_Mes,33,dr_Cod,"HON",dr_Est,"&lt;&gt;Excluido"),IF($E$52="PYG",$F$52/AM$71,$F$52)/12*AM$74*AM$75)</f>
        <v>2077.62557077626</v>
      </c>
      <c r="AN138" s="13" t="n">
        <f aca="false">IF(AN$69=1,SUMIFS(dr_USD,dr_Mes,34,dr_Cod,"HON",dr_Est,"&lt;&gt;Excluido"),IF($E$52="PYG",$F$52/AN$71,$F$52)/12*AN$74*AN$75)</f>
        <v>2077.62557077626</v>
      </c>
      <c r="AO138" s="13" t="n">
        <f aca="false">IF(AO$69=1,SUMIFS(dr_USD,dr_Mes,35,dr_Cod,"HON",dr_Est,"&lt;&gt;Excluido"),IF($E$52="PYG",$F$52/AO$71,$F$52)/12*AO$74*AO$75)</f>
        <v>2077.62557077626</v>
      </c>
      <c r="AP138" s="13" t="n">
        <f aca="false">IF(AP$69=1,SUMIFS(dr_USD,dr_Mes,36,dr_Cod,"HON",dr_Est,"&lt;&gt;Excluido"),IF($E$52="PYG",$F$52/AP$71,$F$52)/12*AP$74*AP$75)</f>
        <v>2077.62557077626</v>
      </c>
      <c r="AQ138" s="13" t="n">
        <f aca="false">IF(AQ$69=1,SUMIFS(dr_USD,dr_Mes,37,dr_Cod,"HON",dr_Est,"&lt;&gt;Excluido"),IF($E$52="PYG",$F$52/AQ$71,$F$52)/12*AQ$74*AQ$75)</f>
        <v>2077.62557077626</v>
      </c>
      <c r="AR138" s="13" t="n">
        <f aca="false">IF(AR$69=1,SUMIFS(dr_USD,dr_Mes,38,dr_Cod,"HON",dr_Est,"&lt;&gt;Excluido"),IF($E$52="PYG",$F$52/AR$71,$F$52)/12*AR$74*AR$75)</f>
        <v>2077.62557077626</v>
      </c>
      <c r="AS138" s="13" t="n">
        <f aca="false">IF(AS$69=1,SUMIFS(dr_USD,dr_Mes,39,dr_Cod,"HON",dr_Est,"&lt;&gt;Excluido"),IF($E$52="PYG",$F$52/AS$71,$F$52)/12*AS$74*AS$75)</f>
        <v>2077.62557077626</v>
      </c>
      <c r="AT138" s="13" t="n">
        <f aca="false">IF(AT$69=1,SUMIFS(dr_USD,dr_Mes,40,dr_Cod,"HON",dr_Est,"&lt;&gt;Excluido"),IF($E$52="PYG",$F$52/AT$71,$F$52)/12*AT$74*AT$75)</f>
        <v>2077.62557077626</v>
      </c>
      <c r="AU138" s="13" t="n">
        <f aca="false">IF(AU$69=1,SUMIFS(dr_USD,dr_Mes,41,dr_Cod,"HON",dr_Est,"&lt;&gt;Excluido"),IF($E$52="PYG",$F$52/AU$71,$F$52)/12*AU$74*AU$75)</f>
        <v>2077.62557077626</v>
      </c>
      <c r="AV138" s="13" t="n">
        <f aca="false">IF(AV$69=1,SUMIFS(dr_USD,dr_Mes,42,dr_Cod,"HON",dr_Est,"&lt;&gt;Excluido"),IF($E$52="PYG",$F$52/AV$71,$F$52)/12*AV$74*AV$75)</f>
        <v>2077.62557077626</v>
      </c>
      <c r="AW138" s="13" t="n">
        <f aca="false">IF(AW$69=1,SUMIFS(dr_USD,dr_Mes,43,dr_Cod,"HON",dr_Est,"&lt;&gt;Excluido"),IF($E$52="PYG",$F$52/AW$71,$F$52)/12*AW$74*AW$75)</f>
        <v>2077.62557077626</v>
      </c>
      <c r="AX138" s="13" t="n">
        <f aca="false">IF(AX$69=1,SUMIFS(dr_USD,dr_Mes,44,dr_Cod,"HON",dr_Est,"&lt;&gt;Excluido"),IF($E$52="PYG",$F$52/AX$71,$F$52)/12*AX$74*AX$75)</f>
        <v>2077.62557077626</v>
      </c>
      <c r="AY138" s="13" t="n">
        <f aca="false">IF(AY$69=1,SUMIFS(dr_USD,dr_Mes,45,dr_Cod,"HON",dr_Est,"&lt;&gt;Excluido"),IF($E$52="PYG",$F$52/AY$71,$F$52)/12*AY$74*AY$75)</f>
        <v>2077.62557077626</v>
      </c>
      <c r="AZ138" s="13" t="n">
        <f aca="false">IF(AZ$69=1,SUMIFS(dr_USD,dr_Mes,46,dr_Cod,"HON",dr_Est,"&lt;&gt;Excluido"),IF($E$52="PYG",$F$52/AZ$71,$F$52)/12*AZ$74*AZ$75)</f>
        <v>2077.62557077626</v>
      </c>
      <c r="BA138" s="13" t="n">
        <f aca="false">IF(BA$69=1,SUMIFS(dr_USD,dr_Mes,47,dr_Cod,"HON",dr_Est,"&lt;&gt;Excluido"),IF($E$52="PYG",$F$52/BA$71,$F$52)/12*BA$74*BA$75)</f>
        <v>2077.62557077626</v>
      </c>
      <c r="BB138" s="13" t="n">
        <f aca="false">IF(BB$69=1,SUMIFS(dr_USD,dr_Mes,48,dr_Cod,"HON",dr_Est,"&lt;&gt;Excluido"),IF($E$52="PYG",$F$52/BB$71,$F$52)/12*BB$74*BB$75)</f>
        <v>2077.62557077626</v>
      </c>
      <c r="BC138" s="13" t="n">
        <f aca="false">IF(BC$69=1,SUMIFS(dr_USD,dr_Mes,49,dr_Cod,"HON",dr_Est,"&lt;&gt;Excluido"),IF($E$52="PYG",$F$52/BC$71,$F$52)/12*BC$74*BC$75)</f>
        <v>2077.62557077626</v>
      </c>
      <c r="BD138" s="13" t="n">
        <f aca="false">IF(BD$69=1,SUMIFS(dr_USD,dr_Mes,50,dr_Cod,"HON",dr_Est,"&lt;&gt;Excluido"),IF($E$52="PYG",$F$52/BD$71,$F$52)/12*BD$74*BD$75)</f>
        <v>2077.62557077626</v>
      </c>
      <c r="BE138" s="13" t="n">
        <f aca="false">IF(BE$69=1,SUMIFS(dr_USD,dr_Mes,51,dr_Cod,"HON",dr_Est,"&lt;&gt;Excluido"),IF($E$52="PYG",$F$52/BE$71,$F$52)/12*BE$74*BE$75)</f>
        <v>2077.62557077626</v>
      </c>
      <c r="BF138" s="13" t="n">
        <f aca="false">IF(BF$69=1,SUMIFS(dr_USD,dr_Mes,52,dr_Cod,"HON",dr_Est,"&lt;&gt;Excluido"),IF($E$52="PYG",$F$52/BF$71,$F$52)/12*BF$74*BF$75)</f>
        <v>2077.62557077626</v>
      </c>
      <c r="BG138" s="13" t="n">
        <f aca="false">IF(BG$69=1,SUMIFS(dr_USD,dr_Mes,53,dr_Cod,"HON",dr_Est,"&lt;&gt;Excluido"),IF($E$52="PYG",$F$52/BG$71,$F$52)/12*BG$74*BG$75)</f>
        <v>2077.62557077626</v>
      </c>
      <c r="BH138" s="13" t="n">
        <f aca="false">IF(BH$69=1,SUMIFS(dr_USD,dr_Mes,54,dr_Cod,"HON",dr_Est,"&lt;&gt;Excluido"),IF($E$52="PYG",$F$52/BH$71,$F$52)/12*BH$74*BH$75)</f>
        <v>2077.62557077626</v>
      </c>
      <c r="BI138" s="13" t="n">
        <f aca="false">IF(BI$69=1,SUMIFS(dr_USD,dr_Mes,55,dr_Cod,"HON",dr_Est,"&lt;&gt;Excluido"),IF($E$52="PYG",$F$52/BI$71,$F$52)/12*BI$74*BI$75)</f>
        <v>2077.62557077626</v>
      </c>
      <c r="BJ138" s="13" t="n">
        <f aca="false">IF(BJ$69=1,SUMIFS(dr_USD,dr_Mes,56,dr_Cod,"HON",dr_Est,"&lt;&gt;Excluido"),IF($E$52="PYG",$F$52/BJ$71,$F$52)/12*BJ$74*BJ$75)</f>
        <v>2077.62557077626</v>
      </c>
      <c r="BK138" s="13" t="n">
        <f aca="false">IF(BK$69=1,SUMIFS(dr_USD,dr_Mes,57,dr_Cod,"HON",dr_Est,"&lt;&gt;Excluido"),IF($E$52="PYG",$F$52/BK$71,$F$52)/12*BK$74*BK$75)</f>
        <v>2077.62557077626</v>
      </c>
      <c r="BL138" s="13" t="n">
        <f aca="false">IF(BL$69=1,SUMIFS(dr_USD,dr_Mes,58,dr_Cod,"HON",dr_Est,"&lt;&gt;Excluido"),IF($E$52="PYG",$F$52/BL$71,$F$52)/12*BL$74*BL$75)</f>
        <v>2077.62557077626</v>
      </c>
      <c r="BM138" s="13" t="n">
        <f aca="false">IF(BM$69=1,SUMIFS(dr_USD,dr_Mes,59,dr_Cod,"HON",dr_Est,"&lt;&gt;Excluido"),IF($E$52="PYG",$F$52/BM$71,$F$52)/12*BM$74*BM$75)</f>
        <v>2077.62557077626</v>
      </c>
      <c r="BN138" s="13" t="n">
        <f aca="false">IF(BN$69=1,SUMIFS(dr_USD,dr_Mes,60,dr_Cod,"HON",dr_Est,"&lt;&gt;Excluido"),IF($E$52="PYG",$F$52/BN$71,$F$52)/12*BN$74*BN$75)</f>
        <v>2077.62557077626</v>
      </c>
      <c r="BO138" s="13" t="n">
        <f aca="false">IF(BO$69=1,SUMIFS(dr_USD,dr_Mes,61,dr_Cod,"HON",dr_Est,"&lt;&gt;Excluido"),IF($E$52="PYG",$F$52/BO$71,$F$52)/12*BO$74*BO$75)</f>
        <v>2077.62557077626</v>
      </c>
      <c r="BP138" s="13" t="n">
        <f aca="false">IF(BP$69=1,SUMIFS(dr_USD,dr_Mes,62,dr_Cod,"HON",dr_Est,"&lt;&gt;Excluido"),IF($E$52="PYG",$F$52/BP$71,$F$52)/12*BP$74*BP$75)</f>
        <v>2077.62557077626</v>
      </c>
      <c r="BQ138" s="13" t="n">
        <f aca="false">IF(BQ$69=1,SUMIFS(dr_USD,dr_Mes,63,dr_Cod,"HON",dr_Est,"&lt;&gt;Excluido"),IF($E$52="PYG",$F$52/BQ$71,$F$52)/12*BQ$74*BQ$75)</f>
        <v>2077.62557077626</v>
      </c>
      <c r="BR138" s="13" t="n">
        <f aca="false">IF(BR$69=1,SUMIFS(dr_USD,dr_Mes,64,dr_Cod,"HON",dr_Est,"&lt;&gt;Excluido"),IF($E$52="PYG",$F$52/BR$71,$F$52)/12*BR$74*BR$75)</f>
        <v>2077.62557077626</v>
      </c>
      <c r="BS138" s="13" t="n">
        <f aca="false">IF(BS$69=1,SUMIFS(dr_USD,dr_Mes,65,dr_Cod,"HON",dr_Est,"&lt;&gt;Excluido"),IF($E$52="PYG",$F$52/BS$71,$F$52)/12*BS$74*BS$75)</f>
        <v>2077.62557077626</v>
      </c>
      <c r="BT138" s="13" t="n">
        <f aca="false">IF(BT$69=1,SUMIFS(dr_USD,dr_Mes,66,dr_Cod,"HON",dr_Est,"&lt;&gt;Excluido"),IF($E$52="PYG",$F$52/BT$71,$F$52)/12*BT$74*BT$75)</f>
        <v>2077.62557077626</v>
      </c>
      <c r="BU138" s="13" t="n">
        <f aca="false">IF(BU$69=1,SUMIFS(dr_USD,dr_Mes,67,dr_Cod,"HON",dr_Est,"&lt;&gt;Excluido"),IF($E$52="PYG",$F$52/BU$71,$F$52)/12*BU$74*BU$75)</f>
        <v>2077.62557077626</v>
      </c>
      <c r="BV138" s="13" t="n">
        <f aca="false">IF(BV$69=1,SUMIFS(dr_USD,dr_Mes,68,dr_Cod,"HON",dr_Est,"&lt;&gt;Excluido"),IF($E$52="PYG",$F$52/BV$71,$F$52)/12*BV$74*BV$75)</f>
        <v>2077.62557077626</v>
      </c>
      <c r="BW138" s="13" t="n">
        <f aca="false">IF(BW$69=1,SUMIFS(dr_USD,dr_Mes,69,dr_Cod,"HON",dr_Est,"&lt;&gt;Excluido"),IF($E$52="PYG",$F$52/BW$71,$F$52)/12*BW$74*BW$75)</f>
        <v>2077.62557077626</v>
      </c>
      <c r="BX138" s="13" t="n">
        <f aca="false">IF(BX$69=1,SUMIFS(dr_USD,dr_Mes,70,dr_Cod,"HON",dr_Est,"&lt;&gt;Excluido"),IF($E$52="PYG",$F$52/BX$71,$F$52)/12*BX$74*BX$75)</f>
        <v>2077.62557077626</v>
      </c>
      <c r="BY138" s="13" t="n">
        <f aca="false">IF(BY$69=1,SUMIFS(dr_USD,dr_Mes,71,dr_Cod,"HON",dr_Est,"&lt;&gt;Excluido"),IF($E$52="PYG",$F$52/BY$71,$F$52)/12*BY$74*BY$75)</f>
        <v>2077.62557077626</v>
      </c>
      <c r="BZ138" s="13" t="n">
        <f aca="false">IF(BZ$69=1,SUMIFS(dr_USD,dr_Mes,72,dr_Cod,"HON",dr_Est,"&lt;&gt;Excluido"),IF($E$52="PYG",$F$52/BZ$71,$F$52)/12*BZ$74*BZ$75)</f>
        <v>2077.62557077626</v>
      </c>
      <c r="CA138" s="13" t="n">
        <f aca="false">IF(CA$69=1,SUMIFS(dr_USD,dr_Mes,73,dr_Cod,"HON",dr_Est,"&lt;&gt;Excluido"),IF($E$52="PYG",$F$52/CA$71,$F$52)/12*CA$74*CA$75)</f>
        <v>2077.62557077626</v>
      </c>
      <c r="CB138" s="13" t="n">
        <f aca="false">IF(CB$69=1,SUMIFS(dr_USD,dr_Mes,74,dr_Cod,"HON",dr_Est,"&lt;&gt;Excluido"),IF($E$52="PYG",$F$52/CB$71,$F$52)/12*CB$74*CB$75)</f>
        <v>2077.62557077626</v>
      </c>
      <c r="CC138" s="13" t="n">
        <f aca="false">IF(CC$69=1,SUMIFS(dr_USD,dr_Mes,75,dr_Cod,"HON",dr_Est,"&lt;&gt;Excluido"),IF($E$52="PYG",$F$52/CC$71,$F$52)/12*CC$74*CC$75)</f>
        <v>2077.62557077626</v>
      </c>
      <c r="CD138" s="13" t="n">
        <f aca="false">IF(CD$69=1,SUMIFS(dr_USD,dr_Mes,76,dr_Cod,"HON",dr_Est,"&lt;&gt;Excluido"),IF($E$52="PYG",$F$52/CD$71,$F$52)/12*CD$74*CD$75)</f>
        <v>2077.62557077626</v>
      </c>
      <c r="CE138" s="13" t="n">
        <f aca="false">IF(CE$69=1,SUMIFS(dr_USD,dr_Mes,77,dr_Cod,"HON",dr_Est,"&lt;&gt;Excluido"),IF($E$52="PYG",$F$52/CE$71,$F$52)/12*CE$74*CE$75)</f>
        <v>2077.62557077626</v>
      </c>
      <c r="CF138" s="13" t="n">
        <f aca="false">IF(CF$69=1,SUMIFS(dr_USD,dr_Mes,78,dr_Cod,"HON",dr_Est,"&lt;&gt;Excluido"),IF($E$52="PYG",$F$52/CF$71,$F$52)/12*CF$74*CF$75)</f>
        <v>2077.62557077626</v>
      </c>
      <c r="CG138" s="13" t="n">
        <f aca="false">IF(CG$69=1,SUMIFS(dr_USD,dr_Mes,79,dr_Cod,"HON",dr_Est,"&lt;&gt;Excluido"),IF($E$52="PYG",$F$52/CG$71,$F$52)/12*CG$74*CG$75)</f>
        <v>2077.62557077626</v>
      </c>
      <c r="CH138" s="13" t="n">
        <f aca="false">IF(CH$69=1,SUMIFS(dr_USD,dr_Mes,80,dr_Cod,"HON",dr_Est,"&lt;&gt;Excluido"),IF($E$52="PYG",$F$52/CH$71,$F$52)/12*CH$74*CH$75)</f>
        <v>2077.62557077626</v>
      </c>
      <c r="CI138" s="13" t="n">
        <f aca="false">IF(CI$69=1,SUMIFS(dr_USD,dr_Mes,81,dr_Cod,"HON",dr_Est,"&lt;&gt;Excluido"),IF($E$52="PYG",$F$52/CI$71,$F$52)/12*CI$74*CI$75)</f>
        <v>2077.62557077626</v>
      </c>
      <c r="CJ138" s="13" t="n">
        <f aca="false">IF(CJ$69=1,SUMIFS(dr_USD,dr_Mes,82,dr_Cod,"HON",dr_Est,"&lt;&gt;Excluido"),IF($E$52="PYG",$F$52/CJ$71,$F$52)/12*CJ$74*CJ$75)</f>
        <v>2077.62557077626</v>
      </c>
      <c r="CK138" s="13" t="n">
        <f aca="false">IF(CK$69=1,SUMIFS(dr_USD,dr_Mes,83,dr_Cod,"HON",dr_Est,"&lt;&gt;Excluido"),IF($E$52="PYG",$F$52/CK$71,$F$52)/12*CK$74*CK$75)</f>
        <v>2077.62557077626</v>
      </c>
      <c r="CL138" s="13" t="n">
        <f aca="false">IF(CL$69=1,SUMIFS(dr_USD,dr_Mes,84,dr_Cod,"HON",dr_Est,"&lt;&gt;Excluido"),IF($E$52="PYG",$F$52/CL$71,$F$52)/12*CL$74*CL$75)</f>
        <v>2077.62557077626</v>
      </c>
      <c r="CM138" s="13" t="n">
        <f aca="false">IF(CM$69=1,SUMIFS(dr_USD,dr_Mes,85,dr_Cod,"HON",dr_Est,"&lt;&gt;Excluido"),IF($E$52="PYG",$F$52/CM$71,$F$52)/12*CM$74*CM$75)</f>
        <v>2077.62557077626</v>
      </c>
      <c r="CN138" s="13" t="n">
        <f aca="false">IF(CN$69=1,SUMIFS(dr_USD,dr_Mes,86,dr_Cod,"HON",dr_Est,"&lt;&gt;Excluido"),IF($E$52="PYG",$F$52/CN$71,$F$52)/12*CN$74*CN$75)</f>
        <v>2077.62557077626</v>
      </c>
      <c r="CO138" s="13" t="n">
        <f aca="false">IF(CO$69=1,SUMIFS(dr_USD,dr_Mes,87,dr_Cod,"HON",dr_Est,"&lt;&gt;Excluido"),IF($E$52="PYG",$F$52/CO$71,$F$52)/12*CO$74*CO$75)</f>
        <v>2077.62557077626</v>
      </c>
      <c r="CP138" s="13" t="n">
        <f aca="false">IF(CP$69=1,SUMIFS(dr_USD,dr_Mes,88,dr_Cod,"HON",dr_Est,"&lt;&gt;Excluido"),IF($E$52="PYG",$F$52/CP$71,$F$52)/12*CP$74*CP$75)</f>
        <v>2077.62557077626</v>
      </c>
      <c r="CQ138" s="13" t="n">
        <f aca="false">IF(CQ$69=1,SUMIFS(dr_USD,dr_Mes,89,dr_Cod,"HON",dr_Est,"&lt;&gt;Excluido"),IF($E$52="PYG",$F$52/CQ$71,$F$52)/12*CQ$74*CQ$75)</f>
        <v>2077.62557077626</v>
      </c>
      <c r="CR138" s="13" t="n">
        <f aca="false">IF(CR$69=1,SUMIFS(dr_USD,dr_Mes,90,dr_Cod,"HON",dr_Est,"&lt;&gt;Excluido"),IF($E$52="PYG",$F$52/CR$71,$F$52)/12*CR$74*CR$75)</f>
        <v>2077.62557077626</v>
      </c>
      <c r="CS138" s="13" t="n">
        <f aca="false">IF(CS$69=1,SUMIFS(dr_USD,dr_Mes,91,dr_Cod,"HON",dr_Est,"&lt;&gt;Excluido"),IF($E$52="PYG",$F$52/CS$71,$F$52)/12*CS$74*CS$75)</f>
        <v>2077.62557077626</v>
      </c>
      <c r="CT138" s="13" t="n">
        <f aca="false">IF(CT$69=1,SUMIFS(dr_USD,dr_Mes,92,dr_Cod,"HON",dr_Est,"&lt;&gt;Excluido"),IF($E$52="PYG",$F$52/CT$71,$F$52)/12*CT$74*CT$75)</f>
        <v>2077.62557077626</v>
      </c>
      <c r="CU138" s="13" t="n">
        <f aca="false">IF(CU$69=1,SUMIFS(dr_USD,dr_Mes,93,dr_Cod,"HON",dr_Est,"&lt;&gt;Excluido"),IF($E$52="PYG",$F$52/CU$71,$F$52)/12*CU$74*CU$75)</f>
        <v>2077.62557077626</v>
      </c>
      <c r="CV138" s="13" t="n">
        <f aca="false">IF(CV$69=1,SUMIFS(dr_USD,dr_Mes,94,dr_Cod,"HON",dr_Est,"&lt;&gt;Excluido"),IF($E$52="PYG",$F$52/CV$71,$F$52)/12*CV$74*CV$75)</f>
        <v>2077.62557077626</v>
      </c>
      <c r="CW138" s="13" t="n">
        <f aca="false">IF(CW$69=1,SUMIFS(dr_USD,dr_Mes,95,dr_Cod,"HON",dr_Est,"&lt;&gt;Excluido"),IF($E$52="PYG",$F$52/CW$71,$F$52)/12*CW$74*CW$75)</f>
        <v>2077.62557077626</v>
      </c>
      <c r="CX138" s="13" t="n">
        <f aca="false">IF(CX$69=1,SUMIFS(dr_USD,dr_Mes,96,dr_Cod,"HON",dr_Est,"&lt;&gt;Excluido"),IF($E$52="PYG",$F$52/CX$71,$F$52)/12*CX$74*CX$75)</f>
        <v>2077.62557077626</v>
      </c>
      <c r="CY138" s="13" t="n">
        <f aca="false">IF(CY$69=1,SUMIFS(dr_USD,dr_Mes,97,dr_Cod,"HON",dr_Est,"&lt;&gt;Excluido"),IF($E$52="PYG",$F$52/CY$71,$F$52)/12*CY$74*CY$75)</f>
        <v>2077.62557077626</v>
      </c>
      <c r="CZ138" s="13" t="n">
        <f aca="false">IF(CZ$69=1,SUMIFS(dr_USD,dr_Mes,98,dr_Cod,"HON",dr_Est,"&lt;&gt;Excluido"),IF($E$52="PYG",$F$52/CZ$71,$F$52)/12*CZ$74*CZ$75)</f>
        <v>2077.62557077626</v>
      </c>
      <c r="DA138" s="13" t="n">
        <f aca="false">IF(DA$69=1,SUMIFS(dr_USD,dr_Mes,99,dr_Cod,"HON",dr_Est,"&lt;&gt;Excluido"),IF($E$52="PYG",$F$52/DA$71,$F$52)/12*DA$74*DA$75)</f>
        <v>2077.62557077626</v>
      </c>
      <c r="DB138" s="13" t="n">
        <f aca="false">IF(DB$69=1,SUMIFS(dr_USD,dr_Mes,100,dr_Cod,"HON",dr_Est,"&lt;&gt;Excluido"),IF($E$52="PYG",$F$52/DB$71,$F$52)/12*DB$74*DB$75)</f>
        <v>2077.62557077626</v>
      </c>
      <c r="DC138" s="13" t="n">
        <f aca="false">IF(DC$69=1,SUMIFS(dr_USD,dr_Mes,101,dr_Cod,"HON",dr_Est,"&lt;&gt;Excluido"),IF($E$52="PYG",$F$52/DC$71,$F$52)/12*DC$74*DC$75)</f>
        <v>2077.62557077626</v>
      </c>
      <c r="DD138" s="13" t="n">
        <f aca="false">IF(DD$69=1,SUMIFS(dr_USD,dr_Mes,102,dr_Cod,"HON",dr_Est,"&lt;&gt;Excluido"),IF($E$52="PYG",$F$52/DD$71,$F$52)/12*DD$74*DD$75)</f>
        <v>2077.62557077626</v>
      </c>
      <c r="DE138" s="13" t="n">
        <f aca="false">IF(DE$69=1,SUMIFS(dr_USD,dr_Mes,103,dr_Cod,"HON",dr_Est,"&lt;&gt;Excluido"),IF($E$52="PYG",$F$52/DE$71,$F$52)/12*DE$74*DE$75)</f>
        <v>2077.62557077626</v>
      </c>
      <c r="DF138" s="13" t="n">
        <f aca="false">IF(DF$69=1,SUMIFS(dr_USD,dr_Mes,104,dr_Cod,"HON",dr_Est,"&lt;&gt;Excluido"),IF($E$52="PYG",$F$52/DF$71,$F$52)/12*DF$74*DF$75)</f>
        <v>2077.62557077626</v>
      </c>
      <c r="DG138" s="13" t="n">
        <f aca="false">IF(DG$69=1,SUMIFS(dr_USD,dr_Mes,105,dr_Cod,"HON",dr_Est,"&lt;&gt;Excluido"),IF($E$52="PYG",$F$52/DG$71,$F$52)/12*DG$74*DG$75)</f>
        <v>2077.62557077626</v>
      </c>
      <c r="DH138" s="13" t="n">
        <f aca="false">IF(DH$69=1,SUMIFS(dr_USD,dr_Mes,106,dr_Cod,"HON",dr_Est,"&lt;&gt;Excluido"),IF($E$52="PYG",$F$52/DH$71,$F$52)/12*DH$74*DH$75)</f>
        <v>2077.62557077626</v>
      </c>
      <c r="DI138" s="13" t="n">
        <f aca="false">IF(DI$69=1,SUMIFS(dr_USD,dr_Mes,107,dr_Cod,"HON",dr_Est,"&lt;&gt;Excluido"),IF($E$52="PYG",$F$52/DI$71,$F$52)/12*DI$74*DI$75)</f>
        <v>2077.62557077626</v>
      </c>
      <c r="DJ138" s="13" t="n">
        <f aca="false">IF(DJ$69=1,SUMIFS(dr_USD,dr_Mes,108,dr_Cod,"HON",dr_Est,"&lt;&gt;Excluido"),IF($E$52="PYG",$F$52/DJ$71,$F$52)/12*DJ$74*DJ$75)</f>
        <v>2077.62557077626</v>
      </c>
      <c r="DK138" s="13" t="n">
        <f aca="false">IF(DK$69=1,SUMIFS(dr_USD,dr_Mes,109,dr_Cod,"HON",dr_Est,"&lt;&gt;Excluido"),IF($E$52="PYG",$F$52/DK$71,$F$52)/12*DK$74*DK$75)</f>
        <v>2077.62557077626</v>
      </c>
      <c r="DL138" s="13" t="n">
        <f aca="false">IF(DL$69=1,SUMIFS(dr_USD,dr_Mes,110,dr_Cod,"HON",dr_Est,"&lt;&gt;Excluido"),IF($E$52="PYG",$F$52/DL$71,$F$52)/12*DL$74*DL$75)</f>
        <v>2077.62557077626</v>
      </c>
      <c r="DM138" s="13" t="n">
        <f aca="false">IF(DM$69=1,SUMIFS(dr_USD,dr_Mes,111,dr_Cod,"HON",dr_Est,"&lt;&gt;Excluido"),IF($E$52="PYG",$F$52/DM$71,$F$52)/12*DM$74*DM$75)</f>
        <v>2077.62557077626</v>
      </c>
      <c r="DN138" s="13" t="n">
        <f aca="false">IF(DN$69=1,SUMIFS(dr_USD,dr_Mes,112,dr_Cod,"HON",dr_Est,"&lt;&gt;Excluido"),IF($E$52="PYG",$F$52/DN$71,$F$52)/12*DN$74*DN$75)</f>
        <v>2077.62557077626</v>
      </c>
      <c r="DO138" s="13" t="n">
        <f aca="false">IF(DO$69=1,SUMIFS(dr_USD,dr_Mes,113,dr_Cod,"HON",dr_Est,"&lt;&gt;Excluido"),IF($E$52="PYG",$F$52/DO$71,$F$52)/12*DO$74*DO$75)</f>
        <v>2077.62557077626</v>
      </c>
      <c r="DP138" s="13" t="n">
        <f aca="false">IF(DP$69=1,SUMIFS(dr_USD,dr_Mes,114,dr_Cod,"HON",dr_Est,"&lt;&gt;Excluido"),IF($E$52="PYG",$F$52/DP$71,$F$52)/12*DP$74*DP$75)</f>
        <v>2077.62557077626</v>
      </c>
      <c r="DQ138" s="13" t="n">
        <f aca="false">IF(DQ$69=1,SUMIFS(dr_USD,dr_Mes,115,dr_Cod,"HON",dr_Est,"&lt;&gt;Excluido"),IF($E$52="PYG",$F$52/DQ$71,$F$52)/12*DQ$74*DQ$75)</f>
        <v>2077.62557077626</v>
      </c>
      <c r="DR138" s="13" t="n">
        <f aca="false">IF(DR$69=1,SUMIFS(dr_USD,dr_Mes,116,dr_Cod,"HON",dr_Est,"&lt;&gt;Excluido"),IF($E$52="PYG",$F$52/DR$71,$F$52)/12*DR$74*DR$75)</f>
        <v>2077.62557077626</v>
      </c>
      <c r="DS138" s="13" t="n">
        <f aca="false">IF(DS$69=1,SUMIFS(dr_USD,dr_Mes,117,dr_Cod,"HON",dr_Est,"&lt;&gt;Excluido"),IF($E$52="PYG",$F$52/DS$71,$F$52)/12*DS$74*DS$75)</f>
        <v>2077.62557077626</v>
      </c>
      <c r="DT138" s="13" t="n">
        <f aca="false">IF(DT$69=1,SUMIFS(dr_USD,dr_Mes,118,dr_Cod,"HON",dr_Est,"&lt;&gt;Excluido"),IF($E$52="PYG",$F$52/DT$71,$F$52)/12*DT$74*DT$75)</f>
        <v>2077.62557077626</v>
      </c>
      <c r="DU138" s="13" t="n">
        <f aca="false">IF(DU$69=1,SUMIFS(dr_USD,dr_Mes,119,dr_Cod,"HON",dr_Est,"&lt;&gt;Excluido"),IF($E$52="PYG",$F$52/DU$71,$F$52)/12*DU$74*DU$75)</f>
        <v>2077.62557077626</v>
      </c>
      <c r="DV138" s="13" t="n">
        <f aca="false">IF(DV$69=1,SUMIFS(dr_USD,dr_Mes,120,dr_Cod,"HON",dr_Est,"&lt;&gt;Excluido"),IF($E$52="PYG",$F$52/DV$71,$F$52)/12*DV$74*DV$75)</f>
        <v>2077.62557077626</v>
      </c>
      <c r="DW138" s="13" t="n">
        <f aca="false">IF(DW$69=1,SUMIFS(dr_USD,dr_Mes,121,dr_Cod,"HON",dr_Est,"&lt;&gt;Excluido"),IF($E$52="PYG",$F$52/DW$71,$F$52)/12*DW$74*DW$75)</f>
        <v>0</v>
      </c>
      <c r="DX138" s="13" t="n">
        <f aca="false">IF(DX$69=1,SUMIFS(dr_USD,dr_Mes,122,dr_Cod,"HON",dr_Est,"&lt;&gt;Excluido"),IF($E$52="PYG",$F$52/DX$71,$F$52)/12*DX$74*DX$75)</f>
        <v>0</v>
      </c>
      <c r="DY138" s="13" t="n">
        <f aca="false">IF(DY$69=1,SUMIFS(dr_USD,dr_Mes,123,dr_Cod,"HON",dr_Est,"&lt;&gt;Excluido"),IF($E$52="PYG",$F$52/DY$71,$F$52)/12*DY$74*DY$75)</f>
        <v>0</v>
      </c>
      <c r="DZ138" s="13" t="n">
        <f aca="false">IF(DZ$69=1,SUMIFS(dr_USD,dr_Mes,124,dr_Cod,"HON",dr_Est,"&lt;&gt;Excluido"),IF($E$52="PYG",$F$52/DZ$71,$F$52)/12*DZ$74*DZ$75)</f>
        <v>0</v>
      </c>
      <c r="EA138" s="13" t="n">
        <f aca="false">IF(EA$69=1,SUMIFS(dr_USD,dr_Mes,125,dr_Cod,"HON",dr_Est,"&lt;&gt;Excluido"),IF($E$52="PYG",$F$52/EA$71,$F$52)/12*EA$74*EA$75)</f>
        <v>0</v>
      </c>
      <c r="EB138" s="13" t="n">
        <f aca="false">IF(EB$69=1,SUMIFS(dr_USD,dr_Mes,126,dr_Cod,"HON",dr_Est,"&lt;&gt;Excluido"),IF($E$52="PYG",$F$52/EB$71,$F$52)/12*EB$74*EB$75)</f>
        <v>0</v>
      </c>
      <c r="EC138" s="13" t="n">
        <f aca="false">IF(EC$69=1,SUMIFS(dr_USD,dr_Mes,127,dr_Cod,"HON",dr_Est,"&lt;&gt;Excluido"),IF($E$52="PYG",$F$52/EC$71,$F$52)/12*EC$74*EC$75)</f>
        <v>0</v>
      </c>
      <c r="ED138" s="13" t="n">
        <f aca="false">IF(ED$69=1,SUMIFS(dr_USD,dr_Mes,128,dr_Cod,"HON",dr_Est,"&lt;&gt;Excluido"),IF($E$52="PYG",$F$52/ED$71,$F$52)/12*ED$74*ED$75)</f>
        <v>0</v>
      </c>
      <c r="EE138" s="13" t="n">
        <f aca="false">IF(EE$69=1,SUMIFS(dr_USD,dr_Mes,129,dr_Cod,"HON",dr_Est,"&lt;&gt;Excluido"),IF($E$52="PYG",$F$52/EE$71,$F$52)/12*EE$74*EE$75)</f>
        <v>0</v>
      </c>
      <c r="EF138" s="13" t="n">
        <f aca="false">IF(EF$69=1,SUMIFS(dr_USD,dr_Mes,130,dr_Cod,"HON",dr_Est,"&lt;&gt;Excluido"),IF($E$52="PYG",$F$52/EF$71,$F$52)/12*EF$74*EF$75)</f>
        <v>0</v>
      </c>
      <c r="EG138" s="13" t="n">
        <f aca="false">IF(EG$69=1,SUMIFS(dr_USD,dr_Mes,131,dr_Cod,"HON",dr_Est,"&lt;&gt;Excluido"),IF($E$52="PYG",$F$52/EG$71,$F$52)/12*EG$74*EG$75)</f>
        <v>0</v>
      </c>
      <c r="EH138" s="13" t="n">
        <f aca="false">IF(EH$69=1,SUMIFS(dr_USD,dr_Mes,132,dr_Cod,"HON",dr_Est,"&lt;&gt;Excluido"),IF($E$52="PYG",$F$52/EH$71,$F$52)/12*EH$74*EH$75)</f>
        <v>0</v>
      </c>
      <c r="EI138" s="13" t="n">
        <f aca="false">IF(EI$69=1,SUMIFS(dr_USD,dr_Mes,133,dr_Cod,"HON",dr_Est,"&lt;&gt;Excluido"),IF($E$52="PYG",$F$52/EI$71,$F$52)/12*EI$74*EI$75)</f>
        <v>0</v>
      </c>
      <c r="EJ138" s="13" t="n">
        <f aca="false">IF(EJ$69=1,SUMIFS(dr_USD,dr_Mes,134,dr_Cod,"HON",dr_Est,"&lt;&gt;Excluido"),IF($E$52="PYG",$F$52/EJ$71,$F$52)/12*EJ$74*EJ$75)</f>
        <v>0</v>
      </c>
      <c r="EK138" s="13" t="n">
        <f aca="false">IF(EK$69=1,SUMIFS(dr_USD,dr_Mes,135,dr_Cod,"HON",dr_Est,"&lt;&gt;Excluido"),IF($E$52="PYG",$F$52/EK$71,$F$52)/12*EK$74*EK$75)</f>
        <v>0</v>
      </c>
      <c r="EL138" s="13" t="n">
        <f aca="false">IF(EL$69=1,SUMIFS(dr_USD,dr_Mes,136,dr_Cod,"HON",dr_Est,"&lt;&gt;Excluido"),IF($E$52="PYG",$F$52/EL$71,$F$52)/12*EL$74*EL$75)</f>
        <v>0</v>
      </c>
      <c r="EM138" s="13" t="n">
        <f aca="false">IF(EM$69=1,SUMIFS(dr_USD,dr_Mes,137,dr_Cod,"HON",dr_Est,"&lt;&gt;Excluido"),IF($E$52="PYG",$F$52/EM$71,$F$52)/12*EM$74*EM$75)</f>
        <v>0</v>
      </c>
      <c r="EN138" s="13" t="n">
        <f aca="false">IF(EN$69=1,SUMIFS(dr_USD,dr_Mes,138,dr_Cod,"HON",dr_Est,"&lt;&gt;Excluido"),IF($E$52="PYG",$F$52/EN$71,$F$52)/12*EN$74*EN$75)</f>
        <v>0</v>
      </c>
      <c r="EO138" s="13" t="n">
        <f aca="false">IF(EO$69=1,SUMIFS(dr_USD,dr_Mes,139,dr_Cod,"HON",dr_Est,"&lt;&gt;Excluido"),IF($E$52="PYG",$F$52/EO$71,$F$52)/12*EO$74*EO$75)</f>
        <v>0</v>
      </c>
      <c r="EP138" s="13" t="n">
        <f aca="false">IF(EP$69=1,SUMIFS(dr_USD,dr_Mes,140,dr_Cod,"HON",dr_Est,"&lt;&gt;Excluido"),IF($E$52="PYG",$F$52/EP$71,$F$52)/12*EP$74*EP$75)</f>
        <v>0</v>
      </c>
      <c r="EQ138" s="13" t="n">
        <f aca="false">IF(EQ$69=1,SUMIFS(dr_USD,dr_Mes,141,dr_Cod,"HON",dr_Est,"&lt;&gt;Excluido"),IF($E$52="PYG",$F$52/EQ$71,$F$52)/12*EQ$74*EQ$75)</f>
        <v>0</v>
      </c>
      <c r="ER138" s="13" t="n">
        <f aca="false">IF(ER$69=1,SUMIFS(dr_USD,dr_Mes,142,dr_Cod,"HON",dr_Est,"&lt;&gt;Excluido"),IF($E$52="PYG",$F$52/ER$71,$F$52)/12*ER$74*ER$75)</f>
        <v>0</v>
      </c>
      <c r="ES138" s="13" t="n">
        <f aca="false">IF(ES$69=1,SUMIFS(dr_USD,dr_Mes,143,dr_Cod,"HON",dr_Est,"&lt;&gt;Excluido"),IF($E$52="PYG",$F$52/ES$71,$F$52)/12*ES$74*ES$75)</f>
        <v>0</v>
      </c>
      <c r="ET138" s="13" t="n">
        <f aca="false">IF(ET$69=1,SUMIFS(dr_USD,dr_Mes,144,dr_Cod,"HON",dr_Est,"&lt;&gt;Excluido"),IF($E$52="PYG",$F$52/ET$71,$F$52)/12*ET$74*ET$75)</f>
        <v>0</v>
      </c>
      <c r="EU138" s="13" t="n">
        <f aca="false">IF(EU$69=1,SUMIFS(dr_USD,dr_Mes,145,dr_Cod,"HON",dr_Est,"&lt;&gt;Excluido"),IF($E$52="PYG",$F$52/EU$71,$F$52)/12*EU$74*EU$75)</f>
        <v>0</v>
      </c>
      <c r="EV138" s="13" t="n">
        <f aca="false">IF(EV$69=1,SUMIFS(dr_USD,dr_Mes,146,dr_Cod,"HON",dr_Est,"&lt;&gt;Excluido"),IF($E$52="PYG",$F$52/EV$71,$F$52)/12*EV$74*EV$75)</f>
        <v>0</v>
      </c>
      <c r="EW138" s="13" t="n">
        <f aca="false">IF(EW$69=1,SUMIFS(dr_USD,dr_Mes,147,dr_Cod,"HON",dr_Est,"&lt;&gt;Excluido"),IF($E$52="PYG",$F$52/EW$71,$F$52)/12*EW$74*EW$75)</f>
        <v>0</v>
      </c>
      <c r="EX138" s="13" t="n">
        <f aca="false">IF(EX$69=1,SUMIFS(dr_USD,dr_Mes,148,dr_Cod,"HON",dr_Est,"&lt;&gt;Excluido"),IF($E$52="PYG",$F$52/EX$71,$F$52)/12*EX$74*EX$75)</f>
        <v>0</v>
      </c>
      <c r="EY138" s="13" t="n">
        <f aca="false">IF(EY$69=1,SUMIFS(dr_USD,dr_Mes,149,dr_Cod,"HON",dr_Est,"&lt;&gt;Excluido"),IF($E$52="PYG",$F$52/EY$71,$F$52)/12*EY$74*EY$75)</f>
        <v>0</v>
      </c>
      <c r="EZ138" s="13" t="n">
        <f aca="false">IF(EZ$69=1,SUMIFS(dr_USD,dr_Mes,150,dr_Cod,"HON",dr_Est,"&lt;&gt;Excluido"),IF($E$52="PYG",$F$52/EZ$71,$F$52)/12*EZ$74*EZ$75)</f>
        <v>0</v>
      </c>
      <c r="FA138" s="13" t="n">
        <f aca="false">IF(FA$69=1,SUMIFS(dr_USD,dr_Mes,151,dr_Cod,"HON",dr_Est,"&lt;&gt;Excluido"),IF($E$52="PYG",$F$52/FA$71,$F$52)/12*FA$74*FA$75)</f>
        <v>0</v>
      </c>
      <c r="FB138" s="13" t="n">
        <f aca="false">IF(FB$69=1,SUMIFS(dr_USD,dr_Mes,152,dr_Cod,"HON",dr_Est,"&lt;&gt;Excluido"),IF($E$52="PYG",$F$52/FB$71,$F$52)/12*FB$74*FB$75)</f>
        <v>0</v>
      </c>
      <c r="FC138" s="13" t="n">
        <f aca="false">IF(FC$69=1,SUMIFS(dr_USD,dr_Mes,153,dr_Cod,"HON",dr_Est,"&lt;&gt;Excluido"),IF($E$52="PYG",$F$52/FC$71,$F$52)/12*FC$74*FC$75)</f>
        <v>0</v>
      </c>
      <c r="FD138" s="13" t="n">
        <f aca="false">IF(FD$69=1,SUMIFS(dr_USD,dr_Mes,154,dr_Cod,"HON",dr_Est,"&lt;&gt;Excluido"),IF($E$52="PYG",$F$52/FD$71,$F$52)/12*FD$74*FD$75)</f>
        <v>0</v>
      </c>
      <c r="FE138" s="13" t="n">
        <f aca="false">IF(FE$69=1,SUMIFS(dr_USD,dr_Mes,155,dr_Cod,"HON",dr_Est,"&lt;&gt;Excluido"),IF($E$52="PYG",$F$52/FE$71,$F$52)/12*FE$74*FE$75)</f>
        <v>0</v>
      </c>
      <c r="FF138" s="13" t="n">
        <f aca="false">IF(FF$69=1,SUMIFS(dr_USD,dr_Mes,156,dr_Cod,"HON",dr_Est,"&lt;&gt;Excluido"),IF($E$52="PYG",$F$52/FF$71,$F$52)/12*FF$74*FF$75)</f>
        <v>0</v>
      </c>
    </row>
    <row r="139" customFormat="false" ht="15" hidden="false" customHeight="false" outlineLevel="0" collapsed="false">
      <c r="A139" s="2" t="s">
        <v>1116</v>
      </c>
      <c r="B139" s="8" t="s">
        <v>1117</v>
      </c>
      <c r="C139" s="8" t="s">
        <v>255</v>
      </c>
      <c r="E139" s="65" t="n">
        <f aca="false">SUM($F139:$FF139)</f>
        <v>84447.4605600822</v>
      </c>
      <c r="F139" s="13" t="n">
        <f aca="false">IF(F$69=1,SUMIFS(dr_USD,dr_Mes,0,dr_Cod,"IMPA",dr_Est,"&lt;&gt;Excluido"),p_ImpA*(F$94+F$134+F$135+F$136+F$137+F$138))</f>
        <v>0</v>
      </c>
      <c r="G139" s="13" t="n">
        <f aca="false">IF(G$69=1,SUMIFS(dr_USD,dr_Mes,1,dr_Cod,"IMPA",dr_Est,"&lt;&gt;Excluido"),p_ImpA*(G$94+G$134+G$135+G$136+G$137+G$138))</f>
        <v>703.728838000685</v>
      </c>
      <c r="H139" s="13" t="n">
        <f aca="false">IF(H$69=1,SUMIFS(dr_USD,dr_Mes,2,dr_Cod,"IMPA",dr_Est,"&lt;&gt;Excluido"),p_ImpA*(H$94+H$134+H$135+H$136+H$137+H$138))</f>
        <v>703.728838000685</v>
      </c>
      <c r="I139" s="13" t="n">
        <f aca="false">IF(I$69=1,SUMIFS(dr_USD,dr_Mes,3,dr_Cod,"IMPA",dr_Est,"&lt;&gt;Excluido"),p_ImpA*(I$94+I$134+I$135+I$136+I$137+I$138))</f>
        <v>703.728838000685</v>
      </c>
      <c r="J139" s="13" t="n">
        <f aca="false">IF(J$69=1,SUMIFS(dr_USD,dr_Mes,4,dr_Cod,"IMPA",dr_Est,"&lt;&gt;Excluido"),p_ImpA*(J$94+J$134+J$135+J$136+J$137+J$138))</f>
        <v>703.728838000685</v>
      </c>
      <c r="K139" s="13" t="n">
        <f aca="false">IF(K$69=1,SUMIFS(dr_USD,dr_Mes,5,dr_Cod,"IMPA",dr_Est,"&lt;&gt;Excluido"),p_ImpA*(K$94+K$134+K$135+K$136+K$137+K$138))</f>
        <v>703.728838000685</v>
      </c>
      <c r="L139" s="13" t="n">
        <f aca="false">IF(L$69=1,SUMIFS(dr_USD,dr_Mes,6,dr_Cod,"IMPA",dr_Est,"&lt;&gt;Excluido"),p_ImpA*(L$94+L$134+L$135+L$136+L$137+L$138))</f>
        <v>703.728838000685</v>
      </c>
      <c r="M139" s="13" t="n">
        <f aca="false">IF(M$69=1,SUMIFS(dr_USD,dr_Mes,7,dr_Cod,"IMPA",dr_Est,"&lt;&gt;Excluido"),p_ImpA*(M$94+M$134+M$135+M$136+M$137+M$138))</f>
        <v>703.728838000685</v>
      </c>
      <c r="N139" s="13" t="n">
        <f aca="false">IF(N$69=1,SUMIFS(dr_USD,dr_Mes,8,dr_Cod,"IMPA",dr_Est,"&lt;&gt;Excluido"),p_ImpA*(N$94+N$134+N$135+N$136+N$137+N$138))</f>
        <v>703.728838000685</v>
      </c>
      <c r="O139" s="13" t="n">
        <f aca="false">IF(O$69=1,SUMIFS(dr_USD,dr_Mes,9,dr_Cod,"IMPA",dr_Est,"&lt;&gt;Excluido"),p_ImpA*(O$94+O$134+O$135+O$136+O$137+O$138))</f>
        <v>703.728838000685</v>
      </c>
      <c r="P139" s="13" t="n">
        <f aca="false">IF(P$69=1,SUMIFS(dr_USD,dr_Mes,10,dr_Cod,"IMPA",dr_Est,"&lt;&gt;Excluido"),p_ImpA*(P$94+P$134+P$135+P$136+P$137+P$138))</f>
        <v>703.728838000685</v>
      </c>
      <c r="Q139" s="13" t="n">
        <f aca="false">IF(Q$69=1,SUMIFS(dr_USD,dr_Mes,11,dr_Cod,"IMPA",dr_Est,"&lt;&gt;Excluido"),p_ImpA*(Q$94+Q$134+Q$135+Q$136+Q$137+Q$138))</f>
        <v>703.728838000685</v>
      </c>
      <c r="R139" s="13" t="n">
        <f aca="false">IF(R$69=1,SUMIFS(dr_USD,dr_Mes,12,dr_Cod,"IMPA",dr_Est,"&lt;&gt;Excluido"),p_ImpA*(R$94+R$134+R$135+R$136+R$137+R$138))</f>
        <v>703.728838000685</v>
      </c>
      <c r="S139" s="13" t="n">
        <f aca="false">IF(S$69=1,SUMIFS(dr_USD,dr_Mes,13,dr_Cod,"IMPA",dr_Est,"&lt;&gt;Excluido"),p_ImpA*(S$94+S$134+S$135+S$136+S$137+S$138))</f>
        <v>703.728838000685</v>
      </c>
      <c r="T139" s="13" t="n">
        <f aca="false">IF(T$69=1,SUMIFS(dr_USD,dr_Mes,14,dr_Cod,"IMPA",dr_Est,"&lt;&gt;Excluido"),p_ImpA*(T$94+T$134+T$135+T$136+T$137+T$138))</f>
        <v>703.728838000685</v>
      </c>
      <c r="U139" s="13" t="n">
        <f aca="false">IF(U$69=1,SUMIFS(dr_USD,dr_Mes,15,dr_Cod,"IMPA",dr_Est,"&lt;&gt;Excluido"),p_ImpA*(U$94+U$134+U$135+U$136+U$137+U$138))</f>
        <v>703.728838000685</v>
      </c>
      <c r="V139" s="13" t="n">
        <f aca="false">IF(V$69=1,SUMIFS(dr_USD,dr_Mes,16,dr_Cod,"IMPA",dr_Est,"&lt;&gt;Excluido"),p_ImpA*(V$94+V$134+V$135+V$136+V$137+V$138))</f>
        <v>703.728838000685</v>
      </c>
      <c r="W139" s="13" t="n">
        <f aca="false">IF(W$69=1,SUMIFS(dr_USD,dr_Mes,17,dr_Cod,"IMPA",dr_Est,"&lt;&gt;Excluido"),p_ImpA*(W$94+W$134+W$135+W$136+W$137+W$138))</f>
        <v>703.728838000685</v>
      </c>
      <c r="X139" s="13" t="n">
        <f aca="false">IF(X$69=1,SUMIFS(dr_USD,dr_Mes,18,dr_Cod,"IMPA",dr_Est,"&lt;&gt;Excluido"),p_ImpA*(X$94+X$134+X$135+X$136+X$137+X$138))</f>
        <v>703.728838000685</v>
      </c>
      <c r="Y139" s="13" t="n">
        <f aca="false">IF(Y$69=1,SUMIFS(dr_USD,dr_Mes,19,dr_Cod,"IMPA",dr_Est,"&lt;&gt;Excluido"),p_ImpA*(Y$94+Y$134+Y$135+Y$136+Y$137+Y$138))</f>
        <v>703.728838000685</v>
      </c>
      <c r="Z139" s="13" t="n">
        <f aca="false">IF(Z$69=1,SUMIFS(dr_USD,dr_Mes,20,dr_Cod,"IMPA",dr_Est,"&lt;&gt;Excluido"),p_ImpA*(Z$94+Z$134+Z$135+Z$136+Z$137+Z$138))</f>
        <v>703.728838000685</v>
      </c>
      <c r="AA139" s="13" t="n">
        <f aca="false">IF(AA$69=1,SUMIFS(dr_USD,dr_Mes,21,dr_Cod,"IMPA",dr_Est,"&lt;&gt;Excluido"),p_ImpA*(AA$94+AA$134+AA$135+AA$136+AA$137+AA$138))</f>
        <v>703.728838000685</v>
      </c>
      <c r="AB139" s="13" t="n">
        <f aca="false">IF(AB$69=1,SUMIFS(dr_USD,dr_Mes,22,dr_Cod,"IMPA",dr_Est,"&lt;&gt;Excluido"),p_ImpA*(AB$94+AB$134+AB$135+AB$136+AB$137+AB$138))</f>
        <v>703.728838000685</v>
      </c>
      <c r="AC139" s="13" t="n">
        <f aca="false">IF(AC$69=1,SUMIFS(dr_USD,dr_Mes,23,dr_Cod,"IMPA",dr_Est,"&lt;&gt;Excluido"),p_ImpA*(AC$94+AC$134+AC$135+AC$136+AC$137+AC$138))</f>
        <v>703.728838000685</v>
      </c>
      <c r="AD139" s="13" t="n">
        <f aca="false">IF(AD$69=1,SUMIFS(dr_USD,dr_Mes,24,dr_Cod,"IMPA",dr_Est,"&lt;&gt;Excluido"),p_ImpA*(AD$94+AD$134+AD$135+AD$136+AD$137+AD$138))</f>
        <v>703.728838000685</v>
      </c>
      <c r="AE139" s="13" t="n">
        <f aca="false">IF(AE$69=1,SUMIFS(dr_USD,dr_Mes,25,dr_Cod,"IMPA",dr_Est,"&lt;&gt;Excluido"),p_ImpA*(AE$94+AE$134+AE$135+AE$136+AE$137+AE$138))</f>
        <v>703.728838000685</v>
      </c>
      <c r="AF139" s="13" t="n">
        <f aca="false">IF(AF$69=1,SUMIFS(dr_USD,dr_Mes,26,dr_Cod,"IMPA",dr_Est,"&lt;&gt;Excluido"),p_ImpA*(AF$94+AF$134+AF$135+AF$136+AF$137+AF$138))</f>
        <v>703.728838000685</v>
      </c>
      <c r="AG139" s="13" t="n">
        <f aca="false">IF(AG$69=1,SUMIFS(dr_USD,dr_Mes,27,dr_Cod,"IMPA",dr_Est,"&lt;&gt;Excluido"),p_ImpA*(AG$94+AG$134+AG$135+AG$136+AG$137+AG$138))</f>
        <v>703.728838000685</v>
      </c>
      <c r="AH139" s="13" t="n">
        <f aca="false">IF(AH$69=1,SUMIFS(dr_USD,dr_Mes,28,dr_Cod,"IMPA",dr_Est,"&lt;&gt;Excluido"),p_ImpA*(AH$94+AH$134+AH$135+AH$136+AH$137+AH$138))</f>
        <v>703.728838000685</v>
      </c>
      <c r="AI139" s="13" t="n">
        <f aca="false">IF(AI$69=1,SUMIFS(dr_USD,dr_Mes,29,dr_Cod,"IMPA",dr_Est,"&lt;&gt;Excluido"),p_ImpA*(AI$94+AI$134+AI$135+AI$136+AI$137+AI$138))</f>
        <v>703.728838000685</v>
      </c>
      <c r="AJ139" s="13" t="n">
        <f aca="false">IF(AJ$69=1,SUMIFS(dr_USD,dr_Mes,30,dr_Cod,"IMPA",dr_Est,"&lt;&gt;Excluido"),p_ImpA*(AJ$94+AJ$134+AJ$135+AJ$136+AJ$137+AJ$138))</f>
        <v>703.728838000685</v>
      </c>
      <c r="AK139" s="13" t="n">
        <f aca="false">IF(AK$69=1,SUMIFS(dr_USD,dr_Mes,31,dr_Cod,"IMPA",dr_Est,"&lt;&gt;Excluido"),p_ImpA*(AK$94+AK$134+AK$135+AK$136+AK$137+AK$138))</f>
        <v>703.728838000685</v>
      </c>
      <c r="AL139" s="13" t="n">
        <f aca="false">IF(AL$69=1,SUMIFS(dr_USD,dr_Mes,32,dr_Cod,"IMPA",dr_Est,"&lt;&gt;Excluido"),p_ImpA*(AL$94+AL$134+AL$135+AL$136+AL$137+AL$138))</f>
        <v>703.728838000685</v>
      </c>
      <c r="AM139" s="13" t="n">
        <f aca="false">IF(AM$69=1,SUMIFS(dr_USD,dr_Mes,33,dr_Cod,"IMPA",dr_Est,"&lt;&gt;Excluido"),p_ImpA*(AM$94+AM$134+AM$135+AM$136+AM$137+AM$138))</f>
        <v>703.728838000685</v>
      </c>
      <c r="AN139" s="13" t="n">
        <f aca="false">IF(AN$69=1,SUMIFS(dr_USD,dr_Mes,34,dr_Cod,"IMPA",dr_Est,"&lt;&gt;Excluido"),p_ImpA*(AN$94+AN$134+AN$135+AN$136+AN$137+AN$138))</f>
        <v>703.728838000685</v>
      </c>
      <c r="AO139" s="13" t="n">
        <f aca="false">IF(AO$69=1,SUMIFS(dr_USD,dr_Mes,35,dr_Cod,"IMPA",dr_Est,"&lt;&gt;Excluido"),p_ImpA*(AO$94+AO$134+AO$135+AO$136+AO$137+AO$138))</f>
        <v>703.728838000685</v>
      </c>
      <c r="AP139" s="13" t="n">
        <f aca="false">IF(AP$69=1,SUMIFS(dr_USD,dr_Mes,36,dr_Cod,"IMPA",dr_Est,"&lt;&gt;Excluido"),p_ImpA*(AP$94+AP$134+AP$135+AP$136+AP$137+AP$138))</f>
        <v>703.728838000685</v>
      </c>
      <c r="AQ139" s="13" t="n">
        <f aca="false">IF(AQ$69=1,SUMIFS(dr_USD,dr_Mes,37,dr_Cod,"IMPA",dr_Est,"&lt;&gt;Excluido"),p_ImpA*(AQ$94+AQ$134+AQ$135+AQ$136+AQ$137+AQ$138))</f>
        <v>703.728838000685</v>
      </c>
      <c r="AR139" s="13" t="n">
        <f aca="false">IF(AR$69=1,SUMIFS(dr_USD,dr_Mes,38,dr_Cod,"IMPA",dr_Est,"&lt;&gt;Excluido"),p_ImpA*(AR$94+AR$134+AR$135+AR$136+AR$137+AR$138))</f>
        <v>703.728838000685</v>
      </c>
      <c r="AS139" s="13" t="n">
        <f aca="false">IF(AS$69=1,SUMIFS(dr_USD,dr_Mes,39,dr_Cod,"IMPA",dr_Est,"&lt;&gt;Excluido"),p_ImpA*(AS$94+AS$134+AS$135+AS$136+AS$137+AS$138))</f>
        <v>703.728838000685</v>
      </c>
      <c r="AT139" s="13" t="n">
        <f aca="false">IF(AT$69=1,SUMIFS(dr_USD,dr_Mes,40,dr_Cod,"IMPA",dr_Est,"&lt;&gt;Excluido"),p_ImpA*(AT$94+AT$134+AT$135+AT$136+AT$137+AT$138))</f>
        <v>703.728838000685</v>
      </c>
      <c r="AU139" s="13" t="n">
        <f aca="false">IF(AU$69=1,SUMIFS(dr_USD,dr_Mes,41,dr_Cod,"IMPA",dr_Est,"&lt;&gt;Excluido"),p_ImpA*(AU$94+AU$134+AU$135+AU$136+AU$137+AU$138))</f>
        <v>703.728838000685</v>
      </c>
      <c r="AV139" s="13" t="n">
        <f aca="false">IF(AV$69=1,SUMIFS(dr_USD,dr_Mes,42,dr_Cod,"IMPA",dr_Est,"&lt;&gt;Excluido"),p_ImpA*(AV$94+AV$134+AV$135+AV$136+AV$137+AV$138))</f>
        <v>703.728838000685</v>
      </c>
      <c r="AW139" s="13" t="n">
        <f aca="false">IF(AW$69=1,SUMIFS(dr_USD,dr_Mes,43,dr_Cod,"IMPA",dr_Est,"&lt;&gt;Excluido"),p_ImpA*(AW$94+AW$134+AW$135+AW$136+AW$137+AW$138))</f>
        <v>703.728838000685</v>
      </c>
      <c r="AX139" s="13" t="n">
        <f aca="false">IF(AX$69=1,SUMIFS(dr_USD,dr_Mes,44,dr_Cod,"IMPA",dr_Est,"&lt;&gt;Excluido"),p_ImpA*(AX$94+AX$134+AX$135+AX$136+AX$137+AX$138))</f>
        <v>703.728838000685</v>
      </c>
      <c r="AY139" s="13" t="n">
        <f aca="false">IF(AY$69=1,SUMIFS(dr_USD,dr_Mes,45,dr_Cod,"IMPA",dr_Est,"&lt;&gt;Excluido"),p_ImpA*(AY$94+AY$134+AY$135+AY$136+AY$137+AY$138))</f>
        <v>703.728838000685</v>
      </c>
      <c r="AZ139" s="13" t="n">
        <f aca="false">IF(AZ$69=1,SUMIFS(dr_USD,dr_Mes,46,dr_Cod,"IMPA",dr_Est,"&lt;&gt;Excluido"),p_ImpA*(AZ$94+AZ$134+AZ$135+AZ$136+AZ$137+AZ$138))</f>
        <v>703.728838000685</v>
      </c>
      <c r="BA139" s="13" t="n">
        <f aca="false">IF(BA$69=1,SUMIFS(dr_USD,dr_Mes,47,dr_Cod,"IMPA",dr_Est,"&lt;&gt;Excluido"),p_ImpA*(BA$94+BA$134+BA$135+BA$136+BA$137+BA$138))</f>
        <v>703.728838000685</v>
      </c>
      <c r="BB139" s="13" t="n">
        <f aca="false">IF(BB$69=1,SUMIFS(dr_USD,dr_Mes,48,dr_Cod,"IMPA",dr_Est,"&lt;&gt;Excluido"),p_ImpA*(BB$94+BB$134+BB$135+BB$136+BB$137+BB$138))</f>
        <v>703.728838000685</v>
      </c>
      <c r="BC139" s="13" t="n">
        <f aca="false">IF(BC$69=1,SUMIFS(dr_USD,dr_Mes,49,dr_Cod,"IMPA",dr_Est,"&lt;&gt;Excluido"),p_ImpA*(BC$94+BC$134+BC$135+BC$136+BC$137+BC$138))</f>
        <v>703.728838000685</v>
      </c>
      <c r="BD139" s="13" t="n">
        <f aca="false">IF(BD$69=1,SUMIFS(dr_USD,dr_Mes,50,dr_Cod,"IMPA",dr_Est,"&lt;&gt;Excluido"),p_ImpA*(BD$94+BD$134+BD$135+BD$136+BD$137+BD$138))</f>
        <v>703.728838000685</v>
      </c>
      <c r="BE139" s="13" t="n">
        <f aca="false">IF(BE$69=1,SUMIFS(dr_USD,dr_Mes,51,dr_Cod,"IMPA",dr_Est,"&lt;&gt;Excluido"),p_ImpA*(BE$94+BE$134+BE$135+BE$136+BE$137+BE$138))</f>
        <v>703.728838000685</v>
      </c>
      <c r="BF139" s="13" t="n">
        <f aca="false">IF(BF$69=1,SUMIFS(dr_USD,dr_Mes,52,dr_Cod,"IMPA",dr_Est,"&lt;&gt;Excluido"),p_ImpA*(BF$94+BF$134+BF$135+BF$136+BF$137+BF$138))</f>
        <v>703.728838000685</v>
      </c>
      <c r="BG139" s="13" t="n">
        <f aca="false">IF(BG$69=1,SUMIFS(dr_USD,dr_Mes,53,dr_Cod,"IMPA",dr_Est,"&lt;&gt;Excluido"),p_ImpA*(BG$94+BG$134+BG$135+BG$136+BG$137+BG$138))</f>
        <v>703.728838000685</v>
      </c>
      <c r="BH139" s="13" t="n">
        <f aca="false">IF(BH$69=1,SUMIFS(dr_USD,dr_Mes,54,dr_Cod,"IMPA",dr_Est,"&lt;&gt;Excluido"),p_ImpA*(BH$94+BH$134+BH$135+BH$136+BH$137+BH$138))</f>
        <v>703.728838000685</v>
      </c>
      <c r="BI139" s="13" t="n">
        <f aca="false">IF(BI$69=1,SUMIFS(dr_USD,dr_Mes,55,dr_Cod,"IMPA",dr_Est,"&lt;&gt;Excluido"),p_ImpA*(BI$94+BI$134+BI$135+BI$136+BI$137+BI$138))</f>
        <v>703.728838000685</v>
      </c>
      <c r="BJ139" s="13" t="n">
        <f aca="false">IF(BJ$69=1,SUMIFS(dr_USD,dr_Mes,56,dr_Cod,"IMPA",dr_Est,"&lt;&gt;Excluido"),p_ImpA*(BJ$94+BJ$134+BJ$135+BJ$136+BJ$137+BJ$138))</f>
        <v>703.728838000685</v>
      </c>
      <c r="BK139" s="13" t="n">
        <f aca="false">IF(BK$69=1,SUMIFS(dr_USD,dr_Mes,57,dr_Cod,"IMPA",dr_Est,"&lt;&gt;Excluido"),p_ImpA*(BK$94+BK$134+BK$135+BK$136+BK$137+BK$138))</f>
        <v>703.728838000685</v>
      </c>
      <c r="BL139" s="13" t="n">
        <f aca="false">IF(BL$69=1,SUMIFS(dr_USD,dr_Mes,58,dr_Cod,"IMPA",dr_Est,"&lt;&gt;Excluido"),p_ImpA*(BL$94+BL$134+BL$135+BL$136+BL$137+BL$138))</f>
        <v>703.728838000685</v>
      </c>
      <c r="BM139" s="13" t="n">
        <f aca="false">IF(BM$69=1,SUMIFS(dr_USD,dr_Mes,59,dr_Cod,"IMPA",dr_Est,"&lt;&gt;Excluido"),p_ImpA*(BM$94+BM$134+BM$135+BM$136+BM$137+BM$138))</f>
        <v>703.728838000685</v>
      </c>
      <c r="BN139" s="13" t="n">
        <f aca="false">IF(BN$69=1,SUMIFS(dr_USD,dr_Mes,60,dr_Cod,"IMPA",dr_Est,"&lt;&gt;Excluido"),p_ImpA*(BN$94+BN$134+BN$135+BN$136+BN$137+BN$138))</f>
        <v>703.728838000685</v>
      </c>
      <c r="BO139" s="13" t="n">
        <f aca="false">IF(BO$69=1,SUMIFS(dr_USD,dr_Mes,61,dr_Cod,"IMPA",dr_Est,"&lt;&gt;Excluido"),p_ImpA*(BO$94+BO$134+BO$135+BO$136+BO$137+BO$138))</f>
        <v>703.728838000685</v>
      </c>
      <c r="BP139" s="13" t="n">
        <f aca="false">IF(BP$69=1,SUMIFS(dr_USD,dr_Mes,62,dr_Cod,"IMPA",dr_Est,"&lt;&gt;Excluido"),p_ImpA*(BP$94+BP$134+BP$135+BP$136+BP$137+BP$138))</f>
        <v>703.728838000685</v>
      </c>
      <c r="BQ139" s="13" t="n">
        <f aca="false">IF(BQ$69=1,SUMIFS(dr_USD,dr_Mes,63,dr_Cod,"IMPA",dr_Est,"&lt;&gt;Excluido"),p_ImpA*(BQ$94+BQ$134+BQ$135+BQ$136+BQ$137+BQ$138))</f>
        <v>703.728838000685</v>
      </c>
      <c r="BR139" s="13" t="n">
        <f aca="false">IF(BR$69=1,SUMIFS(dr_USD,dr_Mes,64,dr_Cod,"IMPA",dr_Est,"&lt;&gt;Excluido"),p_ImpA*(BR$94+BR$134+BR$135+BR$136+BR$137+BR$138))</f>
        <v>703.728838000685</v>
      </c>
      <c r="BS139" s="13" t="n">
        <f aca="false">IF(BS$69=1,SUMIFS(dr_USD,dr_Mes,65,dr_Cod,"IMPA",dr_Est,"&lt;&gt;Excluido"),p_ImpA*(BS$94+BS$134+BS$135+BS$136+BS$137+BS$138))</f>
        <v>703.728838000685</v>
      </c>
      <c r="BT139" s="13" t="n">
        <f aca="false">IF(BT$69=1,SUMIFS(dr_USD,dr_Mes,66,dr_Cod,"IMPA",dr_Est,"&lt;&gt;Excluido"),p_ImpA*(BT$94+BT$134+BT$135+BT$136+BT$137+BT$138))</f>
        <v>703.728838000685</v>
      </c>
      <c r="BU139" s="13" t="n">
        <f aca="false">IF(BU$69=1,SUMIFS(dr_USD,dr_Mes,67,dr_Cod,"IMPA",dr_Est,"&lt;&gt;Excluido"),p_ImpA*(BU$94+BU$134+BU$135+BU$136+BU$137+BU$138))</f>
        <v>703.728838000685</v>
      </c>
      <c r="BV139" s="13" t="n">
        <f aca="false">IF(BV$69=1,SUMIFS(dr_USD,dr_Mes,68,dr_Cod,"IMPA",dr_Est,"&lt;&gt;Excluido"),p_ImpA*(BV$94+BV$134+BV$135+BV$136+BV$137+BV$138))</f>
        <v>703.728838000685</v>
      </c>
      <c r="BW139" s="13" t="n">
        <f aca="false">IF(BW$69=1,SUMIFS(dr_USD,dr_Mes,69,dr_Cod,"IMPA",dr_Est,"&lt;&gt;Excluido"),p_ImpA*(BW$94+BW$134+BW$135+BW$136+BW$137+BW$138))</f>
        <v>703.728838000685</v>
      </c>
      <c r="BX139" s="13" t="n">
        <f aca="false">IF(BX$69=1,SUMIFS(dr_USD,dr_Mes,70,dr_Cod,"IMPA",dr_Est,"&lt;&gt;Excluido"),p_ImpA*(BX$94+BX$134+BX$135+BX$136+BX$137+BX$138))</f>
        <v>703.728838000685</v>
      </c>
      <c r="BY139" s="13" t="n">
        <f aca="false">IF(BY$69=1,SUMIFS(dr_USD,dr_Mes,71,dr_Cod,"IMPA",dr_Est,"&lt;&gt;Excluido"),p_ImpA*(BY$94+BY$134+BY$135+BY$136+BY$137+BY$138))</f>
        <v>703.728838000685</v>
      </c>
      <c r="BZ139" s="13" t="n">
        <f aca="false">IF(BZ$69=1,SUMIFS(dr_USD,dr_Mes,72,dr_Cod,"IMPA",dr_Est,"&lt;&gt;Excluido"),p_ImpA*(BZ$94+BZ$134+BZ$135+BZ$136+BZ$137+BZ$138))</f>
        <v>703.728838000685</v>
      </c>
      <c r="CA139" s="13" t="n">
        <f aca="false">IF(CA$69=1,SUMIFS(dr_USD,dr_Mes,73,dr_Cod,"IMPA",dr_Est,"&lt;&gt;Excluido"),p_ImpA*(CA$94+CA$134+CA$135+CA$136+CA$137+CA$138))</f>
        <v>703.728838000685</v>
      </c>
      <c r="CB139" s="13" t="n">
        <f aca="false">IF(CB$69=1,SUMIFS(dr_USD,dr_Mes,74,dr_Cod,"IMPA",dr_Est,"&lt;&gt;Excluido"),p_ImpA*(CB$94+CB$134+CB$135+CB$136+CB$137+CB$138))</f>
        <v>703.728838000685</v>
      </c>
      <c r="CC139" s="13" t="n">
        <f aca="false">IF(CC$69=1,SUMIFS(dr_USD,dr_Mes,75,dr_Cod,"IMPA",dr_Est,"&lt;&gt;Excluido"),p_ImpA*(CC$94+CC$134+CC$135+CC$136+CC$137+CC$138))</f>
        <v>703.728838000685</v>
      </c>
      <c r="CD139" s="13" t="n">
        <f aca="false">IF(CD$69=1,SUMIFS(dr_USD,dr_Mes,76,dr_Cod,"IMPA",dr_Est,"&lt;&gt;Excluido"),p_ImpA*(CD$94+CD$134+CD$135+CD$136+CD$137+CD$138))</f>
        <v>703.728838000685</v>
      </c>
      <c r="CE139" s="13" t="n">
        <f aca="false">IF(CE$69=1,SUMIFS(dr_USD,dr_Mes,77,dr_Cod,"IMPA",dr_Est,"&lt;&gt;Excluido"),p_ImpA*(CE$94+CE$134+CE$135+CE$136+CE$137+CE$138))</f>
        <v>703.728838000685</v>
      </c>
      <c r="CF139" s="13" t="n">
        <f aca="false">IF(CF$69=1,SUMIFS(dr_USD,dr_Mes,78,dr_Cod,"IMPA",dr_Est,"&lt;&gt;Excluido"),p_ImpA*(CF$94+CF$134+CF$135+CF$136+CF$137+CF$138))</f>
        <v>703.728838000685</v>
      </c>
      <c r="CG139" s="13" t="n">
        <f aca="false">IF(CG$69=1,SUMIFS(dr_USD,dr_Mes,79,dr_Cod,"IMPA",dr_Est,"&lt;&gt;Excluido"),p_ImpA*(CG$94+CG$134+CG$135+CG$136+CG$137+CG$138))</f>
        <v>703.728838000685</v>
      </c>
      <c r="CH139" s="13" t="n">
        <f aca="false">IF(CH$69=1,SUMIFS(dr_USD,dr_Mes,80,dr_Cod,"IMPA",dr_Est,"&lt;&gt;Excluido"),p_ImpA*(CH$94+CH$134+CH$135+CH$136+CH$137+CH$138))</f>
        <v>703.728838000685</v>
      </c>
      <c r="CI139" s="13" t="n">
        <f aca="false">IF(CI$69=1,SUMIFS(dr_USD,dr_Mes,81,dr_Cod,"IMPA",dr_Est,"&lt;&gt;Excluido"),p_ImpA*(CI$94+CI$134+CI$135+CI$136+CI$137+CI$138))</f>
        <v>703.728838000685</v>
      </c>
      <c r="CJ139" s="13" t="n">
        <f aca="false">IF(CJ$69=1,SUMIFS(dr_USD,dr_Mes,82,dr_Cod,"IMPA",dr_Est,"&lt;&gt;Excluido"),p_ImpA*(CJ$94+CJ$134+CJ$135+CJ$136+CJ$137+CJ$138))</f>
        <v>703.728838000685</v>
      </c>
      <c r="CK139" s="13" t="n">
        <f aca="false">IF(CK$69=1,SUMIFS(dr_USD,dr_Mes,83,dr_Cod,"IMPA",dr_Est,"&lt;&gt;Excluido"),p_ImpA*(CK$94+CK$134+CK$135+CK$136+CK$137+CK$138))</f>
        <v>703.728838000685</v>
      </c>
      <c r="CL139" s="13" t="n">
        <f aca="false">IF(CL$69=1,SUMIFS(dr_USD,dr_Mes,84,dr_Cod,"IMPA",dr_Est,"&lt;&gt;Excluido"),p_ImpA*(CL$94+CL$134+CL$135+CL$136+CL$137+CL$138))</f>
        <v>703.728838000685</v>
      </c>
      <c r="CM139" s="13" t="n">
        <f aca="false">IF(CM$69=1,SUMIFS(dr_USD,dr_Mes,85,dr_Cod,"IMPA",dr_Est,"&lt;&gt;Excluido"),p_ImpA*(CM$94+CM$134+CM$135+CM$136+CM$137+CM$138))</f>
        <v>703.728838000685</v>
      </c>
      <c r="CN139" s="13" t="n">
        <f aca="false">IF(CN$69=1,SUMIFS(dr_USD,dr_Mes,86,dr_Cod,"IMPA",dr_Est,"&lt;&gt;Excluido"),p_ImpA*(CN$94+CN$134+CN$135+CN$136+CN$137+CN$138))</f>
        <v>703.728838000685</v>
      </c>
      <c r="CO139" s="13" t="n">
        <f aca="false">IF(CO$69=1,SUMIFS(dr_USD,dr_Mes,87,dr_Cod,"IMPA",dr_Est,"&lt;&gt;Excluido"),p_ImpA*(CO$94+CO$134+CO$135+CO$136+CO$137+CO$138))</f>
        <v>703.728838000685</v>
      </c>
      <c r="CP139" s="13" t="n">
        <f aca="false">IF(CP$69=1,SUMIFS(dr_USD,dr_Mes,88,dr_Cod,"IMPA",dr_Est,"&lt;&gt;Excluido"),p_ImpA*(CP$94+CP$134+CP$135+CP$136+CP$137+CP$138))</f>
        <v>703.728838000685</v>
      </c>
      <c r="CQ139" s="13" t="n">
        <f aca="false">IF(CQ$69=1,SUMIFS(dr_USD,dr_Mes,89,dr_Cod,"IMPA",dr_Est,"&lt;&gt;Excluido"),p_ImpA*(CQ$94+CQ$134+CQ$135+CQ$136+CQ$137+CQ$138))</f>
        <v>703.728838000685</v>
      </c>
      <c r="CR139" s="13" t="n">
        <f aca="false">IF(CR$69=1,SUMIFS(dr_USD,dr_Mes,90,dr_Cod,"IMPA",dr_Est,"&lt;&gt;Excluido"),p_ImpA*(CR$94+CR$134+CR$135+CR$136+CR$137+CR$138))</f>
        <v>703.728838000685</v>
      </c>
      <c r="CS139" s="13" t="n">
        <f aca="false">IF(CS$69=1,SUMIFS(dr_USD,dr_Mes,91,dr_Cod,"IMPA",dr_Est,"&lt;&gt;Excluido"),p_ImpA*(CS$94+CS$134+CS$135+CS$136+CS$137+CS$138))</f>
        <v>703.728838000685</v>
      </c>
      <c r="CT139" s="13" t="n">
        <f aca="false">IF(CT$69=1,SUMIFS(dr_USD,dr_Mes,92,dr_Cod,"IMPA",dr_Est,"&lt;&gt;Excluido"),p_ImpA*(CT$94+CT$134+CT$135+CT$136+CT$137+CT$138))</f>
        <v>703.728838000685</v>
      </c>
      <c r="CU139" s="13" t="n">
        <f aca="false">IF(CU$69=1,SUMIFS(dr_USD,dr_Mes,93,dr_Cod,"IMPA",dr_Est,"&lt;&gt;Excluido"),p_ImpA*(CU$94+CU$134+CU$135+CU$136+CU$137+CU$138))</f>
        <v>703.728838000685</v>
      </c>
      <c r="CV139" s="13" t="n">
        <f aca="false">IF(CV$69=1,SUMIFS(dr_USD,dr_Mes,94,dr_Cod,"IMPA",dr_Est,"&lt;&gt;Excluido"),p_ImpA*(CV$94+CV$134+CV$135+CV$136+CV$137+CV$138))</f>
        <v>703.728838000685</v>
      </c>
      <c r="CW139" s="13" t="n">
        <f aca="false">IF(CW$69=1,SUMIFS(dr_USD,dr_Mes,95,dr_Cod,"IMPA",dr_Est,"&lt;&gt;Excluido"),p_ImpA*(CW$94+CW$134+CW$135+CW$136+CW$137+CW$138))</f>
        <v>703.728838000685</v>
      </c>
      <c r="CX139" s="13" t="n">
        <f aca="false">IF(CX$69=1,SUMIFS(dr_USD,dr_Mes,96,dr_Cod,"IMPA",dr_Est,"&lt;&gt;Excluido"),p_ImpA*(CX$94+CX$134+CX$135+CX$136+CX$137+CX$138))</f>
        <v>703.728838000685</v>
      </c>
      <c r="CY139" s="13" t="n">
        <f aca="false">IF(CY$69=1,SUMIFS(dr_USD,dr_Mes,97,dr_Cod,"IMPA",dr_Est,"&lt;&gt;Excluido"),p_ImpA*(CY$94+CY$134+CY$135+CY$136+CY$137+CY$138))</f>
        <v>703.728838000685</v>
      </c>
      <c r="CZ139" s="13" t="n">
        <f aca="false">IF(CZ$69=1,SUMIFS(dr_USD,dr_Mes,98,dr_Cod,"IMPA",dr_Est,"&lt;&gt;Excluido"),p_ImpA*(CZ$94+CZ$134+CZ$135+CZ$136+CZ$137+CZ$138))</f>
        <v>703.728838000685</v>
      </c>
      <c r="DA139" s="13" t="n">
        <f aca="false">IF(DA$69=1,SUMIFS(dr_USD,dr_Mes,99,dr_Cod,"IMPA",dr_Est,"&lt;&gt;Excluido"),p_ImpA*(DA$94+DA$134+DA$135+DA$136+DA$137+DA$138))</f>
        <v>703.728838000685</v>
      </c>
      <c r="DB139" s="13" t="n">
        <f aca="false">IF(DB$69=1,SUMIFS(dr_USD,dr_Mes,100,dr_Cod,"IMPA",dr_Est,"&lt;&gt;Excluido"),p_ImpA*(DB$94+DB$134+DB$135+DB$136+DB$137+DB$138))</f>
        <v>703.728838000685</v>
      </c>
      <c r="DC139" s="13" t="n">
        <f aca="false">IF(DC$69=1,SUMIFS(dr_USD,dr_Mes,101,dr_Cod,"IMPA",dr_Est,"&lt;&gt;Excluido"),p_ImpA*(DC$94+DC$134+DC$135+DC$136+DC$137+DC$138))</f>
        <v>703.728838000685</v>
      </c>
      <c r="DD139" s="13" t="n">
        <f aca="false">IF(DD$69=1,SUMIFS(dr_USD,dr_Mes,102,dr_Cod,"IMPA",dr_Est,"&lt;&gt;Excluido"),p_ImpA*(DD$94+DD$134+DD$135+DD$136+DD$137+DD$138))</f>
        <v>703.728838000685</v>
      </c>
      <c r="DE139" s="13" t="n">
        <f aca="false">IF(DE$69=1,SUMIFS(dr_USD,dr_Mes,103,dr_Cod,"IMPA",dr_Est,"&lt;&gt;Excluido"),p_ImpA*(DE$94+DE$134+DE$135+DE$136+DE$137+DE$138))</f>
        <v>703.728838000685</v>
      </c>
      <c r="DF139" s="13" t="n">
        <f aca="false">IF(DF$69=1,SUMIFS(dr_USD,dr_Mes,104,dr_Cod,"IMPA",dr_Est,"&lt;&gt;Excluido"),p_ImpA*(DF$94+DF$134+DF$135+DF$136+DF$137+DF$138))</f>
        <v>703.728838000685</v>
      </c>
      <c r="DG139" s="13" t="n">
        <f aca="false">IF(DG$69=1,SUMIFS(dr_USD,dr_Mes,105,dr_Cod,"IMPA",dr_Est,"&lt;&gt;Excluido"),p_ImpA*(DG$94+DG$134+DG$135+DG$136+DG$137+DG$138))</f>
        <v>703.728838000685</v>
      </c>
      <c r="DH139" s="13" t="n">
        <f aca="false">IF(DH$69=1,SUMIFS(dr_USD,dr_Mes,106,dr_Cod,"IMPA",dr_Est,"&lt;&gt;Excluido"),p_ImpA*(DH$94+DH$134+DH$135+DH$136+DH$137+DH$138))</f>
        <v>703.728838000685</v>
      </c>
      <c r="DI139" s="13" t="n">
        <f aca="false">IF(DI$69=1,SUMIFS(dr_USD,dr_Mes,107,dr_Cod,"IMPA",dr_Est,"&lt;&gt;Excluido"),p_ImpA*(DI$94+DI$134+DI$135+DI$136+DI$137+DI$138))</f>
        <v>703.728838000685</v>
      </c>
      <c r="DJ139" s="13" t="n">
        <f aca="false">IF(DJ$69=1,SUMIFS(dr_USD,dr_Mes,108,dr_Cod,"IMPA",dr_Est,"&lt;&gt;Excluido"),p_ImpA*(DJ$94+DJ$134+DJ$135+DJ$136+DJ$137+DJ$138))</f>
        <v>703.728838000685</v>
      </c>
      <c r="DK139" s="13" t="n">
        <f aca="false">IF(DK$69=1,SUMIFS(dr_USD,dr_Mes,109,dr_Cod,"IMPA",dr_Est,"&lt;&gt;Excluido"),p_ImpA*(DK$94+DK$134+DK$135+DK$136+DK$137+DK$138))</f>
        <v>703.728838000685</v>
      </c>
      <c r="DL139" s="13" t="n">
        <f aca="false">IF(DL$69=1,SUMIFS(dr_USD,dr_Mes,110,dr_Cod,"IMPA",dr_Est,"&lt;&gt;Excluido"),p_ImpA*(DL$94+DL$134+DL$135+DL$136+DL$137+DL$138))</f>
        <v>703.728838000685</v>
      </c>
      <c r="DM139" s="13" t="n">
        <f aca="false">IF(DM$69=1,SUMIFS(dr_USD,dr_Mes,111,dr_Cod,"IMPA",dr_Est,"&lt;&gt;Excluido"),p_ImpA*(DM$94+DM$134+DM$135+DM$136+DM$137+DM$138))</f>
        <v>703.728838000685</v>
      </c>
      <c r="DN139" s="13" t="n">
        <f aca="false">IF(DN$69=1,SUMIFS(dr_USD,dr_Mes,112,dr_Cod,"IMPA",dr_Est,"&lt;&gt;Excluido"),p_ImpA*(DN$94+DN$134+DN$135+DN$136+DN$137+DN$138))</f>
        <v>703.728838000685</v>
      </c>
      <c r="DO139" s="13" t="n">
        <f aca="false">IF(DO$69=1,SUMIFS(dr_USD,dr_Mes,113,dr_Cod,"IMPA",dr_Est,"&lt;&gt;Excluido"),p_ImpA*(DO$94+DO$134+DO$135+DO$136+DO$137+DO$138))</f>
        <v>703.728838000685</v>
      </c>
      <c r="DP139" s="13" t="n">
        <f aca="false">IF(DP$69=1,SUMIFS(dr_USD,dr_Mes,114,dr_Cod,"IMPA",dr_Est,"&lt;&gt;Excluido"),p_ImpA*(DP$94+DP$134+DP$135+DP$136+DP$137+DP$138))</f>
        <v>703.728838000685</v>
      </c>
      <c r="DQ139" s="13" t="n">
        <f aca="false">IF(DQ$69=1,SUMIFS(dr_USD,dr_Mes,115,dr_Cod,"IMPA",dr_Est,"&lt;&gt;Excluido"),p_ImpA*(DQ$94+DQ$134+DQ$135+DQ$136+DQ$137+DQ$138))</f>
        <v>703.728838000685</v>
      </c>
      <c r="DR139" s="13" t="n">
        <f aca="false">IF(DR$69=1,SUMIFS(dr_USD,dr_Mes,116,dr_Cod,"IMPA",dr_Est,"&lt;&gt;Excluido"),p_ImpA*(DR$94+DR$134+DR$135+DR$136+DR$137+DR$138))</f>
        <v>703.728838000685</v>
      </c>
      <c r="DS139" s="13" t="n">
        <f aca="false">IF(DS$69=1,SUMIFS(dr_USD,dr_Mes,117,dr_Cod,"IMPA",dr_Est,"&lt;&gt;Excluido"),p_ImpA*(DS$94+DS$134+DS$135+DS$136+DS$137+DS$138))</f>
        <v>703.728838000685</v>
      </c>
      <c r="DT139" s="13" t="n">
        <f aca="false">IF(DT$69=1,SUMIFS(dr_USD,dr_Mes,118,dr_Cod,"IMPA",dr_Est,"&lt;&gt;Excluido"),p_ImpA*(DT$94+DT$134+DT$135+DT$136+DT$137+DT$138))</f>
        <v>703.728838000685</v>
      </c>
      <c r="DU139" s="13" t="n">
        <f aca="false">IF(DU$69=1,SUMIFS(dr_USD,dr_Mes,119,dr_Cod,"IMPA",dr_Est,"&lt;&gt;Excluido"),p_ImpA*(DU$94+DU$134+DU$135+DU$136+DU$137+DU$138))</f>
        <v>703.728838000685</v>
      </c>
      <c r="DV139" s="13" t="n">
        <f aca="false">IF(DV$69=1,SUMIFS(dr_USD,dr_Mes,120,dr_Cod,"IMPA",dr_Est,"&lt;&gt;Excluido"),p_ImpA*(DV$94+DV$134+DV$135+DV$136+DV$137+DV$138))</f>
        <v>703.728838000685</v>
      </c>
      <c r="DW139" s="13" t="n">
        <f aca="false">IF(DW$69=1,SUMIFS(dr_USD,dr_Mes,121,dr_Cod,"IMPA",dr_Est,"&lt;&gt;Excluido"),p_ImpA*(DW$94+DW$134+DW$135+DW$136+DW$137+DW$138))</f>
        <v>0</v>
      </c>
      <c r="DX139" s="13" t="n">
        <f aca="false">IF(DX$69=1,SUMIFS(dr_USD,dr_Mes,122,dr_Cod,"IMPA",dr_Est,"&lt;&gt;Excluido"),p_ImpA*(DX$94+DX$134+DX$135+DX$136+DX$137+DX$138))</f>
        <v>0</v>
      </c>
      <c r="DY139" s="13" t="n">
        <f aca="false">IF(DY$69=1,SUMIFS(dr_USD,dr_Mes,123,dr_Cod,"IMPA",dr_Est,"&lt;&gt;Excluido"),p_ImpA*(DY$94+DY$134+DY$135+DY$136+DY$137+DY$138))</f>
        <v>0</v>
      </c>
      <c r="DZ139" s="13" t="n">
        <f aca="false">IF(DZ$69=1,SUMIFS(dr_USD,dr_Mes,124,dr_Cod,"IMPA",dr_Est,"&lt;&gt;Excluido"),p_ImpA*(DZ$94+DZ$134+DZ$135+DZ$136+DZ$137+DZ$138))</f>
        <v>0</v>
      </c>
      <c r="EA139" s="13" t="n">
        <f aca="false">IF(EA$69=1,SUMIFS(dr_USD,dr_Mes,125,dr_Cod,"IMPA",dr_Est,"&lt;&gt;Excluido"),p_ImpA*(EA$94+EA$134+EA$135+EA$136+EA$137+EA$138))</f>
        <v>0</v>
      </c>
      <c r="EB139" s="13" t="n">
        <f aca="false">IF(EB$69=1,SUMIFS(dr_USD,dr_Mes,126,dr_Cod,"IMPA",dr_Est,"&lt;&gt;Excluido"),p_ImpA*(EB$94+EB$134+EB$135+EB$136+EB$137+EB$138))</f>
        <v>0</v>
      </c>
      <c r="EC139" s="13" t="n">
        <f aca="false">IF(EC$69=1,SUMIFS(dr_USD,dr_Mes,127,dr_Cod,"IMPA",dr_Est,"&lt;&gt;Excluido"),p_ImpA*(EC$94+EC$134+EC$135+EC$136+EC$137+EC$138))</f>
        <v>0</v>
      </c>
      <c r="ED139" s="13" t="n">
        <f aca="false">IF(ED$69=1,SUMIFS(dr_USD,dr_Mes,128,dr_Cod,"IMPA",dr_Est,"&lt;&gt;Excluido"),p_ImpA*(ED$94+ED$134+ED$135+ED$136+ED$137+ED$138))</f>
        <v>0</v>
      </c>
      <c r="EE139" s="13" t="n">
        <f aca="false">IF(EE$69=1,SUMIFS(dr_USD,dr_Mes,129,dr_Cod,"IMPA",dr_Est,"&lt;&gt;Excluido"),p_ImpA*(EE$94+EE$134+EE$135+EE$136+EE$137+EE$138))</f>
        <v>0</v>
      </c>
      <c r="EF139" s="13" t="n">
        <f aca="false">IF(EF$69=1,SUMIFS(dr_USD,dr_Mes,130,dr_Cod,"IMPA",dr_Est,"&lt;&gt;Excluido"),p_ImpA*(EF$94+EF$134+EF$135+EF$136+EF$137+EF$138))</f>
        <v>0</v>
      </c>
      <c r="EG139" s="13" t="n">
        <f aca="false">IF(EG$69=1,SUMIFS(dr_USD,dr_Mes,131,dr_Cod,"IMPA",dr_Est,"&lt;&gt;Excluido"),p_ImpA*(EG$94+EG$134+EG$135+EG$136+EG$137+EG$138))</f>
        <v>0</v>
      </c>
      <c r="EH139" s="13" t="n">
        <f aca="false">IF(EH$69=1,SUMIFS(dr_USD,dr_Mes,132,dr_Cod,"IMPA",dr_Est,"&lt;&gt;Excluido"),p_ImpA*(EH$94+EH$134+EH$135+EH$136+EH$137+EH$138))</f>
        <v>0</v>
      </c>
      <c r="EI139" s="13" t="n">
        <f aca="false">IF(EI$69=1,SUMIFS(dr_USD,dr_Mes,133,dr_Cod,"IMPA",dr_Est,"&lt;&gt;Excluido"),p_ImpA*(EI$94+EI$134+EI$135+EI$136+EI$137+EI$138))</f>
        <v>0</v>
      </c>
      <c r="EJ139" s="13" t="n">
        <f aca="false">IF(EJ$69=1,SUMIFS(dr_USD,dr_Mes,134,dr_Cod,"IMPA",dr_Est,"&lt;&gt;Excluido"),p_ImpA*(EJ$94+EJ$134+EJ$135+EJ$136+EJ$137+EJ$138))</f>
        <v>0</v>
      </c>
      <c r="EK139" s="13" t="n">
        <f aca="false">IF(EK$69=1,SUMIFS(dr_USD,dr_Mes,135,dr_Cod,"IMPA",dr_Est,"&lt;&gt;Excluido"),p_ImpA*(EK$94+EK$134+EK$135+EK$136+EK$137+EK$138))</f>
        <v>0</v>
      </c>
      <c r="EL139" s="13" t="n">
        <f aca="false">IF(EL$69=1,SUMIFS(dr_USD,dr_Mes,136,dr_Cod,"IMPA",dr_Est,"&lt;&gt;Excluido"),p_ImpA*(EL$94+EL$134+EL$135+EL$136+EL$137+EL$138))</f>
        <v>0</v>
      </c>
      <c r="EM139" s="13" t="n">
        <f aca="false">IF(EM$69=1,SUMIFS(dr_USD,dr_Mes,137,dr_Cod,"IMPA",dr_Est,"&lt;&gt;Excluido"),p_ImpA*(EM$94+EM$134+EM$135+EM$136+EM$137+EM$138))</f>
        <v>0</v>
      </c>
      <c r="EN139" s="13" t="n">
        <f aca="false">IF(EN$69=1,SUMIFS(dr_USD,dr_Mes,138,dr_Cod,"IMPA",dr_Est,"&lt;&gt;Excluido"),p_ImpA*(EN$94+EN$134+EN$135+EN$136+EN$137+EN$138))</f>
        <v>0</v>
      </c>
      <c r="EO139" s="13" t="n">
        <f aca="false">IF(EO$69=1,SUMIFS(dr_USD,dr_Mes,139,dr_Cod,"IMPA",dr_Est,"&lt;&gt;Excluido"),p_ImpA*(EO$94+EO$134+EO$135+EO$136+EO$137+EO$138))</f>
        <v>0</v>
      </c>
      <c r="EP139" s="13" t="n">
        <f aca="false">IF(EP$69=1,SUMIFS(dr_USD,dr_Mes,140,dr_Cod,"IMPA",dr_Est,"&lt;&gt;Excluido"),p_ImpA*(EP$94+EP$134+EP$135+EP$136+EP$137+EP$138))</f>
        <v>0</v>
      </c>
      <c r="EQ139" s="13" t="n">
        <f aca="false">IF(EQ$69=1,SUMIFS(dr_USD,dr_Mes,141,dr_Cod,"IMPA",dr_Est,"&lt;&gt;Excluido"),p_ImpA*(EQ$94+EQ$134+EQ$135+EQ$136+EQ$137+EQ$138))</f>
        <v>0</v>
      </c>
      <c r="ER139" s="13" t="n">
        <f aca="false">IF(ER$69=1,SUMIFS(dr_USD,dr_Mes,142,dr_Cod,"IMPA",dr_Est,"&lt;&gt;Excluido"),p_ImpA*(ER$94+ER$134+ER$135+ER$136+ER$137+ER$138))</f>
        <v>0</v>
      </c>
      <c r="ES139" s="13" t="n">
        <f aca="false">IF(ES$69=1,SUMIFS(dr_USD,dr_Mes,143,dr_Cod,"IMPA",dr_Est,"&lt;&gt;Excluido"),p_ImpA*(ES$94+ES$134+ES$135+ES$136+ES$137+ES$138))</f>
        <v>0</v>
      </c>
      <c r="ET139" s="13" t="n">
        <f aca="false">IF(ET$69=1,SUMIFS(dr_USD,dr_Mes,144,dr_Cod,"IMPA",dr_Est,"&lt;&gt;Excluido"),p_ImpA*(ET$94+ET$134+ET$135+ET$136+ET$137+ET$138))</f>
        <v>0</v>
      </c>
      <c r="EU139" s="13" t="n">
        <f aca="false">IF(EU$69=1,SUMIFS(dr_USD,dr_Mes,145,dr_Cod,"IMPA",dr_Est,"&lt;&gt;Excluido"),p_ImpA*(EU$94+EU$134+EU$135+EU$136+EU$137+EU$138))</f>
        <v>0</v>
      </c>
      <c r="EV139" s="13" t="n">
        <f aca="false">IF(EV$69=1,SUMIFS(dr_USD,dr_Mes,146,dr_Cod,"IMPA",dr_Est,"&lt;&gt;Excluido"),p_ImpA*(EV$94+EV$134+EV$135+EV$136+EV$137+EV$138))</f>
        <v>0</v>
      </c>
      <c r="EW139" s="13" t="n">
        <f aca="false">IF(EW$69=1,SUMIFS(dr_USD,dr_Mes,147,dr_Cod,"IMPA",dr_Est,"&lt;&gt;Excluido"),p_ImpA*(EW$94+EW$134+EW$135+EW$136+EW$137+EW$138))</f>
        <v>0</v>
      </c>
      <c r="EX139" s="13" t="n">
        <f aca="false">IF(EX$69=1,SUMIFS(dr_USD,dr_Mes,148,dr_Cod,"IMPA",dr_Est,"&lt;&gt;Excluido"),p_ImpA*(EX$94+EX$134+EX$135+EX$136+EX$137+EX$138))</f>
        <v>0</v>
      </c>
      <c r="EY139" s="13" t="n">
        <f aca="false">IF(EY$69=1,SUMIFS(dr_USD,dr_Mes,149,dr_Cod,"IMPA",dr_Est,"&lt;&gt;Excluido"),p_ImpA*(EY$94+EY$134+EY$135+EY$136+EY$137+EY$138))</f>
        <v>0</v>
      </c>
      <c r="EZ139" s="13" t="n">
        <f aca="false">IF(EZ$69=1,SUMIFS(dr_USD,dr_Mes,150,dr_Cod,"IMPA",dr_Est,"&lt;&gt;Excluido"),p_ImpA*(EZ$94+EZ$134+EZ$135+EZ$136+EZ$137+EZ$138))</f>
        <v>0</v>
      </c>
      <c r="FA139" s="13" t="n">
        <f aca="false">IF(FA$69=1,SUMIFS(dr_USD,dr_Mes,151,dr_Cod,"IMPA",dr_Est,"&lt;&gt;Excluido"),p_ImpA*(FA$94+FA$134+FA$135+FA$136+FA$137+FA$138))</f>
        <v>0</v>
      </c>
      <c r="FB139" s="13" t="n">
        <f aca="false">IF(FB$69=1,SUMIFS(dr_USD,dr_Mes,152,dr_Cod,"IMPA",dr_Est,"&lt;&gt;Excluido"),p_ImpA*(FB$94+FB$134+FB$135+FB$136+FB$137+FB$138))</f>
        <v>0</v>
      </c>
      <c r="FC139" s="13" t="n">
        <f aca="false">IF(FC$69=1,SUMIFS(dr_USD,dr_Mes,153,dr_Cod,"IMPA",dr_Est,"&lt;&gt;Excluido"),p_ImpA*(FC$94+FC$134+FC$135+FC$136+FC$137+FC$138))</f>
        <v>0</v>
      </c>
      <c r="FD139" s="13" t="n">
        <f aca="false">IF(FD$69=1,SUMIFS(dr_USD,dr_Mes,154,dr_Cod,"IMPA",dr_Est,"&lt;&gt;Excluido"),p_ImpA*(FD$94+FD$134+FD$135+FD$136+FD$137+FD$138))</f>
        <v>0</v>
      </c>
      <c r="FE139" s="13" t="n">
        <f aca="false">IF(FE$69=1,SUMIFS(dr_USD,dr_Mes,155,dr_Cod,"IMPA",dr_Est,"&lt;&gt;Excluido"),p_ImpA*(FE$94+FE$134+FE$135+FE$136+FE$137+FE$138))</f>
        <v>0</v>
      </c>
      <c r="FF139" s="13" t="n">
        <f aca="false">IF(FF$69=1,SUMIFS(dr_USD,dr_Mes,156,dr_Cod,"IMPA",dr_Est,"&lt;&gt;Excluido"),p_ImpA*(FF$94+FF$134+FF$135+FF$136+FF$137+FF$138))</f>
        <v>0</v>
      </c>
    </row>
    <row r="140" customFormat="false" ht="15" hidden="false" customHeight="false" outlineLevel="0" collapsed="false">
      <c r="A140" s="2" t="s">
        <v>1118</v>
      </c>
      <c r="B140" s="8" t="s">
        <v>1119</v>
      </c>
      <c r="C140" s="8" t="s">
        <v>255</v>
      </c>
      <c r="E140" s="65" t="n">
        <f aca="false">SUM($F140:$FF140)</f>
        <v>0</v>
      </c>
      <c r="F140" s="13" t="n">
        <f aca="false">IF(F$69=1,SUMIFS(dr_USD,dr_Mes,0,dr_Cod,"PREOP",dr_Est,"&lt;&gt;Excluido"),0)</f>
        <v>0</v>
      </c>
      <c r="G140" s="13" t="n">
        <f aca="false">IF(G$69=1,SUMIFS(dr_USD,dr_Mes,1,dr_Cod,"PREOP",dr_Est,"&lt;&gt;Excluido"),0)</f>
        <v>0</v>
      </c>
      <c r="H140" s="13" t="n">
        <f aca="false">IF(H$69=1,SUMIFS(dr_USD,dr_Mes,2,dr_Cod,"PREOP",dr_Est,"&lt;&gt;Excluido"),0)</f>
        <v>0</v>
      </c>
      <c r="I140" s="13" t="n">
        <f aca="false">IF(I$69=1,SUMIFS(dr_USD,dr_Mes,3,dr_Cod,"PREOP",dr_Est,"&lt;&gt;Excluido"),0)</f>
        <v>0</v>
      </c>
      <c r="J140" s="13" t="n">
        <f aca="false">IF(J$69=1,SUMIFS(dr_USD,dr_Mes,4,dr_Cod,"PREOP",dr_Est,"&lt;&gt;Excluido"),0)</f>
        <v>0</v>
      </c>
      <c r="K140" s="13" t="n">
        <f aca="false">IF(K$69=1,SUMIFS(dr_USD,dr_Mes,5,dr_Cod,"PREOP",dr_Est,"&lt;&gt;Excluido"),0)</f>
        <v>0</v>
      </c>
      <c r="L140" s="13" t="n">
        <f aca="false">IF(L$69=1,SUMIFS(dr_USD,dr_Mes,6,dr_Cod,"PREOP",dr_Est,"&lt;&gt;Excluido"),0)</f>
        <v>0</v>
      </c>
      <c r="M140" s="13" t="n">
        <f aca="false">IF(M$69=1,SUMIFS(dr_USD,dr_Mes,7,dr_Cod,"PREOP",dr_Est,"&lt;&gt;Excluido"),0)</f>
        <v>0</v>
      </c>
      <c r="N140" s="13" t="n">
        <f aca="false">IF(N$69=1,SUMIFS(dr_USD,dr_Mes,8,dr_Cod,"PREOP",dr_Est,"&lt;&gt;Excluido"),0)</f>
        <v>0</v>
      </c>
      <c r="O140" s="13" t="n">
        <f aca="false">IF(O$69=1,SUMIFS(dr_USD,dr_Mes,9,dr_Cod,"PREOP",dr_Est,"&lt;&gt;Excluido"),0)</f>
        <v>0</v>
      </c>
      <c r="P140" s="13" t="n">
        <f aca="false">IF(P$69=1,SUMIFS(dr_USD,dr_Mes,10,dr_Cod,"PREOP",dr_Est,"&lt;&gt;Excluido"),0)</f>
        <v>0</v>
      </c>
      <c r="Q140" s="13" t="n">
        <f aca="false">IF(Q$69=1,SUMIFS(dr_USD,dr_Mes,11,dr_Cod,"PREOP",dr_Est,"&lt;&gt;Excluido"),0)</f>
        <v>0</v>
      </c>
      <c r="R140" s="13" t="n">
        <f aca="false">IF(R$69=1,SUMIFS(dr_USD,dr_Mes,12,dr_Cod,"PREOP",dr_Est,"&lt;&gt;Excluido"),0)</f>
        <v>0</v>
      </c>
      <c r="S140" s="13" t="n">
        <f aca="false">IF(S$69=1,SUMIFS(dr_USD,dr_Mes,13,dr_Cod,"PREOP",dr_Est,"&lt;&gt;Excluido"),0)</f>
        <v>0</v>
      </c>
      <c r="T140" s="13" t="n">
        <f aca="false">IF(T$69=1,SUMIFS(dr_USD,dr_Mes,14,dr_Cod,"PREOP",dr_Est,"&lt;&gt;Excluido"),0)</f>
        <v>0</v>
      </c>
      <c r="U140" s="13" t="n">
        <f aca="false">IF(U$69=1,SUMIFS(dr_USD,dr_Mes,15,dr_Cod,"PREOP",dr_Est,"&lt;&gt;Excluido"),0)</f>
        <v>0</v>
      </c>
      <c r="V140" s="13" t="n">
        <f aca="false">IF(V$69=1,SUMIFS(dr_USD,dr_Mes,16,dr_Cod,"PREOP",dr_Est,"&lt;&gt;Excluido"),0)</f>
        <v>0</v>
      </c>
      <c r="W140" s="13" t="n">
        <f aca="false">IF(W$69=1,SUMIFS(dr_USD,dr_Mes,17,dr_Cod,"PREOP",dr_Est,"&lt;&gt;Excluido"),0)</f>
        <v>0</v>
      </c>
      <c r="X140" s="13" t="n">
        <f aca="false">IF(X$69=1,SUMIFS(dr_USD,dr_Mes,18,dr_Cod,"PREOP",dr_Est,"&lt;&gt;Excluido"),0)</f>
        <v>0</v>
      </c>
      <c r="Y140" s="13" t="n">
        <f aca="false">IF(Y$69=1,SUMIFS(dr_USD,dr_Mes,19,dr_Cod,"PREOP",dr_Est,"&lt;&gt;Excluido"),0)</f>
        <v>0</v>
      </c>
      <c r="Z140" s="13" t="n">
        <f aca="false">IF(Z$69=1,SUMIFS(dr_USD,dr_Mes,20,dr_Cod,"PREOP",dr_Est,"&lt;&gt;Excluido"),0)</f>
        <v>0</v>
      </c>
      <c r="AA140" s="13" t="n">
        <f aca="false">IF(AA$69=1,SUMIFS(dr_USD,dr_Mes,21,dr_Cod,"PREOP",dr_Est,"&lt;&gt;Excluido"),0)</f>
        <v>0</v>
      </c>
      <c r="AB140" s="13" t="n">
        <f aca="false">IF(AB$69=1,SUMIFS(dr_USD,dr_Mes,22,dr_Cod,"PREOP",dr_Est,"&lt;&gt;Excluido"),0)</f>
        <v>0</v>
      </c>
      <c r="AC140" s="13" t="n">
        <f aca="false">IF(AC$69=1,SUMIFS(dr_USD,dr_Mes,23,dr_Cod,"PREOP",dr_Est,"&lt;&gt;Excluido"),0)</f>
        <v>0</v>
      </c>
      <c r="AD140" s="13" t="n">
        <f aca="false">IF(AD$69=1,SUMIFS(dr_USD,dr_Mes,24,dr_Cod,"PREOP",dr_Est,"&lt;&gt;Excluido"),0)</f>
        <v>0</v>
      </c>
      <c r="AE140" s="13" t="n">
        <f aca="false">IF(AE$69=1,SUMIFS(dr_USD,dr_Mes,25,dr_Cod,"PREOP",dr_Est,"&lt;&gt;Excluido"),0)</f>
        <v>0</v>
      </c>
      <c r="AF140" s="13" t="n">
        <f aca="false">IF(AF$69=1,SUMIFS(dr_USD,dr_Mes,26,dr_Cod,"PREOP",dr_Est,"&lt;&gt;Excluido"),0)</f>
        <v>0</v>
      </c>
      <c r="AG140" s="13" t="n">
        <f aca="false">IF(AG$69=1,SUMIFS(dr_USD,dr_Mes,27,dr_Cod,"PREOP",dr_Est,"&lt;&gt;Excluido"),0)</f>
        <v>0</v>
      </c>
      <c r="AH140" s="13" t="n">
        <f aca="false">IF(AH$69=1,SUMIFS(dr_USD,dr_Mes,28,dr_Cod,"PREOP",dr_Est,"&lt;&gt;Excluido"),0)</f>
        <v>0</v>
      </c>
      <c r="AI140" s="13" t="n">
        <f aca="false">IF(AI$69=1,SUMIFS(dr_USD,dr_Mes,29,dr_Cod,"PREOP",dr_Est,"&lt;&gt;Excluido"),0)</f>
        <v>0</v>
      </c>
      <c r="AJ140" s="13" t="n">
        <f aca="false">IF(AJ$69=1,SUMIFS(dr_USD,dr_Mes,30,dr_Cod,"PREOP",dr_Est,"&lt;&gt;Excluido"),0)</f>
        <v>0</v>
      </c>
      <c r="AK140" s="13" t="n">
        <f aca="false">IF(AK$69=1,SUMIFS(dr_USD,dr_Mes,31,dr_Cod,"PREOP",dr_Est,"&lt;&gt;Excluido"),0)</f>
        <v>0</v>
      </c>
      <c r="AL140" s="13" t="n">
        <f aca="false">IF(AL$69=1,SUMIFS(dr_USD,dr_Mes,32,dr_Cod,"PREOP",dr_Est,"&lt;&gt;Excluido"),0)</f>
        <v>0</v>
      </c>
      <c r="AM140" s="13" t="n">
        <f aca="false">IF(AM$69=1,SUMIFS(dr_USD,dr_Mes,33,dr_Cod,"PREOP",dr_Est,"&lt;&gt;Excluido"),0)</f>
        <v>0</v>
      </c>
      <c r="AN140" s="13" t="n">
        <f aca="false">IF(AN$69=1,SUMIFS(dr_USD,dr_Mes,34,dr_Cod,"PREOP",dr_Est,"&lt;&gt;Excluido"),0)</f>
        <v>0</v>
      </c>
      <c r="AO140" s="13" t="n">
        <f aca="false">IF(AO$69=1,SUMIFS(dr_USD,dr_Mes,35,dr_Cod,"PREOP",dr_Est,"&lt;&gt;Excluido"),0)</f>
        <v>0</v>
      </c>
      <c r="AP140" s="13" t="n">
        <f aca="false">IF(AP$69=1,SUMIFS(dr_USD,dr_Mes,36,dr_Cod,"PREOP",dr_Est,"&lt;&gt;Excluido"),0)</f>
        <v>0</v>
      </c>
      <c r="AQ140" s="13" t="n">
        <f aca="false">IF(AQ$69=1,SUMIFS(dr_USD,dr_Mes,37,dr_Cod,"PREOP",dr_Est,"&lt;&gt;Excluido"),0)</f>
        <v>0</v>
      </c>
      <c r="AR140" s="13" t="n">
        <f aca="false">IF(AR$69=1,SUMIFS(dr_USD,dr_Mes,38,dr_Cod,"PREOP",dr_Est,"&lt;&gt;Excluido"),0)</f>
        <v>0</v>
      </c>
      <c r="AS140" s="13" t="n">
        <f aca="false">IF(AS$69=1,SUMIFS(dr_USD,dr_Mes,39,dr_Cod,"PREOP",dr_Est,"&lt;&gt;Excluido"),0)</f>
        <v>0</v>
      </c>
      <c r="AT140" s="13" t="n">
        <f aca="false">IF(AT$69=1,SUMIFS(dr_USD,dr_Mes,40,dr_Cod,"PREOP",dr_Est,"&lt;&gt;Excluido"),0)</f>
        <v>0</v>
      </c>
      <c r="AU140" s="13" t="n">
        <f aca="false">IF(AU$69=1,SUMIFS(dr_USD,dr_Mes,41,dr_Cod,"PREOP",dr_Est,"&lt;&gt;Excluido"),0)</f>
        <v>0</v>
      </c>
      <c r="AV140" s="13" t="n">
        <f aca="false">IF(AV$69=1,SUMIFS(dr_USD,dr_Mes,42,dr_Cod,"PREOP",dr_Est,"&lt;&gt;Excluido"),0)</f>
        <v>0</v>
      </c>
      <c r="AW140" s="13" t="n">
        <f aca="false">IF(AW$69=1,SUMIFS(dr_USD,dr_Mes,43,dr_Cod,"PREOP",dr_Est,"&lt;&gt;Excluido"),0)</f>
        <v>0</v>
      </c>
      <c r="AX140" s="13" t="n">
        <f aca="false">IF(AX$69=1,SUMIFS(dr_USD,dr_Mes,44,dr_Cod,"PREOP",dr_Est,"&lt;&gt;Excluido"),0)</f>
        <v>0</v>
      </c>
      <c r="AY140" s="13" t="n">
        <f aca="false">IF(AY$69=1,SUMIFS(dr_USD,dr_Mes,45,dr_Cod,"PREOP",dr_Est,"&lt;&gt;Excluido"),0)</f>
        <v>0</v>
      </c>
      <c r="AZ140" s="13" t="n">
        <f aca="false">IF(AZ$69=1,SUMIFS(dr_USD,dr_Mes,46,dr_Cod,"PREOP",dr_Est,"&lt;&gt;Excluido"),0)</f>
        <v>0</v>
      </c>
      <c r="BA140" s="13" t="n">
        <f aca="false">IF(BA$69=1,SUMIFS(dr_USD,dr_Mes,47,dr_Cod,"PREOP",dr_Est,"&lt;&gt;Excluido"),0)</f>
        <v>0</v>
      </c>
      <c r="BB140" s="13" t="n">
        <f aca="false">IF(BB$69=1,SUMIFS(dr_USD,dr_Mes,48,dr_Cod,"PREOP",dr_Est,"&lt;&gt;Excluido"),0)</f>
        <v>0</v>
      </c>
      <c r="BC140" s="13" t="n">
        <f aca="false">IF(BC$69=1,SUMIFS(dr_USD,dr_Mes,49,dr_Cod,"PREOP",dr_Est,"&lt;&gt;Excluido"),0)</f>
        <v>0</v>
      </c>
      <c r="BD140" s="13" t="n">
        <f aca="false">IF(BD$69=1,SUMIFS(dr_USD,dr_Mes,50,dr_Cod,"PREOP",dr_Est,"&lt;&gt;Excluido"),0)</f>
        <v>0</v>
      </c>
      <c r="BE140" s="13" t="n">
        <f aca="false">IF(BE$69=1,SUMIFS(dr_USD,dr_Mes,51,dr_Cod,"PREOP",dr_Est,"&lt;&gt;Excluido"),0)</f>
        <v>0</v>
      </c>
      <c r="BF140" s="13" t="n">
        <f aca="false">IF(BF$69=1,SUMIFS(dr_USD,dr_Mes,52,dr_Cod,"PREOP",dr_Est,"&lt;&gt;Excluido"),0)</f>
        <v>0</v>
      </c>
      <c r="BG140" s="13" t="n">
        <f aca="false">IF(BG$69=1,SUMIFS(dr_USD,dr_Mes,53,dr_Cod,"PREOP",dr_Est,"&lt;&gt;Excluido"),0)</f>
        <v>0</v>
      </c>
      <c r="BH140" s="13" t="n">
        <f aca="false">IF(BH$69=1,SUMIFS(dr_USD,dr_Mes,54,dr_Cod,"PREOP",dr_Est,"&lt;&gt;Excluido"),0)</f>
        <v>0</v>
      </c>
      <c r="BI140" s="13" t="n">
        <f aca="false">IF(BI$69=1,SUMIFS(dr_USD,dr_Mes,55,dr_Cod,"PREOP",dr_Est,"&lt;&gt;Excluido"),0)</f>
        <v>0</v>
      </c>
      <c r="BJ140" s="13" t="n">
        <f aca="false">IF(BJ$69=1,SUMIFS(dr_USD,dr_Mes,56,dr_Cod,"PREOP",dr_Est,"&lt;&gt;Excluido"),0)</f>
        <v>0</v>
      </c>
      <c r="BK140" s="13" t="n">
        <f aca="false">IF(BK$69=1,SUMIFS(dr_USD,dr_Mes,57,dr_Cod,"PREOP",dr_Est,"&lt;&gt;Excluido"),0)</f>
        <v>0</v>
      </c>
      <c r="BL140" s="13" t="n">
        <f aca="false">IF(BL$69=1,SUMIFS(dr_USD,dr_Mes,58,dr_Cod,"PREOP",dr_Est,"&lt;&gt;Excluido"),0)</f>
        <v>0</v>
      </c>
      <c r="BM140" s="13" t="n">
        <f aca="false">IF(BM$69=1,SUMIFS(dr_USD,dr_Mes,59,dr_Cod,"PREOP",dr_Est,"&lt;&gt;Excluido"),0)</f>
        <v>0</v>
      </c>
      <c r="BN140" s="13" t="n">
        <f aca="false">IF(BN$69=1,SUMIFS(dr_USD,dr_Mes,60,dr_Cod,"PREOP",dr_Est,"&lt;&gt;Excluido"),0)</f>
        <v>0</v>
      </c>
      <c r="BO140" s="13" t="n">
        <f aca="false">IF(BO$69=1,SUMIFS(dr_USD,dr_Mes,61,dr_Cod,"PREOP",dr_Est,"&lt;&gt;Excluido"),0)</f>
        <v>0</v>
      </c>
      <c r="BP140" s="13" t="n">
        <f aca="false">IF(BP$69=1,SUMIFS(dr_USD,dr_Mes,62,dr_Cod,"PREOP",dr_Est,"&lt;&gt;Excluido"),0)</f>
        <v>0</v>
      </c>
      <c r="BQ140" s="13" t="n">
        <f aca="false">IF(BQ$69=1,SUMIFS(dr_USD,dr_Mes,63,dr_Cod,"PREOP",dr_Est,"&lt;&gt;Excluido"),0)</f>
        <v>0</v>
      </c>
      <c r="BR140" s="13" t="n">
        <f aca="false">IF(BR$69=1,SUMIFS(dr_USD,dr_Mes,64,dr_Cod,"PREOP",dr_Est,"&lt;&gt;Excluido"),0)</f>
        <v>0</v>
      </c>
      <c r="BS140" s="13" t="n">
        <f aca="false">IF(BS$69=1,SUMIFS(dr_USD,dr_Mes,65,dr_Cod,"PREOP",dr_Est,"&lt;&gt;Excluido"),0)</f>
        <v>0</v>
      </c>
      <c r="BT140" s="13" t="n">
        <f aca="false">IF(BT$69=1,SUMIFS(dr_USD,dr_Mes,66,dr_Cod,"PREOP",dr_Est,"&lt;&gt;Excluido"),0)</f>
        <v>0</v>
      </c>
      <c r="BU140" s="13" t="n">
        <f aca="false">IF(BU$69=1,SUMIFS(dr_USD,dr_Mes,67,dr_Cod,"PREOP",dr_Est,"&lt;&gt;Excluido"),0)</f>
        <v>0</v>
      </c>
      <c r="BV140" s="13" t="n">
        <f aca="false">IF(BV$69=1,SUMIFS(dr_USD,dr_Mes,68,dr_Cod,"PREOP",dr_Est,"&lt;&gt;Excluido"),0)</f>
        <v>0</v>
      </c>
      <c r="BW140" s="13" t="n">
        <f aca="false">IF(BW$69=1,SUMIFS(dr_USD,dr_Mes,69,dr_Cod,"PREOP",dr_Est,"&lt;&gt;Excluido"),0)</f>
        <v>0</v>
      </c>
      <c r="BX140" s="13" t="n">
        <f aca="false">IF(BX$69=1,SUMIFS(dr_USD,dr_Mes,70,dr_Cod,"PREOP",dr_Est,"&lt;&gt;Excluido"),0)</f>
        <v>0</v>
      </c>
      <c r="BY140" s="13" t="n">
        <f aca="false">IF(BY$69=1,SUMIFS(dr_USD,dr_Mes,71,dr_Cod,"PREOP",dr_Est,"&lt;&gt;Excluido"),0)</f>
        <v>0</v>
      </c>
      <c r="BZ140" s="13" t="n">
        <f aca="false">IF(BZ$69=1,SUMIFS(dr_USD,dr_Mes,72,dr_Cod,"PREOP",dr_Est,"&lt;&gt;Excluido"),0)</f>
        <v>0</v>
      </c>
      <c r="CA140" s="13" t="n">
        <f aca="false">IF(CA$69=1,SUMIFS(dr_USD,dr_Mes,73,dr_Cod,"PREOP",dr_Est,"&lt;&gt;Excluido"),0)</f>
        <v>0</v>
      </c>
      <c r="CB140" s="13" t="n">
        <f aca="false">IF(CB$69=1,SUMIFS(dr_USD,dr_Mes,74,dr_Cod,"PREOP",dr_Est,"&lt;&gt;Excluido"),0)</f>
        <v>0</v>
      </c>
      <c r="CC140" s="13" t="n">
        <f aca="false">IF(CC$69=1,SUMIFS(dr_USD,dr_Mes,75,dr_Cod,"PREOP",dr_Est,"&lt;&gt;Excluido"),0)</f>
        <v>0</v>
      </c>
      <c r="CD140" s="13" t="n">
        <f aca="false">IF(CD$69=1,SUMIFS(dr_USD,dr_Mes,76,dr_Cod,"PREOP",dr_Est,"&lt;&gt;Excluido"),0)</f>
        <v>0</v>
      </c>
      <c r="CE140" s="13" t="n">
        <f aca="false">IF(CE$69=1,SUMIFS(dr_USD,dr_Mes,77,dr_Cod,"PREOP",dr_Est,"&lt;&gt;Excluido"),0)</f>
        <v>0</v>
      </c>
      <c r="CF140" s="13" t="n">
        <f aca="false">IF(CF$69=1,SUMIFS(dr_USD,dr_Mes,78,dr_Cod,"PREOP",dr_Est,"&lt;&gt;Excluido"),0)</f>
        <v>0</v>
      </c>
      <c r="CG140" s="13" t="n">
        <f aca="false">IF(CG$69=1,SUMIFS(dr_USD,dr_Mes,79,dr_Cod,"PREOP",dr_Est,"&lt;&gt;Excluido"),0)</f>
        <v>0</v>
      </c>
      <c r="CH140" s="13" t="n">
        <f aca="false">IF(CH$69=1,SUMIFS(dr_USD,dr_Mes,80,dr_Cod,"PREOP",dr_Est,"&lt;&gt;Excluido"),0)</f>
        <v>0</v>
      </c>
      <c r="CI140" s="13" t="n">
        <f aca="false">IF(CI$69=1,SUMIFS(dr_USD,dr_Mes,81,dr_Cod,"PREOP",dr_Est,"&lt;&gt;Excluido"),0)</f>
        <v>0</v>
      </c>
      <c r="CJ140" s="13" t="n">
        <f aca="false">IF(CJ$69=1,SUMIFS(dr_USD,dr_Mes,82,dr_Cod,"PREOP",dr_Est,"&lt;&gt;Excluido"),0)</f>
        <v>0</v>
      </c>
      <c r="CK140" s="13" t="n">
        <f aca="false">IF(CK$69=1,SUMIFS(dr_USD,dr_Mes,83,dr_Cod,"PREOP",dr_Est,"&lt;&gt;Excluido"),0)</f>
        <v>0</v>
      </c>
      <c r="CL140" s="13" t="n">
        <f aca="false">IF(CL$69=1,SUMIFS(dr_USD,dr_Mes,84,dr_Cod,"PREOP",dr_Est,"&lt;&gt;Excluido"),0)</f>
        <v>0</v>
      </c>
      <c r="CM140" s="13" t="n">
        <f aca="false">IF(CM$69=1,SUMIFS(dr_USD,dr_Mes,85,dr_Cod,"PREOP",dr_Est,"&lt;&gt;Excluido"),0)</f>
        <v>0</v>
      </c>
      <c r="CN140" s="13" t="n">
        <f aca="false">IF(CN$69=1,SUMIFS(dr_USD,dr_Mes,86,dr_Cod,"PREOP",dr_Est,"&lt;&gt;Excluido"),0)</f>
        <v>0</v>
      </c>
      <c r="CO140" s="13" t="n">
        <f aca="false">IF(CO$69=1,SUMIFS(dr_USD,dr_Mes,87,dr_Cod,"PREOP",dr_Est,"&lt;&gt;Excluido"),0)</f>
        <v>0</v>
      </c>
      <c r="CP140" s="13" t="n">
        <f aca="false">IF(CP$69=1,SUMIFS(dr_USD,dr_Mes,88,dr_Cod,"PREOP",dr_Est,"&lt;&gt;Excluido"),0)</f>
        <v>0</v>
      </c>
      <c r="CQ140" s="13" t="n">
        <f aca="false">IF(CQ$69=1,SUMIFS(dr_USD,dr_Mes,89,dr_Cod,"PREOP",dr_Est,"&lt;&gt;Excluido"),0)</f>
        <v>0</v>
      </c>
      <c r="CR140" s="13" t="n">
        <f aca="false">IF(CR$69=1,SUMIFS(dr_USD,dr_Mes,90,dr_Cod,"PREOP",dr_Est,"&lt;&gt;Excluido"),0)</f>
        <v>0</v>
      </c>
      <c r="CS140" s="13" t="n">
        <f aca="false">IF(CS$69=1,SUMIFS(dr_USD,dr_Mes,91,dr_Cod,"PREOP",dr_Est,"&lt;&gt;Excluido"),0)</f>
        <v>0</v>
      </c>
      <c r="CT140" s="13" t="n">
        <f aca="false">IF(CT$69=1,SUMIFS(dr_USD,dr_Mes,92,dr_Cod,"PREOP",dr_Est,"&lt;&gt;Excluido"),0)</f>
        <v>0</v>
      </c>
      <c r="CU140" s="13" t="n">
        <f aca="false">IF(CU$69=1,SUMIFS(dr_USD,dr_Mes,93,dr_Cod,"PREOP",dr_Est,"&lt;&gt;Excluido"),0)</f>
        <v>0</v>
      </c>
      <c r="CV140" s="13" t="n">
        <f aca="false">IF(CV$69=1,SUMIFS(dr_USD,dr_Mes,94,dr_Cod,"PREOP",dr_Est,"&lt;&gt;Excluido"),0)</f>
        <v>0</v>
      </c>
      <c r="CW140" s="13" t="n">
        <f aca="false">IF(CW$69=1,SUMIFS(dr_USD,dr_Mes,95,dr_Cod,"PREOP",dr_Est,"&lt;&gt;Excluido"),0)</f>
        <v>0</v>
      </c>
      <c r="CX140" s="13" t="n">
        <f aca="false">IF(CX$69=1,SUMIFS(dr_USD,dr_Mes,96,dr_Cod,"PREOP",dr_Est,"&lt;&gt;Excluido"),0)</f>
        <v>0</v>
      </c>
      <c r="CY140" s="13" t="n">
        <f aca="false">IF(CY$69=1,SUMIFS(dr_USD,dr_Mes,97,dr_Cod,"PREOP",dr_Est,"&lt;&gt;Excluido"),0)</f>
        <v>0</v>
      </c>
      <c r="CZ140" s="13" t="n">
        <f aca="false">IF(CZ$69=1,SUMIFS(dr_USD,dr_Mes,98,dr_Cod,"PREOP",dr_Est,"&lt;&gt;Excluido"),0)</f>
        <v>0</v>
      </c>
      <c r="DA140" s="13" t="n">
        <f aca="false">IF(DA$69=1,SUMIFS(dr_USD,dr_Mes,99,dr_Cod,"PREOP",dr_Est,"&lt;&gt;Excluido"),0)</f>
        <v>0</v>
      </c>
      <c r="DB140" s="13" t="n">
        <f aca="false">IF(DB$69=1,SUMIFS(dr_USD,dr_Mes,100,dr_Cod,"PREOP",dr_Est,"&lt;&gt;Excluido"),0)</f>
        <v>0</v>
      </c>
      <c r="DC140" s="13" t="n">
        <f aca="false">IF(DC$69=1,SUMIFS(dr_USD,dr_Mes,101,dr_Cod,"PREOP",dr_Est,"&lt;&gt;Excluido"),0)</f>
        <v>0</v>
      </c>
      <c r="DD140" s="13" t="n">
        <f aca="false">IF(DD$69=1,SUMIFS(dr_USD,dr_Mes,102,dr_Cod,"PREOP",dr_Est,"&lt;&gt;Excluido"),0)</f>
        <v>0</v>
      </c>
      <c r="DE140" s="13" t="n">
        <f aca="false">IF(DE$69=1,SUMIFS(dr_USD,dr_Mes,103,dr_Cod,"PREOP",dr_Est,"&lt;&gt;Excluido"),0)</f>
        <v>0</v>
      </c>
      <c r="DF140" s="13" t="n">
        <f aca="false">IF(DF$69=1,SUMIFS(dr_USD,dr_Mes,104,dr_Cod,"PREOP",dr_Est,"&lt;&gt;Excluido"),0)</f>
        <v>0</v>
      </c>
      <c r="DG140" s="13" t="n">
        <f aca="false">IF(DG$69=1,SUMIFS(dr_USD,dr_Mes,105,dr_Cod,"PREOP",dr_Est,"&lt;&gt;Excluido"),0)</f>
        <v>0</v>
      </c>
      <c r="DH140" s="13" t="n">
        <f aca="false">IF(DH$69=1,SUMIFS(dr_USD,dr_Mes,106,dr_Cod,"PREOP",dr_Est,"&lt;&gt;Excluido"),0)</f>
        <v>0</v>
      </c>
      <c r="DI140" s="13" t="n">
        <f aca="false">IF(DI$69=1,SUMIFS(dr_USD,dr_Mes,107,dr_Cod,"PREOP",dr_Est,"&lt;&gt;Excluido"),0)</f>
        <v>0</v>
      </c>
      <c r="DJ140" s="13" t="n">
        <f aca="false">IF(DJ$69=1,SUMIFS(dr_USD,dr_Mes,108,dr_Cod,"PREOP",dr_Est,"&lt;&gt;Excluido"),0)</f>
        <v>0</v>
      </c>
      <c r="DK140" s="13" t="n">
        <f aca="false">IF(DK$69=1,SUMIFS(dr_USD,dr_Mes,109,dr_Cod,"PREOP",dr_Est,"&lt;&gt;Excluido"),0)</f>
        <v>0</v>
      </c>
      <c r="DL140" s="13" t="n">
        <f aca="false">IF(DL$69=1,SUMIFS(dr_USD,dr_Mes,110,dr_Cod,"PREOP",dr_Est,"&lt;&gt;Excluido"),0)</f>
        <v>0</v>
      </c>
      <c r="DM140" s="13" t="n">
        <f aca="false">IF(DM$69=1,SUMIFS(dr_USD,dr_Mes,111,dr_Cod,"PREOP",dr_Est,"&lt;&gt;Excluido"),0)</f>
        <v>0</v>
      </c>
      <c r="DN140" s="13" t="n">
        <f aca="false">IF(DN$69=1,SUMIFS(dr_USD,dr_Mes,112,dr_Cod,"PREOP",dr_Est,"&lt;&gt;Excluido"),0)</f>
        <v>0</v>
      </c>
      <c r="DO140" s="13" t="n">
        <f aca="false">IF(DO$69=1,SUMIFS(dr_USD,dr_Mes,113,dr_Cod,"PREOP",dr_Est,"&lt;&gt;Excluido"),0)</f>
        <v>0</v>
      </c>
      <c r="DP140" s="13" t="n">
        <f aca="false">IF(DP$69=1,SUMIFS(dr_USD,dr_Mes,114,dr_Cod,"PREOP",dr_Est,"&lt;&gt;Excluido"),0)</f>
        <v>0</v>
      </c>
      <c r="DQ140" s="13" t="n">
        <f aca="false">IF(DQ$69=1,SUMIFS(dr_USD,dr_Mes,115,dr_Cod,"PREOP",dr_Est,"&lt;&gt;Excluido"),0)</f>
        <v>0</v>
      </c>
      <c r="DR140" s="13" t="n">
        <f aca="false">IF(DR$69=1,SUMIFS(dr_USD,dr_Mes,116,dr_Cod,"PREOP",dr_Est,"&lt;&gt;Excluido"),0)</f>
        <v>0</v>
      </c>
      <c r="DS140" s="13" t="n">
        <f aca="false">IF(DS$69=1,SUMIFS(dr_USD,dr_Mes,117,dr_Cod,"PREOP",dr_Est,"&lt;&gt;Excluido"),0)</f>
        <v>0</v>
      </c>
      <c r="DT140" s="13" t="n">
        <f aca="false">IF(DT$69=1,SUMIFS(dr_USD,dr_Mes,118,dr_Cod,"PREOP",dr_Est,"&lt;&gt;Excluido"),0)</f>
        <v>0</v>
      </c>
      <c r="DU140" s="13" t="n">
        <f aca="false">IF(DU$69=1,SUMIFS(dr_USD,dr_Mes,119,dr_Cod,"PREOP",dr_Est,"&lt;&gt;Excluido"),0)</f>
        <v>0</v>
      </c>
      <c r="DV140" s="13" t="n">
        <f aca="false">IF(DV$69=1,SUMIFS(dr_USD,dr_Mes,120,dr_Cod,"PREOP",dr_Est,"&lt;&gt;Excluido"),0)</f>
        <v>0</v>
      </c>
      <c r="DW140" s="13" t="n">
        <f aca="false">IF(DW$69=1,SUMIFS(dr_USD,dr_Mes,121,dr_Cod,"PREOP",dr_Est,"&lt;&gt;Excluido"),0)</f>
        <v>0</v>
      </c>
      <c r="DX140" s="13" t="n">
        <f aca="false">IF(DX$69=1,SUMIFS(dr_USD,dr_Mes,122,dr_Cod,"PREOP",dr_Est,"&lt;&gt;Excluido"),0)</f>
        <v>0</v>
      </c>
      <c r="DY140" s="13" t="n">
        <f aca="false">IF(DY$69=1,SUMIFS(dr_USD,dr_Mes,123,dr_Cod,"PREOP",dr_Est,"&lt;&gt;Excluido"),0)</f>
        <v>0</v>
      </c>
      <c r="DZ140" s="13" t="n">
        <f aca="false">IF(DZ$69=1,SUMIFS(dr_USD,dr_Mes,124,dr_Cod,"PREOP",dr_Est,"&lt;&gt;Excluido"),0)</f>
        <v>0</v>
      </c>
      <c r="EA140" s="13" t="n">
        <f aca="false">IF(EA$69=1,SUMIFS(dr_USD,dr_Mes,125,dr_Cod,"PREOP",dr_Est,"&lt;&gt;Excluido"),0)</f>
        <v>0</v>
      </c>
      <c r="EB140" s="13" t="n">
        <f aca="false">IF(EB$69=1,SUMIFS(dr_USD,dr_Mes,126,dr_Cod,"PREOP",dr_Est,"&lt;&gt;Excluido"),0)</f>
        <v>0</v>
      </c>
      <c r="EC140" s="13" t="n">
        <f aca="false">IF(EC$69=1,SUMIFS(dr_USD,dr_Mes,127,dr_Cod,"PREOP",dr_Est,"&lt;&gt;Excluido"),0)</f>
        <v>0</v>
      </c>
      <c r="ED140" s="13" t="n">
        <f aca="false">IF(ED$69=1,SUMIFS(dr_USD,dr_Mes,128,dr_Cod,"PREOP",dr_Est,"&lt;&gt;Excluido"),0)</f>
        <v>0</v>
      </c>
      <c r="EE140" s="13" t="n">
        <f aca="false">IF(EE$69=1,SUMIFS(dr_USD,dr_Mes,129,dr_Cod,"PREOP",dr_Est,"&lt;&gt;Excluido"),0)</f>
        <v>0</v>
      </c>
      <c r="EF140" s="13" t="n">
        <f aca="false">IF(EF$69=1,SUMIFS(dr_USD,dr_Mes,130,dr_Cod,"PREOP",dr_Est,"&lt;&gt;Excluido"),0)</f>
        <v>0</v>
      </c>
      <c r="EG140" s="13" t="n">
        <f aca="false">IF(EG$69=1,SUMIFS(dr_USD,dr_Mes,131,dr_Cod,"PREOP",dr_Est,"&lt;&gt;Excluido"),0)</f>
        <v>0</v>
      </c>
      <c r="EH140" s="13" t="n">
        <f aca="false">IF(EH$69=1,SUMIFS(dr_USD,dr_Mes,132,dr_Cod,"PREOP",dr_Est,"&lt;&gt;Excluido"),0)</f>
        <v>0</v>
      </c>
      <c r="EI140" s="13" t="n">
        <f aca="false">IF(EI$69=1,SUMIFS(dr_USD,dr_Mes,133,dr_Cod,"PREOP",dr_Est,"&lt;&gt;Excluido"),0)</f>
        <v>0</v>
      </c>
      <c r="EJ140" s="13" t="n">
        <f aca="false">IF(EJ$69=1,SUMIFS(dr_USD,dr_Mes,134,dr_Cod,"PREOP",dr_Est,"&lt;&gt;Excluido"),0)</f>
        <v>0</v>
      </c>
      <c r="EK140" s="13" t="n">
        <f aca="false">IF(EK$69=1,SUMIFS(dr_USD,dr_Mes,135,dr_Cod,"PREOP",dr_Est,"&lt;&gt;Excluido"),0)</f>
        <v>0</v>
      </c>
      <c r="EL140" s="13" t="n">
        <f aca="false">IF(EL$69=1,SUMIFS(dr_USD,dr_Mes,136,dr_Cod,"PREOP",dr_Est,"&lt;&gt;Excluido"),0)</f>
        <v>0</v>
      </c>
      <c r="EM140" s="13" t="n">
        <f aca="false">IF(EM$69=1,SUMIFS(dr_USD,dr_Mes,137,dr_Cod,"PREOP",dr_Est,"&lt;&gt;Excluido"),0)</f>
        <v>0</v>
      </c>
      <c r="EN140" s="13" t="n">
        <f aca="false">IF(EN$69=1,SUMIFS(dr_USD,dr_Mes,138,dr_Cod,"PREOP",dr_Est,"&lt;&gt;Excluido"),0)</f>
        <v>0</v>
      </c>
      <c r="EO140" s="13" t="n">
        <f aca="false">IF(EO$69=1,SUMIFS(dr_USD,dr_Mes,139,dr_Cod,"PREOP",dr_Est,"&lt;&gt;Excluido"),0)</f>
        <v>0</v>
      </c>
      <c r="EP140" s="13" t="n">
        <f aca="false">IF(EP$69=1,SUMIFS(dr_USD,dr_Mes,140,dr_Cod,"PREOP",dr_Est,"&lt;&gt;Excluido"),0)</f>
        <v>0</v>
      </c>
      <c r="EQ140" s="13" t="n">
        <f aca="false">IF(EQ$69=1,SUMIFS(dr_USD,dr_Mes,141,dr_Cod,"PREOP",dr_Est,"&lt;&gt;Excluido"),0)</f>
        <v>0</v>
      </c>
      <c r="ER140" s="13" t="n">
        <f aca="false">IF(ER$69=1,SUMIFS(dr_USD,dr_Mes,142,dr_Cod,"PREOP",dr_Est,"&lt;&gt;Excluido"),0)</f>
        <v>0</v>
      </c>
      <c r="ES140" s="13" t="n">
        <f aca="false">IF(ES$69=1,SUMIFS(dr_USD,dr_Mes,143,dr_Cod,"PREOP",dr_Est,"&lt;&gt;Excluido"),0)</f>
        <v>0</v>
      </c>
      <c r="ET140" s="13" t="n">
        <f aca="false">IF(ET$69=1,SUMIFS(dr_USD,dr_Mes,144,dr_Cod,"PREOP",dr_Est,"&lt;&gt;Excluido"),0)</f>
        <v>0</v>
      </c>
      <c r="EU140" s="13" t="n">
        <f aca="false">IF(EU$69=1,SUMIFS(dr_USD,dr_Mes,145,dr_Cod,"PREOP",dr_Est,"&lt;&gt;Excluido"),0)</f>
        <v>0</v>
      </c>
      <c r="EV140" s="13" t="n">
        <f aca="false">IF(EV$69=1,SUMIFS(dr_USD,dr_Mes,146,dr_Cod,"PREOP",dr_Est,"&lt;&gt;Excluido"),0)</f>
        <v>0</v>
      </c>
      <c r="EW140" s="13" t="n">
        <f aca="false">IF(EW$69=1,SUMIFS(dr_USD,dr_Mes,147,dr_Cod,"PREOP",dr_Est,"&lt;&gt;Excluido"),0)</f>
        <v>0</v>
      </c>
      <c r="EX140" s="13" t="n">
        <f aca="false">IF(EX$69=1,SUMIFS(dr_USD,dr_Mes,148,dr_Cod,"PREOP",dr_Est,"&lt;&gt;Excluido"),0)</f>
        <v>0</v>
      </c>
      <c r="EY140" s="13" t="n">
        <f aca="false">IF(EY$69=1,SUMIFS(dr_USD,dr_Mes,149,dr_Cod,"PREOP",dr_Est,"&lt;&gt;Excluido"),0)</f>
        <v>0</v>
      </c>
      <c r="EZ140" s="13" t="n">
        <f aca="false">IF(EZ$69=1,SUMIFS(dr_USD,dr_Mes,150,dr_Cod,"PREOP",dr_Est,"&lt;&gt;Excluido"),0)</f>
        <v>0</v>
      </c>
      <c r="FA140" s="13" t="n">
        <f aca="false">IF(FA$69=1,SUMIFS(dr_USD,dr_Mes,151,dr_Cod,"PREOP",dr_Est,"&lt;&gt;Excluido"),0)</f>
        <v>0</v>
      </c>
      <c r="FB140" s="13" t="n">
        <f aca="false">IF(FB$69=1,SUMIFS(dr_USD,dr_Mes,152,dr_Cod,"PREOP",dr_Est,"&lt;&gt;Excluido"),0)</f>
        <v>0</v>
      </c>
      <c r="FC140" s="13" t="n">
        <f aca="false">IF(FC$69=1,SUMIFS(dr_USD,dr_Mes,153,dr_Cod,"PREOP",dr_Est,"&lt;&gt;Excluido"),0)</f>
        <v>0</v>
      </c>
      <c r="FD140" s="13" t="n">
        <f aca="false">IF(FD$69=1,SUMIFS(dr_USD,dr_Mes,154,dr_Cod,"PREOP",dr_Est,"&lt;&gt;Excluido"),0)</f>
        <v>0</v>
      </c>
      <c r="FE140" s="13" t="n">
        <f aca="false">IF(FE$69=1,SUMIFS(dr_USD,dr_Mes,155,dr_Cod,"PREOP",dr_Est,"&lt;&gt;Excluido"),0)</f>
        <v>0</v>
      </c>
      <c r="FF140" s="13" t="n">
        <f aca="false">IF(FF$69=1,SUMIFS(dr_USD,dr_Mes,156,dr_Cod,"PREOP",dr_Est,"&lt;&gt;Excluido"),0)</f>
        <v>0</v>
      </c>
    </row>
    <row r="141" customFormat="false" ht="15" hidden="false" customHeight="false" outlineLevel="0" collapsed="false">
      <c r="A141" s="4"/>
      <c r="B141" s="3" t="s">
        <v>1120</v>
      </c>
      <c r="C141" s="4"/>
      <c r="D141" s="4"/>
      <c r="E141" s="4"/>
    </row>
    <row r="142" customFormat="false" ht="15" hidden="false" customHeight="false" outlineLevel="0" collapsed="false">
      <c r="A142" s="2" t="s">
        <v>1121</v>
      </c>
      <c r="B142" s="8" t="s">
        <v>1122</v>
      </c>
      <c r="C142" s="8" t="s">
        <v>255</v>
      </c>
      <c r="E142" s="65" t="n">
        <f aca="false">SUM($F142:$FF142)</f>
        <v>212677.888986405</v>
      </c>
      <c r="F142" s="13" t="n">
        <f aca="false">F$132*p_IVAalq/(1+p_IVAalq)+F$121*$G$46/(1+$G$46)+F$122*$G$47/(1+$G$47)+F$134*$G$48/(1+$G$48)+F$135*$G$49/(1+$G$49)+F$136*$G$50/(1+$G$50)+F$137*$G$51/(1+$G$51)+F$138*$G$52/(1+$G$52)</f>
        <v>0</v>
      </c>
      <c r="G142" s="13" t="n">
        <f aca="false">G$132*p_IVAalq/(1+p_IVAalq)+G$121*$G$46/(1+$G$46)+G$122*$G$47/(1+$G$47)+G$134*$G$48/(1+$G$48)+G$135*$G$49/(1+$G$49)+G$136*$G$50/(1+$G$50)+G$137*$G$51/(1+$G$51)+G$138*$G$52/(1+$G$52)</f>
        <v>1546</v>
      </c>
      <c r="H142" s="13" t="n">
        <f aca="false">H$132*p_IVAalq/(1+p_IVAalq)+H$121*$G$46/(1+$G$46)+H$122*$G$47/(1+$G$47)+H$134*$G$48/(1+$G$48)+H$135*$G$49/(1+$G$49)+H$136*$G$50/(1+$G$50)+H$137*$G$51/(1+$G$51)+H$138*$G$52/(1+$G$52)</f>
        <v>1546</v>
      </c>
      <c r="I142" s="13" t="n">
        <f aca="false">I$132*p_IVAalq/(1+p_IVAalq)+I$121*$G$46/(1+$G$46)+I$122*$G$47/(1+$G$47)+I$134*$G$48/(1+$G$48)+I$135*$G$49/(1+$G$49)+I$136*$G$50/(1+$G$50)+I$137*$G$51/(1+$G$51)+I$138*$G$52/(1+$G$52)</f>
        <v>1546</v>
      </c>
      <c r="J142" s="13" t="n">
        <f aca="false">J$132*p_IVAalq/(1+p_IVAalq)+J$121*$G$46/(1+$G$46)+J$122*$G$47/(1+$G$47)+J$134*$G$48/(1+$G$48)+J$135*$G$49/(1+$G$49)+J$136*$G$50/(1+$G$50)+J$137*$G$51/(1+$G$51)+J$138*$G$52/(1+$G$52)</f>
        <v>1546</v>
      </c>
      <c r="K142" s="13" t="n">
        <f aca="false">K$132*p_IVAalq/(1+p_IVAalq)+K$121*$G$46/(1+$G$46)+K$122*$G$47/(1+$G$47)+K$134*$G$48/(1+$G$48)+K$135*$G$49/(1+$G$49)+K$136*$G$50/(1+$G$50)+K$137*$G$51/(1+$G$51)+K$138*$G$52/(1+$G$52)</f>
        <v>1546</v>
      </c>
      <c r="L142" s="13" t="n">
        <f aca="false">L$132*p_IVAalq/(1+p_IVAalq)+L$121*$G$46/(1+$G$46)+L$122*$G$47/(1+$G$47)+L$134*$G$48/(1+$G$48)+L$135*$G$49/(1+$G$49)+L$136*$G$50/(1+$G$50)+L$137*$G$51/(1+$G$51)+L$138*$G$52/(1+$G$52)</f>
        <v>1546</v>
      </c>
      <c r="M142" s="13" t="n">
        <f aca="false">M$132*p_IVAalq/(1+p_IVAalq)+M$121*$G$46/(1+$G$46)+M$122*$G$47/(1+$G$47)+M$134*$G$48/(1+$G$48)+M$135*$G$49/(1+$G$49)+M$136*$G$50/(1+$G$50)+M$137*$G$51/(1+$G$51)+M$138*$G$52/(1+$G$52)</f>
        <v>1546</v>
      </c>
      <c r="N142" s="13" t="n">
        <f aca="false">N$132*p_IVAalq/(1+p_IVAalq)+N$121*$G$46/(1+$G$46)+N$122*$G$47/(1+$G$47)+N$134*$G$48/(1+$G$48)+N$135*$G$49/(1+$G$49)+N$136*$G$50/(1+$G$50)+N$137*$G$51/(1+$G$51)+N$138*$G$52/(1+$G$52)</f>
        <v>1546</v>
      </c>
      <c r="O142" s="13" t="n">
        <f aca="false">O$132*p_IVAalq/(1+p_IVAalq)+O$121*$G$46/(1+$G$46)+O$122*$G$47/(1+$G$47)+O$134*$G$48/(1+$G$48)+O$135*$G$49/(1+$G$49)+O$136*$G$50/(1+$G$50)+O$137*$G$51/(1+$G$51)+O$138*$G$52/(1+$G$52)</f>
        <v>1546</v>
      </c>
      <c r="P142" s="13" t="n">
        <f aca="false">P$132*p_IVAalq/(1+p_IVAalq)+P$121*$G$46/(1+$G$46)+P$122*$G$47/(1+$G$47)+P$134*$G$48/(1+$G$48)+P$135*$G$49/(1+$G$49)+P$136*$G$50/(1+$G$50)+P$137*$G$51/(1+$G$51)+P$138*$G$52/(1+$G$52)</f>
        <v>1546</v>
      </c>
      <c r="Q142" s="13" t="n">
        <f aca="false">Q$132*p_IVAalq/(1+p_IVAalq)+Q$121*$G$46/(1+$G$46)+Q$122*$G$47/(1+$G$47)+Q$134*$G$48/(1+$G$48)+Q$135*$G$49/(1+$G$49)+Q$136*$G$50/(1+$G$50)+Q$137*$G$51/(1+$G$51)+Q$138*$G$52/(1+$G$52)</f>
        <v>1546</v>
      </c>
      <c r="R142" s="13" t="n">
        <f aca="false">R$132*p_IVAalq/(1+p_IVAalq)+R$121*$G$46/(1+$G$46)+R$122*$G$47/(1+$G$47)+R$134*$G$48/(1+$G$48)+R$135*$G$49/(1+$G$49)+R$136*$G$50/(1+$G$50)+R$137*$G$51/(1+$G$51)+R$138*$G$52/(1+$G$52)</f>
        <v>1546</v>
      </c>
      <c r="S142" s="13" t="n">
        <f aca="false">S$132*p_IVAalq/(1+p_IVAalq)+S$121*$G$46/(1+$G$46)+S$122*$G$47/(1+$G$47)+S$134*$G$48/(1+$G$48)+S$135*$G$49/(1+$G$49)+S$136*$G$50/(1+$G$50)+S$137*$G$51/(1+$G$51)+S$138*$G$52/(1+$G$52)</f>
        <v>1592.38</v>
      </c>
      <c r="T142" s="13" t="n">
        <f aca="false">T$132*p_IVAalq/(1+p_IVAalq)+T$121*$G$46/(1+$G$46)+T$122*$G$47/(1+$G$47)+T$134*$G$48/(1+$G$48)+T$135*$G$49/(1+$G$49)+T$136*$G$50/(1+$G$50)+T$137*$G$51/(1+$G$51)+T$138*$G$52/(1+$G$52)</f>
        <v>1592.38</v>
      </c>
      <c r="U142" s="13" t="n">
        <f aca="false">U$132*p_IVAalq/(1+p_IVAalq)+U$121*$G$46/(1+$G$46)+U$122*$G$47/(1+$G$47)+U$134*$G$48/(1+$G$48)+U$135*$G$49/(1+$G$49)+U$136*$G$50/(1+$G$50)+U$137*$G$51/(1+$G$51)+U$138*$G$52/(1+$G$52)</f>
        <v>1592.38</v>
      </c>
      <c r="V142" s="13" t="n">
        <f aca="false">V$132*p_IVAalq/(1+p_IVAalq)+V$121*$G$46/(1+$G$46)+V$122*$G$47/(1+$G$47)+V$134*$G$48/(1+$G$48)+V$135*$G$49/(1+$G$49)+V$136*$G$50/(1+$G$50)+V$137*$G$51/(1+$G$51)+V$138*$G$52/(1+$G$52)</f>
        <v>1592.38</v>
      </c>
      <c r="W142" s="13" t="n">
        <f aca="false">W$132*p_IVAalq/(1+p_IVAalq)+W$121*$G$46/(1+$G$46)+W$122*$G$47/(1+$G$47)+W$134*$G$48/(1+$G$48)+W$135*$G$49/(1+$G$49)+W$136*$G$50/(1+$G$50)+W$137*$G$51/(1+$G$51)+W$138*$G$52/(1+$G$52)</f>
        <v>1592.38</v>
      </c>
      <c r="X142" s="13" t="n">
        <f aca="false">X$132*p_IVAalq/(1+p_IVAalq)+X$121*$G$46/(1+$G$46)+X$122*$G$47/(1+$G$47)+X$134*$G$48/(1+$G$48)+X$135*$G$49/(1+$G$49)+X$136*$G$50/(1+$G$50)+X$137*$G$51/(1+$G$51)+X$138*$G$52/(1+$G$52)</f>
        <v>1592.38</v>
      </c>
      <c r="Y142" s="13" t="n">
        <f aca="false">Y$132*p_IVAalq/(1+p_IVAalq)+Y$121*$G$46/(1+$G$46)+Y$122*$G$47/(1+$G$47)+Y$134*$G$48/(1+$G$48)+Y$135*$G$49/(1+$G$49)+Y$136*$G$50/(1+$G$50)+Y$137*$G$51/(1+$G$51)+Y$138*$G$52/(1+$G$52)</f>
        <v>1592.38</v>
      </c>
      <c r="Z142" s="13" t="n">
        <f aca="false">Z$132*p_IVAalq/(1+p_IVAalq)+Z$121*$G$46/(1+$G$46)+Z$122*$G$47/(1+$G$47)+Z$134*$G$48/(1+$G$48)+Z$135*$G$49/(1+$G$49)+Z$136*$G$50/(1+$G$50)+Z$137*$G$51/(1+$G$51)+Z$138*$G$52/(1+$G$52)</f>
        <v>1592.38</v>
      </c>
      <c r="AA142" s="13" t="n">
        <f aca="false">AA$132*p_IVAalq/(1+p_IVAalq)+AA$121*$G$46/(1+$G$46)+AA$122*$G$47/(1+$G$47)+AA$134*$G$48/(1+$G$48)+AA$135*$G$49/(1+$G$49)+AA$136*$G$50/(1+$G$50)+AA$137*$G$51/(1+$G$51)+AA$138*$G$52/(1+$G$52)</f>
        <v>1592.38</v>
      </c>
      <c r="AB142" s="13" t="n">
        <f aca="false">AB$132*p_IVAalq/(1+p_IVAalq)+AB$121*$G$46/(1+$G$46)+AB$122*$G$47/(1+$G$47)+AB$134*$G$48/(1+$G$48)+AB$135*$G$49/(1+$G$49)+AB$136*$G$50/(1+$G$50)+AB$137*$G$51/(1+$G$51)+AB$138*$G$52/(1+$G$52)</f>
        <v>1592.38</v>
      </c>
      <c r="AC142" s="13" t="n">
        <f aca="false">AC$132*p_IVAalq/(1+p_IVAalq)+AC$121*$G$46/(1+$G$46)+AC$122*$G$47/(1+$G$47)+AC$134*$G$48/(1+$G$48)+AC$135*$G$49/(1+$G$49)+AC$136*$G$50/(1+$G$50)+AC$137*$G$51/(1+$G$51)+AC$138*$G$52/(1+$G$52)</f>
        <v>1592.38</v>
      </c>
      <c r="AD142" s="13" t="n">
        <f aca="false">AD$132*p_IVAalq/(1+p_IVAalq)+AD$121*$G$46/(1+$G$46)+AD$122*$G$47/(1+$G$47)+AD$134*$G$48/(1+$G$48)+AD$135*$G$49/(1+$G$49)+AD$136*$G$50/(1+$G$50)+AD$137*$G$51/(1+$G$51)+AD$138*$G$52/(1+$G$52)</f>
        <v>1592.38</v>
      </c>
      <c r="AE142" s="13" t="n">
        <f aca="false">AE$132*p_IVAalq/(1+p_IVAalq)+AE$121*$G$46/(1+$G$46)+AE$122*$G$47/(1+$G$47)+AE$134*$G$48/(1+$G$48)+AE$135*$G$49/(1+$G$49)+AE$136*$G$50/(1+$G$50)+AE$137*$G$51/(1+$G$51)+AE$138*$G$52/(1+$G$52)</f>
        <v>1640.1514</v>
      </c>
      <c r="AF142" s="13" t="n">
        <f aca="false">AF$132*p_IVAalq/(1+p_IVAalq)+AF$121*$G$46/(1+$G$46)+AF$122*$G$47/(1+$G$47)+AF$134*$G$48/(1+$G$48)+AF$135*$G$49/(1+$G$49)+AF$136*$G$50/(1+$G$50)+AF$137*$G$51/(1+$G$51)+AF$138*$G$52/(1+$G$52)</f>
        <v>1640.1514</v>
      </c>
      <c r="AG142" s="13" t="n">
        <f aca="false">AG$132*p_IVAalq/(1+p_IVAalq)+AG$121*$G$46/(1+$G$46)+AG$122*$G$47/(1+$G$47)+AG$134*$G$48/(1+$G$48)+AG$135*$G$49/(1+$G$49)+AG$136*$G$50/(1+$G$50)+AG$137*$G$51/(1+$G$51)+AG$138*$G$52/(1+$G$52)</f>
        <v>1640.1514</v>
      </c>
      <c r="AH142" s="13" t="n">
        <f aca="false">AH$132*p_IVAalq/(1+p_IVAalq)+AH$121*$G$46/(1+$G$46)+AH$122*$G$47/(1+$G$47)+AH$134*$G$48/(1+$G$48)+AH$135*$G$49/(1+$G$49)+AH$136*$G$50/(1+$G$50)+AH$137*$G$51/(1+$G$51)+AH$138*$G$52/(1+$G$52)</f>
        <v>1640.1514</v>
      </c>
      <c r="AI142" s="13" t="n">
        <f aca="false">AI$132*p_IVAalq/(1+p_IVAalq)+AI$121*$G$46/(1+$G$46)+AI$122*$G$47/(1+$G$47)+AI$134*$G$48/(1+$G$48)+AI$135*$G$49/(1+$G$49)+AI$136*$G$50/(1+$G$50)+AI$137*$G$51/(1+$G$51)+AI$138*$G$52/(1+$G$52)</f>
        <v>1640.1514</v>
      </c>
      <c r="AJ142" s="13" t="n">
        <f aca="false">AJ$132*p_IVAalq/(1+p_IVAalq)+AJ$121*$G$46/(1+$G$46)+AJ$122*$G$47/(1+$G$47)+AJ$134*$G$48/(1+$G$48)+AJ$135*$G$49/(1+$G$49)+AJ$136*$G$50/(1+$G$50)+AJ$137*$G$51/(1+$G$51)+AJ$138*$G$52/(1+$G$52)</f>
        <v>1640.1514</v>
      </c>
      <c r="AK142" s="13" t="n">
        <f aca="false">AK$132*p_IVAalq/(1+p_IVAalq)+AK$121*$G$46/(1+$G$46)+AK$122*$G$47/(1+$G$47)+AK$134*$G$48/(1+$G$48)+AK$135*$G$49/(1+$G$49)+AK$136*$G$50/(1+$G$50)+AK$137*$G$51/(1+$G$51)+AK$138*$G$52/(1+$G$52)</f>
        <v>1640.1514</v>
      </c>
      <c r="AL142" s="13" t="n">
        <f aca="false">AL$132*p_IVAalq/(1+p_IVAalq)+AL$121*$G$46/(1+$G$46)+AL$122*$G$47/(1+$G$47)+AL$134*$G$48/(1+$G$48)+AL$135*$G$49/(1+$G$49)+AL$136*$G$50/(1+$G$50)+AL$137*$G$51/(1+$G$51)+AL$138*$G$52/(1+$G$52)</f>
        <v>1640.1514</v>
      </c>
      <c r="AM142" s="13" t="n">
        <f aca="false">AM$132*p_IVAalq/(1+p_IVAalq)+AM$121*$G$46/(1+$G$46)+AM$122*$G$47/(1+$G$47)+AM$134*$G$48/(1+$G$48)+AM$135*$G$49/(1+$G$49)+AM$136*$G$50/(1+$G$50)+AM$137*$G$51/(1+$G$51)+AM$138*$G$52/(1+$G$52)</f>
        <v>1640.1514</v>
      </c>
      <c r="AN142" s="13" t="n">
        <f aca="false">AN$132*p_IVAalq/(1+p_IVAalq)+AN$121*$G$46/(1+$G$46)+AN$122*$G$47/(1+$G$47)+AN$134*$G$48/(1+$G$48)+AN$135*$G$49/(1+$G$49)+AN$136*$G$50/(1+$G$50)+AN$137*$G$51/(1+$G$51)+AN$138*$G$52/(1+$G$52)</f>
        <v>1640.1514</v>
      </c>
      <c r="AO142" s="13" t="n">
        <f aca="false">AO$132*p_IVAalq/(1+p_IVAalq)+AO$121*$G$46/(1+$G$46)+AO$122*$G$47/(1+$G$47)+AO$134*$G$48/(1+$G$48)+AO$135*$G$49/(1+$G$49)+AO$136*$G$50/(1+$G$50)+AO$137*$G$51/(1+$G$51)+AO$138*$G$52/(1+$G$52)</f>
        <v>1640.1514</v>
      </c>
      <c r="AP142" s="13" t="n">
        <f aca="false">AP$132*p_IVAalq/(1+p_IVAalq)+AP$121*$G$46/(1+$G$46)+AP$122*$G$47/(1+$G$47)+AP$134*$G$48/(1+$G$48)+AP$135*$G$49/(1+$G$49)+AP$136*$G$50/(1+$G$50)+AP$137*$G$51/(1+$G$51)+AP$138*$G$52/(1+$G$52)</f>
        <v>1640.1514</v>
      </c>
      <c r="AQ142" s="13" t="n">
        <f aca="false">AQ$132*p_IVAalq/(1+p_IVAalq)+AQ$121*$G$46/(1+$G$46)+AQ$122*$G$47/(1+$G$47)+AQ$134*$G$48/(1+$G$48)+AQ$135*$G$49/(1+$G$49)+AQ$136*$G$50/(1+$G$50)+AQ$137*$G$51/(1+$G$51)+AQ$138*$G$52/(1+$G$52)</f>
        <v>1689.355942</v>
      </c>
      <c r="AR142" s="13" t="n">
        <f aca="false">AR$132*p_IVAalq/(1+p_IVAalq)+AR$121*$G$46/(1+$G$46)+AR$122*$G$47/(1+$G$47)+AR$134*$G$48/(1+$G$48)+AR$135*$G$49/(1+$G$49)+AR$136*$G$50/(1+$G$50)+AR$137*$G$51/(1+$G$51)+AR$138*$G$52/(1+$G$52)</f>
        <v>1689.355942</v>
      </c>
      <c r="AS142" s="13" t="n">
        <f aca="false">AS$132*p_IVAalq/(1+p_IVAalq)+AS$121*$G$46/(1+$G$46)+AS$122*$G$47/(1+$G$47)+AS$134*$G$48/(1+$G$48)+AS$135*$G$49/(1+$G$49)+AS$136*$G$50/(1+$G$50)+AS$137*$G$51/(1+$G$51)+AS$138*$G$52/(1+$G$52)</f>
        <v>1689.355942</v>
      </c>
      <c r="AT142" s="13" t="n">
        <f aca="false">AT$132*p_IVAalq/(1+p_IVAalq)+AT$121*$G$46/(1+$G$46)+AT$122*$G$47/(1+$G$47)+AT$134*$G$48/(1+$G$48)+AT$135*$G$49/(1+$G$49)+AT$136*$G$50/(1+$G$50)+AT$137*$G$51/(1+$G$51)+AT$138*$G$52/(1+$G$52)</f>
        <v>1689.355942</v>
      </c>
      <c r="AU142" s="13" t="n">
        <f aca="false">AU$132*p_IVAalq/(1+p_IVAalq)+AU$121*$G$46/(1+$G$46)+AU$122*$G$47/(1+$G$47)+AU$134*$G$48/(1+$G$48)+AU$135*$G$49/(1+$G$49)+AU$136*$G$50/(1+$G$50)+AU$137*$G$51/(1+$G$51)+AU$138*$G$52/(1+$G$52)</f>
        <v>1689.355942</v>
      </c>
      <c r="AV142" s="13" t="n">
        <f aca="false">AV$132*p_IVAalq/(1+p_IVAalq)+AV$121*$G$46/(1+$G$46)+AV$122*$G$47/(1+$G$47)+AV$134*$G$48/(1+$G$48)+AV$135*$G$49/(1+$G$49)+AV$136*$G$50/(1+$G$50)+AV$137*$G$51/(1+$G$51)+AV$138*$G$52/(1+$G$52)</f>
        <v>1689.355942</v>
      </c>
      <c r="AW142" s="13" t="n">
        <f aca="false">AW$132*p_IVAalq/(1+p_IVAalq)+AW$121*$G$46/(1+$G$46)+AW$122*$G$47/(1+$G$47)+AW$134*$G$48/(1+$G$48)+AW$135*$G$49/(1+$G$49)+AW$136*$G$50/(1+$G$50)+AW$137*$G$51/(1+$G$51)+AW$138*$G$52/(1+$G$52)</f>
        <v>1689.355942</v>
      </c>
      <c r="AX142" s="13" t="n">
        <f aca="false">AX$132*p_IVAalq/(1+p_IVAalq)+AX$121*$G$46/(1+$G$46)+AX$122*$G$47/(1+$G$47)+AX$134*$G$48/(1+$G$48)+AX$135*$G$49/(1+$G$49)+AX$136*$G$50/(1+$G$50)+AX$137*$G$51/(1+$G$51)+AX$138*$G$52/(1+$G$52)</f>
        <v>1689.355942</v>
      </c>
      <c r="AY142" s="13" t="n">
        <f aca="false">AY$132*p_IVAalq/(1+p_IVAalq)+AY$121*$G$46/(1+$G$46)+AY$122*$G$47/(1+$G$47)+AY$134*$G$48/(1+$G$48)+AY$135*$G$49/(1+$G$49)+AY$136*$G$50/(1+$G$50)+AY$137*$G$51/(1+$G$51)+AY$138*$G$52/(1+$G$52)</f>
        <v>1689.355942</v>
      </c>
      <c r="AZ142" s="13" t="n">
        <f aca="false">AZ$132*p_IVAalq/(1+p_IVAalq)+AZ$121*$G$46/(1+$G$46)+AZ$122*$G$47/(1+$G$47)+AZ$134*$G$48/(1+$G$48)+AZ$135*$G$49/(1+$G$49)+AZ$136*$G$50/(1+$G$50)+AZ$137*$G$51/(1+$G$51)+AZ$138*$G$52/(1+$G$52)</f>
        <v>1689.355942</v>
      </c>
      <c r="BA142" s="13" t="n">
        <f aca="false">BA$132*p_IVAalq/(1+p_IVAalq)+BA$121*$G$46/(1+$G$46)+BA$122*$G$47/(1+$G$47)+BA$134*$G$48/(1+$G$48)+BA$135*$G$49/(1+$G$49)+BA$136*$G$50/(1+$G$50)+BA$137*$G$51/(1+$G$51)+BA$138*$G$52/(1+$G$52)</f>
        <v>1689.355942</v>
      </c>
      <c r="BB142" s="13" t="n">
        <f aca="false">BB$132*p_IVAalq/(1+p_IVAalq)+BB$121*$G$46/(1+$G$46)+BB$122*$G$47/(1+$G$47)+BB$134*$G$48/(1+$G$48)+BB$135*$G$49/(1+$G$49)+BB$136*$G$50/(1+$G$50)+BB$137*$G$51/(1+$G$51)+BB$138*$G$52/(1+$G$52)</f>
        <v>1689.355942</v>
      </c>
      <c r="BC142" s="13" t="n">
        <f aca="false">BC$132*p_IVAalq/(1+p_IVAalq)+BC$121*$G$46/(1+$G$46)+BC$122*$G$47/(1+$G$47)+BC$134*$G$48/(1+$G$48)+BC$135*$G$49/(1+$G$49)+BC$136*$G$50/(1+$G$50)+BC$137*$G$51/(1+$G$51)+BC$138*$G$52/(1+$G$52)</f>
        <v>1740.03662026</v>
      </c>
      <c r="BD142" s="13" t="n">
        <f aca="false">BD$132*p_IVAalq/(1+p_IVAalq)+BD$121*$G$46/(1+$G$46)+BD$122*$G$47/(1+$G$47)+BD$134*$G$48/(1+$G$48)+BD$135*$G$49/(1+$G$49)+BD$136*$G$50/(1+$G$50)+BD$137*$G$51/(1+$G$51)+BD$138*$G$52/(1+$G$52)</f>
        <v>1740.03662026</v>
      </c>
      <c r="BE142" s="13" t="n">
        <f aca="false">BE$132*p_IVAalq/(1+p_IVAalq)+BE$121*$G$46/(1+$G$46)+BE$122*$G$47/(1+$G$47)+BE$134*$G$48/(1+$G$48)+BE$135*$G$49/(1+$G$49)+BE$136*$G$50/(1+$G$50)+BE$137*$G$51/(1+$G$51)+BE$138*$G$52/(1+$G$52)</f>
        <v>1740.03662026</v>
      </c>
      <c r="BF142" s="13" t="n">
        <f aca="false">BF$132*p_IVAalq/(1+p_IVAalq)+BF$121*$G$46/(1+$G$46)+BF$122*$G$47/(1+$G$47)+BF$134*$G$48/(1+$G$48)+BF$135*$G$49/(1+$G$49)+BF$136*$G$50/(1+$G$50)+BF$137*$G$51/(1+$G$51)+BF$138*$G$52/(1+$G$52)</f>
        <v>1740.03662026</v>
      </c>
      <c r="BG142" s="13" t="n">
        <f aca="false">BG$132*p_IVAalq/(1+p_IVAalq)+BG$121*$G$46/(1+$G$46)+BG$122*$G$47/(1+$G$47)+BG$134*$G$48/(1+$G$48)+BG$135*$G$49/(1+$G$49)+BG$136*$G$50/(1+$G$50)+BG$137*$G$51/(1+$G$51)+BG$138*$G$52/(1+$G$52)</f>
        <v>1740.03662026</v>
      </c>
      <c r="BH142" s="13" t="n">
        <f aca="false">BH$132*p_IVAalq/(1+p_IVAalq)+BH$121*$G$46/(1+$G$46)+BH$122*$G$47/(1+$G$47)+BH$134*$G$48/(1+$G$48)+BH$135*$G$49/(1+$G$49)+BH$136*$G$50/(1+$G$50)+BH$137*$G$51/(1+$G$51)+BH$138*$G$52/(1+$G$52)</f>
        <v>1740.03662026</v>
      </c>
      <c r="BI142" s="13" t="n">
        <f aca="false">BI$132*p_IVAalq/(1+p_IVAalq)+BI$121*$G$46/(1+$G$46)+BI$122*$G$47/(1+$G$47)+BI$134*$G$48/(1+$G$48)+BI$135*$G$49/(1+$G$49)+BI$136*$G$50/(1+$G$50)+BI$137*$G$51/(1+$G$51)+BI$138*$G$52/(1+$G$52)</f>
        <v>1740.03662026</v>
      </c>
      <c r="BJ142" s="13" t="n">
        <f aca="false">BJ$132*p_IVAalq/(1+p_IVAalq)+BJ$121*$G$46/(1+$G$46)+BJ$122*$G$47/(1+$G$47)+BJ$134*$G$48/(1+$G$48)+BJ$135*$G$49/(1+$G$49)+BJ$136*$G$50/(1+$G$50)+BJ$137*$G$51/(1+$G$51)+BJ$138*$G$52/(1+$G$52)</f>
        <v>1740.03662026</v>
      </c>
      <c r="BK142" s="13" t="n">
        <f aca="false">BK$132*p_IVAalq/(1+p_IVAalq)+BK$121*$G$46/(1+$G$46)+BK$122*$G$47/(1+$G$47)+BK$134*$G$48/(1+$G$48)+BK$135*$G$49/(1+$G$49)+BK$136*$G$50/(1+$G$50)+BK$137*$G$51/(1+$G$51)+BK$138*$G$52/(1+$G$52)</f>
        <v>1740.03662026</v>
      </c>
      <c r="BL142" s="13" t="n">
        <f aca="false">BL$132*p_IVAalq/(1+p_IVAalq)+BL$121*$G$46/(1+$G$46)+BL$122*$G$47/(1+$G$47)+BL$134*$G$48/(1+$G$48)+BL$135*$G$49/(1+$G$49)+BL$136*$G$50/(1+$G$50)+BL$137*$G$51/(1+$G$51)+BL$138*$G$52/(1+$G$52)</f>
        <v>1740.03662026</v>
      </c>
      <c r="BM142" s="13" t="n">
        <f aca="false">BM$132*p_IVAalq/(1+p_IVAalq)+BM$121*$G$46/(1+$G$46)+BM$122*$G$47/(1+$G$47)+BM$134*$G$48/(1+$G$48)+BM$135*$G$49/(1+$G$49)+BM$136*$G$50/(1+$G$50)+BM$137*$G$51/(1+$G$51)+BM$138*$G$52/(1+$G$52)</f>
        <v>1740.03662026</v>
      </c>
      <c r="BN142" s="13" t="n">
        <f aca="false">BN$132*p_IVAalq/(1+p_IVAalq)+BN$121*$G$46/(1+$G$46)+BN$122*$G$47/(1+$G$47)+BN$134*$G$48/(1+$G$48)+BN$135*$G$49/(1+$G$49)+BN$136*$G$50/(1+$G$50)+BN$137*$G$51/(1+$G$51)+BN$138*$G$52/(1+$G$52)</f>
        <v>1740.03662026</v>
      </c>
      <c r="BO142" s="13" t="n">
        <f aca="false">BO$132*p_IVAalq/(1+p_IVAalq)+BO$121*$G$46/(1+$G$46)+BO$122*$G$47/(1+$G$47)+BO$134*$G$48/(1+$G$48)+BO$135*$G$49/(1+$G$49)+BO$136*$G$50/(1+$G$50)+BO$137*$G$51/(1+$G$51)+BO$138*$G$52/(1+$G$52)</f>
        <v>1792.2377188678</v>
      </c>
      <c r="BP142" s="13" t="n">
        <f aca="false">BP$132*p_IVAalq/(1+p_IVAalq)+BP$121*$G$46/(1+$G$46)+BP$122*$G$47/(1+$G$47)+BP$134*$G$48/(1+$G$48)+BP$135*$G$49/(1+$G$49)+BP$136*$G$50/(1+$G$50)+BP$137*$G$51/(1+$G$51)+BP$138*$G$52/(1+$G$52)</f>
        <v>1792.2377188678</v>
      </c>
      <c r="BQ142" s="13" t="n">
        <f aca="false">BQ$132*p_IVAalq/(1+p_IVAalq)+BQ$121*$G$46/(1+$G$46)+BQ$122*$G$47/(1+$G$47)+BQ$134*$G$48/(1+$G$48)+BQ$135*$G$49/(1+$G$49)+BQ$136*$G$50/(1+$G$50)+BQ$137*$G$51/(1+$G$51)+BQ$138*$G$52/(1+$G$52)</f>
        <v>1792.2377188678</v>
      </c>
      <c r="BR142" s="13" t="n">
        <f aca="false">BR$132*p_IVAalq/(1+p_IVAalq)+BR$121*$G$46/(1+$G$46)+BR$122*$G$47/(1+$G$47)+BR$134*$G$48/(1+$G$48)+BR$135*$G$49/(1+$G$49)+BR$136*$G$50/(1+$G$50)+BR$137*$G$51/(1+$G$51)+BR$138*$G$52/(1+$G$52)</f>
        <v>1792.2377188678</v>
      </c>
      <c r="BS142" s="13" t="n">
        <f aca="false">BS$132*p_IVAalq/(1+p_IVAalq)+BS$121*$G$46/(1+$G$46)+BS$122*$G$47/(1+$G$47)+BS$134*$G$48/(1+$G$48)+BS$135*$G$49/(1+$G$49)+BS$136*$G$50/(1+$G$50)+BS$137*$G$51/(1+$G$51)+BS$138*$G$52/(1+$G$52)</f>
        <v>1792.2377188678</v>
      </c>
      <c r="BT142" s="13" t="n">
        <f aca="false">BT$132*p_IVAalq/(1+p_IVAalq)+BT$121*$G$46/(1+$G$46)+BT$122*$G$47/(1+$G$47)+BT$134*$G$48/(1+$G$48)+BT$135*$G$49/(1+$G$49)+BT$136*$G$50/(1+$G$50)+BT$137*$G$51/(1+$G$51)+BT$138*$G$52/(1+$G$52)</f>
        <v>1792.2377188678</v>
      </c>
      <c r="BU142" s="13" t="n">
        <f aca="false">BU$132*p_IVAalq/(1+p_IVAalq)+BU$121*$G$46/(1+$G$46)+BU$122*$G$47/(1+$G$47)+BU$134*$G$48/(1+$G$48)+BU$135*$G$49/(1+$G$49)+BU$136*$G$50/(1+$G$50)+BU$137*$G$51/(1+$G$51)+BU$138*$G$52/(1+$G$52)</f>
        <v>1792.2377188678</v>
      </c>
      <c r="BV142" s="13" t="n">
        <f aca="false">BV$132*p_IVAalq/(1+p_IVAalq)+BV$121*$G$46/(1+$G$46)+BV$122*$G$47/(1+$G$47)+BV$134*$G$48/(1+$G$48)+BV$135*$G$49/(1+$G$49)+BV$136*$G$50/(1+$G$50)+BV$137*$G$51/(1+$G$51)+BV$138*$G$52/(1+$G$52)</f>
        <v>1792.2377188678</v>
      </c>
      <c r="BW142" s="13" t="n">
        <f aca="false">BW$132*p_IVAalq/(1+p_IVAalq)+BW$121*$G$46/(1+$G$46)+BW$122*$G$47/(1+$G$47)+BW$134*$G$48/(1+$G$48)+BW$135*$G$49/(1+$G$49)+BW$136*$G$50/(1+$G$50)+BW$137*$G$51/(1+$G$51)+BW$138*$G$52/(1+$G$52)</f>
        <v>1792.2377188678</v>
      </c>
      <c r="BX142" s="13" t="n">
        <f aca="false">BX$132*p_IVAalq/(1+p_IVAalq)+BX$121*$G$46/(1+$G$46)+BX$122*$G$47/(1+$G$47)+BX$134*$G$48/(1+$G$48)+BX$135*$G$49/(1+$G$49)+BX$136*$G$50/(1+$G$50)+BX$137*$G$51/(1+$G$51)+BX$138*$G$52/(1+$G$52)</f>
        <v>1792.2377188678</v>
      </c>
      <c r="BY142" s="13" t="n">
        <f aca="false">BY$132*p_IVAalq/(1+p_IVAalq)+BY$121*$G$46/(1+$G$46)+BY$122*$G$47/(1+$G$47)+BY$134*$G$48/(1+$G$48)+BY$135*$G$49/(1+$G$49)+BY$136*$G$50/(1+$G$50)+BY$137*$G$51/(1+$G$51)+BY$138*$G$52/(1+$G$52)</f>
        <v>1792.2377188678</v>
      </c>
      <c r="BZ142" s="13" t="n">
        <f aca="false">BZ$132*p_IVAalq/(1+p_IVAalq)+BZ$121*$G$46/(1+$G$46)+BZ$122*$G$47/(1+$G$47)+BZ$134*$G$48/(1+$G$48)+BZ$135*$G$49/(1+$G$49)+BZ$136*$G$50/(1+$G$50)+BZ$137*$G$51/(1+$G$51)+BZ$138*$G$52/(1+$G$52)</f>
        <v>1792.2377188678</v>
      </c>
      <c r="CA142" s="13" t="n">
        <f aca="false">CA$132*p_IVAalq/(1+p_IVAalq)+CA$121*$G$46/(1+$G$46)+CA$122*$G$47/(1+$G$47)+CA$134*$G$48/(1+$G$48)+CA$135*$G$49/(1+$G$49)+CA$136*$G$50/(1+$G$50)+CA$137*$G$51/(1+$G$51)+CA$138*$G$52/(1+$G$52)</f>
        <v>1846.00485043383</v>
      </c>
      <c r="CB142" s="13" t="n">
        <f aca="false">CB$132*p_IVAalq/(1+p_IVAalq)+CB$121*$G$46/(1+$G$46)+CB$122*$G$47/(1+$G$47)+CB$134*$G$48/(1+$G$48)+CB$135*$G$49/(1+$G$49)+CB$136*$G$50/(1+$G$50)+CB$137*$G$51/(1+$G$51)+CB$138*$G$52/(1+$G$52)</f>
        <v>1846.00485043383</v>
      </c>
      <c r="CC142" s="13" t="n">
        <f aca="false">CC$132*p_IVAalq/(1+p_IVAalq)+CC$121*$G$46/(1+$G$46)+CC$122*$G$47/(1+$G$47)+CC$134*$G$48/(1+$G$48)+CC$135*$G$49/(1+$G$49)+CC$136*$G$50/(1+$G$50)+CC$137*$G$51/(1+$G$51)+CC$138*$G$52/(1+$G$52)</f>
        <v>1846.00485043383</v>
      </c>
      <c r="CD142" s="13" t="n">
        <f aca="false">CD$132*p_IVAalq/(1+p_IVAalq)+CD$121*$G$46/(1+$G$46)+CD$122*$G$47/(1+$G$47)+CD$134*$G$48/(1+$G$48)+CD$135*$G$49/(1+$G$49)+CD$136*$G$50/(1+$G$50)+CD$137*$G$51/(1+$G$51)+CD$138*$G$52/(1+$G$52)</f>
        <v>1846.00485043383</v>
      </c>
      <c r="CE142" s="13" t="n">
        <f aca="false">CE$132*p_IVAalq/(1+p_IVAalq)+CE$121*$G$46/(1+$G$46)+CE$122*$G$47/(1+$G$47)+CE$134*$G$48/(1+$G$48)+CE$135*$G$49/(1+$G$49)+CE$136*$G$50/(1+$G$50)+CE$137*$G$51/(1+$G$51)+CE$138*$G$52/(1+$G$52)</f>
        <v>1846.00485043383</v>
      </c>
      <c r="CF142" s="13" t="n">
        <f aca="false">CF$132*p_IVAalq/(1+p_IVAalq)+CF$121*$G$46/(1+$G$46)+CF$122*$G$47/(1+$G$47)+CF$134*$G$48/(1+$G$48)+CF$135*$G$49/(1+$G$49)+CF$136*$G$50/(1+$G$50)+CF$137*$G$51/(1+$G$51)+CF$138*$G$52/(1+$G$52)</f>
        <v>1846.00485043383</v>
      </c>
      <c r="CG142" s="13" t="n">
        <f aca="false">CG$132*p_IVAalq/(1+p_IVAalq)+CG$121*$G$46/(1+$G$46)+CG$122*$G$47/(1+$G$47)+CG$134*$G$48/(1+$G$48)+CG$135*$G$49/(1+$G$49)+CG$136*$G$50/(1+$G$50)+CG$137*$G$51/(1+$G$51)+CG$138*$G$52/(1+$G$52)</f>
        <v>1846.00485043383</v>
      </c>
      <c r="CH142" s="13" t="n">
        <f aca="false">CH$132*p_IVAalq/(1+p_IVAalq)+CH$121*$G$46/(1+$G$46)+CH$122*$G$47/(1+$G$47)+CH$134*$G$48/(1+$G$48)+CH$135*$G$49/(1+$G$49)+CH$136*$G$50/(1+$G$50)+CH$137*$G$51/(1+$G$51)+CH$138*$G$52/(1+$G$52)</f>
        <v>1846.00485043383</v>
      </c>
      <c r="CI142" s="13" t="n">
        <f aca="false">CI$132*p_IVAalq/(1+p_IVAalq)+CI$121*$G$46/(1+$G$46)+CI$122*$G$47/(1+$G$47)+CI$134*$G$48/(1+$G$48)+CI$135*$G$49/(1+$G$49)+CI$136*$G$50/(1+$G$50)+CI$137*$G$51/(1+$G$51)+CI$138*$G$52/(1+$G$52)</f>
        <v>1846.00485043383</v>
      </c>
      <c r="CJ142" s="13" t="n">
        <f aca="false">CJ$132*p_IVAalq/(1+p_IVAalq)+CJ$121*$G$46/(1+$G$46)+CJ$122*$G$47/(1+$G$47)+CJ$134*$G$48/(1+$G$48)+CJ$135*$G$49/(1+$G$49)+CJ$136*$G$50/(1+$G$50)+CJ$137*$G$51/(1+$G$51)+CJ$138*$G$52/(1+$G$52)</f>
        <v>1846.00485043383</v>
      </c>
      <c r="CK142" s="13" t="n">
        <f aca="false">CK$132*p_IVAalq/(1+p_IVAalq)+CK$121*$G$46/(1+$G$46)+CK$122*$G$47/(1+$G$47)+CK$134*$G$48/(1+$G$48)+CK$135*$G$49/(1+$G$49)+CK$136*$G$50/(1+$G$50)+CK$137*$G$51/(1+$G$51)+CK$138*$G$52/(1+$G$52)</f>
        <v>1846.00485043383</v>
      </c>
      <c r="CL142" s="13" t="n">
        <f aca="false">CL$132*p_IVAalq/(1+p_IVAalq)+CL$121*$G$46/(1+$G$46)+CL$122*$G$47/(1+$G$47)+CL$134*$G$48/(1+$G$48)+CL$135*$G$49/(1+$G$49)+CL$136*$G$50/(1+$G$50)+CL$137*$G$51/(1+$G$51)+CL$138*$G$52/(1+$G$52)</f>
        <v>1846.00485043383</v>
      </c>
      <c r="CM142" s="13" t="n">
        <f aca="false">CM$132*p_IVAalq/(1+p_IVAalq)+CM$121*$G$46/(1+$G$46)+CM$122*$G$47/(1+$G$47)+CM$134*$G$48/(1+$G$48)+CM$135*$G$49/(1+$G$49)+CM$136*$G$50/(1+$G$50)+CM$137*$G$51/(1+$G$51)+CM$138*$G$52/(1+$G$52)</f>
        <v>1901.38499594685</v>
      </c>
      <c r="CN142" s="13" t="n">
        <f aca="false">CN$132*p_IVAalq/(1+p_IVAalq)+CN$121*$G$46/(1+$G$46)+CN$122*$G$47/(1+$G$47)+CN$134*$G$48/(1+$G$48)+CN$135*$G$49/(1+$G$49)+CN$136*$G$50/(1+$G$50)+CN$137*$G$51/(1+$G$51)+CN$138*$G$52/(1+$G$52)</f>
        <v>1901.38499594685</v>
      </c>
      <c r="CO142" s="13" t="n">
        <f aca="false">CO$132*p_IVAalq/(1+p_IVAalq)+CO$121*$G$46/(1+$G$46)+CO$122*$G$47/(1+$G$47)+CO$134*$G$48/(1+$G$48)+CO$135*$G$49/(1+$G$49)+CO$136*$G$50/(1+$G$50)+CO$137*$G$51/(1+$G$51)+CO$138*$G$52/(1+$G$52)</f>
        <v>1901.38499594685</v>
      </c>
      <c r="CP142" s="13" t="n">
        <f aca="false">CP$132*p_IVAalq/(1+p_IVAalq)+CP$121*$G$46/(1+$G$46)+CP$122*$G$47/(1+$G$47)+CP$134*$G$48/(1+$G$48)+CP$135*$G$49/(1+$G$49)+CP$136*$G$50/(1+$G$50)+CP$137*$G$51/(1+$G$51)+CP$138*$G$52/(1+$G$52)</f>
        <v>1901.38499594685</v>
      </c>
      <c r="CQ142" s="13" t="n">
        <f aca="false">CQ$132*p_IVAalq/(1+p_IVAalq)+CQ$121*$G$46/(1+$G$46)+CQ$122*$G$47/(1+$G$47)+CQ$134*$G$48/(1+$G$48)+CQ$135*$G$49/(1+$G$49)+CQ$136*$G$50/(1+$G$50)+CQ$137*$G$51/(1+$G$51)+CQ$138*$G$52/(1+$G$52)</f>
        <v>1901.38499594685</v>
      </c>
      <c r="CR142" s="13" t="n">
        <f aca="false">CR$132*p_IVAalq/(1+p_IVAalq)+CR$121*$G$46/(1+$G$46)+CR$122*$G$47/(1+$G$47)+CR$134*$G$48/(1+$G$48)+CR$135*$G$49/(1+$G$49)+CR$136*$G$50/(1+$G$50)+CR$137*$G$51/(1+$G$51)+CR$138*$G$52/(1+$G$52)</f>
        <v>1901.38499594685</v>
      </c>
      <c r="CS142" s="13" t="n">
        <f aca="false">CS$132*p_IVAalq/(1+p_IVAalq)+CS$121*$G$46/(1+$G$46)+CS$122*$G$47/(1+$G$47)+CS$134*$G$48/(1+$G$48)+CS$135*$G$49/(1+$G$49)+CS$136*$G$50/(1+$G$50)+CS$137*$G$51/(1+$G$51)+CS$138*$G$52/(1+$G$52)</f>
        <v>1901.38499594685</v>
      </c>
      <c r="CT142" s="13" t="n">
        <f aca="false">CT$132*p_IVAalq/(1+p_IVAalq)+CT$121*$G$46/(1+$G$46)+CT$122*$G$47/(1+$G$47)+CT$134*$G$48/(1+$G$48)+CT$135*$G$49/(1+$G$49)+CT$136*$G$50/(1+$G$50)+CT$137*$G$51/(1+$G$51)+CT$138*$G$52/(1+$G$52)</f>
        <v>1901.38499594685</v>
      </c>
      <c r="CU142" s="13" t="n">
        <f aca="false">CU$132*p_IVAalq/(1+p_IVAalq)+CU$121*$G$46/(1+$G$46)+CU$122*$G$47/(1+$G$47)+CU$134*$G$48/(1+$G$48)+CU$135*$G$49/(1+$G$49)+CU$136*$G$50/(1+$G$50)+CU$137*$G$51/(1+$G$51)+CU$138*$G$52/(1+$G$52)</f>
        <v>1901.38499594685</v>
      </c>
      <c r="CV142" s="13" t="n">
        <f aca="false">CV$132*p_IVAalq/(1+p_IVAalq)+CV$121*$G$46/(1+$G$46)+CV$122*$G$47/(1+$G$47)+CV$134*$G$48/(1+$G$48)+CV$135*$G$49/(1+$G$49)+CV$136*$G$50/(1+$G$50)+CV$137*$G$51/(1+$G$51)+CV$138*$G$52/(1+$G$52)</f>
        <v>1901.38499594685</v>
      </c>
      <c r="CW142" s="13" t="n">
        <f aca="false">CW$132*p_IVAalq/(1+p_IVAalq)+CW$121*$G$46/(1+$G$46)+CW$122*$G$47/(1+$G$47)+CW$134*$G$48/(1+$G$48)+CW$135*$G$49/(1+$G$49)+CW$136*$G$50/(1+$G$50)+CW$137*$G$51/(1+$G$51)+CW$138*$G$52/(1+$G$52)</f>
        <v>1901.38499594685</v>
      </c>
      <c r="CX142" s="13" t="n">
        <f aca="false">CX$132*p_IVAalq/(1+p_IVAalq)+CX$121*$G$46/(1+$G$46)+CX$122*$G$47/(1+$G$47)+CX$134*$G$48/(1+$G$48)+CX$135*$G$49/(1+$G$49)+CX$136*$G$50/(1+$G$50)+CX$137*$G$51/(1+$G$51)+CX$138*$G$52/(1+$G$52)</f>
        <v>1901.38499594685</v>
      </c>
      <c r="CY142" s="13" t="n">
        <f aca="false">CY$132*p_IVAalq/(1+p_IVAalq)+CY$121*$G$46/(1+$G$46)+CY$122*$G$47/(1+$G$47)+CY$134*$G$48/(1+$G$48)+CY$135*$G$49/(1+$G$49)+CY$136*$G$50/(1+$G$50)+CY$137*$G$51/(1+$G$51)+CY$138*$G$52/(1+$G$52)</f>
        <v>1958.42654582525</v>
      </c>
      <c r="CZ142" s="13" t="n">
        <f aca="false">CZ$132*p_IVAalq/(1+p_IVAalq)+CZ$121*$G$46/(1+$G$46)+CZ$122*$G$47/(1+$G$47)+CZ$134*$G$48/(1+$G$48)+CZ$135*$G$49/(1+$G$49)+CZ$136*$G$50/(1+$G$50)+CZ$137*$G$51/(1+$G$51)+CZ$138*$G$52/(1+$G$52)</f>
        <v>1958.42654582525</v>
      </c>
      <c r="DA142" s="13" t="n">
        <f aca="false">DA$132*p_IVAalq/(1+p_IVAalq)+DA$121*$G$46/(1+$G$46)+DA$122*$G$47/(1+$G$47)+DA$134*$G$48/(1+$G$48)+DA$135*$G$49/(1+$G$49)+DA$136*$G$50/(1+$G$50)+DA$137*$G$51/(1+$G$51)+DA$138*$G$52/(1+$G$52)</f>
        <v>1958.42654582525</v>
      </c>
      <c r="DB142" s="13" t="n">
        <f aca="false">DB$132*p_IVAalq/(1+p_IVAalq)+DB$121*$G$46/(1+$G$46)+DB$122*$G$47/(1+$G$47)+DB$134*$G$48/(1+$G$48)+DB$135*$G$49/(1+$G$49)+DB$136*$G$50/(1+$G$50)+DB$137*$G$51/(1+$G$51)+DB$138*$G$52/(1+$G$52)</f>
        <v>1958.42654582525</v>
      </c>
      <c r="DC142" s="13" t="n">
        <f aca="false">DC$132*p_IVAalq/(1+p_IVAalq)+DC$121*$G$46/(1+$G$46)+DC$122*$G$47/(1+$G$47)+DC$134*$G$48/(1+$G$48)+DC$135*$G$49/(1+$G$49)+DC$136*$G$50/(1+$G$50)+DC$137*$G$51/(1+$G$51)+DC$138*$G$52/(1+$G$52)</f>
        <v>1958.42654582525</v>
      </c>
      <c r="DD142" s="13" t="n">
        <f aca="false">DD$132*p_IVAalq/(1+p_IVAalq)+DD$121*$G$46/(1+$G$46)+DD$122*$G$47/(1+$G$47)+DD$134*$G$48/(1+$G$48)+DD$135*$G$49/(1+$G$49)+DD$136*$G$50/(1+$G$50)+DD$137*$G$51/(1+$G$51)+DD$138*$G$52/(1+$G$52)</f>
        <v>1958.42654582525</v>
      </c>
      <c r="DE142" s="13" t="n">
        <f aca="false">DE$132*p_IVAalq/(1+p_IVAalq)+DE$121*$G$46/(1+$G$46)+DE$122*$G$47/(1+$G$47)+DE$134*$G$48/(1+$G$48)+DE$135*$G$49/(1+$G$49)+DE$136*$G$50/(1+$G$50)+DE$137*$G$51/(1+$G$51)+DE$138*$G$52/(1+$G$52)</f>
        <v>1958.42654582525</v>
      </c>
      <c r="DF142" s="13" t="n">
        <f aca="false">DF$132*p_IVAalq/(1+p_IVAalq)+DF$121*$G$46/(1+$G$46)+DF$122*$G$47/(1+$G$47)+DF$134*$G$48/(1+$G$48)+DF$135*$G$49/(1+$G$49)+DF$136*$G$50/(1+$G$50)+DF$137*$G$51/(1+$G$51)+DF$138*$G$52/(1+$G$52)</f>
        <v>1958.42654582525</v>
      </c>
      <c r="DG142" s="13" t="n">
        <f aca="false">DG$132*p_IVAalq/(1+p_IVAalq)+DG$121*$G$46/(1+$G$46)+DG$122*$G$47/(1+$G$47)+DG$134*$G$48/(1+$G$48)+DG$135*$G$49/(1+$G$49)+DG$136*$G$50/(1+$G$50)+DG$137*$G$51/(1+$G$51)+DG$138*$G$52/(1+$G$52)</f>
        <v>1958.42654582525</v>
      </c>
      <c r="DH142" s="13" t="n">
        <f aca="false">DH$132*p_IVAalq/(1+p_IVAalq)+DH$121*$G$46/(1+$G$46)+DH$122*$G$47/(1+$G$47)+DH$134*$G$48/(1+$G$48)+DH$135*$G$49/(1+$G$49)+DH$136*$G$50/(1+$G$50)+DH$137*$G$51/(1+$G$51)+DH$138*$G$52/(1+$G$52)</f>
        <v>1958.42654582525</v>
      </c>
      <c r="DI142" s="13" t="n">
        <f aca="false">DI$132*p_IVAalq/(1+p_IVAalq)+DI$121*$G$46/(1+$G$46)+DI$122*$G$47/(1+$G$47)+DI$134*$G$48/(1+$G$48)+DI$135*$G$49/(1+$G$49)+DI$136*$G$50/(1+$G$50)+DI$137*$G$51/(1+$G$51)+DI$138*$G$52/(1+$G$52)</f>
        <v>1958.42654582525</v>
      </c>
      <c r="DJ142" s="13" t="n">
        <f aca="false">DJ$132*p_IVAalq/(1+p_IVAalq)+DJ$121*$G$46/(1+$G$46)+DJ$122*$G$47/(1+$G$47)+DJ$134*$G$48/(1+$G$48)+DJ$135*$G$49/(1+$G$49)+DJ$136*$G$50/(1+$G$50)+DJ$137*$G$51/(1+$G$51)+DJ$138*$G$52/(1+$G$52)</f>
        <v>1958.42654582525</v>
      </c>
      <c r="DK142" s="13" t="n">
        <f aca="false">DK$132*p_IVAalq/(1+p_IVAalq)+DK$121*$G$46/(1+$G$46)+DK$122*$G$47/(1+$G$47)+DK$134*$G$48/(1+$G$48)+DK$135*$G$49/(1+$G$49)+DK$136*$G$50/(1+$G$50)+DK$137*$G$51/(1+$G$51)+DK$138*$G$52/(1+$G$52)</f>
        <v>2017.17934220001</v>
      </c>
      <c r="DL142" s="13" t="n">
        <f aca="false">DL$132*p_IVAalq/(1+p_IVAalq)+DL$121*$G$46/(1+$G$46)+DL$122*$G$47/(1+$G$47)+DL$134*$G$48/(1+$G$48)+DL$135*$G$49/(1+$G$49)+DL$136*$G$50/(1+$G$50)+DL$137*$G$51/(1+$G$51)+DL$138*$G$52/(1+$G$52)</f>
        <v>2017.17934220001</v>
      </c>
      <c r="DM142" s="13" t="n">
        <f aca="false">DM$132*p_IVAalq/(1+p_IVAalq)+DM$121*$G$46/(1+$G$46)+DM$122*$G$47/(1+$G$47)+DM$134*$G$48/(1+$G$48)+DM$135*$G$49/(1+$G$49)+DM$136*$G$50/(1+$G$50)+DM$137*$G$51/(1+$G$51)+DM$138*$G$52/(1+$G$52)</f>
        <v>2017.17934220001</v>
      </c>
      <c r="DN142" s="13" t="n">
        <f aca="false">DN$132*p_IVAalq/(1+p_IVAalq)+DN$121*$G$46/(1+$G$46)+DN$122*$G$47/(1+$G$47)+DN$134*$G$48/(1+$G$48)+DN$135*$G$49/(1+$G$49)+DN$136*$G$50/(1+$G$50)+DN$137*$G$51/(1+$G$51)+DN$138*$G$52/(1+$G$52)</f>
        <v>2017.17934220001</v>
      </c>
      <c r="DO142" s="13" t="n">
        <f aca="false">DO$132*p_IVAalq/(1+p_IVAalq)+DO$121*$G$46/(1+$G$46)+DO$122*$G$47/(1+$G$47)+DO$134*$G$48/(1+$G$48)+DO$135*$G$49/(1+$G$49)+DO$136*$G$50/(1+$G$50)+DO$137*$G$51/(1+$G$51)+DO$138*$G$52/(1+$G$52)</f>
        <v>2017.17934220001</v>
      </c>
      <c r="DP142" s="13" t="n">
        <f aca="false">DP$132*p_IVAalq/(1+p_IVAalq)+DP$121*$G$46/(1+$G$46)+DP$122*$G$47/(1+$G$47)+DP$134*$G$48/(1+$G$48)+DP$135*$G$49/(1+$G$49)+DP$136*$G$50/(1+$G$50)+DP$137*$G$51/(1+$G$51)+DP$138*$G$52/(1+$G$52)</f>
        <v>2017.17934220001</v>
      </c>
      <c r="DQ142" s="13" t="n">
        <f aca="false">DQ$132*p_IVAalq/(1+p_IVAalq)+DQ$121*$G$46/(1+$G$46)+DQ$122*$G$47/(1+$G$47)+DQ$134*$G$48/(1+$G$48)+DQ$135*$G$49/(1+$G$49)+DQ$136*$G$50/(1+$G$50)+DQ$137*$G$51/(1+$G$51)+DQ$138*$G$52/(1+$G$52)</f>
        <v>2017.17934220001</v>
      </c>
      <c r="DR142" s="13" t="n">
        <f aca="false">DR$132*p_IVAalq/(1+p_IVAalq)+DR$121*$G$46/(1+$G$46)+DR$122*$G$47/(1+$G$47)+DR$134*$G$48/(1+$G$48)+DR$135*$G$49/(1+$G$49)+DR$136*$G$50/(1+$G$50)+DR$137*$G$51/(1+$G$51)+DR$138*$G$52/(1+$G$52)</f>
        <v>2017.17934220001</v>
      </c>
      <c r="DS142" s="13" t="n">
        <f aca="false">DS$132*p_IVAalq/(1+p_IVAalq)+DS$121*$G$46/(1+$G$46)+DS$122*$G$47/(1+$G$47)+DS$134*$G$48/(1+$G$48)+DS$135*$G$49/(1+$G$49)+DS$136*$G$50/(1+$G$50)+DS$137*$G$51/(1+$G$51)+DS$138*$G$52/(1+$G$52)</f>
        <v>2017.17934220001</v>
      </c>
      <c r="DT142" s="13" t="n">
        <f aca="false">DT$132*p_IVAalq/(1+p_IVAalq)+DT$121*$G$46/(1+$G$46)+DT$122*$G$47/(1+$G$47)+DT$134*$G$48/(1+$G$48)+DT$135*$G$49/(1+$G$49)+DT$136*$G$50/(1+$G$50)+DT$137*$G$51/(1+$G$51)+DT$138*$G$52/(1+$G$52)</f>
        <v>2017.17934220001</v>
      </c>
      <c r="DU142" s="13" t="n">
        <f aca="false">DU$132*p_IVAalq/(1+p_IVAalq)+DU$121*$G$46/(1+$G$46)+DU$122*$G$47/(1+$G$47)+DU$134*$G$48/(1+$G$48)+DU$135*$G$49/(1+$G$49)+DU$136*$G$50/(1+$G$50)+DU$137*$G$51/(1+$G$51)+DU$138*$G$52/(1+$G$52)</f>
        <v>2017.17934220001</v>
      </c>
      <c r="DV142" s="13" t="n">
        <f aca="false">DV$132*p_IVAalq/(1+p_IVAalq)+DV$121*$G$46/(1+$G$46)+DV$122*$G$47/(1+$G$47)+DV$134*$G$48/(1+$G$48)+DV$135*$G$49/(1+$G$49)+DV$136*$G$50/(1+$G$50)+DV$137*$G$51/(1+$G$51)+DV$138*$G$52/(1+$G$52)</f>
        <v>2017.17934220001</v>
      </c>
      <c r="DW142" s="13" t="n">
        <f aca="false">DW$132*p_IVAalq/(1+p_IVAalq)+DW$121*$G$46/(1+$G$46)+DW$122*$G$47/(1+$G$47)+DW$134*$G$48/(1+$G$48)+DW$135*$G$49/(1+$G$49)+DW$136*$G$50/(1+$G$50)+DW$137*$G$51/(1+$G$51)+DW$138*$G$52/(1+$G$52)</f>
        <v>0</v>
      </c>
      <c r="DX142" s="13" t="n">
        <f aca="false">DX$132*p_IVAalq/(1+p_IVAalq)+DX$121*$G$46/(1+$G$46)+DX$122*$G$47/(1+$G$47)+DX$134*$G$48/(1+$G$48)+DX$135*$G$49/(1+$G$49)+DX$136*$G$50/(1+$G$50)+DX$137*$G$51/(1+$G$51)+DX$138*$G$52/(1+$G$52)</f>
        <v>0</v>
      </c>
      <c r="DY142" s="13" t="n">
        <f aca="false">DY$132*p_IVAalq/(1+p_IVAalq)+DY$121*$G$46/(1+$G$46)+DY$122*$G$47/(1+$G$47)+DY$134*$G$48/(1+$G$48)+DY$135*$G$49/(1+$G$49)+DY$136*$G$50/(1+$G$50)+DY$137*$G$51/(1+$G$51)+DY$138*$G$52/(1+$G$52)</f>
        <v>0</v>
      </c>
      <c r="DZ142" s="13" t="n">
        <f aca="false">DZ$132*p_IVAalq/(1+p_IVAalq)+DZ$121*$G$46/(1+$G$46)+DZ$122*$G$47/(1+$G$47)+DZ$134*$G$48/(1+$G$48)+DZ$135*$G$49/(1+$G$49)+DZ$136*$G$50/(1+$G$50)+DZ$137*$G$51/(1+$G$51)+DZ$138*$G$52/(1+$G$52)</f>
        <v>0</v>
      </c>
      <c r="EA142" s="13" t="n">
        <f aca="false">EA$132*p_IVAalq/(1+p_IVAalq)+EA$121*$G$46/(1+$G$46)+EA$122*$G$47/(1+$G$47)+EA$134*$G$48/(1+$G$48)+EA$135*$G$49/(1+$G$49)+EA$136*$G$50/(1+$G$50)+EA$137*$G$51/(1+$G$51)+EA$138*$G$52/(1+$G$52)</f>
        <v>0</v>
      </c>
      <c r="EB142" s="13" t="n">
        <f aca="false">EB$132*p_IVAalq/(1+p_IVAalq)+EB$121*$G$46/(1+$G$46)+EB$122*$G$47/(1+$G$47)+EB$134*$G$48/(1+$G$48)+EB$135*$G$49/(1+$G$49)+EB$136*$G$50/(1+$G$50)+EB$137*$G$51/(1+$G$51)+EB$138*$G$52/(1+$G$52)</f>
        <v>0</v>
      </c>
      <c r="EC142" s="13" t="n">
        <f aca="false">EC$132*p_IVAalq/(1+p_IVAalq)+EC$121*$G$46/(1+$G$46)+EC$122*$G$47/(1+$G$47)+EC$134*$G$48/(1+$G$48)+EC$135*$G$49/(1+$G$49)+EC$136*$G$50/(1+$G$50)+EC$137*$G$51/(1+$G$51)+EC$138*$G$52/(1+$G$52)</f>
        <v>0</v>
      </c>
      <c r="ED142" s="13" t="n">
        <f aca="false">ED$132*p_IVAalq/(1+p_IVAalq)+ED$121*$G$46/(1+$G$46)+ED$122*$G$47/(1+$G$47)+ED$134*$G$48/(1+$G$48)+ED$135*$G$49/(1+$G$49)+ED$136*$G$50/(1+$G$50)+ED$137*$G$51/(1+$G$51)+ED$138*$G$52/(1+$G$52)</f>
        <v>0</v>
      </c>
      <c r="EE142" s="13" t="n">
        <f aca="false">EE$132*p_IVAalq/(1+p_IVAalq)+EE$121*$G$46/(1+$G$46)+EE$122*$G$47/(1+$G$47)+EE$134*$G$48/(1+$G$48)+EE$135*$G$49/(1+$G$49)+EE$136*$G$50/(1+$G$50)+EE$137*$G$51/(1+$G$51)+EE$138*$G$52/(1+$G$52)</f>
        <v>0</v>
      </c>
      <c r="EF142" s="13" t="n">
        <f aca="false">EF$132*p_IVAalq/(1+p_IVAalq)+EF$121*$G$46/(1+$G$46)+EF$122*$G$47/(1+$G$47)+EF$134*$G$48/(1+$G$48)+EF$135*$G$49/(1+$G$49)+EF$136*$G$50/(1+$G$50)+EF$137*$G$51/(1+$G$51)+EF$138*$G$52/(1+$G$52)</f>
        <v>0</v>
      </c>
      <c r="EG142" s="13" t="n">
        <f aca="false">EG$132*p_IVAalq/(1+p_IVAalq)+EG$121*$G$46/(1+$G$46)+EG$122*$G$47/(1+$G$47)+EG$134*$G$48/(1+$G$48)+EG$135*$G$49/(1+$G$49)+EG$136*$G$50/(1+$G$50)+EG$137*$G$51/(1+$G$51)+EG$138*$G$52/(1+$G$52)</f>
        <v>0</v>
      </c>
      <c r="EH142" s="13" t="n">
        <f aca="false">EH$132*p_IVAalq/(1+p_IVAalq)+EH$121*$G$46/(1+$G$46)+EH$122*$G$47/(1+$G$47)+EH$134*$G$48/(1+$G$48)+EH$135*$G$49/(1+$G$49)+EH$136*$G$50/(1+$G$50)+EH$137*$G$51/(1+$G$51)+EH$138*$G$52/(1+$G$52)</f>
        <v>0</v>
      </c>
      <c r="EI142" s="13" t="n">
        <f aca="false">EI$132*p_IVAalq/(1+p_IVAalq)+EI$121*$G$46/(1+$G$46)+EI$122*$G$47/(1+$G$47)+EI$134*$G$48/(1+$G$48)+EI$135*$G$49/(1+$G$49)+EI$136*$G$50/(1+$G$50)+EI$137*$G$51/(1+$G$51)+EI$138*$G$52/(1+$G$52)</f>
        <v>0</v>
      </c>
      <c r="EJ142" s="13" t="n">
        <f aca="false">EJ$132*p_IVAalq/(1+p_IVAalq)+EJ$121*$G$46/(1+$G$46)+EJ$122*$G$47/(1+$G$47)+EJ$134*$G$48/(1+$G$48)+EJ$135*$G$49/(1+$G$49)+EJ$136*$G$50/(1+$G$50)+EJ$137*$G$51/(1+$G$51)+EJ$138*$G$52/(1+$G$52)</f>
        <v>0</v>
      </c>
      <c r="EK142" s="13" t="n">
        <f aca="false">EK$132*p_IVAalq/(1+p_IVAalq)+EK$121*$G$46/(1+$G$46)+EK$122*$G$47/(1+$G$47)+EK$134*$G$48/(1+$G$48)+EK$135*$G$49/(1+$G$49)+EK$136*$G$50/(1+$G$50)+EK$137*$G$51/(1+$G$51)+EK$138*$G$52/(1+$G$52)</f>
        <v>0</v>
      </c>
      <c r="EL142" s="13" t="n">
        <f aca="false">EL$132*p_IVAalq/(1+p_IVAalq)+EL$121*$G$46/(1+$G$46)+EL$122*$G$47/(1+$G$47)+EL$134*$G$48/(1+$G$48)+EL$135*$G$49/(1+$G$49)+EL$136*$G$50/(1+$G$50)+EL$137*$G$51/(1+$G$51)+EL$138*$G$52/(1+$G$52)</f>
        <v>0</v>
      </c>
      <c r="EM142" s="13" t="n">
        <f aca="false">EM$132*p_IVAalq/(1+p_IVAalq)+EM$121*$G$46/(1+$G$46)+EM$122*$G$47/(1+$G$47)+EM$134*$G$48/(1+$G$48)+EM$135*$G$49/(1+$G$49)+EM$136*$G$50/(1+$G$50)+EM$137*$G$51/(1+$G$51)+EM$138*$G$52/(1+$G$52)</f>
        <v>0</v>
      </c>
      <c r="EN142" s="13" t="n">
        <f aca="false">EN$132*p_IVAalq/(1+p_IVAalq)+EN$121*$G$46/(1+$G$46)+EN$122*$G$47/(1+$G$47)+EN$134*$G$48/(1+$G$48)+EN$135*$G$49/(1+$G$49)+EN$136*$G$50/(1+$G$50)+EN$137*$G$51/(1+$G$51)+EN$138*$G$52/(1+$G$52)</f>
        <v>0</v>
      </c>
      <c r="EO142" s="13" t="n">
        <f aca="false">EO$132*p_IVAalq/(1+p_IVAalq)+EO$121*$G$46/(1+$G$46)+EO$122*$G$47/(1+$G$47)+EO$134*$G$48/(1+$G$48)+EO$135*$G$49/(1+$G$49)+EO$136*$G$50/(1+$G$50)+EO$137*$G$51/(1+$G$51)+EO$138*$G$52/(1+$G$52)</f>
        <v>0</v>
      </c>
      <c r="EP142" s="13" t="n">
        <f aca="false">EP$132*p_IVAalq/(1+p_IVAalq)+EP$121*$G$46/(1+$G$46)+EP$122*$G$47/(1+$G$47)+EP$134*$G$48/(1+$G$48)+EP$135*$G$49/(1+$G$49)+EP$136*$G$50/(1+$G$50)+EP$137*$G$51/(1+$G$51)+EP$138*$G$52/(1+$G$52)</f>
        <v>0</v>
      </c>
      <c r="EQ142" s="13" t="n">
        <f aca="false">EQ$132*p_IVAalq/(1+p_IVAalq)+EQ$121*$G$46/(1+$G$46)+EQ$122*$G$47/(1+$G$47)+EQ$134*$G$48/(1+$G$48)+EQ$135*$G$49/(1+$G$49)+EQ$136*$G$50/(1+$G$50)+EQ$137*$G$51/(1+$G$51)+EQ$138*$G$52/(1+$G$52)</f>
        <v>0</v>
      </c>
      <c r="ER142" s="13" t="n">
        <f aca="false">ER$132*p_IVAalq/(1+p_IVAalq)+ER$121*$G$46/(1+$G$46)+ER$122*$G$47/(1+$G$47)+ER$134*$G$48/(1+$G$48)+ER$135*$G$49/(1+$G$49)+ER$136*$G$50/(1+$G$50)+ER$137*$G$51/(1+$G$51)+ER$138*$G$52/(1+$G$52)</f>
        <v>0</v>
      </c>
      <c r="ES142" s="13" t="n">
        <f aca="false">ES$132*p_IVAalq/(1+p_IVAalq)+ES$121*$G$46/(1+$G$46)+ES$122*$G$47/(1+$G$47)+ES$134*$G$48/(1+$G$48)+ES$135*$G$49/(1+$G$49)+ES$136*$G$50/(1+$G$50)+ES$137*$G$51/(1+$G$51)+ES$138*$G$52/(1+$G$52)</f>
        <v>0</v>
      </c>
      <c r="ET142" s="13" t="n">
        <f aca="false">ET$132*p_IVAalq/(1+p_IVAalq)+ET$121*$G$46/(1+$G$46)+ET$122*$G$47/(1+$G$47)+ET$134*$G$48/(1+$G$48)+ET$135*$G$49/(1+$G$49)+ET$136*$G$50/(1+$G$50)+ET$137*$G$51/(1+$G$51)+ET$138*$G$52/(1+$G$52)</f>
        <v>0</v>
      </c>
      <c r="EU142" s="13" t="n">
        <f aca="false">EU$132*p_IVAalq/(1+p_IVAalq)+EU$121*$G$46/(1+$G$46)+EU$122*$G$47/(1+$G$47)+EU$134*$G$48/(1+$G$48)+EU$135*$G$49/(1+$G$49)+EU$136*$G$50/(1+$G$50)+EU$137*$G$51/(1+$G$51)+EU$138*$G$52/(1+$G$52)</f>
        <v>0</v>
      </c>
      <c r="EV142" s="13" t="n">
        <f aca="false">EV$132*p_IVAalq/(1+p_IVAalq)+EV$121*$G$46/(1+$G$46)+EV$122*$G$47/(1+$G$47)+EV$134*$G$48/(1+$G$48)+EV$135*$G$49/(1+$G$49)+EV$136*$G$50/(1+$G$50)+EV$137*$G$51/(1+$G$51)+EV$138*$G$52/(1+$G$52)</f>
        <v>0</v>
      </c>
      <c r="EW142" s="13" t="n">
        <f aca="false">EW$132*p_IVAalq/(1+p_IVAalq)+EW$121*$G$46/(1+$G$46)+EW$122*$G$47/(1+$G$47)+EW$134*$G$48/(1+$G$48)+EW$135*$G$49/(1+$G$49)+EW$136*$G$50/(1+$G$50)+EW$137*$G$51/(1+$G$51)+EW$138*$G$52/(1+$G$52)</f>
        <v>0</v>
      </c>
      <c r="EX142" s="13" t="n">
        <f aca="false">EX$132*p_IVAalq/(1+p_IVAalq)+EX$121*$G$46/(1+$G$46)+EX$122*$G$47/(1+$G$47)+EX$134*$G$48/(1+$G$48)+EX$135*$G$49/(1+$G$49)+EX$136*$G$50/(1+$G$50)+EX$137*$G$51/(1+$G$51)+EX$138*$G$52/(1+$G$52)</f>
        <v>0</v>
      </c>
      <c r="EY142" s="13" t="n">
        <f aca="false">EY$132*p_IVAalq/(1+p_IVAalq)+EY$121*$G$46/(1+$G$46)+EY$122*$G$47/(1+$G$47)+EY$134*$G$48/(1+$G$48)+EY$135*$G$49/(1+$G$49)+EY$136*$G$50/(1+$G$50)+EY$137*$G$51/(1+$G$51)+EY$138*$G$52/(1+$G$52)</f>
        <v>0</v>
      </c>
      <c r="EZ142" s="13" t="n">
        <f aca="false">EZ$132*p_IVAalq/(1+p_IVAalq)+EZ$121*$G$46/(1+$G$46)+EZ$122*$G$47/(1+$G$47)+EZ$134*$G$48/(1+$G$48)+EZ$135*$G$49/(1+$G$49)+EZ$136*$G$50/(1+$G$50)+EZ$137*$G$51/(1+$G$51)+EZ$138*$G$52/(1+$G$52)</f>
        <v>0</v>
      </c>
      <c r="FA142" s="13" t="n">
        <f aca="false">FA$132*p_IVAalq/(1+p_IVAalq)+FA$121*$G$46/(1+$G$46)+FA$122*$G$47/(1+$G$47)+FA$134*$G$48/(1+$G$48)+FA$135*$G$49/(1+$G$49)+FA$136*$G$50/(1+$G$50)+FA$137*$G$51/(1+$G$51)+FA$138*$G$52/(1+$G$52)</f>
        <v>0</v>
      </c>
      <c r="FB142" s="13" t="n">
        <f aca="false">FB$132*p_IVAalq/(1+p_IVAalq)+FB$121*$G$46/(1+$G$46)+FB$122*$G$47/(1+$G$47)+FB$134*$G$48/(1+$G$48)+FB$135*$G$49/(1+$G$49)+FB$136*$G$50/(1+$G$50)+FB$137*$G$51/(1+$G$51)+FB$138*$G$52/(1+$G$52)</f>
        <v>0</v>
      </c>
      <c r="FC142" s="13" t="n">
        <f aca="false">FC$132*p_IVAalq/(1+p_IVAalq)+FC$121*$G$46/(1+$G$46)+FC$122*$G$47/(1+$G$47)+FC$134*$G$48/(1+$G$48)+FC$135*$G$49/(1+$G$49)+FC$136*$G$50/(1+$G$50)+FC$137*$G$51/(1+$G$51)+FC$138*$G$52/(1+$G$52)</f>
        <v>0</v>
      </c>
      <c r="FD142" s="13" t="n">
        <f aca="false">FD$132*p_IVAalq/(1+p_IVAalq)+FD$121*$G$46/(1+$G$46)+FD$122*$G$47/(1+$G$47)+FD$134*$G$48/(1+$G$48)+FD$135*$G$49/(1+$G$49)+FD$136*$G$50/(1+$G$50)+FD$137*$G$51/(1+$G$51)+FD$138*$G$52/(1+$G$52)</f>
        <v>0</v>
      </c>
      <c r="FE142" s="13" t="n">
        <f aca="false">FE$132*p_IVAalq/(1+p_IVAalq)+FE$121*$G$46/(1+$G$46)+FE$122*$G$47/(1+$G$47)+FE$134*$G$48/(1+$G$48)+FE$135*$G$49/(1+$G$49)+FE$136*$G$50/(1+$G$50)+FE$137*$G$51/(1+$G$51)+FE$138*$G$52/(1+$G$52)</f>
        <v>0</v>
      </c>
      <c r="FF142" s="13" t="n">
        <f aca="false">FF$132*p_IVAalq/(1+p_IVAalq)+FF$121*$G$46/(1+$G$46)+FF$122*$G$47/(1+$G$47)+FF$134*$G$48/(1+$G$48)+FF$135*$G$49/(1+$G$49)+FF$136*$G$50/(1+$G$50)+FF$137*$G$51/(1+$G$51)+FF$138*$G$52/(1+$G$52)</f>
        <v>0</v>
      </c>
    </row>
    <row r="143" customFormat="false" ht="15" hidden="false" customHeight="false" outlineLevel="0" collapsed="false">
      <c r="A143" s="2" t="s">
        <v>1123</v>
      </c>
      <c r="B143" s="66" t="s">
        <v>1124</v>
      </c>
      <c r="C143" s="8" t="s">
        <v>255</v>
      </c>
      <c r="E143" s="67" t="n">
        <f aca="false">SUM($F143:$FF143)</f>
        <v>59791708.5421642</v>
      </c>
      <c r="F143" s="12" t="n">
        <f aca="false">F$110+F$111+F$112+F$113+F$114+F$123+F$82+F$88+F$121+F$122+F$124</f>
        <v>0</v>
      </c>
      <c r="G143" s="12" t="n">
        <f aca="false">G$110+G$111+G$112+G$113+G$114+G$123+G$82+G$88+G$121+G$122+G$124</f>
        <v>411454.854031037</v>
      </c>
      <c r="H143" s="12" t="n">
        <f aca="false">H$110+H$111+H$112+H$113+H$114+H$123+H$82+H$88+H$121+H$122+H$124</f>
        <v>324666.027565284</v>
      </c>
      <c r="I143" s="12" t="n">
        <f aca="false">I$110+I$111+I$112+I$113+I$114+I$123+I$82+I$88+I$121+I$122+I$124</f>
        <v>324666.027565284</v>
      </c>
      <c r="J143" s="12" t="n">
        <f aca="false">J$110+J$111+J$112+J$113+J$114+J$123+J$82+J$88+J$121+J$122+J$124</f>
        <v>324666.027565284</v>
      </c>
      <c r="K143" s="12" t="n">
        <f aca="false">K$110+K$111+K$112+K$113+K$114+K$123+K$82+K$88+K$121+K$122+K$124</f>
        <v>324666.027565284</v>
      </c>
      <c r="L143" s="12" t="n">
        <f aca="false">L$110+L$111+L$112+L$113+L$114+L$123+L$82+L$88+L$121+L$122+L$124</f>
        <v>324666.027565284</v>
      </c>
      <c r="M143" s="12" t="n">
        <f aca="false">M$110+M$111+M$112+M$113+M$114+M$123+M$82+M$88+M$121+M$122+M$124</f>
        <v>324666.027565284</v>
      </c>
      <c r="N143" s="12" t="n">
        <f aca="false">N$110+N$111+N$112+N$113+N$114+N$123+N$82+N$88+N$121+N$122+N$124</f>
        <v>324666.027565284</v>
      </c>
      <c r="O143" s="12" t="n">
        <f aca="false">O$110+O$111+O$112+O$113+O$114+O$123+O$82+O$88+O$121+O$122+O$124</f>
        <v>324666.027565284</v>
      </c>
      <c r="P143" s="12" t="n">
        <f aca="false">P$110+P$111+P$112+P$113+P$114+P$123+P$82+P$88+P$121+P$122+P$124</f>
        <v>324666.027565284</v>
      </c>
      <c r="Q143" s="12" t="n">
        <f aca="false">Q$110+Q$111+Q$112+Q$113+Q$114+Q$123+Q$82+Q$88+Q$121+Q$122+Q$124</f>
        <v>324666.027565284</v>
      </c>
      <c r="R143" s="12" t="n">
        <f aca="false">R$110+R$111+R$112+R$113+R$114+R$123+R$82+R$88+R$121+R$122+R$124</f>
        <v>347478.588770763</v>
      </c>
      <c r="S143" s="12" t="n">
        <f aca="false">S$110+S$111+S$112+S$113+S$114+S$123+S$82+S$88+S$121+S$122+S$124</f>
        <v>395846.821731951</v>
      </c>
      <c r="T143" s="12" t="n">
        <f aca="false">T$110+T$111+T$112+T$113+T$114+T$123+T$82+T$88+T$121+T$122+T$124</f>
        <v>395846.821731951</v>
      </c>
      <c r="U143" s="12" t="n">
        <f aca="false">U$110+U$111+U$112+U$113+U$114+U$123+U$82+U$88+U$121+U$122+U$124</f>
        <v>395846.821731951</v>
      </c>
      <c r="V143" s="12" t="n">
        <f aca="false">V$110+V$111+V$112+V$113+V$114+V$123+V$82+V$88+V$121+V$122+V$124</f>
        <v>395846.821731951</v>
      </c>
      <c r="W143" s="12" t="n">
        <f aca="false">W$110+W$111+W$112+W$113+W$114+W$123+W$82+W$88+W$121+W$122+W$124</f>
        <v>395846.821731951</v>
      </c>
      <c r="X143" s="12" t="n">
        <f aca="false">X$110+X$111+X$112+X$113+X$114+X$123+X$82+X$88+X$121+X$122+X$124</f>
        <v>395846.821731951</v>
      </c>
      <c r="Y143" s="12" t="n">
        <f aca="false">Y$110+Y$111+Y$112+Y$113+Y$114+Y$123+Y$82+Y$88+Y$121+Y$122+Y$124</f>
        <v>395846.821731951</v>
      </c>
      <c r="Z143" s="12" t="n">
        <f aca="false">Z$110+Z$111+Z$112+Z$113+Z$114+Z$123+Z$82+Z$88+Z$121+Z$122+Z$124</f>
        <v>395846.821731951</v>
      </c>
      <c r="AA143" s="12" t="n">
        <f aca="false">AA$110+AA$111+AA$112+AA$113+AA$114+AA$123+AA$82+AA$88+AA$121+AA$122+AA$124</f>
        <v>395846.821731951</v>
      </c>
      <c r="AB143" s="12" t="n">
        <f aca="false">AB$110+AB$111+AB$112+AB$113+AB$114+AB$123+AB$82+AB$88+AB$121+AB$122+AB$124</f>
        <v>395846.821731951</v>
      </c>
      <c r="AC143" s="12" t="n">
        <f aca="false">AC$110+AC$111+AC$112+AC$113+AC$114+AC$123+AC$82+AC$88+AC$121+AC$122+AC$124</f>
        <v>395846.821731951</v>
      </c>
      <c r="AD143" s="12" t="n">
        <f aca="false">AD$110+AD$111+AD$112+AD$113+AD$114+AD$123+AD$82+AD$88+AD$121+AD$122+AD$124</f>
        <v>418777.90233469</v>
      </c>
      <c r="AE143" s="12" t="n">
        <f aca="false">AE$110+AE$111+AE$112+AE$113+AE$114+AE$123+AE$82+AE$88+AE$121+AE$122+AE$124</f>
        <v>470575.138914432</v>
      </c>
      <c r="AF143" s="12" t="n">
        <f aca="false">AF$110+AF$111+AF$112+AF$113+AF$114+AF$123+AF$82+AF$88+AF$121+AF$122+AF$124</f>
        <v>470575.138914432</v>
      </c>
      <c r="AG143" s="12" t="n">
        <f aca="false">AG$110+AG$111+AG$112+AG$113+AG$114+AG$123+AG$82+AG$88+AG$121+AG$122+AG$124</f>
        <v>470575.138914432</v>
      </c>
      <c r="AH143" s="12" t="n">
        <f aca="false">AH$110+AH$111+AH$112+AH$113+AH$114+AH$123+AH$82+AH$88+AH$121+AH$122+AH$124</f>
        <v>470575.138914432</v>
      </c>
      <c r="AI143" s="12" t="n">
        <f aca="false">AI$110+AI$111+AI$112+AI$113+AI$114+AI$123+AI$82+AI$88+AI$121+AI$122+AI$124</f>
        <v>470575.138914432</v>
      </c>
      <c r="AJ143" s="12" t="n">
        <f aca="false">AJ$110+AJ$111+AJ$112+AJ$113+AJ$114+AJ$123+AJ$82+AJ$88+AJ$121+AJ$122+AJ$124</f>
        <v>470575.138914432</v>
      </c>
      <c r="AK143" s="12" t="n">
        <f aca="false">AK$110+AK$111+AK$112+AK$113+AK$114+AK$123+AK$82+AK$88+AK$121+AK$122+AK$124</f>
        <v>470575.138914432</v>
      </c>
      <c r="AL143" s="12" t="n">
        <f aca="false">AL$110+AL$111+AL$112+AL$113+AL$114+AL$123+AL$82+AL$88+AL$121+AL$122+AL$124</f>
        <v>470575.138914432</v>
      </c>
      <c r="AM143" s="12" t="n">
        <f aca="false">AM$110+AM$111+AM$112+AM$113+AM$114+AM$123+AM$82+AM$88+AM$121+AM$122+AM$124</f>
        <v>470575.138914432</v>
      </c>
      <c r="AN143" s="12" t="n">
        <f aca="false">AN$110+AN$111+AN$112+AN$113+AN$114+AN$123+AN$82+AN$88+AN$121+AN$122+AN$124</f>
        <v>470575.138914432</v>
      </c>
      <c r="AO143" s="12" t="n">
        <f aca="false">AO$110+AO$111+AO$112+AO$113+AO$114+AO$123+AO$82+AO$88+AO$121+AO$122+AO$124</f>
        <v>470575.138914432</v>
      </c>
      <c r="AP143" s="12" t="n">
        <f aca="false">AP$110+AP$111+AP$112+AP$113+AP$114+AP$123+AP$82+AP$88+AP$121+AP$122+AP$124</f>
        <v>489119.945869501</v>
      </c>
      <c r="AQ143" s="12" t="n">
        <f aca="false">AQ$110+AQ$111+AQ$112+AQ$113+AQ$114+AQ$123+AQ$82+AQ$88+AQ$121+AQ$122+AQ$124</f>
        <v>531722.182932479</v>
      </c>
      <c r="AR143" s="12" t="n">
        <f aca="false">AR$110+AR$111+AR$112+AR$113+AR$114+AR$123+AR$82+AR$88+AR$121+AR$122+AR$124</f>
        <v>531722.182932479</v>
      </c>
      <c r="AS143" s="12" t="n">
        <f aca="false">AS$110+AS$111+AS$112+AS$113+AS$114+AS$123+AS$82+AS$88+AS$121+AS$122+AS$124</f>
        <v>531722.182932479</v>
      </c>
      <c r="AT143" s="12" t="n">
        <f aca="false">AT$110+AT$111+AT$112+AT$113+AT$114+AT$123+AT$82+AT$88+AT$121+AT$122+AT$124</f>
        <v>531722.182932479</v>
      </c>
      <c r="AU143" s="12" t="n">
        <f aca="false">AU$110+AU$111+AU$112+AU$113+AU$114+AU$123+AU$82+AU$88+AU$121+AU$122+AU$124</f>
        <v>531722.182932479</v>
      </c>
      <c r="AV143" s="12" t="n">
        <f aca="false">AV$110+AV$111+AV$112+AV$113+AV$114+AV$123+AV$82+AV$88+AV$121+AV$122+AV$124</f>
        <v>531722.182932479</v>
      </c>
      <c r="AW143" s="12" t="n">
        <f aca="false">AW$110+AW$111+AW$112+AW$113+AW$114+AW$123+AW$82+AW$88+AW$121+AW$122+AW$124</f>
        <v>531722.182932479</v>
      </c>
      <c r="AX143" s="12" t="n">
        <f aca="false">AX$110+AX$111+AX$112+AX$113+AX$114+AX$123+AX$82+AX$88+AX$121+AX$122+AX$124</f>
        <v>531722.182932479</v>
      </c>
      <c r="AY143" s="12" t="n">
        <f aca="false">AY$110+AY$111+AY$112+AY$113+AY$114+AY$123+AY$82+AY$88+AY$121+AY$122+AY$124</f>
        <v>531722.182932479</v>
      </c>
      <c r="AZ143" s="12" t="n">
        <f aca="false">AZ$110+AZ$111+AZ$112+AZ$113+AZ$114+AZ$123+AZ$82+AZ$88+AZ$121+AZ$122+AZ$124</f>
        <v>531722.182932479</v>
      </c>
      <c r="BA143" s="12" t="n">
        <f aca="false">BA$110+BA$111+BA$112+BA$113+BA$114+BA$123+BA$82+BA$88+BA$121+BA$122+BA$124</f>
        <v>531722.182932479</v>
      </c>
      <c r="BB143" s="12" t="n">
        <f aca="false">BB$110+BB$111+BB$112+BB$113+BB$114+BB$123+BB$82+BB$88+BB$121+BB$122+BB$124</f>
        <v>531722.182932479</v>
      </c>
      <c r="BC143" s="12" t="n">
        <f aca="false">BC$110+BC$111+BC$112+BC$113+BC$114+BC$123+BC$82+BC$88+BC$121+BC$122+BC$124</f>
        <v>536974.835934202</v>
      </c>
      <c r="BD143" s="12" t="n">
        <f aca="false">BD$110+BD$111+BD$112+BD$113+BD$114+BD$123+BD$82+BD$88+BD$121+BD$122+BD$124</f>
        <v>536974.835934202</v>
      </c>
      <c r="BE143" s="12" t="n">
        <f aca="false">BE$110+BE$111+BE$112+BE$113+BE$114+BE$123+BE$82+BE$88+BE$121+BE$122+BE$124</f>
        <v>536974.835934202</v>
      </c>
      <c r="BF143" s="12" t="n">
        <f aca="false">BF$110+BF$111+BF$112+BF$113+BF$114+BF$123+BF$82+BF$88+BF$121+BF$122+BF$124</f>
        <v>536974.835934202</v>
      </c>
      <c r="BG143" s="12" t="n">
        <f aca="false">BG$110+BG$111+BG$112+BG$113+BG$114+BG$123+BG$82+BG$88+BG$121+BG$122+BG$124</f>
        <v>536974.835934202</v>
      </c>
      <c r="BH143" s="12" t="n">
        <f aca="false">BH$110+BH$111+BH$112+BH$113+BH$114+BH$123+BH$82+BH$88+BH$121+BH$122+BH$124</f>
        <v>536974.835934202</v>
      </c>
      <c r="BI143" s="12" t="n">
        <f aca="false">BI$110+BI$111+BI$112+BI$113+BI$114+BI$123+BI$82+BI$88+BI$121+BI$122+BI$124</f>
        <v>536974.835934202</v>
      </c>
      <c r="BJ143" s="12" t="n">
        <f aca="false">BJ$110+BJ$111+BJ$112+BJ$113+BJ$114+BJ$123+BJ$82+BJ$88+BJ$121+BJ$122+BJ$124</f>
        <v>536974.835934202</v>
      </c>
      <c r="BK143" s="12" t="n">
        <f aca="false">BK$110+BK$111+BK$112+BK$113+BK$114+BK$123+BK$82+BK$88+BK$121+BK$122+BK$124</f>
        <v>536974.835934202</v>
      </c>
      <c r="BL143" s="12" t="n">
        <f aca="false">BL$110+BL$111+BL$112+BL$113+BL$114+BL$123+BL$82+BL$88+BL$121+BL$122+BL$124</f>
        <v>536974.835934202</v>
      </c>
      <c r="BM143" s="12" t="n">
        <f aca="false">BM$110+BM$111+BM$112+BM$113+BM$114+BM$123+BM$82+BM$88+BM$121+BM$122+BM$124</f>
        <v>536974.835934202</v>
      </c>
      <c r="BN143" s="12" t="n">
        <f aca="false">BN$110+BN$111+BN$112+BN$113+BN$114+BN$123+BN$82+BN$88+BN$121+BN$122+BN$124</f>
        <v>536974.835934202</v>
      </c>
      <c r="BO143" s="12" t="n">
        <f aca="false">BO$110+BO$111+BO$112+BO$113+BO$114+BO$123+BO$82+BO$88+BO$121+BO$122+BO$124</f>
        <v>539512.791232801</v>
      </c>
      <c r="BP143" s="12" t="n">
        <f aca="false">BP$110+BP$111+BP$112+BP$113+BP$114+BP$123+BP$82+BP$88+BP$121+BP$122+BP$124</f>
        <v>539512.791232801</v>
      </c>
      <c r="BQ143" s="12" t="n">
        <f aca="false">BQ$110+BQ$111+BQ$112+BQ$113+BQ$114+BQ$123+BQ$82+BQ$88+BQ$121+BQ$122+BQ$124</f>
        <v>539512.791232801</v>
      </c>
      <c r="BR143" s="12" t="n">
        <f aca="false">BR$110+BR$111+BR$112+BR$113+BR$114+BR$123+BR$82+BR$88+BR$121+BR$122+BR$124</f>
        <v>539512.791232801</v>
      </c>
      <c r="BS143" s="12" t="n">
        <f aca="false">BS$110+BS$111+BS$112+BS$113+BS$114+BS$123+BS$82+BS$88+BS$121+BS$122+BS$124</f>
        <v>539512.791232801</v>
      </c>
      <c r="BT143" s="12" t="n">
        <f aca="false">BT$110+BT$111+BT$112+BT$113+BT$114+BT$123+BT$82+BT$88+BT$121+BT$122+BT$124</f>
        <v>539512.791232801</v>
      </c>
      <c r="BU143" s="12" t="n">
        <f aca="false">BU$110+BU$111+BU$112+BU$113+BU$114+BU$123+BU$82+BU$88+BU$121+BU$122+BU$124</f>
        <v>539512.791232801</v>
      </c>
      <c r="BV143" s="12" t="n">
        <f aca="false">BV$110+BV$111+BV$112+BV$113+BV$114+BV$123+BV$82+BV$88+BV$121+BV$122+BV$124</f>
        <v>539512.791232801</v>
      </c>
      <c r="BW143" s="12" t="n">
        <f aca="false">BW$110+BW$111+BW$112+BW$113+BW$114+BW$123+BW$82+BW$88+BW$121+BW$122+BW$124</f>
        <v>539512.791232801</v>
      </c>
      <c r="BX143" s="12" t="n">
        <f aca="false">BX$110+BX$111+BX$112+BX$113+BX$114+BX$123+BX$82+BX$88+BX$121+BX$122+BX$124</f>
        <v>539512.791232801</v>
      </c>
      <c r="BY143" s="12" t="n">
        <f aca="false">BY$110+BY$111+BY$112+BY$113+BY$114+BY$123+BY$82+BY$88+BY$121+BY$122+BY$124</f>
        <v>539512.791232801</v>
      </c>
      <c r="BZ143" s="12" t="n">
        <f aca="false">BZ$110+BZ$111+BZ$112+BZ$113+BZ$114+BZ$123+BZ$82+BZ$88+BZ$121+BZ$122+BZ$124</f>
        <v>539512.791232801</v>
      </c>
      <c r="CA143" s="12" t="n">
        <f aca="false">CA$110+CA$111+CA$112+CA$113+CA$114+CA$123+CA$82+CA$88+CA$121+CA$122+CA$124</f>
        <v>542075.606194385</v>
      </c>
      <c r="CB143" s="12" t="n">
        <f aca="false">CB$110+CB$111+CB$112+CB$113+CB$114+CB$123+CB$82+CB$88+CB$121+CB$122+CB$124</f>
        <v>542075.606194385</v>
      </c>
      <c r="CC143" s="12" t="n">
        <f aca="false">CC$110+CC$111+CC$112+CC$113+CC$114+CC$123+CC$82+CC$88+CC$121+CC$122+CC$124</f>
        <v>542075.606194385</v>
      </c>
      <c r="CD143" s="12" t="n">
        <f aca="false">CD$110+CD$111+CD$112+CD$113+CD$114+CD$123+CD$82+CD$88+CD$121+CD$122+CD$124</f>
        <v>542075.606194385</v>
      </c>
      <c r="CE143" s="12" t="n">
        <f aca="false">CE$110+CE$111+CE$112+CE$113+CE$114+CE$123+CE$82+CE$88+CE$121+CE$122+CE$124</f>
        <v>542075.606194385</v>
      </c>
      <c r="CF143" s="12" t="n">
        <f aca="false">CF$110+CF$111+CF$112+CF$113+CF$114+CF$123+CF$82+CF$88+CF$121+CF$122+CF$124</f>
        <v>542075.606194385</v>
      </c>
      <c r="CG143" s="12" t="n">
        <f aca="false">CG$110+CG$111+CG$112+CG$113+CG$114+CG$123+CG$82+CG$88+CG$121+CG$122+CG$124</f>
        <v>542075.606194385</v>
      </c>
      <c r="CH143" s="12" t="n">
        <f aca="false">CH$110+CH$111+CH$112+CH$113+CH$114+CH$123+CH$82+CH$88+CH$121+CH$122+CH$124</f>
        <v>542075.606194385</v>
      </c>
      <c r="CI143" s="12" t="n">
        <f aca="false">CI$110+CI$111+CI$112+CI$113+CI$114+CI$123+CI$82+CI$88+CI$121+CI$122+CI$124</f>
        <v>542075.606194385</v>
      </c>
      <c r="CJ143" s="12" t="n">
        <f aca="false">CJ$110+CJ$111+CJ$112+CJ$113+CJ$114+CJ$123+CJ$82+CJ$88+CJ$121+CJ$122+CJ$124</f>
        <v>542075.606194385</v>
      </c>
      <c r="CK143" s="12" t="n">
        <f aca="false">CK$110+CK$111+CK$112+CK$113+CK$114+CK$123+CK$82+CK$88+CK$121+CK$122+CK$124</f>
        <v>542075.606194385</v>
      </c>
      <c r="CL143" s="12" t="n">
        <f aca="false">CL$110+CL$111+CL$112+CL$113+CL$114+CL$123+CL$82+CL$88+CL$121+CL$122+CL$124</f>
        <v>542075.606194385</v>
      </c>
      <c r="CM143" s="12" t="n">
        <f aca="false">CM$110+CM$111+CM$112+CM$113+CM$114+CM$123+CM$82+CM$88+CM$121+CM$122+CM$124</f>
        <v>544663.529415586</v>
      </c>
      <c r="CN143" s="12" t="n">
        <f aca="false">CN$110+CN$111+CN$112+CN$113+CN$114+CN$123+CN$82+CN$88+CN$121+CN$122+CN$124</f>
        <v>544663.529415586</v>
      </c>
      <c r="CO143" s="12" t="n">
        <f aca="false">CO$110+CO$111+CO$112+CO$113+CO$114+CO$123+CO$82+CO$88+CO$121+CO$122+CO$124</f>
        <v>544663.529415586</v>
      </c>
      <c r="CP143" s="12" t="n">
        <f aca="false">CP$110+CP$111+CP$112+CP$113+CP$114+CP$123+CP$82+CP$88+CP$121+CP$122+CP$124</f>
        <v>544663.529415586</v>
      </c>
      <c r="CQ143" s="12" t="n">
        <f aca="false">CQ$110+CQ$111+CQ$112+CQ$113+CQ$114+CQ$123+CQ$82+CQ$88+CQ$121+CQ$122+CQ$124</f>
        <v>544663.529415586</v>
      </c>
      <c r="CR143" s="12" t="n">
        <f aca="false">CR$110+CR$111+CR$112+CR$113+CR$114+CR$123+CR$82+CR$88+CR$121+CR$122+CR$124</f>
        <v>544663.529415586</v>
      </c>
      <c r="CS143" s="12" t="n">
        <f aca="false">CS$110+CS$111+CS$112+CS$113+CS$114+CS$123+CS$82+CS$88+CS$121+CS$122+CS$124</f>
        <v>544663.529415586</v>
      </c>
      <c r="CT143" s="12" t="n">
        <f aca="false">CT$110+CT$111+CT$112+CT$113+CT$114+CT$123+CT$82+CT$88+CT$121+CT$122+CT$124</f>
        <v>544663.529415586</v>
      </c>
      <c r="CU143" s="12" t="n">
        <f aca="false">CU$110+CU$111+CU$112+CU$113+CU$114+CU$123+CU$82+CU$88+CU$121+CU$122+CU$124</f>
        <v>544663.529415586</v>
      </c>
      <c r="CV143" s="12" t="n">
        <f aca="false">CV$110+CV$111+CV$112+CV$113+CV$114+CV$123+CV$82+CV$88+CV$121+CV$122+CV$124</f>
        <v>544663.529415586</v>
      </c>
      <c r="CW143" s="12" t="n">
        <f aca="false">CW$110+CW$111+CW$112+CW$113+CW$114+CW$123+CW$82+CW$88+CW$121+CW$122+CW$124</f>
        <v>544663.529415586</v>
      </c>
      <c r="CX143" s="12" t="n">
        <f aca="false">CX$110+CX$111+CX$112+CX$113+CX$114+CX$123+CX$82+CX$88+CX$121+CX$122+CX$124</f>
        <v>544663.529415586</v>
      </c>
      <c r="CY143" s="12" t="n">
        <f aca="false">CY$110+CY$111+CY$112+CY$113+CY$114+CY$123+CY$82+CY$88+CY$121+CY$122+CY$124</f>
        <v>547276.811978999</v>
      </c>
      <c r="CZ143" s="12" t="n">
        <f aca="false">CZ$110+CZ$111+CZ$112+CZ$113+CZ$114+CZ$123+CZ$82+CZ$88+CZ$121+CZ$122+CZ$124</f>
        <v>547276.811978999</v>
      </c>
      <c r="DA143" s="12" t="n">
        <f aca="false">DA$110+DA$111+DA$112+DA$113+DA$114+DA$123+DA$82+DA$88+DA$121+DA$122+DA$124</f>
        <v>547276.811978999</v>
      </c>
      <c r="DB143" s="12" t="n">
        <f aca="false">DB$110+DB$111+DB$112+DB$113+DB$114+DB$123+DB$82+DB$88+DB$121+DB$122+DB$124</f>
        <v>547276.811978999</v>
      </c>
      <c r="DC143" s="12" t="n">
        <f aca="false">DC$110+DC$111+DC$112+DC$113+DC$114+DC$123+DC$82+DC$88+DC$121+DC$122+DC$124</f>
        <v>547276.811978999</v>
      </c>
      <c r="DD143" s="12" t="n">
        <f aca="false">DD$110+DD$111+DD$112+DD$113+DD$114+DD$123+DD$82+DD$88+DD$121+DD$122+DD$124</f>
        <v>547276.811978999</v>
      </c>
      <c r="DE143" s="12" t="n">
        <f aca="false">DE$110+DE$111+DE$112+DE$113+DE$114+DE$123+DE$82+DE$88+DE$121+DE$122+DE$124</f>
        <v>547276.811978999</v>
      </c>
      <c r="DF143" s="12" t="n">
        <f aca="false">DF$110+DF$111+DF$112+DF$113+DF$114+DF$123+DF$82+DF$88+DF$121+DF$122+DF$124</f>
        <v>547276.811978999</v>
      </c>
      <c r="DG143" s="12" t="n">
        <f aca="false">DG$110+DG$111+DG$112+DG$113+DG$114+DG$123+DG$82+DG$88+DG$121+DG$122+DG$124</f>
        <v>547276.811978999</v>
      </c>
      <c r="DH143" s="12" t="n">
        <f aca="false">DH$110+DH$111+DH$112+DH$113+DH$114+DH$123+DH$82+DH$88+DH$121+DH$122+DH$124</f>
        <v>547276.811978999</v>
      </c>
      <c r="DI143" s="12" t="n">
        <f aca="false">DI$110+DI$111+DI$112+DI$113+DI$114+DI$123+DI$82+DI$88+DI$121+DI$122+DI$124</f>
        <v>547276.811978999</v>
      </c>
      <c r="DJ143" s="12" t="n">
        <f aca="false">DJ$110+DJ$111+DJ$112+DJ$113+DJ$114+DJ$123+DJ$82+DJ$88+DJ$121+DJ$122+DJ$124</f>
        <v>547276.811978999</v>
      </c>
      <c r="DK143" s="12" t="n">
        <f aca="false">DK$110+DK$111+DK$112+DK$113+DK$114+DK$123+DK$82+DK$88+DK$121+DK$122+DK$124</f>
        <v>549915.707478045</v>
      </c>
      <c r="DL143" s="12" t="n">
        <f aca="false">DL$110+DL$111+DL$112+DL$113+DL$114+DL$123+DL$82+DL$88+DL$121+DL$122+DL$124</f>
        <v>549915.707478045</v>
      </c>
      <c r="DM143" s="12" t="n">
        <f aca="false">DM$110+DM$111+DM$112+DM$113+DM$114+DM$123+DM$82+DM$88+DM$121+DM$122+DM$124</f>
        <v>549915.707478045</v>
      </c>
      <c r="DN143" s="12" t="n">
        <f aca="false">DN$110+DN$111+DN$112+DN$113+DN$114+DN$123+DN$82+DN$88+DN$121+DN$122+DN$124</f>
        <v>549915.707478045</v>
      </c>
      <c r="DO143" s="12" t="n">
        <f aca="false">DO$110+DO$111+DO$112+DO$113+DO$114+DO$123+DO$82+DO$88+DO$121+DO$122+DO$124</f>
        <v>549915.707478045</v>
      </c>
      <c r="DP143" s="12" t="n">
        <f aca="false">DP$110+DP$111+DP$112+DP$113+DP$114+DP$123+DP$82+DP$88+DP$121+DP$122+DP$124</f>
        <v>549915.707478045</v>
      </c>
      <c r="DQ143" s="12" t="n">
        <f aca="false">DQ$110+DQ$111+DQ$112+DQ$113+DQ$114+DQ$123+DQ$82+DQ$88+DQ$121+DQ$122+DQ$124</f>
        <v>549915.707478045</v>
      </c>
      <c r="DR143" s="12" t="n">
        <f aca="false">DR$110+DR$111+DR$112+DR$113+DR$114+DR$123+DR$82+DR$88+DR$121+DR$122+DR$124</f>
        <v>549915.707478045</v>
      </c>
      <c r="DS143" s="12" t="n">
        <f aca="false">DS$110+DS$111+DS$112+DS$113+DS$114+DS$123+DS$82+DS$88+DS$121+DS$122+DS$124</f>
        <v>549915.707478045</v>
      </c>
      <c r="DT143" s="12" t="n">
        <f aca="false">DT$110+DT$111+DT$112+DT$113+DT$114+DT$123+DT$82+DT$88+DT$121+DT$122+DT$124</f>
        <v>549915.707478045</v>
      </c>
      <c r="DU143" s="12" t="n">
        <f aca="false">DU$110+DU$111+DU$112+DU$113+DU$114+DU$123+DU$82+DU$88+DU$121+DU$122+DU$124</f>
        <v>549915.707478045</v>
      </c>
      <c r="DV143" s="12" t="n">
        <f aca="false">DV$110+DV$111+DV$112+DV$113+DV$114+DV$123+DV$82+DV$88+DV$121+DV$122+DV$124</f>
        <v>391793.533875249</v>
      </c>
      <c r="DW143" s="12" t="n">
        <f aca="false">DW$110+DW$111+DW$112+DW$113+DW$114+DW$123+DW$82+DW$88+DW$121+DW$122+DW$124</f>
        <v>0</v>
      </c>
      <c r="DX143" s="12" t="n">
        <f aca="false">DX$110+DX$111+DX$112+DX$113+DX$114+DX$123+DX$82+DX$88+DX$121+DX$122+DX$124</f>
        <v>0</v>
      </c>
      <c r="DY143" s="12" t="n">
        <f aca="false">DY$110+DY$111+DY$112+DY$113+DY$114+DY$123+DY$82+DY$88+DY$121+DY$122+DY$124</f>
        <v>0</v>
      </c>
      <c r="DZ143" s="12" t="n">
        <f aca="false">DZ$110+DZ$111+DZ$112+DZ$113+DZ$114+DZ$123+DZ$82+DZ$88+DZ$121+DZ$122+DZ$124</f>
        <v>0</v>
      </c>
      <c r="EA143" s="12" t="n">
        <f aca="false">EA$110+EA$111+EA$112+EA$113+EA$114+EA$123+EA$82+EA$88+EA$121+EA$122+EA$124</f>
        <v>0</v>
      </c>
      <c r="EB143" s="12" t="n">
        <f aca="false">EB$110+EB$111+EB$112+EB$113+EB$114+EB$123+EB$82+EB$88+EB$121+EB$122+EB$124</f>
        <v>0</v>
      </c>
      <c r="EC143" s="12" t="n">
        <f aca="false">EC$110+EC$111+EC$112+EC$113+EC$114+EC$123+EC$82+EC$88+EC$121+EC$122+EC$124</f>
        <v>0</v>
      </c>
      <c r="ED143" s="12" t="n">
        <f aca="false">ED$110+ED$111+ED$112+ED$113+ED$114+ED$123+ED$82+ED$88+ED$121+ED$122+ED$124</f>
        <v>0</v>
      </c>
      <c r="EE143" s="12" t="n">
        <f aca="false">EE$110+EE$111+EE$112+EE$113+EE$114+EE$123+EE$82+EE$88+EE$121+EE$122+EE$124</f>
        <v>0</v>
      </c>
      <c r="EF143" s="12" t="n">
        <f aca="false">EF$110+EF$111+EF$112+EF$113+EF$114+EF$123+EF$82+EF$88+EF$121+EF$122+EF$124</f>
        <v>0</v>
      </c>
      <c r="EG143" s="12" t="n">
        <f aca="false">EG$110+EG$111+EG$112+EG$113+EG$114+EG$123+EG$82+EG$88+EG$121+EG$122+EG$124</f>
        <v>0</v>
      </c>
      <c r="EH143" s="12" t="n">
        <f aca="false">EH$110+EH$111+EH$112+EH$113+EH$114+EH$123+EH$82+EH$88+EH$121+EH$122+EH$124</f>
        <v>0</v>
      </c>
      <c r="EI143" s="12" t="n">
        <f aca="false">EI$110+EI$111+EI$112+EI$113+EI$114+EI$123+EI$82+EI$88+EI$121+EI$122+EI$124</f>
        <v>0</v>
      </c>
      <c r="EJ143" s="12" t="n">
        <f aca="false">EJ$110+EJ$111+EJ$112+EJ$113+EJ$114+EJ$123+EJ$82+EJ$88+EJ$121+EJ$122+EJ$124</f>
        <v>0</v>
      </c>
      <c r="EK143" s="12" t="n">
        <f aca="false">EK$110+EK$111+EK$112+EK$113+EK$114+EK$123+EK$82+EK$88+EK$121+EK$122+EK$124</f>
        <v>0</v>
      </c>
      <c r="EL143" s="12" t="n">
        <f aca="false">EL$110+EL$111+EL$112+EL$113+EL$114+EL$123+EL$82+EL$88+EL$121+EL$122+EL$124</f>
        <v>0</v>
      </c>
      <c r="EM143" s="12" t="n">
        <f aca="false">EM$110+EM$111+EM$112+EM$113+EM$114+EM$123+EM$82+EM$88+EM$121+EM$122+EM$124</f>
        <v>0</v>
      </c>
      <c r="EN143" s="12" t="n">
        <f aca="false">EN$110+EN$111+EN$112+EN$113+EN$114+EN$123+EN$82+EN$88+EN$121+EN$122+EN$124</f>
        <v>0</v>
      </c>
      <c r="EO143" s="12" t="n">
        <f aca="false">EO$110+EO$111+EO$112+EO$113+EO$114+EO$123+EO$82+EO$88+EO$121+EO$122+EO$124</f>
        <v>0</v>
      </c>
      <c r="EP143" s="12" t="n">
        <f aca="false">EP$110+EP$111+EP$112+EP$113+EP$114+EP$123+EP$82+EP$88+EP$121+EP$122+EP$124</f>
        <v>0</v>
      </c>
      <c r="EQ143" s="12" t="n">
        <f aca="false">EQ$110+EQ$111+EQ$112+EQ$113+EQ$114+EQ$123+EQ$82+EQ$88+EQ$121+EQ$122+EQ$124</f>
        <v>0</v>
      </c>
      <c r="ER143" s="12" t="n">
        <f aca="false">ER$110+ER$111+ER$112+ER$113+ER$114+ER$123+ER$82+ER$88+ER$121+ER$122+ER$124</f>
        <v>0</v>
      </c>
      <c r="ES143" s="12" t="n">
        <f aca="false">ES$110+ES$111+ES$112+ES$113+ES$114+ES$123+ES$82+ES$88+ES$121+ES$122+ES$124</f>
        <v>0</v>
      </c>
      <c r="ET143" s="12" t="n">
        <f aca="false">ET$110+ET$111+ET$112+ET$113+ET$114+ET$123+ET$82+ET$88+ET$121+ET$122+ET$124</f>
        <v>0</v>
      </c>
      <c r="EU143" s="12" t="n">
        <f aca="false">EU$110+EU$111+EU$112+EU$113+EU$114+EU$123+EU$82+EU$88+EU$121+EU$122+EU$124</f>
        <v>0</v>
      </c>
      <c r="EV143" s="12" t="n">
        <f aca="false">EV$110+EV$111+EV$112+EV$113+EV$114+EV$123+EV$82+EV$88+EV$121+EV$122+EV$124</f>
        <v>0</v>
      </c>
      <c r="EW143" s="12" t="n">
        <f aca="false">EW$110+EW$111+EW$112+EW$113+EW$114+EW$123+EW$82+EW$88+EW$121+EW$122+EW$124</f>
        <v>0</v>
      </c>
      <c r="EX143" s="12" t="n">
        <f aca="false">EX$110+EX$111+EX$112+EX$113+EX$114+EX$123+EX$82+EX$88+EX$121+EX$122+EX$124</f>
        <v>0</v>
      </c>
      <c r="EY143" s="12" t="n">
        <f aca="false">EY$110+EY$111+EY$112+EY$113+EY$114+EY$123+EY$82+EY$88+EY$121+EY$122+EY$124</f>
        <v>0</v>
      </c>
      <c r="EZ143" s="12" t="n">
        <f aca="false">EZ$110+EZ$111+EZ$112+EZ$113+EZ$114+EZ$123+EZ$82+EZ$88+EZ$121+EZ$122+EZ$124</f>
        <v>0</v>
      </c>
      <c r="FA143" s="12" t="n">
        <f aca="false">FA$110+FA$111+FA$112+FA$113+FA$114+FA$123+FA$82+FA$88+FA$121+FA$122+FA$124</f>
        <v>0</v>
      </c>
      <c r="FB143" s="12" t="n">
        <f aca="false">FB$110+FB$111+FB$112+FB$113+FB$114+FB$123+FB$82+FB$88+FB$121+FB$122+FB$124</f>
        <v>0</v>
      </c>
      <c r="FC143" s="12" t="n">
        <f aca="false">FC$110+FC$111+FC$112+FC$113+FC$114+FC$123+FC$82+FC$88+FC$121+FC$122+FC$124</f>
        <v>0</v>
      </c>
      <c r="FD143" s="12" t="n">
        <f aca="false">FD$110+FD$111+FD$112+FD$113+FD$114+FD$123+FD$82+FD$88+FD$121+FD$122+FD$124</f>
        <v>0</v>
      </c>
      <c r="FE143" s="12" t="n">
        <f aca="false">FE$110+FE$111+FE$112+FE$113+FE$114+FE$123+FE$82+FE$88+FE$121+FE$122+FE$124</f>
        <v>0</v>
      </c>
      <c r="FF143" s="12" t="n">
        <f aca="false">FF$110+FF$111+FF$112+FF$113+FF$114+FF$123+FF$82+FF$88+FF$121+FF$122+FF$124</f>
        <v>0</v>
      </c>
    </row>
    <row r="144" customFormat="false" ht="15" hidden="false" customHeight="false" outlineLevel="0" collapsed="false">
      <c r="A144" s="2" t="s">
        <v>1125</v>
      </c>
      <c r="B144" s="66" t="s">
        <v>1126</v>
      </c>
      <c r="C144" s="8" t="s">
        <v>255</v>
      </c>
      <c r="E144" s="67" t="n">
        <f aca="false">SUM($F144:$FF144)</f>
        <v>893446.9249381</v>
      </c>
      <c r="F144" s="12" t="n">
        <f aca="false">F$126+F$127+F$130</f>
        <v>0</v>
      </c>
      <c r="G144" s="12" t="n">
        <f aca="false">G$126+G$127+G$130</f>
        <v>4445.83333333333</v>
      </c>
      <c r="H144" s="12" t="n">
        <f aca="false">H$126+H$127+H$130</f>
        <v>4445.83333333333</v>
      </c>
      <c r="I144" s="12" t="n">
        <f aca="false">I$126+I$127+I$130</f>
        <v>4445.83333333333</v>
      </c>
      <c r="J144" s="12" t="n">
        <f aca="false">J$126+J$127+J$130</f>
        <v>4445.83333333333</v>
      </c>
      <c r="K144" s="12" t="n">
        <f aca="false">K$126+K$127+K$130</f>
        <v>4445.83333333333</v>
      </c>
      <c r="L144" s="12" t="n">
        <f aca="false">L$126+L$127+L$130</f>
        <v>4445.83333333333</v>
      </c>
      <c r="M144" s="12" t="n">
        <f aca="false">M$126+M$127+M$130</f>
        <v>4445.83333333333</v>
      </c>
      <c r="N144" s="12" t="n">
        <f aca="false">N$126+N$127+N$130</f>
        <v>4445.83333333333</v>
      </c>
      <c r="O144" s="12" t="n">
        <f aca="false">O$126+O$127+O$130</f>
        <v>4445.83333333333</v>
      </c>
      <c r="P144" s="12" t="n">
        <f aca="false">P$126+P$127+P$130</f>
        <v>4445.83333333333</v>
      </c>
      <c r="Q144" s="12" t="n">
        <f aca="false">Q$126+Q$127+Q$130</f>
        <v>4445.83333333333</v>
      </c>
      <c r="R144" s="12" t="n">
        <f aca="false">R$126+R$127+R$130</f>
        <v>4445.83333333333</v>
      </c>
      <c r="S144" s="12" t="n">
        <f aca="false">S$126+S$127+S$130</f>
        <v>5666.1</v>
      </c>
      <c r="T144" s="12" t="n">
        <f aca="false">T$126+T$127+T$130</f>
        <v>5666.1</v>
      </c>
      <c r="U144" s="12" t="n">
        <f aca="false">U$126+U$127+U$130</f>
        <v>5666.1</v>
      </c>
      <c r="V144" s="12" t="n">
        <f aca="false">V$126+V$127+V$130</f>
        <v>5666.1</v>
      </c>
      <c r="W144" s="12" t="n">
        <f aca="false">W$126+W$127+W$130</f>
        <v>5666.1</v>
      </c>
      <c r="X144" s="12" t="n">
        <f aca="false">X$126+X$127+X$130</f>
        <v>5666.1</v>
      </c>
      <c r="Y144" s="12" t="n">
        <f aca="false">Y$126+Y$127+Y$130</f>
        <v>5666.1</v>
      </c>
      <c r="Z144" s="12" t="n">
        <f aca="false">Z$126+Z$127+Z$130</f>
        <v>5666.1</v>
      </c>
      <c r="AA144" s="12" t="n">
        <f aca="false">AA$126+AA$127+AA$130</f>
        <v>5666.1</v>
      </c>
      <c r="AB144" s="12" t="n">
        <f aca="false">AB$126+AB$127+AB$130</f>
        <v>5666.1</v>
      </c>
      <c r="AC144" s="12" t="n">
        <f aca="false">AC$126+AC$127+AC$130</f>
        <v>5666.1</v>
      </c>
      <c r="AD144" s="12" t="n">
        <f aca="false">AD$126+AD$127+AD$130</f>
        <v>5666.1</v>
      </c>
      <c r="AE144" s="12" t="n">
        <f aca="false">AE$126+AE$127+AE$130</f>
        <v>6910.32741666667</v>
      </c>
      <c r="AF144" s="12" t="n">
        <f aca="false">AF$126+AF$127+AF$130</f>
        <v>6910.32741666667</v>
      </c>
      <c r="AG144" s="12" t="n">
        <f aca="false">AG$126+AG$127+AG$130</f>
        <v>6910.32741666667</v>
      </c>
      <c r="AH144" s="12" t="n">
        <f aca="false">AH$126+AH$127+AH$130</f>
        <v>6910.32741666667</v>
      </c>
      <c r="AI144" s="12" t="n">
        <f aca="false">AI$126+AI$127+AI$130</f>
        <v>6910.32741666667</v>
      </c>
      <c r="AJ144" s="12" t="n">
        <f aca="false">AJ$126+AJ$127+AJ$130</f>
        <v>6910.32741666667</v>
      </c>
      <c r="AK144" s="12" t="n">
        <f aca="false">AK$126+AK$127+AK$130</f>
        <v>6910.32741666667</v>
      </c>
      <c r="AL144" s="12" t="n">
        <f aca="false">AL$126+AL$127+AL$130</f>
        <v>6910.32741666667</v>
      </c>
      <c r="AM144" s="12" t="n">
        <f aca="false">AM$126+AM$127+AM$130</f>
        <v>6910.32741666667</v>
      </c>
      <c r="AN144" s="12" t="n">
        <f aca="false">AN$126+AN$127+AN$130</f>
        <v>6910.32741666667</v>
      </c>
      <c r="AO144" s="12" t="n">
        <f aca="false">AO$126+AO$127+AO$130</f>
        <v>6910.32741666667</v>
      </c>
      <c r="AP144" s="12" t="n">
        <f aca="false">AP$126+AP$127+AP$130</f>
        <v>6910.32741666667</v>
      </c>
      <c r="AQ144" s="12" t="n">
        <f aca="false">AQ$126+AQ$127+AQ$130</f>
        <v>7961.6509775</v>
      </c>
      <c r="AR144" s="12" t="n">
        <f aca="false">AR$126+AR$127+AR$130</f>
        <v>7961.6509775</v>
      </c>
      <c r="AS144" s="12" t="n">
        <f aca="false">AS$126+AS$127+AS$130</f>
        <v>7961.6509775</v>
      </c>
      <c r="AT144" s="12" t="n">
        <f aca="false">AT$126+AT$127+AT$130</f>
        <v>7961.6509775</v>
      </c>
      <c r="AU144" s="12" t="n">
        <f aca="false">AU$126+AU$127+AU$130</f>
        <v>7961.6509775</v>
      </c>
      <c r="AV144" s="12" t="n">
        <f aca="false">AV$126+AV$127+AV$130</f>
        <v>7961.6509775</v>
      </c>
      <c r="AW144" s="12" t="n">
        <f aca="false">AW$126+AW$127+AW$130</f>
        <v>7961.6509775</v>
      </c>
      <c r="AX144" s="12" t="n">
        <f aca="false">AX$126+AX$127+AX$130</f>
        <v>7961.6509775</v>
      </c>
      <c r="AY144" s="12" t="n">
        <f aca="false">AY$126+AY$127+AY$130</f>
        <v>7961.6509775</v>
      </c>
      <c r="AZ144" s="12" t="n">
        <f aca="false">AZ$126+AZ$127+AZ$130</f>
        <v>7961.6509775</v>
      </c>
      <c r="BA144" s="12" t="n">
        <f aca="false">BA$126+BA$127+BA$130</f>
        <v>7961.6509775</v>
      </c>
      <c r="BB144" s="12" t="n">
        <f aca="false">BB$126+BB$127+BB$130</f>
        <v>7961.6509775</v>
      </c>
      <c r="BC144" s="12" t="n">
        <f aca="false">BC$126+BC$127+BC$130</f>
        <v>8041.267487275</v>
      </c>
      <c r="BD144" s="12" t="n">
        <f aca="false">BD$126+BD$127+BD$130</f>
        <v>8041.267487275</v>
      </c>
      <c r="BE144" s="12" t="n">
        <f aca="false">BE$126+BE$127+BE$130</f>
        <v>8041.267487275</v>
      </c>
      <c r="BF144" s="12" t="n">
        <f aca="false">BF$126+BF$127+BF$130</f>
        <v>8041.267487275</v>
      </c>
      <c r="BG144" s="12" t="n">
        <f aca="false">BG$126+BG$127+BG$130</f>
        <v>8041.267487275</v>
      </c>
      <c r="BH144" s="12" t="n">
        <f aca="false">BH$126+BH$127+BH$130</f>
        <v>8041.267487275</v>
      </c>
      <c r="BI144" s="12" t="n">
        <f aca="false">BI$126+BI$127+BI$130</f>
        <v>8041.267487275</v>
      </c>
      <c r="BJ144" s="12" t="n">
        <f aca="false">BJ$126+BJ$127+BJ$130</f>
        <v>8041.267487275</v>
      </c>
      <c r="BK144" s="12" t="n">
        <f aca="false">BK$126+BK$127+BK$130</f>
        <v>8041.267487275</v>
      </c>
      <c r="BL144" s="12" t="n">
        <f aca="false">BL$126+BL$127+BL$130</f>
        <v>8041.267487275</v>
      </c>
      <c r="BM144" s="12" t="n">
        <f aca="false">BM$126+BM$127+BM$130</f>
        <v>8041.267487275</v>
      </c>
      <c r="BN144" s="12" t="n">
        <f aca="false">BN$126+BN$127+BN$130</f>
        <v>8041.267487275</v>
      </c>
      <c r="BO144" s="12" t="n">
        <f aca="false">BO$126+BO$127+BO$130</f>
        <v>8121.68016214775</v>
      </c>
      <c r="BP144" s="12" t="n">
        <f aca="false">BP$126+BP$127+BP$130</f>
        <v>8121.68016214775</v>
      </c>
      <c r="BQ144" s="12" t="n">
        <f aca="false">BQ$126+BQ$127+BQ$130</f>
        <v>8121.68016214775</v>
      </c>
      <c r="BR144" s="12" t="n">
        <f aca="false">BR$126+BR$127+BR$130</f>
        <v>8121.68016214775</v>
      </c>
      <c r="BS144" s="12" t="n">
        <f aca="false">BS$126+BS$127+BS$130</f>
        <v>8121.68016214775</v>
      </c>
      <c r="BT144" s="12" t="n">
        <f aca="false">BT$126+BT$127+BT$130</f>
        <v>8121.68016214775</v>
      </c>
      <c r="BU144" s="12" t="n">
        <f aca="false">BU$126+BU$127+BU$130</f>
        <v>8121.68016214775</v>
      </c>
      <c r="BV144" s="12" t="n">
        <f aca="false">BV$126+BV$127+BV$130</f>
        <v>8121.68016214775</v>
      </c>
      <c r="BW144" s="12" t="n">
        <f aca="false">BW$126+BW$127+BW$130</f>
        <v>8121.68016214775</v>
      </c>
      <c r="BX144" s="12" t="n">
        <f aca="false">BX$126+BX$127+BX$130</f>
        <v>8121.68016214775</v>
      </c>
      <c r="BY144" s="12" t="n">
        <f aca="false">BY$126+BY$127+BY$130</f>
        <v>8121.68016214775</v>
      </c>
      <c r="BZ144" s="12" t="n">
        <f aca="false">BZ$126+BZ$127+BZ$130</f>
        <v>8121.68016214775</v>
      </c>
      <c r="CA144" s="12" t="n">
        <f aca="false">CA$126+CA$127+CA$130</f>
        <v>8202.89696376923</v>
      </c>
      <c r="CB144" s="12" t="n">
        <f aca="false">CB$126+CB$127+CB$130</f>
        <v>8202.89696376923</v>
      </c>
      <c r="CC144" s="12" t="n">
        <f aca="false">CC$126+CC$127+CC$130</f>
        <v>8202.89696376923</v>
      </c>
      <c r="CD144" s="12" t="n">
        <f aca="false">CD$126+CD$127+CD$130</f>
        <v>8202.89696376923</v>
      </c>
      <c r="CE144" s="12" t="n">
        <f aca="false">CE$126+CE$127+CE$130</f>
        <v>8202.89696376923</v>
      </c>
      <c r="CF144" s="12" t="n">
        <f aca="false">CF$126+CF$127+CF$130</f>
        <v>8202.89696376923</v>
      </c>
      <c r="CG144" s="12" t="n">
        <f aca="false">CG$126+CG$127+CG$130</f>
        <v>8202.89696376923</v>
      </c>
      <c r="CH144" s="12" t="n">
        <f aca="false">CH$126+CH$127+CH$130</f>
        <v>8202.89696376923</v>
      </c>
      <c r="CI144" s="12" t="n">
        <f aca="false">CI$126+CI$127+CI$130</f>
        <v>8202.89696376923</v>
      </c>
      <c r="CJ144" s="12" t="n">
        <f aca="false">CJ$126+CJ$127+CJ$130</f>
        <v>8202.89696376923</v>
      </c>
      <c r="CK144" s="12" t="n">
        <f aca="false">CK$126+CK$127+CK$130</f>
        <v>8202.89696376923</v>
      </c>
      <c r="CL144" s="12" t="n">
        <f aca="false">CL$126+CL$127+CL$130</f>
        <v>8202.89696376923</v>
      </c>
      <c r="CM144" s="12" t="n">
        <f aca="false">CM$126+CM$127+CM$130</f>
        <v>8284.92593340692</v>
      </c>
      <c r="CN144" s="12" t="n">
        <f aca="false">CN$126+CN$127+CN$130</f>
        <v>8284.92593340692</v>
      </c>
      <c r="CO144" s="12" t="n">
        <f aca="false">CO$126+CO$127+CO$130</f>
        <v>8284.92593340692</v>
      </c>
      <c r="CP144" s="12" t="n">
        <f aca="false">CP$126+CP$127+CP$130</f>
        <v>8284.92593340692</v>
      </c>
      <c r="CQ144" s="12" t="n">
        <f aca="false">CQ$126+CQ$127+CQ$130</f>
        <v>8284.92593340692</v>
      </c>
      <c r="CR144" s="12" t="n">
        <f aca="false">CR$126+CR$127+CR$130</f>
        <v>8284.92593340692</v>
      </c>
      <c r="CS144" s="12" t="n">
        <f aca="false">CS$126+CS$127+CS$130</f>
        <v>8284.92593340692</v>
      </c>
      <c r="CT144" s="12" t="n">
        <f aca="false">CT$126+CT$127+CT$130</f>
        <v>8284.92593340692</v>
      </c>
      <c r="CU144" s="12" t="n">
        <f aca="false">CU$126+CU$127+CU$130</f>
        <v>8284.92593340692</v>
      </c>
      <c r="CV144" s="12" t="n">
        <f aca="false">CV$126+CV$127+CV$130</f>
        <v>8284.92593340692</v>
      </c>
      <c r="CW144" s="12" t="n">
        <f aca="false">CW$126+CW$127+CW$130</f>
        <v>8284.92593340692</v>
      </c>
      <c r="CX144" s="12" t="n">
        <f aca="false">CX$126+CX$127+CX$130</f>
        <v>8284.92593340692</v>
      </c>
      <c r="CY144" s="12" t="n">
        <f aca="false">CY$126+CY$127+CY$130</f>
        <v>8367.77519274099</v>
      </c>
      <c r="CZ144" s="12" t="n">
        <f aca="false">CZ$126+CZ$127+CZ$130</f>
        <v>8367.77519274099</v>
      </c>
      <c r="DA144" s="12" t="n">
        <f aca="false">DA$126+DA$127+DA$130</f>
        <v>8367.77519274099</v>
      </c>
      <c r="DB144" s="12" t="n">
        <f aca="false">DB$126+DB$127+DB$130</f>
        <v>8367.77519274099</v>
      </c>
      <c r="DC144" s="12" t="n">
        <f aca="false">DC$126+DC$127+DC$130</f>
        <v>8367.77519274099</v>
      </c>
      <c r="DD144" s="12" t="n">
        <f aca="false">DD$126+DD$127+DD$130</f>
        <v>8367.77519274099</v>
      </c>
      <c r="DE144" s="12" t="n">
        <f aca="false">DE$126+DE$127+DE$130</f>
        <v>8367.77519274099</v>
      </c>
      <c r="DF144" s="12" t="n">
        <f aca="false">DF$126+DF$127+DF$130</f>
        <v>8367.77519274099</v>
      </c>
      <c r="DG144" s="12" t="n">
        <f aca="false">DG$126+DG$127+DG$130</f>
        <v>8367.77519274099</v>
      </c>
      <c r="DH144" s="12" t="n">
        <f aca="false">DH$126+DH$127+DH$130</f>
        <v>8367.77519274099</v>
      </c>
      <c r="DI144" s="12" t="n">
        <f aca="false">DI$126+DI$127+DI$130</f>
        <v>8367.77519274099</v>
      </c>
      <c r="DJ144" s="12" t="n">
        <f aca="false">DJ$126+DJ$127+DJ$130</f>
        <v>8367.77519274099</v>
      </c>
      <c r="DK144" s="12" t="n">
        <f aca="false">DK$126+DK$127+DK$130</f>
        <v>8451.4529446684</v>
      </c>
      <c r="DL144" s="12" t="n">
        <f aca="false">DL$126+DL$127+DL$130</f>
        <v>8451.4529446684</v>
      </c>
      <c r="DM144" s="12" t="n">
        <f aca="false">DM$126+DM$127+DM$130</f>
        <v>8451.4529446684</v>
      </c>
      <c r="DN144" s="12" t="n">
        <f aca="false">DN$126+DN$127+DN$130</f>
        <v>8451.4529446684</v>
      </c>
      <c r="DO144" s="12" t="n">
        <f aca="false">DO$126+DO$127+DO$130</f>
        <v>8451.4529446684</v>
      </c>
      <c r="DP144" s="12" t="n">
        <f aca="false">DP$126+DP$127+DP$130</f>
        <v>8451.4529446684</v>
      </c>
      <c r="DQ144" s="12" t="n">
        <f aca="false">DQ$126+DQ$127+DQ$130</f>
        <v>8451.4529446684</v>
      </c>
      <c r="DR144" s="12" t="n">
        <f aca="false">DR$126+DR$127+DR$130</f>
        <v>8451.4529446684</v>
      </c>
      <c r="DS144" s="12" t="n">
        <f aca="false">DS$126+DS$127+DS$130</f>
        <v>8451.4529446684</v>
      </c>
      <c r="DT144" s="12" t="n">
        <f aca="false">DT$126+DT$127+DT$130</f>
        <v>8451.4529446684</v>
      </c>
      <c r="DU144" s="12" t="n">
        <f aca="false">DU$126+DU$127+DU$130</f>
        <v>8451.4529446684</v>
      </c>
      <c r="DV144" s="12" t="n">
        <f aca="false">DV$126+DV$127+DV$130</f>
        <v>8451.4529446684</v>
      </c>
      <c r="DW144" s="12" t="n">
        <f aca="false">DW$126+DW$127+DW$130</f>
        <v>0</v>
      </c>
      <c r="DX144" s="12" t="n">
        <f aca="false">DX$126+DX$127+DX$130</f>
        <v>0</v>
      </c>
      <c r="DY144" s="12" t="n">
        <f aca="false">DY$126+DY$127+DY$130</f>
        <v>0</v>
      </c>
      <c r="DZ144" s="12" t="n">
        <f aca="false">DZ$126+DZ$127+DZ$130</f>
        <v>0</v>
      </c>
      <c r="EA144" s="12" t="n">
        <f aca="false">EA$126+EA$127+EA$130</f>
        <v>0</v>
      </c>
      <c r="EB144" s="12" t="n">
        <f aca="false">EB$126+EB$127+EB$130</f>
        <v>0</v>
      </c>
      <c r="EC144" s="12" t="n">
        <f aca="false">EC$126+EC$127+EC$130</f>
        <v>0</v>
      </c>
      <c r="ED144" s="12" t="n">
        <f aca="false">ED$126+ED$127+ED$130</f>
        <v>0</v>
      </c>
      <c r="EE144" s="12" t="n">
        <f aca="false">EE$126+EE$127+EE$130</f>
        <v>0</v>
      </c>
      <c r="EF144" s="12" t="n">
        <f aca="false">EF$126+EF$127+EF$130</f>
        <v>0</v>
      </c>
      <c r="EG144" s="12" t="n">
        <f aca="false">EG$126+EG$127+EG$130</f>
        <v>0</v>
      </c>
      <c r="EH144" s="12" t="n">
        <f aca="false">EH$126+EH$127+EH$130</f>
        <v>0</v>
      </c>
      <c r="EI144" s="12" t="n">
        <f aca="false">EI$126+EI$127+EI$130</f>
        <v>0</v>
      </c>
      <c r="EJ144" s="12" t="n">
        <f aca="false">EJ$126+EJ$127+EJ$130</f>
        <v>0</v>
      </c>
      <c r="EK144" s="12" t="n">
        <f aca="false">EK$126+EK$127+EK$130</f>
        <v>0</v>
      </c>
      <c r="EL144" s="12" t="n">
        <f aca="false">EL$126+EL$127+EL$130</f>
        <v>0</v>
      </c>
      <c r="EM144" s="12" t="n">
        <f aca="false">EM$126+EM$127+EM$130</f>
        <v>0</v>
      </c>
      <c r="EN144" s="12" t="n">
        <f aca="false">EN$126+EN$127+EN$130</f>
        <v>0</v>
      </c>
      <c r="EO144" s="12" t="n">
        <f aca="false">EO$126+EO$127+EO$130</f>
        <v>0</v>
      </c>
      <c r="EP144" s="12" t="n">
        <f aca="false">EP$126+EP$127+EP$130</f>
        <v>0</v>
      </c>
      <c r="EQ144" s="12" t="n">
        <f aca="false">EQ$126+EQ$127+EQ$130</f>
        <v>0</v>
      </c>
      <c r="ER144" s="12" t="n">
        <f aca="false">ER$126+ER$127+ER$130</f>
        <v>0</v>
      </c>
      <c r="ES144" s="12" t="n">
        <f aca="false">ES$126+ES$127+ES$130</f>
        <v>0</v>
      </c>
      <c r="ET144" s="12" t="n">
        <f aca="false">ET$126+ET$127+ET$130</f>
        <v>0</v>
      </c>
      <c r="EU144" s="12" t="n">
        <f aca="false">EU$126+EU$127+EU$130</f>
        <v>0</v>
      </c>
      <c r="EV144" s="12" t="n">
        <f aca="false">EV$126+EV$127+EV$130</f>
        <v>0</v>
      </c>
      <c r="EW144" s="12" t="n">
        <f aca="false">EW$126+EW$127+EW$130</f>
        <v>0</v>
      </c>
      <c r="EX144" s="12" t="n">
        <f aca="false">EX$126+EX$127+EX$130</f>
        <v>0</v>
      </c>
      <c r="EY144" s="12" t="n">
        <f aca="false">EY$126+EY$127+EY$130</f>
        <v>0</v>
      </c>
      <c r="EZ144" s="12" t="n">
        <f aca="false">EZ$126+EZ$127+EZ$130</f>
        <v>0</v>
      </c>
      <c r="FA144" s="12" t="n">
        <f aca="false">FA$126+FA$127+FA$130</f>
        <v>0</v>
      </c>
      <c r="FB144" s="12" t="n">
        <f aca="false">FB$126+FB$127+FB$130</f>
        <v>0</v>
      </c>
      <c r="FC144" s="12" t="n">
        <f aca="false">FC$126+FC$127+FC$130</f>
        <v>0</v>
      </c>
      <c r="FD144" s="12" t="n">
        <f aca="false">FD$126+FD$127+FD$130</f>
        <v>0</v>
      </c>
      <c r="FE144" s="12" t="n">
        <f aca="false">FE$126+FE$127+FE$130</f>
        <v>0</v>
      </c>
      <c r="FF144" s="12" t="n">
        <f aca="false">FF$126+FF$127+FF$130</f>
        <v>0</v>
      </c>
    </row>
    <row r="145" customFormat="false" ht="15" hidden="false" customHeight="false" outlineLevel="0" collapsed="false">
      <c r="A145" s="2" t="s">
        <v>1127</v>
      </c>
      <c r="B145" s="66" t="s">
        <v>1128</v>
      </c>
      <c r="C145" s="8" t="s">
        <v>255</v>
      </c>
      <c r="E145" s="67" t="n">
        <f aca="false">SUM($F145:$FF145)</f>
        <v>4219192.39510538</v>
      </c>
      <c r="F145" s="12" t="n">
        <f aca="false">F$94+F$132+F$133+F$134+F$135+F$136+F$137+F$138+F$139</f>
        <v>0</v>
      </c>
      <c r="G145" s="12" t="n">
        <f aca="false">G$94+G$132+G$133+G$134+G$135+G$136+G$137+G$138+G$139</f>
        <v>32557.3055980144</v>
      </c>
      <c r="H145" s="12" t="n">
        <f aca="false">H$94+H$132+H$133+H$134+H$135+H$136+H$137+H$138+H$139</f>
        <v>32557.3055980144</v>
      </c>
      <c r="I145" s="12" t="n">
        <f aca="false">I$94+I$132+I$133+I$134+I$135+I$136+I$137+I$138+I$139</f>
        <v>32557.3055980144</v>
      </c>
      <c r="J145" s="12" t="n">
        <f aca="false">J$94+J$132+J$133+J$134+J$135+J$136+J$137+J$138+J$139</f>
        <v>32557.3055980144</v>
      </c>
      <c r="K145" s="12" t="n">
        <f aca="false">K$94+K$132+K$133+K$134+K$135+K$136+K$137+K$138+K$139</f>
        <v>32557.3055980144</v>
      </c>
      <c r="L145" s="12" t="n">
        <f aca="false">L$94+L$132+L$133+L$134+L$135+L$136+L$137+L$138+L$139</f>
        <v>32557.3055980144</v>
      </c>
      <c r="M145" s="12" t="n">
        <f aca="false">M$94+M$132+M$133+M$134+M$135+M$136+M$137+M$138+M$139</f>
        <v>32557.3055980144</v>
      </c>
      <c r="N145" s="12" t="n">
        <f aca="false">N$94+N$132+N$133+N$134+N$135+N$136+N$137+N$138+N$139</f>
        <v>32557.3055980144</v>
      </c>
      <c r="O145" s="12" t="n">
        <f aca="false">O$94+O$132+O$133+O$134+O$135+O$136+O$137+O$138+O$139</f>
        <v>32557.3055980144</v>
      </c>
      <c r="P145" s="12" t="n">
        <f aca="false">P$94+P$132+P$133+P$134+P$135+P$136+P$137+P$138+P$139</f>
        <v>32557.3055980144</v>
      </c>
      <c r="Q145" s="12" t="n">
        <f aca="false">Q$94+Q$132+Q$133+Q$134+Q$135+Q$136+Q$137+Q$138+Q$139</f>
        <v>32557.3055980144</v>
      </c>
      <c r="R145" s="12" t="n">
        <f aca="false">R$94+R$132+R$133+R$134+R$135+R$136+R$137+R$138+R$139</f>
        <v>32557.3055980144</v>
      </c>
      <c r="S145" s="12" t="n">
        <f aca="false">S$94+S$132+S$133+S$134+S$135+S$136+S$137+S$138+S$139</f>
        <v>33090.6755980144</v>
      </c>
      <c r="T145" s="12" t="n">
        <f aca="false">T$94+T$132+T$133+T$134+T$135+T$136+T$137+T$138+T$139</f>
        <v>33090.6755980144</v>
      </c>
      <c r="U145" s="12" t="n">
        <f aca="false">U$94+U$132+U$133+U$134+U$135+U$136+U$137+U$138+U$139</f>
        <v>33090.6755980144</v>
      </c>
      <c r="V145" s="12" t="n">
        <f aca="false">V$94+V$132+V$133+V$134+V$135+V$136+V$137+V$138+V$139</f>
        <v>33090.6755980144</v>
      </c>
      <c r="W145" s="12" t="n">
        <f aca="false">W$94+W$132+W$133+W$134+W$135+W$136+W$137+W$138+W$139</f>
        <v>33090.6755980144</v>
      </c>
      <c r="X145" s="12" t="n">
        <f aca="false">X$94+X$132+X$133+X$134+X$135+X$136+X$137+X$138+X$139</f>
        <v>33090.6755980144</v>
      </c>
      <c r="Y145" s="12" t="n">
        <f aca="false">Y$94+Y$132+Y$133+Y$134+Y$135+Y$136+Y$137+Y$138+Y$139</f>
        <v>33090.6755980144</v>
      </c>
      <c r="Z145" s="12" t="n">
        <f aca="false">Z$94+Z$132+Z$133+Z$134+Z$135+Z$136+Z$137+Z$138+Z$139</f>
        <v>33090.6755980144</v>
      </c>
      <c r="AA145" s="12" t="n">
        <f aca="false">AA$94+AA$132+AA$133+AA$134+AA$135+AA$136+AA$137+AA$138+AA$139</f>
        <v>33090.6755980144</v>
      </c>
      <c r="AB145" s="12" t="n">
        <f aca="false">AB$94+AB$132+AB$133+AB$134+AB$135+AB$136+AB$137+AB$138+AB$139</f>
        <v>33090.6755980144</v>
      </c>
      <c r="AC145" s="12" t="n">
        <f aca="false">AC$94+AC$132+AC$133+AC$134+AC$135+AC$136+AC$137+AC$138+AC$139</f>
        <v>33090.6755980144</v>
      </c>
      <c r="AD145" s="12" t="n">
        <f aca="false">AD$94+AD$132+AD$133+AD$134+AD$135+AD$136+AD$137+AD$138+AD$139</f>
        <v>33090.6755980144</v>
      </c>
      <c r="AE145" s="12" t="n">
        <f aca="false">AE$94+AE$132+AE$133+AE$134+AE$135+AE$136+AE$137+AE$138+AE$139</f>
        <v>33640.0466980144</v>
      </c>
      <c r="AF145" s="12" t="n">
        <f aca="false">AF$94+AF$132+AF$133+AF$134+AF$135+AF$136+AF$137+AF$138+AF$139</f>
        <v>33640.0466980144</v>
      </c>
      <c r="AG145" s="12" t="n">
        <f aca="false">AG$94+AG$132+AG$133+AG$134+AG$135+AG$136+AG$137+AG$138+AG$139</f>
        <v>33640.0466980144</v>
      </c>
      <c r="AH145" s="12" t="n">
        <f aca="false">AH$94+AH$132+AH$133+AH$134+AH$135+AH$136+AH$137+AH$138+AH$139</f>
        <v>33640.0466980144</v>
      </c>
      <c r="AI145" s="12" t="n">
        <f aca="false">AI$94+AI$132+AI$133+AI$134+AI$135+AI$136+AI$137+AI$138+AI$139</f>
        <v>33640.0466980144</v>
      </c>
      <c r="AJ145" s="12" t="n">
        <f aca="false">AJ$94+AJ$132+AJ$133+AJ$134+AJ$135+AJ$136+AJ$137+AJ$138+AJ$139</f>
        <v>33640.0466980144</v>
      </c>
      <c r="AK145" s="12" t="n">
        <f aca="false">AK$94+AK$132+AK$133+AK$134+AK$135+AK$136+AK$137+AK$138+AK$139</f>
        <v>33640.0466980144</v>
      </c>
      <c r="AL145" s="12" t="n">
        <f aca="false">AL$94+AL$132+AL$133+AL$134+AL$135+AL$136+AL$137+AL$138+AL$139</f>
        <v>33640.0466980144</v>
      </c>
      <c r="AM145" s="12" t="n">
        <f aca="false">AM$94+AM$132+AM$133+AM$134+AM$135+AM$136+AM$137+AM$138+AM$139</f>
        <v>33640.0466980144</v>
      </c>
      <c r="AN145" s="12" t="n">
        <f aca="false">AN$94+AN$132+AN$133+AN$134+AN$135+AN$136+AN$137+AN$138+AN$139</f>
        <v>33640.0466980144</v>
      </c>
      <c r="AO145" s="12" t="n">
        <f aca="false">AO$94+AO$132+AO$133+AO$134+AO$135+AO$136+AO$137+AO$138+AO$139</f>
        <v>33640.0466980144</v>
      </c>
      <c r="AP145" s="12" t="n">
        <f aca="false">AP$94+AP$132+AP$133+AP$134+AP$135+AP$136+AP$137+AP$138+AP$139</f>
        <v>33640.0466980144</v>
      </c>
      <c r="AQ145" s="12" t="n">
        <f aca="false">AQ$94+AQ$132+AQ$133+AQ$134+AQ$135+AQ$136+AQ$137+AQ$138+AQ$139</f>
        <v>34205.8989310144</v>
      </c>
      <c r="AR145" s="12" t="n">
        <f aca="false">AR$94+AR$132+AR$133+AR$134+AR$135+AR$136+AR$137+AR$138+AR$139</f>
        <v>34205.8989310144</v>
      </c>
      <c r="AS145" s="12" t="n">
        <f aca="false">AS$94+AS$132+AS$133+AS$134+AS$135+AS$136+AS$137+AS$138+AS$139</f>
        <v>34205.8989310144</v>
      </c>
      <c r="AT145" s="12" t="n">
        <f aca="false">AT$94+AT$132+AT$133+AT$134+AT$135+AT$136+AT$137+AT$138+AT$139</f>
        <v>34205.8989310144</v>
      </c>
      <c r="AU145" s="12" t="n">
        <f aca="false">AU$94+AU$132+AU$133+AU$134+AU$135+AU$136+AU$137+AU$138+AU$139</f>
        <v>34205.8989310144</v>
      </c>
      <c r="AV145" s="12" t="n">
        <f aca="false">AV$94+AV$132+AV$133+AV$134+AV$135+AV$136+AV$137+AV$138+AV$139</f>
        <v>34205.8989310144</v>
      </c>
      <c r="AW145" s="12" t="n">
        <f aca="false">AW$94+AW$132+AW$133+AW$134+AW$135+AW$136+AW$137+AW$138+AW$139</f>
        <v>34205.8989310144</v>
      </c>
      <c r="AX145" s="12" t="n">
        <f aca="false">AX$94+AX$132+AX$133+AX$134+AX$135+AX$136+AX$137+AX$138+AX$139</f>
        <v>34205.8989310144</v>
      </c>
      <c r="AY145" s="12" t="n">
        <f aca="false">AY$94+AY$132+AY$133+AY$134+AY$135+AY$136+AY$137+AY$138+AY$139</f>
        <v>34205.8989310144</v>
      </c>
      <c r="AZ145" s="12" t="n">
        <f aca="false">AZ$94+AZ$132+AZ$133+AZ$134+AZ$135+AZ$136+AZ$137+AZ$138+AZ$139</f>
        <v>34205.8989310144</v>
      </c>
      <c r="BA145" s="12" t="n">
        <f aca="false">BA$94+BA$132+BA$133+BA$134+BA$135+BA$136+BA$137+BA$138+BA$139</f>
        <v>34205.8989310144</v>
      </c>
      <c r="BB145" s="12" t="n">
        <f aca="false">BB$94+BB$132+BB$133+BB$134+BB$135+BB$136+BB$137+BB$138+BB$139</f>
        <v>34205.8989310144</v>
      </c>
      <c r="BC145" s="12" t="n">
        <f aca="false">BC$94+BC$132+BC$133+BC$134+BC$135+BC$136+BC$137+BC$138+BC$139</f>
        <v>34788.7267310044</v>
      </c>
      <c r="BD145" s="12" t="n">
        <f aca="false">BD$94+BD$132+BD$133+BD$134+BD$135+BD$136+BD$137+BD$138+BD$139</f>
        <v>34788.7267310044</v>
      </c>
      <c r="BE145" s="12" t="n">
        <f aca="false">BE$94+BE$132+BE$133+BE$134+BE$135+BE$136+BE$137+BE$138+BE$139</f>
        <v>34788.7267310044</v>
      </c>
      <c r="BF145" s="12" t="n">
        <f aca="false">BF$94+BF$132+BF$133+BF$134+BF$135+BF$136+BF$137+BF$138+BF$139</f>
        <v>34788.7267310044</v>
      </c>
      <c r="BG145" s="12" t="n">
        <f aca="false">BG$94+BG$132+BG$133+BG$134+BG$135+BG$136+BG$137+BG$138+BG$139</f>
        <v>34788.7267310044</v>
      </c>
      <c r="BH145" s="12" t="n">
        <f aca="false">BH$94+BH$132+BH$133+BH$134+BH$135+BH$136+BH$137+BH$138+BH$139</f>
        <v>34788.7267310044</v>
      </c>
      <c r="BI145" s="12" t="n">
        <f aca="false">BI$94+BI$132+BI$133+BI$134+BI$135+BI$136+BI$137+BI$138+BI$139</f>
        <v>34788.7267310044</v>
      </c>
      <c r="BJ145" s="12" t="n">
        <f aca="false">BJ$94+BJ$132+BJ$133+BJ$134+BJ$135+BJ$136+BJ$137+BJ$138+BJ$139</f>
        <v>34788.7267310044</v>
      </c>
      <c r="BK145" s="12" t="n">
        <f aca="false">BK$94+BK$132+BK$133+BK$134+BK$135+BK$136+BK$137+BK$138+BK$139</f>
        <v>34788.7267310044</v>
      </c>
      <c r="BL145" s="12" t="n">
        <f aca="false">BL$94+BL$132+BL$133+BL$134+BL$135+BL$136+BL$137+BL$138+BL$139</f>
        <v>34788.7267310044</v>
      </c>
      <c r="BM145" s="12" t="n">
        <f aca="false">BM$94+BM$132+BM$133+BM$134+BM$135+BM$136+BM$137+BM$138+BM$139</f>
        <v>34788.7267310044</v>
      </c>
      <c r="BN145" s="12" t="n">
        <f aca="false">BN$94+BN$132+BN$133+BN$134+BN$135+BN$136+BN$137+BN$138+BN$139</f>
        <v>34788.7267310044</v>
      </c>
      <c r="BO145" s="12" t="n">
        <f aca="false">BO$94+BO$132+BO$133+BO$134+BO$135+BO$136+BO$137+BO$138+BO$139</f>
        <v>35389.0393649941</v>
      </c>
      <c r="BP145" s="12" t="n">
        <f aca="false">BP$94+BP$132+BP$133+BP$134+BP$135+BP$136+BP$137+BP$138+BP$139</f>
        <v>35389.0393649941</v>
      </c>
      <c r="BQ145" s="12" t="n">
        <f aca="false">BQ$94+BQ$132+BQ$133+BQ$134+BQ$135+BQ$136+BQ$137+BQ$138+BQ$139</f>
        <v>35389.0393649941</v>
      </c>
      <c r="BR145" s="12" t="n">
        <f aca="false">BR$94+BR$132+BR$133+BR$134+BR$135+BR$136+BR$137+BR$138+BR$139</f>
        <v>35389.0393649941</v>
      </c>
      <c r="BS145" s="12" t="n">
        <f aca="false">BS$94+BS$132+BS$133+BS$134+BS$135+BS$136+BS$137+BS$138+BS$139</f>
        <v>35389.0393649941</v>
      </c>
      <c r="BT145" s="12" t="n">
        <f aca="false">BT$94+BT$132+BT$133+BT$134+BT$135+BT$136+BT$137+BT$138+BT$139</f>
        <v>35389.0393649941</v>
      </c>
      <c r="BU145" s="12" t="n">
        <f aca="false">BU$94+BU$132+BU$133+BU$134+BU$135+BU$136+BU$137+BU$138+BU$139</f>
        <v>35389.0393649941</v>
      </c>
      <c r="BV145" s="12" t="n">
        <f aca="false">BV$94+BV$132+BV$133+BV$134+BV$135+BV$136+BV$137+BV$138+BV$139</f>
        <v>35389.0393649941</v>
      </c>
      <c r="BW145" s="12" t="n">
        <f aca="false">BW$94+BW$132+BW$133+BW$134+BW$135+BW$136+BW$137+BW$138+BW$139</f>
        <v>35389.0393649941</v>
      </c>
      <c r="BX145" s="12" t="n">
        <f aca="false">BX$94+BX$132+BX$133+BX$134+BX$135+BX$136+BX$137+BX$138+BX$139</f>
        <v>35389.0393649941</v>
      </c>
      <c r="BY145" s="12" t="n">
        <f aca="false">BY$94+BY$132+BY$133+BY$134+BY$135+BY$136+BY$137+BY$138+BY$139</f>
        <v>35389.0393649941</v>
      </c>
      <c r="BZ145" s="12" t="n">
        <f aca="false">BZ$94+BZ$132+BZ$133+BZ$134+BZ$135+BZ$136+BZ$137+BZ$138+BZ$139</f>
        <v>35389.0393649941</v>
      </c>
      <c r="CA145" s="12" t="n">
        <f aca="false">CA$94+CA$132+CA$133+CA$134+CA$135+CA$136+CA$137+CA$138+CA$139</f>
        <v>36007.3613780035</v>
      </c>
      <c r="CB145" s="12" t="n">
        <f aca="false">CB$94+CB$132+CB$133+CB$134+CB$135+CB$136+CB$137+CB$138+CB$139</f>
        <v>36007.3613780035</v>
      </c>
      <c r="CC145" s="12" t="n">
        <f aca="false">CC$94+CC$132+CC$133+CC$134+CC$135+CC$136+CC$137+CC$138+CC$139</f>
        <v>36007.3613780035</v>
      </c>
      <c r="CD145" s="12" t="n">
        <f aca="false">CD$94+CD$132+CD$133+CD$134+CD$135+CD$136+CD$137+CD$138+CD$139</f>
        <v>36007.3613780035</v>
      </c>
      <c r="CE145" s="12" t="n">
        <f aca="false">CE$94+CE$132+CE$133+CE$134+CE$135+CE$136+CE$137+CE$138+CE$139</f>
        <v>36007.3613780035</v>
      </c>
      <c r="CF145" s="12" t="n">
        <f aca="false">CF$94+CF$132+CF$133+CF$134+CF$135+CF$136+CF$137+CF$138+CF$139</f>
        <v>36007.3613780035</v>
      </c>
      <c r="CG145" s="12" t="n">
        <f aca="false">CG$94+CG$132+CG$133+CG$134+CG$135+CG$136+CG$137+CG$138+CG$139</f>
        <v>36007.3613780035</v>
      </c>
      <c r="CH145" s="12" t="n">
        <f aca="false">CH$94+CH$132+CH$133+CH$134+CH$135+CH$136+CH$137+CH$138+CH$139</f>
        <v>36007.3613780035</v>
      </c>
      <c r="CI145" s="12" t="n">
        <f aca="false">CI$94+CI$132+CI$133+CI$134+CI$135+CI$136+CI$137+CI$138+CI$139</f>
        <v>36007.3613780035</v>
      </c>
      <c r="CJ145" s="12" t="n">
        <f aca="false">CJ$94+CJ$132+CJ$133+CJ$134+CJ$135+CJ$136+CJ$137+CJ$138+CJ$139</f>
        <v>36007.3613780035</v>
      </c>
      <c r="CK145" s="12" t="n">
        <f aca="false">CK$94+CK$132+CK$133+CK$134+CK$135+CK$136+CK$137+CK$138+CK$139</f>
        <v>36007.3613780035</v>
      </c>
      <c r="CL145" s="12" t="n">
        <f aca="false">CL$94+CL$132+CL$133+CL$134+CL$135+CL$136+CL$137+CL$138+CL$139</f>
        <v>36007.3613780035</v>
      </c>
      <c r="CM145" s="12" t="n">
        <f aca="false">CM$94+CM$132+CM$133+CM$134+CM$135+CM$136+CM$137+CM$138+CM$139</f>
        <v>36644.2330514032</v>
      </c>
      <c r="CN145" s="12" t="n">
        <f aca="false">CN$94+CN$132+CN$133+CN$134+CN$135+CN$136+CN$137+CN$138+CN$139</f>
        <v>36644.2330514032</v>
      </c>
      <c r="CO145" s="12" t="n">
        <f aca="false">CO$94+CO$132+CO$133+CO$134+CO$135+CO$136+CO$137+CO$138+CO$139</f>
        <v>36644.2330514032</v>
      </c>
      <c r="CP145" s="12" t="n">
        <f aca="false">CP$94+CP$132+CP$133+CP$134+CP$135+CP$136+CP$137+CP$138+CP$139</f>
        <v>36644.2330514032</v>
      </c>
      <c r="CQ145" s="12" t="n">
        <f aca="false">CQ$94+CQ$132+CQ$133+CQ$134+CQ$135+CQ$136+CQ$137+CQ$138+CQ$139</f>
        <v>36644.2330514032</v>
      </c>
      <c r="CR145" s="12" t="n">
        <f aca="false">CR$94+CR$132+CR$133+CR$134+CR$135+CR$136+CR$137+CR$138+CR$139</f>
        <v>36644.2330514032</v>
      </c>
      <c r="CS145" s="12" t="n">
        <f aca="false">CS$94+CS$132+CS$133+CS$134+CS$135+CS$136+CS$137+CS$138+CS$139</f>
        <v>36644.2330514032</v>
      </c>
      <c r="CT145" s="12" t="n">
        <f aca="false">CT$94+CT$132+CT$133+CT$134+CT$135+CT$136+CT$137+CT$138+CT$139</f>
        <v>36644.2330514032</v>
      </c>
      <c r="CU145" s="12" t="n">
        <f aca="false">CU$94+CU$132+CU$133+CU$134+CU$135+CU$136+CU$137+CU$138+CU$139</f>
        <v>36644.2330514032</v>
      </c>
      <c r="CV145" s="12" t="n">
        <f aca="false">CV$94+CV$132+CV$133+CV$134+CV$135+CV$136+CV$137+CV$138+CV$139</f>
        <v>36644.2330514032</v>
      </c>
      <c r="CW145" s="12" t="n">
        <f aca="false">CW$94+CW$132+CW$133+CW$134+CW$135+CW$136+CW$137+CW$138+CW$139</f>
        <v>36644.2330514032</v>
      </c>
      <c r="CX145" s="12" t="n">
        <f aca="false">CX$94+CX$132+CX$133+CX$134+CX$135+CX$136+CX$137+CX$138+CX$139</f>
        <v>36644.2330514032</v>
      </c>
      <c r="CY145" s="12" t="n">
        <f aca="false">CY$94+CY$132+CY$133+CY$134+CY$135+CY$136+CY$137+CY$138+CY$139</f>
        <v>37300.2108750048</v>
      </c>
      <c r="CZ145" s="12" t="n">
        <f aca="false">CZ$94+CZ$132+CZ$133+CZ$134+CZ$135+CZ$136+CZ$137+CZ$138+CZ$139</f>
        <v>37300.2108750048</v>
      </c>
      <c r="DA145" s="12" t="n">
        <f aca="false">DA$94+DA$132+DA$133+DA$134+DA$135+DA$136+DA$137+DA$138+DA$139</f>
        <v>37300.2108750048</v>
      </c>
      <c r="DB145" s="12" t="n">
        <f aca="false">DB$94+DB$132+DB$133+DB$134+DB$135+DB$136+DB$137+DB$138+DB$139</f>
        <v>37300.2108750048</v>
      </c>
      <c r="DC145" s="12" t="n">
        <f aca="false">DC$94+DC$132+DC$133+DC$134+DC$135+DC$136+DC$137+DC$138+DC$139</f>
        <v>37300.2108750048</v>
      </c>
      <c r="DD145" s="12" t="n">
        <f aca="false">DD$94+DD$132+DD$133+DD$134+DD$135+DD$136+DD$137+DD$138+DD$139</f>
        <v>37300.2108750048</v>
      </c>
      <c r="DE145" s="12" t="n">
        <f aca="false">DE$94+DE$132+DE$133+DE$134+DE$135+DE$136+DE$137+DE$138+DE$139</f>
        <v>37300.2108750048</v>
      </c>
      <c r="DF145" s="12" t="n">
        <f aca="false">DF$94+DF$132+DF$133+DF$134+DF$135+DF$136+DF$137+DF$138+DF$139</f>
        <v>37300.2108750048</v>
      </c>
      <c r="DG145" s="12" t="n">
        <f aca="false">DG$94+DG$132+DG$133+DG$134+DG$135+DG$136+DG$137+DG$138+DG$139</f>
        <v>37300.2108750048</v>
      </c>
      <c r="DH145" s="12" t="n">
        <f aca="false">DH$94+DH$132+DH$133+DH$134+DH$135+DH$136+DH$137+DH$138+DH$139</f>
        <v>37300.2108750048</v>
      </c>
      <c r="DI145" s="12" t="n">
        <f aca="false">DI$94+DI$132+DI$133+DI$134+DI$135+DI$136+DI$137+DI$138+DI$139</f>
        <v>37300.2108750048</v>
      </c>
      <c r="DJ145" s="12" t="n">
        <f aca="false">DJ$94+DJ$132+DJ$133+DJ$134+DJ$135+DJ$136+DJ$137+DJ$138+DJ$139</f>
        <v>37300.2108750048</v>
      </c>
      <c r="DK145" s="12" t="n">
        <f aca="false">DK$94+DK$132+DK$133+DK$134+DK$135+DK$136+DK$137+DK$138+DK$139</f>
        <v>37975.8680333145</v>
      </c>
      <c r="DL145" s="12" t="n">
        <f aca="false">DL$94+DL$132+DL$133+DL$134+DL$135+DL$136+DL$137+DL$138+DL$139</f>
        <v>37975.8680333145</v>
      </c>
      <c r="DM145" s="12" t="n">
        <f aca="false">DM$94+DM$132+DM$133+DM$134+DM$135+DM$136+DM$137+DM$138+DM$139</f>
        <v>37975.8680333145</v>
      </c>
      <c r="DN145" s="12" t="n">
        <f aca="false">DN$94+DN$132+DN$133+DN$134+DN$135+DN$136+DN$137+DN$138+DN$139</f>
        <v>37975.8680333145</v>
      </c>
      <c r="DO145" s="12" t="n">
        <f aca="false">DO$94+DO$132+DO$133+DO$134+DO$135+DO$136+DO$137+DO$138+DO$139</f>
        <v>37975.8680333145</v>
      </c>
      <c r="DP145" s="12" t="n">
        <f aca="false">DP$94+DP$132+DP$133+DP$134+DP$135+DP$136+DP$137+DP$138+DP$139</f>
        <v>37975.8680333145</v>
      </c>
      <c r="DQ145" s="12" t="n">
        <f aca="false">DQ$94+DQ$132+DQ$133+DQ$134+DQ$135+DQ$136+DQ$137+DQ$138+DQ$139</f>
        <v>37975.8680333145</v>
      </c>
      <c r="DR145" s="12" t="n">
        <f aca="false">DR$94+DR$132+DR$133+DR$134+DR$135+DR$136+DR$137+DR$138+DR$139</f>
        <v>37975.8680333145</v>
      </c>
      <c r="DS145" s="12" t="n">
        <f aca="false">DS$94+DS$132+DS$133+DS$134+DS$135+DS$136+DS$137+DS$138+DS$139</f>
        <v>37975.8680333145</v>
      </c>
      <c r="DT145" s="12" t="n">
        <f aca="false">DT$94+DT$132+DT$133+DT$134+DT$135+DT$136+DT$137+DT$138+DT$139</f>
        <v>37975.8680333145</v>
      </c>
      <c r="DU145" s="12" t="n">
        <f aca="false">DU$94+DU$132+DU$133+DU$134+DU$135+DU$136+DU$137+DU$138+DU$139</f>
        <v>37975.8680333145</v>
      </c>
      <c r="DV145" s="12" t="n">
        <f aca="false">DV$94+DV$132+DV$133+DV$134+DV$135+DV$136+DV$137+DV$138+DV$139</f>
        <v>37975.8680333145</v>
      </c>
      <c r="DW145" s="12" t="n">
        <f aca="false">DW$94+DW$132+DW$133+DW$134+DW$135+DW$136+DW$137+DW$138+DW$139</f>
        <v>0</v>
      </c>
      <c r="DX145" s="12" t="n">
        <f aca="false">DX$94+DX$132+DX$133+DX$134+DX$135+DX$136+DX$137+DX$138+DX$139</f>
        <v>0</v>
      </c>
      <c r="DY145" s="12" t="n">
        <f aca="false">DY$94+DY$132+DY$133+DY$134+DY$135+DY$136+DY$137+DY$138+DY$139</f>
        <v>0</v>
      </c>
      <c r="DZ145" s="12" t="n">
        <f aca="false">DZ$94+DZ$132+DZ$133+DZ$134+DZ$135+DZ$136+DZ$137+DZ$138+DZ$139</f>
        <v>0</v>
      </c>
      <c r="EA145" s="12" t="n">
        <f aca="false">EA$94+EA$132+EA$133+EA$134+EA$135+EA$136+EA$137+EA$138+EA$139</f>
        <v>0</v>
      </c>
      <c r="EB145" s="12" t="n">
        <f aca="false">EB$94+EB$132+EB$133+EB$134+EB$135+EB$136+EB$137+EB$138+EB$139</f>
        <v>0</v>
      </c>
      <c r="EC145" s="12" t="n">
        <f aca="false">EC$94+EC$132+EC$133+EC$134+EC$135+EC$136+EC$137+EC$138+EC$139</f>
        <v>0</v>
      </c>
      <c r="ED145" s="12" t="n">
        <f aca="false">ED$94+ED$132+ED$133+ED$134+ED$135+ED$136+ED$137+ED$138+ED$139</f>
        <v>0</v>
      </c>
      <c r="EE145" s="12" t="n">
        <f aca="false">EE$94+EE$132+EE$133+EE$134+EE$135+EE$136+EE$137+EE$138+EE$139</f>
        <v>0</v>
      </c>
      <c r="EF145" s="12" t="n">
        <f aca="false">EF$94+EF$132+EF$133+EF$134+EF$135+EF$136+EF$137+EF$138+EF$139</f>
        <v>0</v>
      </c>
      <c r="EG145" s="12" t="n">
        <f aca="false">EG$94+EG$132+EG$133+EG$134+EG$135+EG$136+EG$137+EG$138+EG$139</f>
        <v>0</v>
      </c>
      <c r="EH145" s="12" t="n">
        <f aca="false">EH$94+EH$132+EH$133+EH$134+EH$135+EH$136+EH$137+EH$138+EH$139</f>
        <v>0</v>
      </c>
      <c r="EI145" s="12" t="n">
        <f aca="false">EI$94+EI$132+EI$133+EI$134+EI$135+EI$136+EI$137+EI$138+EI$139</f>
        <v>0</v>
      </c>
      <c r="EJ145" s="12" t="n">
        <f aca="false">EJ$94+EJ$132+EJ$133+EJ$134+EJ$135+EJ$136+EJ$137+EJ$138+EJ$139</f>
        <v>0</v>
      </c>
      <c r="EK145" s="12" t="n">
        <f aca="false">EK$94+EK$132+EK$133+EK$134+EK$135+EK$136+EK$137+EK$138+EK$139</f>
        <v>0</v>
      </c>
      <c r="EL145" s="12" t="n">
        <f aca="false">EL$94+EL$132+EL$133+EL$134+EL$135+EL$136+EL$137+EL$138+EL$139</f>
        <v>0</v>
      </c>
      <c r="EM145" s="12" t="n">
        <f aca="false">EM$94+EM$132+EM$133+EM$134+EM$135+EM$136+EM$137+EM$138+EM$139</f>
        <v>0</v>
      </c>
      <c r="EN145" s="12" t="n">
        <f aca="false">EN$94+EN$132+EN$133+EN$134+EN$135+EN$136+EN$137+EN$138+EN$139</f>
        <v>0</v>
      </c>
      <c r="EO145" s="12" t="n">
        <f aca="false">EO$94+EO$132+EO$133+EO$134+EO$135+EO$136+EO$137+EO$138+EO$139</f>
        <v>0</v>
      </c>
      <c r="EP145" s="12" t="n">
        <f aca="false">EP$94+EP$132+EP$133+EP$134+EP$135+EP$136+EP$137+EP$138+EP$139</f>
        <v>0</v>
      </c>
      <c r="EQ145" s="12" t="n">
        <f aca="false">EQ$94+EQ$132+EQ$133+EQ$134+EQ$135+EQ$136+EQ$137+EQ$138+EQ$139</f>
        <v>0</v>
      </c>
      <c r="ER145" s="12" t="n">
        <f aca="false">ER$94+ER$132+ER$133+ER$134+ER$135+ER$136+ER$137+ER$138+ER$139</f>
        <v>0</v>
      </c>
      <c r="ES145" s="12" t="n">
        <f aca="false">ES$94+ES$132+ES$133+ES$134+ES$135+ES$136+ES$137+ES$138+ES$139</f>
        <v>0</v>
      </c>
      <c r="ET145" s="12" t="n">
        <f aca="false">ET$94+ET$132+ET$133+ET$134+ET$135+ET$136+ET$137+ET$138+ET$139</f>
        <v>0</v>
      </c>
      <c r="EU145" s="12" t="n">
        <f aca="false">EU$94+EU$132+EU$133+EU$134+EU$135+EU$136+EU$137+EU$138+EU$139</f>
        <v>0</v>
      </c>
      <c r="EV145" s="12" t="n">
        <f aca="false">EV$94+EV$132+EV$133+EV$134+EV$135+EV$136+EV$137+EV$138+EV$139</f>
        <v>0</v>
      </c>
      <c r="EW145" s="12" t="n">
        <f aca="false">EW$94+EW$132+EW$133+EW$134+EW$135+EW$136+EW$137+EW$138+EW$139</f>
        <v>0</v>
      </c>
      <c r="EX145" s="12" t="n">
        <f aca="false">EX$94+EX$132+EX$133+EX$134+EX$135+EX$136+EX$137+EX$138+EX$139</f>
        <v>0</v>
      </c>
      <c r="EY145" s="12" t="n">
        <f aca="false">EY$94+EY$132+EY$133+EY$134+EY$135+EY$136+EY$137+EY$138+EY$139</f>
        <v>0</v>
      </c>
      <c r="EZ145" s="12" t="n">
        <f aca="false">EZ$94+EZ$132+EZ$133+EZ$134+EZ$135+EZ$136+EZ$137+EZ$138+EZ$139</f>
        <v>0</v>
      </c>
      <c r="FA145" s="12" t="n">
        <f aca="false">FA$94+FA$132+FA$133+FA$134+FA$135+FA$136+FA$137+FA$138+FA$139</f>
        <v>0</v>
      </c>
      <c r="FB145" s="12" t="n">
        <f aca="false">FB$94+FB$132+FB$133+FB$134+FB$135+FB$136+FB$137+FB$138+FB$139</f>
        <v>0</v>
      </c>
      <c r="FC145" s="12" t="n">
        <f aca="false">FC$94+FC$132+FC$133+FC$134+FC$135+FC$136+FC$137+FC$138+FC$139</f>
        <v>0</v>
      </c>
      <c r="FD145" s="12" t="n">
        <f aca="false">FD$94+FD$132+FD$133+FD$134+FD$135+FD$136+FD$137+FD$138+FD$139</f>
        <v>0</v>
      </c>
      <c r="FE145" s="12" t="n">
        <f aca="false">FE$94+FE$132+FE$133+FE$134+FE$135+FE$136+FE$137+FE$138+FE$139</f>
        <v>0</v>
      </c>
      <c r="FF145" s="12" t="n">
        <f aca="false">FF$94+FF$132+FF$133+FF$134+FF$135+FF$136+FF$137+FF$138+FF$139</f>
        <v>0</v>
      </c>
    </row>
    <row r="146" customFormat="false" ht="15" hidden="false" customHeight="false" outlineLevel="0" collapsed="false">
      <c r="A146" s="2" t="s">
        <v>1129</v>
      </c>
      <c r="B146" s="8" t="s">
        <v>1130</v>
      </c>
      <c r="C146" s="8" t="s">
        <v>255</v>
      </c>
      <c r="E146" s="65" t="n">
        <f aca="false">SUM($F146:$FF146)</f>
        <v>8060733.31849932</v>
      </c>
      <c r="F146" s="13" t="n">
        <f aca="false">F$82+F$88+F$121+F$122+F$123</f>
        <v>0</v>
      </c>
      <c r="G146" s="13" t="n">
        <f aca="false">G$82+G$88+G$121+G$122+G$123</f>
        <v>61003.4127486288</v>
      </c>
      <c r="H146" s="13" t="n">
        <f aca="false">H$82+H$88+H$121+H$122+H$123</f>
        <v>60204.4861732863</v>
      </c>
      <c r="I146" s="13" t="n">
        <f aca="false">I$82+I$88+I$121+I$122+I$123</f>
        <v>60204.4861732863</v>
      </c>
      <c r="J146" s="13" t="n">
        <f aca="false">J$82+J$88+J$121+J$122+J$123</f>
        <v>60204.4861732863</v>
      </c>
      <c r="K146" s="13" t="n">
        <f aca="false">K$82+K$88+K$121+K$122+K$123</f>
        <v>60204.4861732863</v>
      </c>
      <c r="L146" s="13" t="n">
        <f aca="false">L$82+L$88+L$121+L$122+L$123</f>
        <v>60204.4861732863</v>
      </c>
      <c r="M146" s="13" t="n">
        <f aca="false">M$82+M$88+M$121+M$122+M$123</f>
        <v>60204.4861732863</v>
      </c>
      <c r="N146" s="13" t="n">
        <f aca="false">N$82+N$88+N$121+N$122+N$123</f>
        <v>60204.4861732863</v>
      </c>
      <c r="O146" s="13" t="n">
        <f aca="false">O$82+O$88+O$121+O$122+O$123</f>
        <v>60204.4861732863</v>
      </c>
      <c r="P146" s="13" t="n">
        <f aca="false">P$82+P$88+P$121+P$122+P$123</f>
        <v>60204.4861732863</v>
      </c>
      <c r="Q146" s="13" t="n">
        <f aca="false">Q$82+Q$88+Q$121+Q$122+Q$123</f>
        <v>60204.4861732863</v>
      </c>
      <c r="R146" s="13" t="n">
        <f aca="false">R$82+R$88+R$121+R$122+R$123</f>
        <v>60414.4856253411</v>
      </c>
      <c r="S146" s="13" t="n">
        <f aca="false">S$82+S$88+S$121+S$122+S$123</f>
        <v>60908.636589953</v>
      </c>
      <c r="T146" s="13" t="n">
        <f aca="false">T$82+T$88+T$121+T$122+T$123</f>
        <v>60908.636589953</v>
      </c>
      <c r="U146" s="13" t="n">
        <f aca="false">U$82+U$88+U$121+U$122+U$123</f>
        <v>60908.636589953</v>
      </c>
      <c r="V146" s="13" t="n">
        <f aca="false">V$82+V$88+V$121+V$122+V$123</f>
        <v>60908.636589953</v>
      </c>
      <c r="W146" s="13" t="n">
        <f aca="false">W$82+W$88+W$121+W$122+W$123</f>
        <v>60908.636589953</v>
      </c>
      <c r="X146" s="13" t="n">
        <f aca="false">X$82+X$88+X$121+X$122+X$123</f>
        <v>60908.636589953</v>
      </c>
      <c r="Y146" s="13" t="n">
        <f aca="false">Y$82+Y$88+Y$121+Y$122+Y$123</f>
        <v>60908.636589953</v>
      </c>
      <c r="Z146" s="13" t="n">
        <f aca="false">Z$82+Z$88+Z$121+Z$122+Z$123</f>
        <v>60908.636589953</v>
      </c>
      <c r="AA146" s="13" t="n">
        <f aca="false">AA$82+AA$88+AA$121+AA$122+AA$123</f>
        <v>60908.636589953</v>
      </c>
      <c r="AB146" s="13" t="n">
        <f aca="false">AB$82+AB$88+AB$121+AB$122+AB$123</f>
        <v>60908.636589953</v>
      </c>
      <c r="AC146" s="13" t="n">
        <f aca="false">AC$82+AC$88+AC$121+AC$122+AC$123</f>
        <v>60908.636589953</v>
      </c>
      <c r="AD146" s="13" t="n">
        <f aca="false">AD$82+AD$88+AD$121+AD$122+AD$123</f>
        <v>61119.7213844735</v>
      </c>
      <c r="AE146" s="13" t="n">
        <f aca="false">AE$82+AE$88+AE$121+AE$122+AE$123</f>
        <v>64291.4534288244</v>
      </c>
      <c r="AF146" s="13" t="n">
        <f aca="false">AF$82+AF$88+AF$121+AF$122+AF$123</f>
        <v>64291.4534288244</v>
      </c>
      <c r="AG146" s="13" t="n">
        <f aca="false">AG$82+AG$88+AG$121+AG$122+AG$123</f>
        <v>64291.4534288244</v>
      </c>
      <c r="AH146" s="13" t="n">
        <f aca="false">AH$82+AH$88+AH$121+AH$122+AH$123</f>
        <v>64291.4534288244</v>
      </c>
      <c r="AI146" s="13" t="n">
        <f aca="false">AI$82+AI$88+AI$121+AI$122+AI$123</f>
        <v>64291.4534288244</v>
      </c>
      <c r="AJ146" s="13" t="n">
        <f aca="false">AJ$82+AJ$88+AJ$121+AJ$122+AJ$123</f>
        <v>64291.4534288244</v>
      </c>
      <c r="AK146" s="13" t="n">
        <f aca="false">AK$82+AK$88+AK$121+AK$122+AK$123</f>
        <v>64291.4534288244</v>
      </c>
      <c r="AL146" s="13" t="n">
        <f aca="false">AL$82+AL$88+AL$121+AL$122+AL$123</f>
        <v>64291.4534288244</v>
      </c>
      <c r="AM146" s="13" t="n">
        <f aca="false">AM$82+AM$88+AM$121+AM$122+AM$123</f>
        <v>64291.4534288244</v>
      </c>
      <c r="AN146" s="13" t="n">
        <f aca="false">AN$82+AN$88+AN$121+AN$122+AN$123</f>
        <v>64291.4534288244</v>
      </c>
      <c r="AO146" s="13" t="n">
        <f aca="false">AO$82+AO$88+AO$121+AO$122+AO$123</f>
        <v>64291.4534288244</v>
      </c>
      <c r="AP146" s="13" t="n">
        <f aca="false">AP$82+AP$88+AP$121+AP$122+AP$123</f>
        <v>64462.1551288244</v>
      </c>
      <c r="AQ146" s="13" t="n">
        <f aca="false">AQ$82+AQ$88+AQ$121+AQ$122+AQ$123</f>
        <v>67022.0506913073</v>
      </c>
      <c r="AR146" s="13" t="n">
        <f aca="false">AR$82+AR$88+AR$121+AR$122+AR$123</f>
        <v>67022.0506913073</v>
      </c>
      <c r="AS146" s="13" t="n">
        <f aca="false">AS$82+AS$88+AS$121+AS$122+AS$123</f>
        <v>67022.0506913073</v>
      </c>
      <c r="AT146" s="13" t="n">
        <f aca="false">AT$82+AT$88+AT$121+AT$122+AT$123</f>
        <v>67022.0506913073</v>
      </c>
      <c r="AU146" s="13" t="n">
        <f aca="false">AU$82+AU$88+AU$121+AU$122+AU$123</f>
        <v>67022.0506913073</v>
      </c>
      <c r="AV146" s="13" t="n">
        <f aca="false">AV$82+AV$88+AV$121+AV$122+AV$123</f>
        <v>67022.0506913073</v>
      </c>
      <c r="AW146" s="13" t="n">
        <f aca="false">AW$82+AW$88+AW$121+AW$122+AW$123</f>
        <v>67022.0506913073</v>
      </c>
      <c r="AX146" s="13" t="n">
        <f aca="false">AX$82+AX$88+AX$121+AX$122+AX$123</f>
        <v>67022.0506913073</v>
      </c>
      <c r="AY146" s="13" t="n">
        <f aca="false">AY$82+AY$88+AY$121+AY$122+AY$123</f>
        <v>67022.0506913073</v>
      </c>
      <c r="AZ146" s="13" t="n">
        <f aca="false">AZ$82+AZ$88+AZ$121+AZ$122+AZ$123</f>
        <v>67022.0506913073</v>
      </c>
      <c r="BA146" s="13" t="n">
        <f aca="false">BA$82+BA$88+BA$121+BA$122+BA$123</f>
        <v>67022.0506913073</v>
      </c>
      <c r="BB146" s="13" t="n">
        <f aca="false">BB$82+BB$88+BB$121+BB$122+BB$123</f>
        <v>67022.0506913073</v>
      </c>
      <c r="BC146" s="13" t="n">
        <f aca="false">BC$82+BC$88+BC$121+BC$122+BC$123</f>
        <v>69702.9684100285</v>
      </c>
      <c r="BD146" s="13" t="n">
        <f aca="false">BD$82+BD$88+BD$121+BD$122+BD$123</f>
        <v>69702.9684100285</v>
      </c>
      <c r="BE146" s="13" t="n">
        <f aca="false">BE$82+BE$88+BE$121+BE$122+BE$123</f>
        <v>69702.9684100285</v>
      </c>
      <c r="BF146" s="13" t="n">
        <f aca="false">BF$82+BF$88+BF$121+BF$122+BF$123</f>
        <v>69702.9684100285</v>
      </c>
      <c r="BG146" s="13" t="n">
        <f aca="false">BG$82+BG$88+BG$121+BG$122+BG$123</f>
        <v>69702.9684100285</v>
      </c>
      <c r="BH146" s="13" t="n">
        <f aca="false">BH$82+BH$88+BH$121+BH$122+BH$123</f>
        <v>69702.9684100285</v>
      </c>
      <c r="BI146" s="13" t="n">
        <f aca="false">BI$82+BI$88+BI$121+BI$122+BI$123</f>
        <v>69702.9684100285</v>
      </c>
      <c r="BJ146" s="13" t="n">
        <f aca="false">BJ$82+BJ$88+BJ$121+BJ$122+BJ$123</f>
        <v>69702.9684100285</v>
      </c>
      <c r="BK146" s="13" t="n">
        <f aca="false">BK$82+BK$88+BK$121+BK$122+BK$123</f>
        <v>69702.9684100285</v>
      </c>
      <c r="BL146" s="13" t="n">
        <f aca="false">BL$82+BL$88+BL$121+BL$122+BL$123</f>
        <v>69702.9684100285</v>
      </c>
      <c r="BM146" s="13" t="n">
        <f aca="false">BM$82+BM$88+BM$121+BM$122+BM$123</f>
        <v>69702.9684100285</v>
      </c>
      <c r="BN146" s="13" t="n">
        <f aca="false">BN$82+BN$88+BN$121+BN$122+BN$123</f>
        <v>69702.9684100285</v>
      </c>
      <c r="BO146" s="13" t="n">
        <f aca="false">BO$82+BO$88+BO$121+BO$122+BO$123</f>
        <v>69775.2436553255</v>
      </c>
      <c r="BP146" s="13" t="n">
        <f aca="false">BP$82+BP$88+BP$121+BP$122+BP$123</f>
        <v>69775.2436553255</v>
      </c>
      <c r="BQ146" s="13" t="n">
        <f aca="false">BQ$82+BQ$88+BQ$121+BQ$122+BQ$123</f>
        <v>69775.2436553255</v>
      </c>
      <c r="BR146" s="13" t="n">
        <f aca="false">BR$82+BR$88+BR$121+BR$122+BR$123</f>
        <v>69775.2436553255</v>
      </c>
      <c r="BS146" s="13" t="n">
        <f aca="false">BS$82+BS$88+BS$121+BS$122+BS$123</f>
        <v>69775.2436553255</v>
      </c>
      <c r="BT146" s="13" t="n">
        <f aca="false">BT$82+BT$88+BT$121+BT$122+BT$123</f>
        <v>69775.2436553255</v>
      </c>
      <c r="BU146" s="13" t="n">
        <f aca="false">BU$82+BU$88+BU$121+BU$122+BU$123</f>
        <v>69775.2436553255</v>
      </c>
      <c r="BV146" s="13" t="n">
        <f aca="false">BV$82+BV$88+BV$121+BV$122+BV$123</f>
        <v>69775.2436553255</v>
      </c>
      <c r="BW146" s="13" t="n">
        <f aca="false">BW$82+BW$88+BW$121+BW$122+BW$123</f>
        <v>69775.2436553255</v>
      </c>
      <c r="BX146" s="13" t="n">
        <f aca="false">BX$82+BX$88+BX$121+BX$122+BX$123</f>
        <v>69775.2436553255</v>
      </c>
      <c r="BY146" s="13" t="n">
        <f aca="false">BY$82+BY$88+BY$121+BY$122+BY$123</f>
        <v>69775.2436553255</v>
      </c>
      <c r="BZ146" s="13" t="n">
        <f aca="false">BZ$82+BZ$88+BZ$121+BZ$122+BZ$123</f>
        <v>69775.2436553255</v>
      </c>
      <c r="CA146" s="13" t="n">
        <f aca="false">CA$82+CA$88+CA$121+CA$122+CA$123</f>
        <v>69847.7465197422</v>
      </c>
      <c r="CB146" s="13" t="n">
        <f aca="false">CB$82+CB$88+CB$121+CB$122+CB$123</f>
        <v>69847.7465197422</v>
      </c>
      <c r="CC146" s="13" t="n">
        <f aca="false">CC$82+CC$88+CC$121+CC$122+CC$123</f>
        <v>69847.7465197422</v>
      </c>
      <c r="CD146" s="13" t="n">
        <f aca="false">CD$82+CD$88+CD$121+CD$122+CD$123</f>
        <v>69847.7465197422</v>
      </c>
      <c r="CE146" s="13" t="n">
        <f aca="false">CE$82+CE$88+CE$121+CE$122+CE$123</f>
        <v>69847.7465197422</v>
      </c>
      <c r="CF146" s="13" t="n">
        <f aca="false">CF$82+CF$88+CF$121+CF$122+CF$123</f>
        <v>69847.7465197422</v>
      </c>
      <c r="CG146" s="13" t="n">
        <f aca="false">CG$82+CG$88+CG$121+CG$122+CG$123</f>
        <v>69847.7465197422</v>
      </c>
      <c r="CH146" s="13" t="n">
        <f aca="false">CH$82+CH$88+CH$121+CH$122+CH$123</f>
        <v>69847.7465197422</v>
      </c>
      <c r="CI146" s="13" t="n">
        <f aca="false">CI$82+CI$88+CI$121+CI$122+CI$123</f>
        <v>69847.7465197422</v>
      </c>
      <c r="CJ146" s="13" t="n">
        <f aca="false">CJ$82+CJ$88+CJ$121+CJ$122+CJ$123</f>
        <v>69847.7465197422</v>
      </c>
      <c r="CK146" s="13" t="n">
        <f aca="false">CK$82+CK$88+CK$121+CK$122+CK$123</f>
        <v>69847.7465197422</v>
      </c>
      <c r="CL146" s="13" t="n">
        <f aca="false">CL$82+CL$88+CL$121+CL$122+CL$123</f>
        <v>69847.7465197422</v>
      </c>
      <c r="CM146" s="13" t="n">
        <f aca="false">CM$82+CM$88+CM$121+CM$122+CM$123</f>
        <v>69920.4792794698</v>
      </c>
      <c r="CN146" s="13" t="n">
        <f aca="false">CN$82+CN$88+CN$121+CN$122+CN$123</f>
        <v>69920.4792794698</v>
      </c>
      <c r="CO146" s="13" t="n">
        <f aca="false">CO$82+CO$88+CO$121+CO$122+CO$123</f>
        <v>69920.4792794698</v>
      </c>
      <c r="CP146" s="13" t="n">
        <f aca="false">CP$82+CP$88+CP$121+CP$122+CP$123</f>
        <v>69920.4792794698</v>
      </c>
      <c r="CQ146" s="13" t="n">
        <f aca="false">CQ$82+CQ$88+CQ$121+CQ$122+CQ$123</f>
        <v>69920.4792794698</v>
      </c>
      <c r="CR146" s="13" t="n">
        <f aca="false">CR$82+CR$88+CR$121+CR$122+CR$123</f>
        <v>69920.4792794698</v>
      </c>
      <c r="CS146" s="13" t="n">
        <f aca="false">CS$82+CS$88+CS$121+CS$122+CS$123</f>
        <v>69920.4792794698</v>
      </c>
      <c r="CT146" s="13" t="n">
        <f aca="false">CT$82+CT$88+CT$121+CT$122+CT$123</f>
        <v>69920.4792794698</v>
      </c>
      <c r="CU146" s="13" t="n">
        <f aca="false">CU$82+CU$88+CU$121+CU$122+CU$123</f>
        <v>69920.4792794698</v>
      </c>
      <c r="CV146" s="13" t="n">
        <f aca="false">CV$82+CV$88+CV$121+CV$122+CV$123</f>
        <v>69920.4792794698</v>
      </c>
      <c r="CW146" s="13" t="n">
        <f aca="false">CW$82+CW$88+CW$121+CW$122+CW$123</f>
        <v>69920.4792794698</v>
      </c>
      <c r="CX146" s="13" t="n">
        <f aca="false">CX$82+CX$88+CX$121+CX$122+CX$123</f>
        <v>69920.4792794698</v>
      </c>
      <c r="CY146" s="13" t="n">
        <f aca="false">CY$82+CY$88+CY$121+CY$122+CY$123</f>
        <v>69993.4442334613</v>
      </c>
      <c r="CZ146" s="13" t="n">
        <f aca="false">CZ$82+CZ$88+CZ$121+CZ$122+CZ$123</f>
        <v>69993.4442334613</v>
      </c>
      <c r="DA146" s="13" t="n">
        <f aca="false">DA$82+DA$88+DA$121+DA$122+DA$123</f>
        <v>69993.4442334613</v>
      </c>
      <c r="DB146" s="13" t="n">
        <f aca="false">DB$82+DB$88+DB$121+DB$122+DB$123</f>
        <v>69993.4442334613</v>
      </c>
      <c r="DC146" s="13" t="n">
        <f aca="false">DC$82+DC$88+DC$121+DC$122+DC$123</f>
        <v>69993.4442334613</v>
      </c>
      <c r="DD146" s="13" t="n">
        <f aca="false">DD$82+DD$88+DD$121+DD$122+DD$123</f>
        <v>69993.4442334613</v>
      </c>
      <c r="DE146" s="13" t="n">
        <f aca="false">DE$82+DE$88+DE$121+DE$122+DE$123</f>
        <v>69993.4442334613</v>
      </c>
      <c r="DF146" s="13" t="n">
        <f aca="false">DF$82+DF$88+DF$121+DF$122+DF$123</f>
        <v>69993.4442334613</v>
      </c>
      <c r="DG146" s="13" t="n">
        <f aca="false">DG$82+DG$88+DG$121+DG$122+DG$123</f>
        <v>69993.4442334613</v>
      </c>
      <c r="DH146" s="13" t="n">
        <f aca="false">DH$82+DH$88+DH$121+DH$122+DH$123</f>
        <v>69993.4442334613</v>
      </c>
      <c r="DI146" s="13" t="n">
        <f aca="false">DI$82+DI$88+DI$121+DI$122+DI$123</f>
        <v>69993.4442334613</v>
      </c>
      <c r="DJ146" s="13" t="n">
        <f aca="false">DJ$82+DJ$88+DJ$121+DJ$122+DJ$123</f>
        <v>69993.4442334613</v>
      </c>
      <c r="DK146" s="13" t="n">
        <f aca="false">DK$82+DK$88+DK$121+DK$122+DK$123</f>
        <v>70066.6437036593</v>
      </c>
      <c r="DL146" s="13" t="n">
        <f aca="false">DL$82+DL$88+DL$121+DL$122+DL$123</f>
        <v>70066.6437036593</v>
      </c>
      <c r="DM146" s="13" t="n">
        <f aca="false">DM$82+DM$88+DM$121+DM$122+DM$123</f>
        <v>70066.6437036593</v>
      </c>
      <c r="DN146" s="13" t="n">
        <f aca="false">DN$82+DN$88+DN$121+DN$122+DN$123</f>
        <v>70066.6437036593</v>
      </c>
      <c r="DO146" s="13" t="n">
        <f aca="false">DO$82+DO$88+DO$121+DO$122+DO$123</f>
        <v>70066.6437036593</v>
      </c>
      <c r="DP146" s="13" t="n">
        <f aca="false">DP$82+DP$88+DP$121+DP$122+DP$123</f>
        <v>70066.6437036593</v>
      </c>
      <c r="DQ146" s="13" t="n">
        <f aca="false">DQ$82+DQ$88+DQ$121+DQ$122+DQ$123</f>
        <v>70066.6437036593</v>
      </c>
      <c r="DR146" s="13" t="n">
        <f aca="false">DR$82+DR$88+DR$121+DR$122+DR$123</f>
        <v>70066.6437036593</v>
      </c>
      <c r="DS146" s="13" t="n">
        <f aca="false">DS$82+DS$88+DS$121+DS$122+DS$123</f>
        <v>70066.6437036593</v>
      </c>
      <c r="DT146" s="13" t="n">
        <f aca="false">DT$82+DT$88+DT$121+DT$122+DT$123</f>
        <v>70066.6437036593</v>
      </c>
      <c r="DU146" s="13" t="n">
        <f aca="false">DU$82+DU$88+DU$121+DU$122+DU$123</f>
        <v>70066.6437036593</v>
      </c>
      <c r="DV146" s="13" t="n">
        <f aca="false">DV$82+DV$88+DV$121+DV$122+DV$123</f>
        <v>68611.4174603701</v>
      </c>
      <c r="DW146" s="13" t="n">
        <f aca="false">DW$82+DW$88+DW$121+DW$122+DW$123</f>
        <v>0</v>
      </c>
      <c r="DX146" s="13" t="n">
        <f aca="false">DX$82+DX$88+DX$121+DX$122+DX$123</f>
        <v>0</v>
      </c>
      <c r="DY146" s="13" t="n">
        <f aca="false">DY$82+DY$88+DY$121+DY$122+DY$123</f>
        <v>0</v>
      </c>
      <c r="DZ146" s="13" t="n">
        <f aca="false">DZ$82+DZ$88+DZ$121+DZ$122+DZ$123</f>
        <v>0</v>
      </c>
      <c r="EA146" s="13" t="n">
        <f aca="false">EA$82+EA$88+EA$121+EA$122+EA$123</f>
        <v>0</v>
      </c>
      <c r="EB146" s="13" t="n">
        <f aca="false">EB$82+EB$88+EB$121+EB$122+EB$123</f>
        <v>0</v>
      </c>
      <c r="EC146" s="13" t="n">
        <f aca="false">EC$82+EC$88+EC$121+EC$122+EC$123</f>
        <v>0</v>
      </c>
      <c r="ED146" s="13" t="n">
        <f aca="false">ED$82+ED$88+ED$121+ED$122+ED$123</f>
        <v>0</v>
      </c>
      <c r="EE146" s="13" t="n">
        <f aca="false">EE$82+EE$88+EE$121+EE$122+EE$123</f>
        <v>0</v>
      </c>
      <c r="EF146" s="13" t="n">
        <f aca="false">EF$82+EF$88+EF$121+EF$122+EF$123</f>
        <v>0</v>
      </c>
      <c r="EG146" s="13" t="n">
        <f aca="false">EG$82+EG$88+EG$121+EG$122+EG$123</f>
        <v>0</v>
      </c>
      <c r="EH146" s="13" t="n">
        <f aca="false">EH$82+EH$88+EH$121+EH$122+EH$123</f>
        <v>0</v>
      </c>
      <c r="EI146" s="13" t="n">
        <f aca="false">EI$82+EI$88+EI$121+EI$122+EI$123</f>
        <v>0</v>
      </c>
      <c r="EJ146" s="13" t="n">
        <f aca="false">EJ$82+EJ$88+EJ$121+EJ$122+EJ$123</f>
        <v>0</v>
      </c>
      <c r="EK146" s="13" t="n">
        <f aca="false">EK$82+EK$88+EK$121+EK$122+EK$123</f>
        <v>0</v>
      </c>
      <c r="EL146" s="13" t="n">
        <f aca="false">EL$82+EL$88+EL$121+EL$122+EL$123</f>
        <v>0</v>
      </c>
      <c r="EM146" s="13" t="n">
        <f aca="false">EM$82+EM$88+EM$121+EM$122+EM$123</f>
        <v>0</v>
      </c>
      <c r="EN146" s="13" t="n">
        <f aca="false">EN$82+EN$88+EN$121+EN$122+EN$123</f>
        <v>0</v>
      </c>
      <c r="EO146" s="13" t="n">
        <f aca="false">EO$82+EO$88+EO$121+EO$122+EO$123</f>
        <v>0</v>
      </c>
      <c r="EP146" s="13" t="n">
        <f aca="false">EP$82+EP$88+EP$121+EP$122+EP$123</f>
        <v>0</v>
      </c>
      <c r="EQ146" s="13" t="n">
        <f aca="false">EQ$82+EQ$88+EQ$121+EQ$122+EQ$123</f>
        <v>0</v>
      </c>
      <c r="ER146" s="13" t="n">
        <f aca="false">ER$82+ER$88+ER$121+ER$122+ER$123</f>
        <v>0</v>
      </c>
      <c r="ES146" s="13" t="n">
        <f aca="false">ES$82+ES$88+ES$121+ES$122+ES$123</f>
        <v>0</v>
      </c>
      <c r="ET146" s="13" t="n">
        <f aca="false">ET$82+ET$88+ET$121+ET$122+ET$123</f>
        <v>0</v>
      </c>
      <c r="EU146" s="13" t="n">
        <f aca="false">EU$82+EU$88+EU$121+EU$122+EU$123</f>
        <v>0</v>
      </c>
      <c r="EV146" s="13" t="n">
        <f aca="false">EV$82+EV$88+EV$121+EV$122+EV$123</f>
        <v>0</v>
      </c>
      <c r="EW146" s="13" t="n">
        <f aca="false">EW$82+EW$88+EW$121+EW$122+EW$123</f>
        <v>0</v>
      </c>
      <c r="EX146" s="13" t="n">
        <f aca="false">EX$82+EX$88+EX$121+EX$122+EX$123</f>
        <v>0</v>
      </c>
      <c r="EY146" s="13" t="n">
        <f aca="false">EY$82+EY$88+EY$121+EY$122+EY$123</f>
        <v>0</v>
      </c>
      <c r="EZ146" s="13" t="n">
        <f aca="false">EZ$82+EZ$88+EZ$121+EZ$122+EZ$123</f>
        <v>0</v>
      </c>
      <c r="FA146" s="13" t="n">
        <f aca="false">FA$82+FA$88+FA$121+FA$122+FA$123</f>
        <v>0</v>
      </c>
      <c r="FB146" s="13" t="n">
        <f aca="false">FB$82+FB$88+FB$121+FB$122+FB$123</f>
        <v>0</v>
      </c>
      <c r="FC146" s="13" t="n">
        <f aca="false">FC$82+FC$88+FC$121+FC$122+FC$123</f>
        <v>0</v>
      </c>
      <c r="FD146" s="13" t="n">
        <f aca="false">FD$82+FD$88+FD$121+FD$122+FD$123</f>
        <v>0</v>
      </c>
      <c r="FE146" s="13" t="n">
        <f aca="false">FE$82+FE$88+FE$121+FE$122+FE$123</f>
        <v>0</v>
      </c>
      <c r="FF146" s="13" t="n">
        <f aca="false">FF$82+FF$88+FF$121+FF$122+FF$123</f>
        <v>0</v>
      </c>
    </row>
    <row r="147" customFormat="false" ht="15" hidden="false" customHeight="false" outlineLevel="0" collapsed="false">
      <c r="A147" s="2" t="s">
        <v>1131</v>
      </c>
      <c r="B147" s="8" t="s">
        <v>1132</v>
      </c>
      <c r="C147" s="8" t="s">
        <v>255</v>
      </c>
      <c r="E147" s="65" t="n">
        <f aca="false">SUM($F147:$FF147)</f>
        <v>53146752.9778677</v>
      </c>
      <c r="F147" s="13" t="n">
        <f aca="false">F$110+F$111+F$112+F$113+F$114+F$123+F$124+F$126+F$130+F$127</f>
        <v>0</v>
      </c>
      <c r="G147" s="13" t="n">
        <f aca="false">G$110+G$111+G$112+G$113+G$114+G$123+G$124+G$126+G$130+G$127</f>
        <v>358452.491782389</v>
      </c>
      <c r="H147" s="13" t="n">
        <f aca="false">H$110+H$111+H$112+H$113+H$114+H$123+H$124+H$126+H$130+H$127</f>
        <v>271663.665316636</v>
      </c>
      <c r="I147" s="13" t="n">
        <f aca="false">I$110+I$111+I$112+I$113+I$114+I$123+I$124+I$126+I$130+I$127</f>
        <v>271663.665316636</v>
      </c>
      <c r="J147" s="13" t="n">
        <f aca="false">J$110+J$111+J$112+J$113+J$114+J$123+J$124+J$126+J$130+J$127</f>
        <v>271663.665316636</v>
      </c>
      <c r="K147" s="13" t="n">
        <f aca="false">K$110+K$111+K$112+K$113+K$114+K$123+K$124+K$126+K$130+K$127</f>
        <v>271663.665316636</v>
      </c>
      <c r="L147" s="13" t="n">
        <f aca="false">L$110+L$111+L$112+L$113+L$114+L$123+L$124+L$126+L$130+L$127</f>
        <v>271663.665316636</v>
      </c>
      <c r="M147" s="13" t="n">
        <f aca="false">M$110+M$111+M$112+M$113+M$114+M$123+M$124+M$126+M$130+M$127</f>
        <v>271663.665316636</v>
      </c>
      <c r="N147" s="13" t="n">
        <f aca="false">N$110+N$111+N$112+N$113+N$114+N$123+N$124+N$126+N$130+N$127</f>
        <v>271663.665316636</v>
      </c>
      <c r="O147" s="13" t="n">
        <f aca="false">O$110+O$111+O$112+O$113+O$114+O$123+O$124+O$126+O$130+O$127</f>
        <v>271663.665316636</v>
      </c>
      <c r="P147" s="13" t="n">
        <f aca="false">P$110+P$111+P$112+P$113+P$114+P$123+P$124+P$126+P$130+P$127</f>
        <v>271663.665316636</v>
      </c>
      <c r="Q147" s="13" t="n">
        <f aca="false">Q$110+Q$111+Q$112+Q$113+Q$114+Q$123+Q$124+Q$126+Q$130+Q$127</f>
        <v>271663.665316636</v>
      </c>
      <c r="R147" s="13" t="n">
        <f aca="false">R$110+R$111+R$112+R$113+R$114+R$123+R$124+R$126+R$130+R$127</f>
        <v>294476.226522115</v>
      </c>
      <c r="S147" s="13" t="n">
        <f aca="false">S$110+S$111+S$112+S$113+S$114+S$123+S$124+S$126+S$130+S$127</f>
        <v>344015.212816636</v>
      </c>
      <c r="T147" s="13" t="n">
        <f aca="false">T$110+T$111+T$112+T$113+T$114+T$123+T$124+T$126+T$130+T$127</f>
        <v>344015.212816636</v>
      </c>
      <c r="U147" s="13" t="n">
        <f aca="false">U$110+U$111+U$112+U$113+U$114+U$123+U$124+U$126+U$130+U$127</f>
        <v>344015.212816636</v>
      </c>
      <c r="V147" s="13" t="n">
        <f aca="false">V$110+V$111+V$112+V$113+V$114+V$123+V$124+V$126+V$130+V$127</f>
        <v>344015.212816636</v>
      </c>
      <c r="W147" s="13" t="n">
        <f aca="false">W$110+W$111+W$112+W$113+W$114+W$123+W$124+W$126+W$130+W$127</f>
        <v>344015.212816636</v>
      </c>
      <c r="X147" s="13" t="n">
        <f aca="false">X$110+X$111+X$112+X$113+X$114+X$123+X$124+X$126+X$130+X$127</f>
        <v>344015.212816636</v>
      </c>
      <c r="Y147" s="13" t="n">
        <f aca="false">Y$110+Y$111+Y$112+Y$113+Y$114+Y$123+Y$124+Y$126+Y$130+Y$127</f>
        <v>344015.212816636</v>
      </c>
      <c r="Z147" s="13" t="n">
        <f aca="false">Z$110+Z$111+Z$112+Z$113+Z$114+Z$123+Z$124+Z$126+Z$130+Z$127</f>
        <v>344015.212816636</v>
      </c>
      <c r="AA147" s="13" t="n">
        <f aca="false">AA$110+AA$111+AA$112+AA$113+AA$114+AA$123+AA$124+AA$126+AA$130+AA$127</f>
        <v>344015.212816636</v>
      </c>
      <c r="AB147" s="13" t="n">
        <f aca="false">AB$110+AB$111+AB$112+AB$113+AB$114+AB$123+AB$124+AB$126+AB$130+AB$127</f>
        <v>344015.212816636</v>
      </c>
      <c r="AC147" s="13" t="n">
        <f aca="false">AC$110+AC$111+AC$112+AC$113+AC$114+AC$123+AC$124+AC$126+AC$130+AC$127</f>
        <v>344015.212816636</v>
      </c>
      <c r="AD147" s="13" t="n">
        <f aca="false">AD$110+AD$111+AD$112+AD$113+AD$114+AD$123+AD$124+AD$126+AD$130+AD$127</f>
        <v>366946.293419375</v>
      </c>
      <c r="AE147" s="13" t="n">
        <f aca="false">AE$110+AE$111+AE$112+AE$113+AE$114+AE$123+AE$124+AE$126+AE$130+AE$127</f>
        <v>417292.826238683</v>
      </c>
      <c r="AF147" s="13" t="n">
        <f aca="false">AF$110+AF$111+AF$112+AF$113+AF$114+AF$123+AF$124+AF$126+AF$130+AF$127</f>
        <v>417292.826238684</v>
      </c>
      <c r="AG147" s="13" t="n">
        <f aca="false">AG$110+AG$111+AG$112+AG$113+AG$114+AG$123+AG$124+AG$126+AG$130+AG$127</f>
        <v>417292.826238684</v>
      </c>
      <c r="AH147" s="13" t="n">
        <f aca="false">AH$110+AH$111+AH$112+AH$113+AH$114+AH$123+AH$124+AH$126+AH$130+AH$127</f>
        <v>417292.826238684</v>
      </c>
      <c r="AI147" s="13" t="n">
        <f aca="false">AI$110+AI$111+AI$112+AI$113+AI$114+AI$123+AI$124+AI$126+AI$130+AI$127</f>
        <v>417292.826238684</v>
      </c>
      <c r="AJ147" s="13" t="n">
        <f aca="false">AJ$110+AJ$111+AJ$112+AJ$113+AJ$114+AJ$123+AJ$124+AJ$126+AJ$130+AJ$127</f>
        <v>417292.826238684</v>
      </c>
      <c r="AK147" s="13" t="n">
        <f aca="false">AK$110+AK$111+AK$112+AK$113+AK$114+AK$123+AK$124+AK$126+AK$130+AK$127</f>
        <v>417292.826238684</v>
      </c>
      <c r="AL147" s="13" t="n">
        <f aca="false">AL$110+AL$111+AL$112+AL$113+AL$114+AL$123+AL$124+AL$126+AL$130+AL$127</f>
        <v>417292.826238684</v>
      </c>
      <c r="AM147" s="13" t="n">
        <f aca="false">AM$110+AM$111+AM$112+AM$113+AM$114+AM$123+AM$124+AM$126+AM$130+AM$127</f>
        <v>417292.826238684</v>
      </c>
      <c r="AN147" s="13" t="n">
        <f aca="false">AN$110+AN$111+AN$112+AN$113+AN$114+AN$123+AN$124+AN$126+AN$130+AN$127</f>
        <v>417292.826238684</v>
      </c>
      <c r="AO147" s="13" t="n">
        <f aca="false">AO$110+AO$111+AO$112+AO$113+AO$114+AO$123+AO$124+AO$126+AO$130+AO$127</f>
        <v>417292.826238684</v>
      </c>
      <c r="AP147" s="13" t="n">
        <f aca="false">AP$110+AP$111+AP$112+AP$113+AP$114+AP$123+AP$124+AP$126+AP$130+AP$127</f>
        <v>435837.633193752</v>
      </c>
      <c r="AQ147" s="13" t="n">
        <f aca="false">AQ$110+AQ$111+AQ$112+AQ$113+AQ$114+AQ$123+AQ$124+AQ$126+AQ$130+AQ$127</f>
        <v>477323.311329833</v>
      </c>
      <c r="AR147" s="13" t="n">
        <f aca="false">AR$110+AR$111+AR$112+AR$113+AR$114+AR$123+AR$124+AR$126+AR$130+AR$127</f>
        <v>477323.311329833</v>
      </c>
      <c r="AS147" s="13" t="n">
        <f aca="false">AS$110+AS$111+AS$112+AS$113+AS$114+AS$123+AS$124+AS$126+AS$130+AS$127</f>
        <v>477323.311329833</v>
      </c>
      <c r="AT147" s="13" t="n">
        <f aca="false">AT$110+AT$111+AT$112+AT$113+AT$114+AT$123+AT$124+AT$126+AT$130+AT$127</f>
        <v>477323.311329833</v>
      </c>
      <c r="AU147" s="13" t="n">
        <f aca="false">AU$110+AU$111+AU$112+AU$113+AU$114+AU$123+AU$124+AU$126+AU$130+AU$127</f>
        <v>477323.311329833</v>
      </c>
      <c r="AV147" s="13" t="n">
        <f aca="false">AV$110+AV$111+AV$112+AV$113+AV$114+AV$123+AV$124+AV$126+AV$130+AV$127</f>
        <v>477323.311329833</v>
      </c>
      <c r="AW147" s="13" t="n">
        <f aca="false">AW$110+AW$111+AW$112+AW$113+AW$114+AW$123+AW$124+AW$126+AW$130+AW$127</f>
        <v>477323.311329833</v>
      </c>
      <c r="AX147" s="13" t="n">
        <f aca="false">AX$110+AX$111+AX$112+AX$113+AX$114+AX$123+AX$124+AX$126+AX$130+AX$127</f>
        <v>477323.311329833</v>
      </c>
      <c r="AY147" s="13" t="n">
        <f aca="false">AY$110+AY$111+AY$112+AY$113+AY$114+AY$123+AY$124+AY$126+AY$130+AY$127</f>
        <v>477323.311329833</v>
      </c>
      <c r="AZ147" s="13" t="n">
        <f aca="false">AZ$110+AZ$111+AZ$112+AZ$113+AZ$114+AZ$123+AZ$124+AZ$126+AZ$130+AZ$127</f>
        <v>477323.311329833</v>
      </c>
      <c r="BA147" s="13" t="n">
        <f aca="false">BA$110+BA$111+BA$112+BA$113+BA$114+BA$123+BA$124+BA$126+BA$130+BA$127</f>
        <v>477323.311329833</v>
      </c>
      <c r="BB147" s="13" t="n">
        <f aca="false">BB$110+BB$111+BB$112+BB$113+BB$114+BB$123+BB$124+BB$126+BB$130+BB$127</f>
        <v>477323.311329833</v>
      </c>
      <c r="BC147" s="13" t="n">
        <f aca="false">BC$110+BC$111+BC$112+BC$113+BC$114+BC$123+BC$124+BC$126+BC$130+BC$127</f>
        <v>480023.030043751</v>
      </c>
      <c r="BD147" s="13" t="n">
        <f aca="false">BD$110+BD$111+BD$112+BD$113+BD$114+BD$123+BD$124+BD$126+BD$130+BD$127</f>
        <v>480023.030043751</v>
      </c>
      <c r="BE147" s="13" t="n">
        <f aca="false">BE$110+BE$111+BE$112+BE$113+BE$114+BE$123+BE$124+BE$126+BE$130+BE$127</f>
        <v>480023.030043751</v>
      </c>
      <c r="BF147" s="13" t="n">
        <f aca="false">BF$110+BF$111+BF$112+BF$113+BF$114+BF$123+BF$124+BF$126+BF$130+BF$127</f>
        <v>480023.030043751</v>
      </c>
      <c r="BG147" s="13" t="n">
        <f aca="false">BG$110+BG$111+BG$112+BG$113+BG$114+BG$123+BG$124+BG$126+BG$130+BG$127</f>
        <v>480023.030043751</v>
      </c>
      <c r="BH147" s="13" t="n">
        <f aca="false">BH$110+BH$111+BH$112+BH$113+BH$114+BH$123+BH$124+BH$126+BH$130+BH$127</f>
        <v>480023.030043751</v>
      </c>
      <c r="BI147" s="13" t="n">
        <f aca="false">BI$110+BI$111+BI$112+BI$113+BI$114+BI$123+BI$124+BI$126+BI$130+BI$127</f>
        <v>480023.030043751</v>
      </c>
      <c r="BJ147" s="13" t="n">
        <f aca="false">BJ$110+BJ$111+BJ$112+BJ$113+BJ$114+BJ$123+BJ$124+BJ$126+BJ$130+BJ$127</f>
        <v>480023.030043751</v>
      </c>
      <c r="BK147" s="13" t="n">
        <f aca="false">BK$110+BK$111+BK$112+BK$113+BK$114+BK$123+BK$124+BK$126+BK$130+BK$127</f>
        <v>480023.030043751</v>
      </c>
      <c r="BL147" s="13" t="n">
        <f aca="false">BL$110+BL$111+BL$112+BL$113+BL$114+BL$123+BL$124+BL$126+BL$130+BL$127</f>
        <v>480023.030043751</v>
      </c>
      <c r="BM147" s="13" t="n">
        <f aca="false">BM$110+BM$111+BM$112+BM$113+BM$114+BM$123+BM$124+BM$126+BM$130+BM$127</f>
        <v>480023.030043751</v>
      </c>
      <c r="BN147" s="13" t="n">
        <f aca="false">BN$110+BN$111+BN$112+BN$113+BN$114+BN$123+BN$124+BN$126+BN$130+BN$127</f>
        <v>480023.030043751</v>
      </c>
      <c r="BO147" s="13" t="n">
        <f aca="false">BO$110+BO$111+BO$112+BO$113+BO$114+BO$123+BO$124+BO$126+BO$130+BO$127</f>
        <v>482591.884683889</v>
      </c>
      <c r="BP147" s="13" t="n">
        <f aca="false">BP$110+BP$111+BP$112+BP$113+BP$114+BP$123+BP$124+BP$126+BP$130+BP$127</f>
        <v>482591.884683889</v>
      </c>
      <c r="BQ147" s="13" t="n">
        <f aca="false">BQ$110+BQ$111+BQ$112+BQ$113+BQ$114+BQ$123+BQ$124+BQ$126+BQ$130+BQ$127</f>
        <v>482591.884683889</v>
      </c>
      <c r="BR147" s="13" t="n">
        <f aca="false">BR$110+BR$111+BR$112+BR$113+BR$114+BR$123+BR$124+BR$126+BR$130+BR$127</f>
        <v>482591.884683889</v>
      </c>
      <c r="BS147" s="13" t="n">
        <f aca="false">BS$110+BS$111+BS$112+BS$113+BS$114+BS$123+BS$124+BS$126+BS$130+BS$127</f>
        <v>482591.884683889</v>
      </c>
      <c r="BT147" s="13" t="n">
        <f aca="false">BT$110+BT$111+BT$112+BT$113+BT$114+BT$123+BT$124+BT$126+BT$130+BT$127</f>
        <v>482591.884683889</v>
      </c>
      <c r="BU147" s="13" t="n">
        <f aca="false">BU$110+BU$111+BU$112+BU$113+BU$114+BU$123+BU$124+BU$126+BU$130+BU$127</f>
        <v>482591.884683889</v>
      </c>
      <c r="BV147" s="13" t="n">
        <f aca="false">BV$110+BV$111+BV$112+BV$113+BV$114+BV$123+BV$124+BV$126+BV$130+BV$127</f>
        <v>482591.884683889</v>
      </c>
      <c r="BW147" s="13" t="n">
        <f aca="false">BW$110+BW$111+BW$112+BW$113+BW$114+BW$123+BW$124+BW$126+BW$130+BW$127</f>
        <v>482591.884683889</v>
      </c>
      <c r="BX147" s="13" t="n">
        <f aca="false">BX$110+BX$111+BX$112+BX$113+BX$114+BX$123+BX$124+BX$126+BX$130+BX$127</f>
        <v>482591.884683889</v>
      </c>
      <c r="BY147" s="13" t="n">
        <f aca="false">BY$110+BY$111+BY$112+BY$113+BY$114+BY$123+BY$124+BY$126+BY$130+BY$127</f>
        <v>482591.884683889</v>
      </c>
      <c r="BZ147" s="13" t="n">
        <f aca="false">BZ$110+BZ$111+BZ$112+BZ$113+BZ$114+BZ$123+BZ$124+BZ$126+BZ$130+BZ$127</f>
        <v>482591.884683889</v>
      </c>
      <c r="CA147" s="13" t="n">
        <f aca="false">CA$110+CA$111+CA$112+CA$113+CA$114+CA$123+CA$124+CA$126+CA$130+CA$127</f>
        <v>485186.403113762</v>
      </c>
      <c r="CB147" s="13" t="n">
        <f aca="false">CB$110+CB$111+CB$112+CB$113+CB$114+CB$123+CB$124+CB$126+CB$130+CB$127</f>
        <v>485186.403113762</v>
      </c>
      <c r="CC147" s="13" t="n">
        <f aca="false">CC$110+CC$111+CC$112+CC$113+CC$114+CC$123+CC$124+CC$126+CC$130+CC$127</f>
        <v>485186.403113762</v>
      </c>
      <c r="CD147" s="13" t="n">
        <f aca="false">CD$110+CD$111+CD$112+CD$113+CD$114+CD$123+CD$124+CD$126+CD$130+CD$127</f>
        <v>485186.403113762</v>
      </c>
      <c r="CE147" s="13" t="n">
        <f aca="false">CE$110+CE$111+CE$112+CE$113+CE$114+CE$123+CE$124+CE$126+CE$130+CE$127</f>
        <v>485186.403113762</v>
      </c>
      <c r="CF147" s="13" t="n">
        <f aca="false">CF$110+CF$111+CF$112+CF$113+CF$114+CF$123+CF$124+CF$126+CF$130+CF$127</f>
        <v>485186.403113762</v>
      </c>
      <c r="CG147" s="13" t="n">
        <f aca="false">CG$110+CG$111+CG$112+CG$113+CG$114+CG$123+CG$124+CG$126+CG$130+CG$127</f>
        <v>485186.403113762</v>
      </c>
      <c r="CH147" s="13" t="n">
        <f aca="false">CH$110+CH$111+CH$112+CH$113+CH$114+CH$123+CH$124+CH$126+CH$130+CH$127</f>
        <v>485186.403113762</v>
      </c>
      <c r="CI147" s="13" t="n">
        <f aca="false">CI$110+CI$111+CI$112+CI$113+CI$114+CI$123+CI$124+CI$126+CI$130+CI$127</f>
        <v>485186.403113762</v>
      </c>
      <c r="CJ147" s="13" t="n">
        <f aca="false">CJ$110+CJ$111+CJ$112+CJ$113+CJ$114+CJ$123+CJ$124+CJ$126+CJ$130+CJ$127</f>
        <v>485186.403113762</v>
      </c>
      <c r="CK147" s="13" t="n">
        <f aca="false">CK$110+CK$111+CK$112+CK$113+CK$114+CK$123+CK$124+CK$126+CK$130+CK$127</f>
        <v>485186.403113762</v>
      </c>
      <c r="CL147" s="13" t="n">
        <f aca="false">CL$110+CL$111+CL$112+CL$113+CL$114+CL$123+CL$124+CL$126+CL$130+CL$127</f>
        <v>485186.403113762</v>
      </c>
      <c r="CM147" s="13" t="n">
        <f aca="false">CM$110+CM$111+CM$112+CM$113+CM$114+CM$123+CM$124+CM$126+CM$130+CM$127</f>
        <v>487806.841971267</v>
      </c>
      <c r="CN147" s="13" t="n">
        <f aca="false">CN$110+CN$111+CN$112+CN$113+CN$114+CN$123+CN$124+CN$126+CN$130+CN$127</f>
        <v>487806.841971267</v>
      </c>
      <c r="CO147" s="13" t="n">
        <f aca="false">CO$110+CO$111+CO$112+CO$113+CO$114+CO$123+CO$124+CO$126+CO$130+CO$127</f>
        <v>487806.841971267</v>
      </c>
      <c r="CP147" s="13" t="n">
        <f aca="false">CP$110+CP$111+CP$112+CP$113+CP$114+CP$123+CP$124+CP$126+CP$130+CP$127</f>
        <v>487806.841971267</v>
      </c>
      <c r="CQ147" s="13" t="n">
        <f aca="false">CQ$110+CQ$111+CQ$112+CQ$113+CQ$114+CQ$123+CQ$124+CQ$126+CQ$130+CQ$127</f>
        <v>487806.841971267</v>
      </c>
      <c r="CR147" s="13" t="n">
        <f aca="false">CR$110+CR$111+CR$112+CR$113+CR$114+CR$123+CR$124+CR$126+CR$130+CR$127</f>
        <v>487806.841971267</v>
      </c>
      <c r="CS147" s="13" t="n">
        <f aca="false">CS$110+CS$111+CS$112+CS$113+CS$114+CS$123+CS$124+CS$126+CS$130+CS$127</f>
        <v>487806.841971267</v>
      </c>
      <c r="CT147" s="13" t="n">
        <f aca="false">CT$110+CT$111+CT$112+CT$113+CT$114+CT$123+CT$124+CT$126+CT$130+CT$127</f>
        <v>487806.841971267</v>
      </c>
      <c r="CU147" s="13" t="n">
        <f aca="false">CU$110+CU$111+CU$112+CU$113+CU$114+CU$123+CU$124+CU$126+CU$130+CU$127</f>
        <v>487806.841971267</v>
      </c>
      <c r="CV147" s="13" t="n">
        <f aca="false">CV$110+CV$111+CV$112+CV$113+CV$114+CV$123+CV$124+CV$126+CV$130+CV$127</f>
        <v>487806.841971267</v>
      </c>
      <c r="CW147" s="13" t="n">
        <f aca="false">CW$110+CW$111+CW$112+CW$113+CW$114+CW$123+CW$124+CW$126+CW$130+CW$127</f>
        <v>487806.841971267</v>
      </c>
      <c r="CX147" s="13" t="n">
        <f aca="false">CX$110+CX$111+CX$112+CX$113+CX$114+CX$123+CX$124+CX$126+CX$130+CX$127</f>
        <v>487806.841971267</v>
      </c>
      <c r="CY147" s="13" t="n">
        <f aca="false">CY$110+CY$111+CY$112+CY$113+CY$114+CY$123+CY$124+CY$126+CY$130+CY$127</f>
        <v>490453.46046068</v>
      </c>
      <c r="CZ147" s="13" t="n">
        <f aca="false">CZ$110+CZ$111+CZ$112+CZ$113+CZ$114+CZ$123+CZ$124+CZ$126+CZ$130+CZ$127</f>
        <v>490453.46046068</v>
      </c>
      <c r="DA147" s="13" t="n">
        <f aca="false">DA$110+DA$111+DA$112+DA$113+DA$114+DA$123+DA$124+DA$126+DA$130+DA$127</f>
        <v>490453.46046068</v>
      </c>
      <c r="DB147" s="13" t="n">
        <f aca="false">DB$110+DB$111+DB$112+DB$113+DB$114+DB$123+DB$124+DB$126+DB$130+DB$127</f>
        <v>490453.46046068</v>
      </c>
      <c r="DC147" s="13" t="n">
        <f aca="false">DC$110+DC$111+DC$112+DC$113+DC$114+DC$123+DC$124+DC$126+DC$130+DC$127</f>
        <v>490453.46046068</v>
      </c>
      <c r="DD147" s="13" t="n">
        <f aca="false">DD$110+DD$111+DD$112+DD$113+DD$114+DD$123+DD$124+DD$126+DD$130+DD$127</f>
        <v>490453.46046068</v>
      </c>
      <c r="DE147" s="13" t="n">
        <f aca="false">DE$110+DE$111+DE$112+DE$113+DE$114+DE$123+DE$124+DE$126+DE$130+DE$127</f>
        <v>490453.46046068</v>
      </c>
      <c r="DF147" s="13" t="n">
        <f aca="false">DF$110+DF$111+DF$112+DF$113+DF$114+DF$123+DF$124+DF$126+DF$130+DF$127</f>
        <v>490453.46046068</v>
      </c>
      <c r="DG147" s="13" t="n">
        <f aca="false">DG$110+DG$111+DG$112+DG$113+DG$114+DG$123+DG$124+DG$126+DG$130+DG$127</f>
        <v>490453.46046068</v>
      </c>
      <c r="DH147" s="13" t="n">
        <f aca="false">DH$110+DH$111+DH$112+DH$113+DH$114+DH$123+DH$124+DH$126+DH$130+DH$127</f>
        <v>490453.46046068</v>
      </c>
      <c r="DI147" s="13" t="n">
        <f aca="false">DI$110+DI$111+DI$112+DI$113+DI$114+DI$123+DI$124+DI$126+DI$130+DI$127</f>
        <v>490453.46046068</v>
      </c>
      <c r="DJ147" s="13" t="n">
        <f aca="false">DJ$110+DJ$111+DJ$112+DJ$113+DJ$114+DJ$123+DJ$124+DJ$126+DJ$130+DJ$127</f>
        <v>490453.46046068</v>
      </c>
      <c r="DK147" s="13" t="n">
        <f aca="false">DK$110+DK$111+DK$112+DK$113+DK$114+DK$123+DK$124+DK$126+DK$130+DK$127</f>
        <v>493126.520378321</v>
      </c>
      <c r="DL147" s="13" t="n">
        <f aca="false">DL$110+DL$111+DL$112+DL$113+DL$114+DL$123+DL$124+DL$126+DL$130+DL$127</f>
        <v>493126.520378321</v>
      </c>
      <c r="DM147" s="13" t="n">
        <f aca="false">DM$110+DM$111+DM$112+DM$113+DM$114+DM$123+DM$124+DM$126+DM$130+DM$127</f>
        <v>493126.520378321</v>
      </c>
      <c r="DN147" s="13" t="n">
        <f aca="false">DN$110+DN$111+DN$112+DN$113+DN$114+DN$123+DN$124+DN$126+DN$130+DN$127</f>
        <v>493126.520378321</v>
      </c>
      <c r="DO147" s="13" t="n">
        <f aca="false">DO$110+DO$111+DO$112+DO$113+DO$114+DO$123+DO$124+DO$126+DO$130+DO$127</f>
        <v>493126.520378321</v>
      </c>
      <c r="DP147" s="13" t="n">
        <f aca="false">DP$110+DP$111+DP$112+DP$113+DP$114+DP$123+DP$124+DP$126+DP$130+DP$127</f>
        <v>493126.520378321</v>
      </c>
      <c r="DQ147" s="13" t="n">
        <f aca="false">DQ$110+DQ$111+DQ$112+DQ$113+DQ$114+DQ$123+DQ$124+DQ$126+DQ$130+DQ$127</f>
        <v>493126.520378321</v>
      </c>
      <c r="DR147" s="13" t="n">
        <f aca="false">DR$110+DR$111+DR$112+DR$113+DR$114+DR$123+DR$124+DR$126+DR$130+DR$127</f>
        <v>493126.520378321</v>
      </c>
      <c r="DS147" s="13" t="n">
        <f aca="false">DS$110+DS$111+DS$112+DS$113+DS$114+DS$123+DS$124+DS$126+DS$130+DS$127</f>
        <v>493126.520378321</v>
      </c>
      <c r="DT147" s="13" t="n">
        <f aca="false">DT$110+DT$111+DT$112+DT$113+DT$114+DT$123+DT$124+DT$126+DT$130+DT$127</f>
        <v>493126.520378321</v>
      </c>
      <c r="DU147" s="13" t="n">
        <f aca="false">DU$110+DU$111+DU$112+DU$113+DU$114+DU$123+DU$124+DU$126+DU$130+DU$127</f>
        <v>493126.520378321</v>
      </c>
      <c r="DV147" s="13" t="n">
        <f aca="false">DV$110+DV$111+DV$112+DV$113+DV$114+DV$123+DV$124+DV$126+DV$130+DV$127</f>
        <v>335004.346775525</v>
      </c>
      <c r="DW147" s="13" t="n">
        <f aca="false">DW$110+DW$111+DW$112+DW$113+DW$114+DW$123+DW$124+DW$126+DW$130+DW$127</f>
        <v>0</v>
      </c>
      <c r="DX147" s="13" t="n">
        <f aca="false">DX$110+DX$111+DX$112+DX$113+DX$114+DX$123+DX$124+DX$126+DX$130+DX$127</f>
        <v>0</v>
      </c>
      <c r="DY147" s="13" t="n">
        <f aca="false">DY$110+DY$111+DY$112+DY$113+DY$114+DY$123+DY$124+DY$126+DY$130+DY$127</f>
        <v>0</v>
      </c>
      <c r="DZ147" s="13" t="n">
        <f aca="false">DZ$110+DZ$111+DZ$112+DZ$113+DZ$114+DZ$123+DZ$124+DZ$126+DZ$130+DZ$127</f>
        <v>0</v>
      </c>
      <c r="EA147" s="13" t="n">
        <f aca="false">EA$110+EA$111+EA$112+EA$113+EA$114+EA$123+EA$124+EA$126+EA$130+EA$127</f>
        <v>0</v>
      </c>
      <c r="EB147" s="13" t="n">
        <f aca="false">EB$110+EB$111+EB$112+EB$113+EB$114+EB$123+EB$124+EB$126+EB$130+EB$127</f>
        <v>0</v>
      </c>
      <c r="EC147" s="13" t="n">
        <f aca="false">EC$110+EC$111+EC$112+EC$113+EC$114+EC$123+EC$124+EC$126+EC$130+EC$127</f>
        <v>0</v>
      </c>
      <c r="ED147" s="13" t="n">
        <f aca="false">ED$110+ED$111+ED$112+ED$113+ED$114+ED$123+ED$124+ED$126+ED$130+ED$127</f>
        <v>0</v>
      </c>
      <c r="EE147" s="13" t="n">
        <f aca="false">EE$110+EE$111+EE$112+EE$113+EE$114+EE$123+EE$124+EE$126+EE$130+EE$127</f>
        <v>0</v>
      </c>
      <c r="EF147" s="13" t="n">
        <f aca="false">EF$110+EF$111+EF$112+EF$113+EF$114+EF$123+EF$124+EF$126+EF$130+EF$127</f>
        <v>0</v>
      </c>
      <c r="EG147" s="13" t="n">
        <f aca="false">EG$110+EG$111+EG$112+EG$113+EG$114+EG$123+EG$124+EG$126+EG$130+EG$127</f>
        <v>0</v>
      </c>
      <c r="EH147" s="13" t="n">
        <f aca="false">EH$110+EH$111+EH$112+EH$113+EH$114+EH$123+EH$124+EH$126+EH$130+EH$127</f>
        <v>0</v>
      </c>
      <c r="EI147" s="13" t="n">
        <f aca="false">EI$110+EI$111+EI$112+EI$113+EI$114+EI$123+EI$124+EI$126+EI$130+EI$127</f>
        <v>0</v>
      </c>
      <c r="EJ147" s="13" t="n">
        <f aca="false">EJ$110+EJ$111+EJ$112+EJ$113+EJ$114+EJ$123+EJ$124+EJ$126+EJ$130+EJ$127</f>
        <v>0</v>
      </c>
      <c r="EK147" s="13" t="n">
        <f aca="false">EK$110+EK$111+EK$112+EK$113+EK$114+EK$123+EK$124+EK$126+EK$130+EK$127</f>
        <v>0</v>
      </c>
      <c r="EL147" s="13" t="n">
        <f aca="false">EL$110+EL$111+EL$112+EL$113+EL$114+EL$123+EL$124+EL$126+EL$130+EL$127</f>
        <v>0</v>
      </c>
      <c r="EM147" s="13" t="n">
        <f aca="false">EM$110+EM$111+EM$112+EM$113+EM$114+EM$123+EM$124+EM$126+EM$130+EM$127</f>
        <v>0</v>
      </c>
      <c r="EN147" s="13" t="n">
        <f aca="false">EN$110+EN$111+EN$112+EN$113+EN$114+EN$123+EN$124+EN$126+EN$130+EN$127</f>
        <v>0</v>
      </c>
      <c r="EO147" s="13" t="n">
        <f aca="false">EO$110+EO$111+EO$112+EO$113+EO$114+EO$123+EO$124+EO$126+EO$130+EO$127</f>
        <v>0</v>
      </c>
      <c r="EP147" s="13" t="n">
        <f aca="false">EP$110+EP$111+EP$112+EP$113+EP$114+EP$123+EP$124+EP$126+EP$130+EP$127</f>
        <v>0</v>
      </c>
      <c r="EQ147" s="13" t="n">
        <f aca="false">EQ$110+EQ$111+EQ$112+EQ$113+EQ$114+EQ$123+EQ$124+EQ$126+EQ$130+EQ$127</f>
        <v>0</v>
      </c>
      <c r="ER147" s="13" t="n">
        <f aca="false">ER$110+ER$111+ER$112+ER$113+ER$114+ER$123+ER$124+ER$126+ER$130+ER$127</f>
        <v>0</v>
      </c>
      <c r="ES147" s="13" t="n">
        <f aca="false">ES$110+ES$111+ES$112+ES$113+ES$114+ES$123+ES$124+ES$126+ES$130+ES$127</f>
        <v>0</v>
      </c>
      <c r="ET147" s="13" t="n">
        <f aca="false">ET$110+ET$111+ET$112+ET$113+ET$114+ET$123+ET$124+ET$126+ET$130+ET$127</f>
        <v>0</v>
      </c>
      <c r="EU147" s="13" t="n">
        <f aca="false">EU$110+EU$111+EU$112+EU$113+EU$114+EU$123+EU$124+EU$126+EU$130+EU$127</f>
        <v>0</v>
      </c>
      <c r="EV147" s="13" t="n">
        <f aca="false">EV$110+EV$111+EV$112+EV$113+EV$114+EV$123+EV$124+EV$126+EV$130+EV$127</f>
        <v>0</v>
      </c>
      <c r="EW147" s="13" t="n">
        <f aca="false">EW$110+EW$111+EW$112+EW$113+EW$114+EW$123+EW$124+EW$126+EW$130+EW$127</f>
        <v>0</v>
      </c>
      <c r="EX147" s="13" t="n">
        <f aca="false">EX$110+EX$111+EX$112+EX$113+EX$114+EX$123+EX$124+EX$126+EX$130+EX$127</f>
        <v>0</v>
      </c>
      <c r="EY147" s="13" t="n">
        <f aca="false">EY$110+EY$111+EY$112+EY$113+EY$114+EY$123+EY$124+EY$126+EY$130+EY$127</f>
        <v>0</v>
      </c>
      <c r="EZ147" s="13" t="n">
        <f aca="false">EZ$110+EZ$111+EZ$112+EZ$113+EZ$114+EZ$123+EZ$124+EZ$126+EZ$130+EZ$127</f>
        <v>0</v>
      </c>
      <c r="FA147" s="13" t="n">
        <f aca="false">FA$110+FA$111+FA$112+FA$113+FA$114+FA$123+FA$124+FA$126+FA$130+FA$127</f>
        <v>0</v>
      </c>
      <c r="FB147" s="13" t="n">
        <f aca="false">FB$110+FB$111+FB$112+FB$113+FB$114+FB$123+FB$124+FB$126+FB$130+FB$127</f>
        <v>0</v>
      </c>
      <c r="FC147" s="13" t="n">
        <f aca="false">FC$110+FC$111+FC$112+FC$113+FC$114+FC$123+FC$124+FC$126+FC$130+FC$127</f>
        <v>0</v>
      </c>
      <c r="FD147" s="13" t="n">
        <f aca="false">FD$110+FD$111+FD$112+FD$113+FD$114+FD$123+FD$124+FD$126+FD$130+FD$127</f>
        <v>0</v>
      </c>
      <c r="FE147" s="13" t="n">
        <f aca="false">FE$110+FE$111+FE$112+FE$113+FE$114+FE$123+FE$124+FE$126+FE$130+FE$127</f>
        <v>0</v>
      </c>
      <c r="FF147" s="13" t="n">
        <f aca="false">FF$110+FF$111+FF$112+FF$113+FF$114+FF$123+FF$124+FF$126+FF$130+FF$127</f>
        <v>0</v>
      </c>
    </row>
    <row r="148" customFormat="false" ht="15" hidden="false" customHeight="false" outlineLevel="0" collapsed="false">
      <c r="A148" s="2" t="s">
        <v>1133</v>
      </c>
      <c r="B148" s="8" t="s">
        <v>1134</v>
      </c>
      <c r="C148" s="8" t="s">
        <v>255</v>
      </c>
      <c r="E148" s="65" t="n">
        <f aca="false">SUM($F148:$FF148)</f>
        <v>11757594.88434</v>
      </c>
      <c r="F148" s="13" t="n">
        <f aca="false">F$143+F$144+F$145+F$140-F$147</f>
        <v>0</v>
      </c>
      <c r="G148" s="13" t="n">
        <f aca="false">G$143+G$144+G$145+G$140-G$147</f>
        <v>90005.5011799961</v>
      </c>
      <c r="H148" s="13" t="n">
        <f aca="false">H$143+H$144+H$145+H$140-H$147</f>
        <v>90005.5011799961</v>
      </c>
      <c r="I148" s="13" t="n">
        <f aca="false">I$143+I$144+I$145+I$140-I$147</f>
        <v>90005.5011799961</v>
      </c>
      <c r="J148" s="13" t="n">
        <f aca="false">J$143+J$144+J$145+J$140-J$147</f>
        <v>90005.5011799961</v>
      </c>
      <c r="K148" s="13" t="n">
        <f aca="false">K$143+K$144+K$145+K$140-K$147</f>
        <v>90005.5011799961</v>
      </c>
      <c r="L148" s="13" t="n">
        <f aca="false">L$143+L$144+L$145+L$140-L$147</f>
        <v>90005.5011799961</v>
      </c>
      <c r="M148" s="13" t="n">
        <f aca="false">M$143+M$144+M$145+M$140-M$147</f>
        <v>90005.5011799961</v>
      </c>
      <c r="N148" s="13" t="n">
        <f aca="false">N$143+N$144+N$145+N$140-N$147</f>
        <v>90005.5011799961</v>
      </c>
      <c r="O148" s="13" t="n">
        <f aca="false">O$143+O$144+O$145+O$140-O$147</f>
        <v>90005.5011799961</v>
      </c>
      <c r="P148" s="13" t="n">
        <f aca="false">P$143+P$144+P$145+P$140-P$147</f>
        <v>90005.5011799961</v>
      </c>
      <c r="Q148" s="13" t="n">
        <f aca="false">Q$143+Q$144+Q$145+Q$140-Q$147</f>
        <v>90005.5011799961</v>
      </c>
      <c r="R148" s="13" t="n">
        <f aca="false">R$143+R$144+R$145+R$140-R$147</f>
        <v>90005.5011799961</v>
      </c>
      <c r="S148" s="13" t="n">
        <f aca="false">S$143+S$144+S$145+S$140-S$147</f>
        <v>90588.3845133294</v>
      </c>
      <c r="T148" s="13" t="n">
        <f aca="false">T$143+T$144+T$145+T$140-T$147</f>
        <v>90588.3845133294</v>
      </c>
      <c r="U148" s="13" t="n">
        <f aca="false">U$143+U$144+U$145+U$140-U$147</f>
        <v>90588.3845133294</v>
      </c>
      <c r="V148" s="13" t="n">
        <f aca="false">V$143+V$144+V$145+V$140-V$147</f>
        <v>90588.3845133294</v>
      </c>
      <c r="W148" s="13" t="n">
        <f aca="false">W$143+W$144+W$145+W$140-W$147</f>
        <v>90588.3845133294</v>
      </c>
      <c r="X148" s="13" t="n">
        <f aca="false">X$143+X$144+X$145+X$140-X$147</f>
        <v>90588.3845133294</v>
      </c>
      <c r="Y148" s="13" t="n">
        <f aca="false">Y$143+Y$144+Y$145+Y$140-Y$147</f>
        <v>90588.3845133294</v>
      </c>
      <c r="Z148" s="13" t="n">
        <f aca="false">Z$143+Z$144+Z$145+Z$140-Z$147</f>
        <v>90588.3845133294</v>
      </c>
      <c r="AA148" s="13" t="n">
        <f aca="false">AA$143+AA$144+AA$145+AA$140-AA$147</f>
        <v>90588.3845133294</v>
      </c>
      <c r="AB148" s="13" t="n">
        <f aca="false">AB$143+AB$144+AB$145+AB$140-AB$147</f>
        <v>90588.3845133294</v>
      </c>
      <c r="AC148" s="13" t="n">
        <f aca="false">AC$143+AC$144+AC$145+AC$140-AC$147</f>
        <v>90588.3845133294</v>
      </c>
      <c r="AD148" s="13" t="n">
        <f aca="false">AD$143+AD$144+AD$145+AD$140-AD$147</f>
        <v>90588.3845133294</v>
      </c>
      <c r="AE148" s="13" t="n">
        <f aca="false">AE$143+AE$144+AE$145+AE$140-AE$147</f>
        <v>93832.68679043</v>
      </c>
      <c r="AF148" s="13" t="n">
        <f aca="false">AF$143+AF$144+AF$145+AF$140-AF$147</f>
        <v>93832.6867904299</v>
      </c>
      <c r="AG148" s="13" t="n">
        <f aca="false">AG$143+AG$144+AG$145+AG$140-AG$147</f>
        <v>93832.6867904299</v>
      </c>
      <c r="AH148" s="13" t="n">
        <f aca="false">AH$143+AH$144+AH$145+AH$140-AH$147</f>
        <v>93832.6867904299</v>
      </c>
      <c r="AI148" s="13" t="n">
        <f aca="false">AI$143+AI$144+AI$145+AI$140-AI$147</f>
        <v>93832.6867904299</v>
      </c>
      <c r="AJ148" s="13" t="n">
        <f aca="false">AJ$143+AJ$144+AJ$145+AJ$140-AJ$147</f>
        <v>93832.6867904299</v>
      </c>
      <c r="AK148" s="13" t="n">
        <f aca="false">AK$143+AK$144+AK$145+AK$140-AK$147</f>
        <v>93832.6867904299</v>
      </c>
      <c r="AL148" s="13" t="n">
        <f aca="false">AL$143+AL$144+AL$145+AL$140-AL$147</f>
        <v>93832.6867904299</v>
      </c>
      <c r="AM148" s="13" t="n">
        <f aca="false">AM$143+AM$144+AM$145+AM$140-AM$147</f>
        <v>93832.6867904299</v>
      </c>
      <c r="AN148" s="13" t="n">
        <f aca="false">AN$143+AN$144+AN$145+AN$140-AN$147</f>
        <v>93832.6867904299</v>
      </c>
      <c r="AO148" s="13" t="n">
        <f aca="false">AO$143+AO$144+AO$145+AO$140-AO$147</f>
        <v>93832.6867904299</v>
      </c>
      <c r="AP148" s="13" t="n">
        <f aca="false">AP$143+AP$144+AP$145+AP$140-AP$147</f>
        <v>93832.6867904299</v>
      </c>
      <c r="AQ148" s="13" t="n">
        <f aca="false">AQ$143+AQ$144+AQ$145+AQ$140-AQ$147</f>
        <v>96566.4215111605</v>
      </c>
      <c r="AR148" s="13" t="n">
        <f aca="false">AR$143+AR$144+AR$145+AR$140-AR$147</f>
        <v>96566.4215111605</v>
      </c>
      <c r="AS148" s="13" t="n">
        <f aca="false">AS$143+AS$144+AS$145+AS$140-AS$147</f>
        <v>96566.4215111605</v>
      </c>
      <c r="AT148" s="13" t="n">
        <f aca="false">AT$143+AT$144+AT$145+AT$140-AT$147</f>
        <v>96566.4215111605</v>
      </c>
      <c r="AU148" s="13" t="n">
        <f aca="false">AU$143+AU$144+AU$145+AU$140-AU$147</f>
        <v>96566.4215111605</v>
      </c>
      <c r="AV148" s="13" t="n">
        <f aca="false">AV$143+AV$144+AV$145+AV$140-AV$147</f>
        <v>96566.4215111605</v>
      </c>
      <c r="AW148" s="13" t="n">
        <f aca="false">AW$143+AW$144+AW$145+AW$140-AW$147</f>
        <v>96566.4215111605</v>
      </c>
      <c r="AX148" s="13" t="n">
        <f aca="false">AX$143+AX$144+AX$145+AX$140-AX$147</f>
        <v>96566.4215111605</v>
      </c>
      <c r="AY148" s="13" t="n">
        <f aca="false">AY$143+AY$144+AY$145+AY$140-AY$147</f>
        <v>96566.4215111605</v>
      </c>
      <c r="AZ148" s="13" t="n">
        <f aca="false">AZ$143+AZ$144+AZ$145+AZ$140-AZ$147</f>
        <v>96566.4215111605</v>
      </c>
      <c r="BA148" s="13" t="n">
        <f aca="false">BA$143+BA$144+BA$145+BA$140-BA$147</f>
        <v>96566.4215111605</v>
      </c>
      <c r="BB148" s="13" t="n">
        <f aca="false">BB$143+BB$144+BB$145+BB$140-BB$147</f>
        <v>96566.4215111605</v>
      </c>
      <c r="BC148" s="13" t="n">
        <f aca="false">BC$143+BC$144+BC$145+BC$140-BC$147</f>
        <v>99781.8001087304</v>
      </c>
      <c r="BD148" s="13" t="n">
        <f aca="false">BD$143+BD$144+BD$145+BD$140-BD$147</f>
        <v>99781.8001087304</v>
      </c>
      <c r="BE148" s="13" t="n">
        <f aca="false">BE$143+BE$144+BE$145+BE$140-BE$147</f>
        <v>99781.8001087304</v>
      </c>
      <c r="BF148" s="13" t="n">
        <f aca="false">BF$143+BF$144+BF$145+BF$140-BF$147</f>
        <v>99781.8001087304</v>
      </c>
      <c r="BG148" s="13" t="n">
        <f aca="false">BG$143+BG$144+BG$145+BG$140-BG$147</f>
        <v>99781.8001087304</v>
      </c>
      <c r="BH148" s="13" t="n">
        <f aca="false">BH$143+BH$144+BH$145+BH$140-BH$147</f>
        <v>99781.8001087304</v>
      </c>
      <c r="BI148" s="13" t="n">
        <f aca="false">BI$143+BI$144+BI$145+BI$140-BI$147</f>
        <v>99781.8001087304</v>
      </c>
      <c r="BJ148" s="13" t="n">
        <f aca="false">BJ$143+BJ$144+BJ$145+BJ$140-BJ$147</f>
        <v>99781.8001087304</v>
      </c>
      <c r="BK148" s="13" t="n">
        <f aca="false">BK$143+BK$144+BK$145+BK$140-BK$147</f>
        <v>99781.8001087304</v>
      </c>
      <c r="BL148" s="13" t="n">
        <f aca="false">BL$143+BL$144+BL$145+BL$140-BL$147</f>
        <v>99781.8001087304</v>
      </c>
      <c r="BM148" s="13" t="n">
        <f aca="false">BM$143+BM$144+BM$145+BM$140-BM$147</f>
        <v>99781.8001087304</v>
      </c>
      <c r="BN148" s="13" t="n">
        <f aca="false">BN$143+BN$144+BN$145+BN$140-BN$147</f>
        <v>99781.8001087304</v>
      </c>
      <c r="BO148" s="13" t="n">
        <f aca="false">BO$143+BO$144+BO$145+BO$140-BO$147</f>
        <v>100431.626076053</v>
      </c>
      <c r="BP148" s="13" t="n">
        <f aca="false">BP$143+BP$144+BP$145+BP$140-BP$147</f>
        <v>100431.626076053</v>
      </c>
      <c r="BQ148" s="13" t="n">
        <f aca="false">BQ$143+BQ$144+BQ$145+BQ$140-BQ$147</f>
        <v>100431.626076053</v>
      </c>
      <c r="BR148" s="13" t="n">
        <f aca="false">BR$143+BR$144+BR$145+BR$140-BR$147</f>
        <v>100431.626076053</v>
      </c>
      <c r="BS148" s="13" t="n">
        <f aca="false">BS$143+BS$144+BS$145+BS$140-BS$147</f>
        <v>100431.626076053</v>
      </c>
      <c r="BT148" s="13" t="n">
        <f aca="false">BT$143+BT$144+BT$145+BT$140-BT$147</f>
        <v>100431.626076053</v>
      </c>
      <c r="BU148" s="13" t="n">
        <f aca="false">BU$143+BU$144+BU$145+BU$140-BU$147</f>
        <v>100431.626076053</v>
      </c>
      <c r="BV148" s="13" t="n">
        <f aca="false">BV$143+BV$144+BV$145+BV$140-BV$147</f>
        <v>100431.626076053</v>
      </c>
      <c r="BW148" s="13" t="n">
        <f aca="false">BW$143+BW$144+BW$145+BW$140-BW$147</f>
        <v>100431.626076053</v>
      </c>
      <c r="BX148" s="13" t="n">
        <f aca="false">BX$143+BX$144+BX$145+BX$140-BX$147</f>
        <v>100431.626076053</v>
      </c>
      <c r="BY148" s="13" t="n">
        <f aca="false">BY$143+BY$144+BY$145+BY$140-BY$147</f>
        <v>100431.626076053</v>
      </c>
      <c r="BZ148" s="13" t="n">
        <f aca="false">BZ$143+BZ$144+BZ$145+BZ$140-BZ$147</f>
        <v>100431.626076053</v>
      </c>
      <c r="CA148" s="13" t="n">
        <f aca="false">CA$143+CA$144+CA$145+CA$140-CA$147</f>
        <v>101099.461422396</v>
      </c>
      <c r="CB148" s="13" t="n">
        <f aca="false">CB$143+CB$144+CB$145+CB$140-CB$147</f>
        <v>101099.461422396</v>
      </c>
      <c r="CC148" s="13" t="n">
        <f aca="false">CC$143+CC$144+CC$145+CC$140-CC$147</f>
        <v>101099.461422396</v>
      </c>
      <c r="CD148" s="13" t="n">
        <f aca="false">CD$143+CD$144+CD$145+CD$140-CD$147</f>
        <v>101099.461422396</v>
      </c>
      <c r="CE148" s="13" t="n">
        <f aca="false">CE$143+CE$144+CE$145+CE$140-CE$147</f>
        <v>101099.461422396</v>
      </c>
      <c r="CF148" s="13" t="n">
        <f aca="false">CF$143+CF$144+CF$145+CF$140-CF$147</f>
        <v>101099.461422396</v>
      </c>
      <c r="CG148" s="13" t="n">
        <f aca="false">CG$143+CG$144+CG$145+CG$140-CG$147</f>
        <v>101099.461422396</v>
      </c>
      <c r="CH148" s="13" t="n">
        <f aca="false">CH$143+CH$144+CH$145+CH$140-CH$147</f>
        <v>101099.461422396</v>
      </c>
      <c r="CI148" s="13" t="n">
        <f aca="false">CI$143+CI$144+CI$145+CI$140-CI$147</f>
        <v>101099.461422396</v>
      </c>
      <c r="CJ148" s="13" t="n">
        <f aca="false">CJ$143+CJ$144+CJ$145+CJ$140-CJ$147</f>
        <v>101099.461422396</v>
      </c>
      <c r="CK148" s="13" t="n">
        <f aca="false">CK$143+CK$144+CK$145+CK$140-CK$147</f>
        <v>101099.461422396</v>
      </c>
      <c r="CL148" s="13" t="n">
        <f aca="false">CL$143+CL$144+CL$145+CL$140-CL$147</f>
        <v>101099.461422396</v>
      </c>
      <c r="CM148" s="13" t="n">
        <f aca="false">CM$143+CM$144+CM$145+CM$140-CM$147</f>
        <v>101785.846429129</v>
      </c>
      <c r="CN148" s="13" t="n">
        <f aca="false">CN$143+CN$144+CN$145+CN$140-CN$147</f>
        <v>101785.846429129</v>
      </c>
      <c r="CO148" s="13" t="n">
        <f aca="false">CO$143+CO$144+CO$145+CO$140-CO$147</f>
        <v>101785.846429129</v>
      </c>
      <c r="CP148" s="13" t="n">
        <f aca="false">CP$143+CP$144+CP$145+CP$140-CP$147</f>
        <v>101785.846429129</v>
      </c>
      <c r="CQ148" s="13" t="n">
        <f aca="false">CQ$143+CQ$144+CQ$145+CQ$140-CQ$147</f>
        <v>101785.846429129</v>
      </c>
      <c r="CR148" s="13" t="n">
        <f aca="false">CR$143+CR$144+CR$145+CR$140-CR$147</f>
        <v>101785.846429129</v>
      </c>
      <c r="CS148" s="13" t="n">
        <f aca="false">CS$143+CS$144+CS$145+CS$140-CS$147</f>
        <v>101785.846429129</v>
      </c>
      <c r="CT148" s="13" t="n">
        <f aca="false">CT$143+CT$144+CT$145+CT$140-CT$147</f>
        <v>101785.846429129</v>
      </c>
      <c r="CU148" s="13" t="n">
        <f aca="false">CU$143+CU$144+CU$145+CU$140-CU$147</f>
        <v>101785.846429129</v>
      </c>
      <c r="CV148" s="13" t="n">
        <f aca="false">CV$143+CV$144+CV$145+CV$140-CV$147</f>
        <v>101785.846429129</v>
      </c>
      <c r="CW148" s="13" t="n">
        <f aca="false">CW$143+CW$144+CW$145+CW$140-CW$147</f>
        <v>101785.846429129</v>
      </c>
      <c r="CX148" s="13" t="n">
        <f aca="false">CX$143+CX$144+CX$145+CX$140-CX$147</f>
        <v>101785.846429129</v>
      </c>
      <c r="CY148" s="13" t="n">
        <f aca="false">CY$143+CY$144+CY$145+CY$140-CY$147</f>
        <v>102491.337586064</v>
      </c>
      <c r="CZ148" s="13" t="n">
        <f aca="false">CZ$143+CZ$144+CZ$145+CZ$140-CZ$147</f>
        <v>102491.337586064</v>
      </c>
      <c r="DA148" s="13" t="n">
        <f aca="false">DA$143+DA$144+DA$145+DA$140-DA$147</f>
        <v>102491.337586064</v>
      </c>
      <c r="DB148" s="13" t="n">
        <f aca="false">DB$143+DB$144+DB$145+DB$140-DB$147</f>
        <v>102491.337586064</v>
      </c>
      <c r="DC148" s="13" t="n">
        <f aca="false">DC$143+DC$144+DC$145+DC$140-DC$147</f>
        <v>102491.337586064</v>
      </c>
      <c r="DD148" s="13" t="n">
        <f aca="false">DD$143+DD$144+DD$145+DD$140-DD$147</f>
        <v>102491.337586064</v>
      </c>
      <c r="DE148" s="13" t="n">
        <f aca="false">DE$143+DE$144+DE$145+DE$140-DE$147</f>
        <v>102491.337586064</v>
      </c>
      <c r="DF148" s="13" t="n">
        <f aca="false">DF$143+DF$144+DF$145+DF$140-DF$147</f>
        <v>102491.337586064</v>
      </c>
      <c r="DG148" s="13" t="n">
        <f aca="false">DG$143+DG$144+DG$145+DG$140-DG$147</f>
        <v>102491.337586064</v>
      </c>
      <c r="DH148" s="13" t="n">
        <f aca="false">DH$143+DH$144+DH$145+DH$140-DH$147</f>
        <v>102491.337586064</v>
      </c>
      <c r="DI148" s="13" t="n">
        <f aca="false">DI$143+DI$144+DI$145+DI$140-DI$147</f>
        <v>102491.337586064</v>
      </c>
      <c r="DJ148" s="13" t="n">
        <f aca="false">DJ$143+DJ$144+DJ$145+DJ$140-DJ$147</f>
        <v>102491.337586064</v>
      </c>
      <c r="DK148" s="13" t="n">
        <f aca="false">DK$143+DK$144+DK$145+DK$140-DK$147</f>
        <v>103216.508077707</v>
      </c>
      <c r="DL148" s="13" t="n">
        <f aca="false">DL$143+DL$144+DL$145+DL$140-DL$147</f>
        <v>103216.508077707</v>
      </c>
      <c r="DM148" s="13" t="n">
        <f aca="false">DM$143+DM$144+DM$145+DM$140-DM$147</f>
        <v>103216.508077707</v>
      </c>
      <c r="DN148" s="13" t="n">
        <f aca="false">DN$143+DN$144+DN$145+DN$140-DN$147</f>
        <v>103216.508077707</v>
      </c>
      <c r="DO148" s="13" t="n">
        <f aca="false">DO$143+DO$144+DO$145+DO$140-DO$147</f>
        <v>103216.508077707</v>
      </c>
      <c r="DP148" s="13" t="n">
        <f aca="false">DP$143+DP$144+DP$145+DP$140-DP$147</f>
        <v>103216.508077707</v>
      </c>
      <c r="DQ148" s="13" t="n">
        <f aca="false">DQ$143+DQ$144+DQ$145+DQ$140-DQ$147</f>
        <v>103216.508077707</v>
      </c>
      <c r="DR148" s="13" t="n">
        <f aca="false">DR$143+DR$144+DR$145+DR$140-DR$147</f>
        <v>103216.508077707</v>
      </c>
      <c r="DS148" s="13" t="n">
        <f aca="false">DS$143+DS$144+DS$145+DS$140-DS$147</f>
        <v>103216.508077707</v>
      </c>
      <c r="DT148" s="13" t="n">
        <f aca="false">DT$143+DT$144+DT$145+DT$140-DT$147</f>
        <v>103216.508077707</v>
      </c>
      <c r="DU148" s="13" t="n">
        <f aca="false">DU$143+DU$144+DU$145+DU$140-DU$147</f>
        <v>103216.508077707</v>
      </c>
      <c r="DV148" s="13" t="n">
        <f aca="false">DV$143+DV$144+DV$145+DV$140-DV$147</f>
        <v>103216.508077707</v>
      </c>
      <c r="DW148" s="13" t="n">
        <f aca="false">DW$143+DW$144+DW$145+DW$140-DW$147</f>
        <v>0</v>
      </c>
      <c r="DX148" s="13" t="n">
        <f aca="false">DX$143+DX$144+DX$145+DX$140-DX$147</f>
        <v>0</v>
      </c>
      <c r="DY148" s="13" t="n">
        <f aca="false">DY$143+DY$144+DY$145+DY$140-DY$147</f>
        <v>0</v>
      </c>
      <c r="DZ148" s="13" t="n">
        <f aca="false">DZ$143+DZ$144+DZ$145+DZ$140-DZ$147</f>
        <v>0</v>
      </c>
      <c r="EA148" s="13" t="n">
        <f aca="false">EA$143+EA$144+EA$145+EA$140-EA$147</f>
        <v>0</v>
      </c>
      <c r="EB148" s="13" t="n">
        <f aca="false">EB$143+EB$144+EB$145+EB$140-EB$147</f>
        <v>0</v>
      </c>
      <c r="EC148" s="13" t="n">
        <f aca="false">EC$143+EC$144+EC$145+EC$140-EC$147</f>
        <v>0</v>
      </c>
      <c r="ED148" s="13" t="n">
        <f aca="false">ED$143+ED$144+ED$145+ED$140-ED$147</f>
        <v>0</v>
      </c>
      <c r="EE148" s="13" t="n">
        <f aca="false">EE$143+EE$144+EE$145+EE$140-EE$147</f>
        <v>0</v>
      </c>
      <c r="EF148" s="13" t="n">
        <f aca="false">EF$143+EF$144+EF$145+EF$140-EF$147</f>
        <v>0</v>
      </c>
      <c r="EG148" s="13" t="n">
        <f aca="false">EG$143+EG$144+EG$145+EG$140-EG$147</f>
        <v>0</v>
      </c>
      <c r="EH148" s="13" t="n">
        <f aca="false">EH$143+EH$144+EH$145+EH$140-EH$147</f>
        <v>0</v>
      </c>
      <c r="EI148" s="13" t="n">
        <f aca="false">EI$143+EI$144+EI$145+EI$140-EI$147</f>
        <v>0</v>
      </c>
      <c r="EJ148" s="13" t="n">
        <f aca="false">EJ$143+EJ$144+EJ$145+EJ$140-EJ$147</f>
        <v>0</v>
      </c>
      <c r="EK148" s="13" t="n">
        <f aca="false">EK$143+EK$144+EK$145+EK$140-EK$147</f>
        <v>0</v>
      </c>
      <c r="EL148" s="13" t="n">
        <f aca="false">EL$143+EL$144+EL$145+EL$140-EL$147</f>
        <v>0</v>
      </c>
      <c r="EM148" s="13" t="n">
        <f aca="false">EM$143+EM$144+EM$145+EM$140-EM$147</f>
        <v>0</v>
      </c>
      <c r="EN148" s="13" t="n">
        <f aca="false">EN$143+EN$144+EN$145+EN$140-EN$147</f>
        <v>0</v>
      </c>
      <c r="EO148" s="13" t="n">
        <f aca="false">EO$143+EO$144+EO$145+EO$140-EO$147</f>
        <v>0</v>
      </c>
      <c r="EP148" s="13" t="n">
        <f aca="false">EP$143+EP$144+EP$145+EP$140-EP$147</f>
        <v>0</v>
      </c>
      <c r="EQ148" s="13" t="n">
        <f aca="false">EQ$143+EQ$144+EQ$145+EQ$140-EQ$147</f>
        <v>0</v>
      </c>
      <c r="ER148" s="13" t="n">
        <f aca="false">ER$143+ER$144+ER$145+ER$140-ER$147</f>
        <v>0</v>
      </c>
      <c r="ES148" s="13" t="n">
        <f aca="false">ES$143+ES$144+ES$145+ES$140-ES$147</f>
        <v>0</v>
      </c>
      <c r="ET148" s="13" t="n">
        <f aca="false">ET$143+ET$144+ET$145+ET$140-ET$147</f>
        <v>0</v>
      </c>
      <c r="EU148" s="13" t="n">
        <f aca="false">EU$143+EU$144+EU$145+EU$140-EU$147</f>
        <v>0</v>
      </c>
      <c r="EV148" s="13" t="n">
        <f aca="false">EV$143+EV$144+EV$145+EV$140-EV$147</f>
        <v>0</v>
      </c>
      <c r="EW148" s="13" t="n">
        <f aca="false">EW$143+EW$144+EW$145+EW$140-EW$147</f>
        <v>0</v>
      </c>
      <c r="EX148" s="13" t="n">
        <f aca="false">EX$143+EX$144+EX$145+EX$140-EX$147</f>
        <v>0</v>
      </c>
      <c r="EY148" s="13" t="n">
        <f aca="false">EY$143+EY$144+EY$145+EY$140-EY$147</f>
        <v>0</v>
      </c>
      <c r="EZ148" s="13" t="n">
        <f aca="false">EZ$143+EZ$144+EZ$145+EZ$140-EZ$147</f>
        <v>0</v>
      </c>
      <c r="FA148" s="13" t="n">
        <f aca="false">FA$143+FA$144+FA$145+FA$140-FA$147</f>
        <v>0</v>
      </c>
      <c r="FB148" s="13" t="n">
        <f aca="false">FB$143+FB$144+FB$145+FB$140-FB$147</f>
        <v>0</v>
      </c>
      <c r="FC148" s="13" t="n">
        <f aca="false">FC$143+FC$144+FC$145+FC$140-FC$147</f>
        <v>0</v>
      </c>
      <c r="FD148" s="13" t="n">
        <f aca="false">FD$143+FD$144+FD$145+FD$140-FD$147</f>
        <v>0</v>
      </c>
      <c r="FE148" s="13" t="n">
        <f aca="false">FE$143+FE$144+FE$145+FE$140-FE$147</f>
        <v>0</v>
      </c>
      <c r="FF148" s="13" t="n">
        <f aca="false">FF$143+FF$144+FF$145+FF$140-FF$147</f>
        <v>0</v>
      </c>
    </row>
    <row r="149" customFormat="false" ht="15" hidden="false" customHeight="false" outlineLevel="0" collapsed="false">
      <c r="A149" s="2" t="s">
        <v>1135</v>
      </c>
      <c r="B149" s="8" t="s">
        <v>1136</v>
      </c>
      <c r="C149" s="8" t="s">
        <v>255</v>
      </c>
      <c r="E149" s="65" t="n">
        <f aca="false">SUM($F149:$FF149)</f>
        <v>0</v>
      </c>
      <c r="F149" s="13" t="n">
        <f aca="false">IF(Calendario!F$14=1,F$143+F$144+F$145+F$140,0)</f>
        <v>0</v>
      </c>
      <c r="G149" s="13" t="n">
        <f aca="false">IF(Calendario!G$14=1,G$143+G$144+G$145+G$140,0)</f>
        <v>0</v>
      </c>
      <c r="H149" s="13" t="n">
        <f aca="false">IF(Calendario!H$14=1,H$143+H$144+H$145+H$140,0)</f>
        <v>0</v>
      </c>
      <c r="I149" s="13" t="n">
        <f aca="false">IF(Calendario!I$14=1,I$143+I$144+I$145+I$140,0)</f>
        <v>0</v>
      </c>
      <c r="J149" s="13" t="n">
        <f aca="false">IF(Calendario!J$14=1,J$143+J$144+J$145+J$140,0)</f>
        <v>0</v>
      </c>
      <c r="K149" s="13" t="n">
        <f aca="false">IF(Calendario!K$14=1,K$143+K$144+K$145+K$140,0)</f>
        <v>0</v>
      </c>
      <c r="L149" s="13" t="n">
        <f aca="false">IF(Calendario!L$14=1,L$143+L$144+L$145+L$140,0)</f>
        <v>0</v>
      </c>
      <c r="M149" s="13" t="n">
        <f aca="false">IF(Calendario!M$14=1,M$143+M$144+M$145+M$140,0)</f>
        <v>0</v>
      </c>
      <c r="N149" s="13" t="n">
        <f aca="false">IF(Calendario!N$14=1,N$143+N$144+N$145+N$140,0)</f>
        <v>0</v>
      </c>
      <c r="O149" s="13" t="n">
        <f aca="false">IF(Calendario!O$14=1,O$143+O$144+O$145+O$140,0)</f>
        <v>0</v>
      </c>
      <c r="P149" s="13" t="n">
        <f aca="false">IF(Calendario!P$14=1,P$143+P$144+P$145+P$140,0)</f>
        <v>0</v>
      </c>
      <c r="Q149" s="13" t="n">
        <f aca="false">IF(Calendario!Q$14=1,Q$143+Q$144+Q$145+Q$140,0)</f>
        <v>0</v>
      </c>
      <c r="R149" s="13" t="n">
        <f aca="false">IF(Calendario!R$14=1,R$143+R$144+R$145+R$140,0)</f>
        <v>0</v>
      </c>
      <c r="S149" s="13" t="n">
        <f aca="false">IF(Calendario!S$14=1,S$143+S$144+S$145+S$140,0)</f>
        <v>0</v>
      </c>
      <c r="T149" s="13" t="n">
        <f aca="false">IF(Calendario!T$14=1,T$143+T$144+T$145+T$140,0)</f>
        <v>0</v>
      </c>
      <c r="U149" s="13" t="n">
        <f aca="false">IF(Calendario!U$14=1,U$143+U$144+U$145+U$140,0)</f>
        <v>0</v>
      </c>
      <c r="V149" s="13" t="n">
        <f aca="false">IF(Calendario!V$14=1,V$143+V$144+V$145+V$140,0)</f>
        <v>0</v>
      </c>
      <c r="W149" s="13" t="n">
        <f aca="false">IF(Calendario!W$14=1,W$143+W$144+W$145+W$140,0)</f>
        <v>0</v>
      </c>
      <c r="X149" s="13" t="n">
        <f aca="false">IF(Calendario!X$14=1,X$143+X$144+X$145+X$140,0)</f>
        <v>0</v>
      </c>
      <c r="Y149" s="13" t="n">
        <f aca="false">IF(Calendario!Y$14=1,Y$143+Y$144+Y$145+Y$140,0)</f>
        <v>0</v>
      </c>
      <c r="Z149" s="13" t="n">
        <f aca="false">IF(Calendario!Z$14=1,Z$143+Z$144+Z$145+Z$140,0)</f>
        <v>0</v>
      </c>
      <c r="AA149" s="13" t="n">
        <f aca="false">IF(Calendario!AA$14=1,AA$143+AA$144+AA$145+AA$140,0)</f>
        <v>0</v>
      </c>
      <c r="AB149" s="13" t="n">
        <f aca="false">IF(Calendario!AB$14=1,AB$143+AB$144+AB$145+AB$140,0)</f>
        <v>0</v>
      </c>
      <c r="AC149" s="13" t="n">
        <f aca="false">IF(Calendario!AC$14=1,AC$143+AC$144+AC$145+AC$140,0)</f>
        <v>0</v>
      </c>
      <c r="AD149" s="13" t="n">
        <f aca="false">IF(Calendario!AD$14=1,AD$143+AD$144+AD$145+AD$140,0)</f>
        <v>0</v>
      </c>
      <c r="AE149" s="13" t="n">
        <f aca="false">IF(Calendario!AE$14=1,AE$143+AE$144+AE$145+AE$140,0)</f>
        <v>0</v>
      </c>
      <c r="AF149" s="13" t="n">
        <f aca="false">IF(Calendario!AF$14=1,AF$143+AF$144+AF$145+AF$140,0)</f>
        <v>0</v>
      </c>
      <c r="AG149" s="13" t="n">
        <f aca="false">IF(Calendario!AG$14=1,AG$143+AG$144+AG$145+AG$140,0)</f>
        <v>0</v>
      </c>
      <c r="AH149" s="13" t="n">
        <f aca="false">IF(Calendario!AH$14=1,AH$143+AH$144+AH$145+AH$140,0)</f>
        <v>0</v>
      </c>
      <c r="AI149" s="13" t="n">
        <f aca="false">IF(Calendario!AI$14=1,AI$143+AI$144+AI$145+AI$140,0)</f>
        <v>0</v>
      </c>
      <c r="AJ149" s="13" t="n">
        <f aca="false">IF(Calendario!AJ$14=1,AJ$143+AJ$144+AJ$145+AJ$140,0)</f>
        <v>0</v>
      </c>
      <c r="AK149" s="13" t="n">
        <f aca="false">IF(Calendario!AK$14=1,AK$143+AK$144+AK$145+AK$140,0)</f>
        <v>0</v>
      </c>
      <c r="AL149" s="13" t="n">
        <f aca="false">IF(Calendario!AL$14=1,AL$143+AL$144+AL$145+AL$140,0)</f>
        <v>0</v>
      </c>
      <c r="AM149" s="13" t="n">
        <f aca="false">IF(Calendario!AM$14=1,AM$143+AM$144+AM$145+AM$140,0)</f>
        <v>0</v>
      </c>
      <c r="AN149" s="13" t="n">
        <f aca="false">IF(Calendario!AN$14=1,AN$143+AN$144+AN$145+AN$140,0)</f>
        <v>0</v>
      </c>
      <c r="AO149" s="13" t="n">
        <f aca="false">IF(Calendario!AO$14=1,AO$143+AO$144+AO$145+AO$140,0)</f>
        <v>0</v>
      </c>
      <c r="AP149" s="13" t="n">
        <f aca="false">IF(Calendario!AP$14=1,AP$143+AP$144+AP$145+AP$140,0)</f>
        <v>0</v>
      </c>
      <c r="AQ149" s="13" t="n">
        <f aca="false">IF(Calendario!AQ$14=1,AQ$143+AQ$144+AQ$145+AQ$140,0)</f>
        <v>0</v>
      </c>
      <c r="AR149" s="13" t="n">
        <f aca="false">IF(Calendario!AR$14=1,AR$143+AR$144+AR$145+AR$140,0)</f>
        <v>0</v>
      </c>
      <c r="AS149" s="13" t="n">
        <f aca="false">IF(Calendario!AS$14=1,AS$143+AS$144+AS$145+AS$140,0)</f>
        <v>0</v>
      </c>
      <c r="AT149" s="13" t="n">
        <f aca="false">IF(Calendario!AT$14=1,AT$143+AT$144+AT$145+AT$140,0)</f>
        <v>0</v>
      </c>
      <c r="AU149" s="13" t="n">
        <f aca="false">IF(Calendario!AU$14=1,AU$143+AU$144+AU$145+AU$140,0)</f>
        <v>0</v>
      </c>
      <c r="AV149" s="13" t="n">
        <f aca="false">IF(Calendario!AV$14=1,AV$143+AV$144+AV$145+AV$140,0)</f>
        <v>0</v>
      </c>
      <c r="AW149" s="13" t="n">
        <f aca="false">IF(Calendario!AW$14=1,AW$143+AW$144+AW$145+AW$140,0)</f>
        <v>0</v>
      </c>
      <c r="AX149" s="13" t="n">
        <f aca="false">IF(Calendario!AX$14=1,AX$143+AX$144+AX$145+AX$140,0)</f>
        <v>0</v>
      </c>
      <c r="AY149" s="13" t="n">
        <f aca="false">IF(Calendario!AY$14=1,AY$143+AY$144+AY$145+AY$140,0)</f>
        <v>0</v>
      </c>
      <c r="AZ149" s="13" t="n">
        <f aca="false">IF(Calendario!AZ$14=1,AZ$143+AZ$144+AZ$145+AZ$140,0)</f>
        <v>0</v>
      </c>
      <c r="BA149" s="13" t="n">
        <f aca="false">IF(Calendario!BA$14=1,BA$143+BA$144+BA$145+BA$140,0)</f>
        <v>0</v>
      </c>
      <c r="BB149" s="13" t="n">
        <f aca="false">IF(Calendario!BB$14=1,BB$143+BB$144+BB$145+BB$140,0)</f>
        <v>0</v>
      </c>
      <c r="BC149" s="13" t="n">
        <f aca="false">IF(Calendario!BC$14=1,BC$143+BC$144+BC$145+BC$140,0)</f>
        <v>0</v>
      </c>
      <c r="BD149" s="13" t="n">
        <f aca="false">IF(Calendario!BD$14=1,BD$143+BD$144+BD$145+BD$140,0)</f>
        <v>0</v>
      </c>
      <c r="BE149" s="13" t="n">
        <f aca="false">IF(Calendario!BE$14=1,BE$143+BE$144+BE$145+BE$140,0)</f>
        <v>0</v>
      </c>
      <c r="BF149" s="13" t="n">
        <f aca="false">IF(Calendario!BF$14=1,BF$143+BF$144+BF$145+BF$140,0)</f>
        <v>0</v>
      </c>
      <c r="BG149" s="13" t="n">
        <f aca="false">IF(Calendario!BG$14=1,BG$143+BG$144+BG$145+BG$140,0)</f>
        <v>0</v>
      </c>
      <c r="BH149" s="13" t="n">
        <f aca="false">IF(Calendario!BH$14=1,BH$143+BH$144+BH$145+BH$140,0)</f>
        <v>0</v>
      </c>
      <c r="BI149" s="13" t="n">
        <f aca="false">IF(Calendario!BI$14=1,BI$143+BI$144+BI$145+BI$140,0)</f>
        <v>0</v>
      </c>
      <c r="BJ149" s="13" t="n">
        <f aca="false">IF(Calendario!BJ$14=1,BJ$143+BJ$144+BJ$145+BJ$140,0)</f>
        <v>0</v>
      </c>
      <c r="BK149" s="13" t="n">
        <f aca="false">IF(Calendario!BK$14=1,BK$143+BK$144+BK$145+BK$140,0)</f>
        <v>0</v>
      </c>
      <c r="BL149" s="13" t="n">
        <f aca="false">IF(Calendario!BL$14=1,BL$143+BL$144+BL$145+BL$140,0)</f>
        <v>0</v>
      </c>
      <c r="BM149" s="13" t="n">
        <f aca="false">IF(Calendario!BM$14=1,BM$143+BM$144+BM$145+BM$140,0)</f>
        <v>0</v>
      </c>
      <c r="BN149" s="13" t="n">
        <f aca="false">IF(Calendario!BN$14=1,BN$143+BN$144+BN$145+BN$140,0)</f>
        <v>0</v>
      </c>
      <c r="BO149" s="13" t="n">
        <f aca="false">IF(Calendario!BO$14=1,BO$143+BO$144+BO$145+BO$140,0)</f>
        <v>0</v>
      </c>
      <c r="BP149" s="13" t="n">
        <f aca="false">IF(Calendario!BP$14=1,BP$143+BP$144+BP$145+BP$140,0)</f>
        <v>0</v>
      </c>
      <c r="BQ149" s="13" t="n">
        <f aca="false">IF(Calendario!BQ$14=1,BQ$143+BQ$144+BQ$145+BQ$140,0)</f>
        <v>0</v>
      </c>
      <c r="BR149" s="13" t="n">
        <f aca="false">IF(Calendario!BR$14=1,BR$143+BR$144+BR$145+BR$140,0)</f>
        <v>0</v>
      </c>
      <c r="BS149" s="13" t="n">
        <f aca="false">IF(Calendario!BS$14=1,BS$143+BS$144+BS$145+BS$140,0)</f>
        <v>0</v>
      </c>
      <c r="BT149" s="13" t="n">
        <f aca="false">IF(Calendario!BT$14=1,BT$143+BT$144+BT$145+BT$140,0)</f>
        <v>0</v>
      </c>
      <c r="BU149" s="13" t="n">
        <f aca="false">IF(Calendario!BU$14=1,BU$143+BU$144+BU$145+BU$140,0)</f>
        <v>0</v>
      </c>
      <c r="BV149" s="13" t="n">
        <f aca="false">IF(Calendario!BV$14=1,BV$143+BV$144+BV$145+BV$140,0)</f>
        <v>0</v>
      </c>
      <c r="BW149" s="13" t="n">
        <f aca="false">IF(Calendario!BW$14=1,BW$143+BW$144+BW$145+BW$140,0)</f>
        <v>0</v>
      </c>
      <c r="BX149" s="13" t="n">
        <f aca="false">IF(Calendario!BX$14=1,BX$143+BX$144+BX$145+BX$140,0)</f>
        <v>0</v>
      </c>
      <c r="BY149" s="13" t="n">
        <f aca="false">IF(Calendario!BY$14=1,BY$143+BY$144+BY$145+BY$140,0)</f>
        <v>0</v>
      </c>
      <c r="BZ149" s="13" t="n">
        <f aca="false">IF(Calendario!BZ$14=1,BZ$143+BZ$144+BZ$145+BZ$140,0)</f>
        <v>0</v>
      </c>
      <c r="CA149" s="13" t="n">
        <f aca="false">IF(Calendario!CA$14=1,CA$143+CA$144+CA$145+CA$140,0)</f>
        <v>0</v>
      </c>
      <c r="CB149" s="13" t="n">
        <f aca="false">IF(Calendario!CB$14=1,CB$143+CB$144+CB$145+CB$140,0)</f>
        <v>0</v>
      </c>
      <c r="CC149" s="13" t="n">
        <f aca="false">IF(Calendario!CC$14=1,CC$143+CC$144+CC$145+CC$140,0)</f>
        <v>0</v>
      </c>
      <c r="CD149" s="13" t="n">
        <f aca="false">IF(Calendario!CD$14=1,CD$143+CD$144+CD$145+CD$140,0)</f>
        <v>0</v>
      </c>
      <c r="CE149" s="13" t="n">
        <f aca="false">IF(Calendario!CE$14=1,CE$143+CE$144+CE$145+CE$140,0)</f>
        <v>0</v>
      </c>
      <c r="CF149" s="13" t="n">
        <f aca="false">IF(Calendario!CF$14=1,CF$143+CF$144+CF$145+CF$140,0)</f>
        <v>0</v>
      </c>
      <c r="CG149" s="13" t="n">
        <f aca="false">IF(Calendario!CG$14=1,CG$143+CG$144+CG$145+CG$140,0)</f>
        <v>0</v>
      </c>
      <c r="CH149" s="13" t="n">
        <f aca="false">IF(Calendario!CH$14=1,CH$143+CH$144+CH$145+CH$140,0)</f>
        <v>0</v>
      </c>
      <c r="CI149" s="13" t="n">
        <f aca="false">IF(Calendario!CI$14=1,CI$143+CI$144+CI$145+CI$140,0)</f>
        <v>0</v>
      </c>
      <c r="CJ149" s="13" t="n">
        <f aca="false">IF(Calendario!CJ$14=1,CJ$143+CJ$144+CJ$145+CJ$140,0)</f>
        <v>0</v>
      </c>
      <c r="CK149" s="13" t="n">
        <f aca="false">IF(Calendario!CK$14=1,CK$143+CK$144+CK$145+CK$140,0)</f>
        <v>0</v>
      </c>
      <c r="CL149" s="13" t="n">
        <f aca="false">IF(Calendario!CL$14=1,CL$143+CL$144+CL$145+CL$140,0)</f>
        <v>0</v>
      </c>
      <c r="CM149" s="13" t="n">
        <f aca="false">IF(Calendario!CM$14=1,CM$143+CM$144+CM$145+CM$140,0)</f>
        <v>0</v>
      </c>
      <c r="CN149" s="13" t="n">
        <f aca="false">IF(Calendario!CN$14=1,CN$143+CN$144+CN$145+CN$140,0)</f>
        <v>0</v>
      </c>
      <c r="CO149" s="13" t="n">
        <f aca="false">IF(Calendario!CO$14=1,CO$143+CO$144+CO$145+CO$140,0)</f>
        <v>0</v>
      </c>
      <c r="CP149" s="13" t="n">
        <f aca="false">IF(Calendario!CP$14=1,CP$143+CP$144+CP$145+CP$140,0)</f>
        <v>0</v>
      </c>
      <c r="CQ149" s="13" t="n">
        <f aca="false">IF(Calendario!CQ$14=1,CQ$143+CQ$144+CQ$145+CQ$140,0)</f>
        <v>0</v>
      </c>
      <c r="CR149" s="13" t="n">
        <f aca="false">IF(Calendario!CR$14=1,CR$143+CR$144+CR$145+CR$140,0)</f>
        <v>0</v>
      </c>
      <c r="CS149" s="13" t="n">
        <f aca="false">IF(Calendario!CS$14=1,CS$143+CS$144+CS$145+CS$140,0)</f>
        <v>0</v>
      </c>
      <c r="CT149" s="13" t="n">
        <f aca="false">IF(Calendario!CT$14=1,CT$143+CT$144+CT$145+CT$140,0)</f>
        <v>0</v>
      </c>
      <c r="CU149" s="13" t="n">
        <f aca="false">IF(Calendario!CU$14=1,CU$143+CU$144+CU$145+CU$140,0)</f>
        <v>0</v>
      </c>
      <c r="CV149" s="13" t="n">
        <f aca="false">IF(Calendario!CV$14=1,CV$143+CV$144+CV$145+CV$140,0)</f>
        <v>0</v>
      </c>
      <c r="CW149" s="13" t="n">
        <f aca="false">IF(Calendario!CW$14=1,CW$143+CW$144+CW$145+CW$140,0)</f>
        <v>0</v>
      </c>
      <c r="CX149" s="13" t="n">
        <f aca="false">IF(Calendario!CX$14=1,CX$143+CX$144+CX$145+CX$140,0)</f>
        <v>0</v>
      </c>
      <c r="CY149" s="13" t="n">
        <f aca="false">IF(Calendario!CY$14=1,CY$143+CY$144+CY$145+CY$140,0)</f>
        <v>0</v>
      </c>
      <c r="CZ149" s="13" t="n">
        <f aca="false">IF(Calendario!CZ$14=1,CZ$143+CZ$144+CZ$145+CZ$140,0)</f>
        <v>0</v>
      </c>
      <c r="DA149" s="13" t="n">
        <f aca="false">IF(Calendario!DA$14=1,DA$143+DA$144+DA$145+DA$140,0)</f>
        <v>0</v>
      </c>
      <c r="DB149" s="13" t="n">
        <f aca="false">IF(Calendario!DB$14=1,DB$143+DB$144+DB$145+DB$140,0)</f>
        <v>0</v>
      </c>
      <c r="DC149" s="13" t="n">
        <f aca="false">IF(Calendario!DC$14=1,DC$143+DC$144+DC$145+DC$140,0)</f>
        <v>0</v>
      </c>
      <c r="DD149" s="13" t="n">
        <f aca="false">IF(Calendario!DD$14=1,DD$143+DD$144+DD$145+DD$140,0)</f>
        <v>0</v>
      </c>
      <c r="DE149" s="13" t="n">
        <f aca="false">IF(Calendario!DE$14=1,DE$143+DE$144+DE$145+DE$140,0)</f>
        <v>0</v>
      </c>
      <c r="DF149" s="13" t="n">
        <f aca="false">IF(Calendario!DF$14=1,DF$143+DF$144+DF$145+DF$140,0)</f>
        <v>0</v>
      </c>
      <c r="DG149" s="13" t="n">
        <f aca="false">IF(Calendario!DG$14=1,DG$143+DG$144+DG$145+DG$140,0)</f>
        <v>0</v>
      </c>
      <c r="DH149" s="13" t="n">
        <f aca="false">IF(Calendario!DH$14=1,DH$143+DH$144+DH$145+DH$140,0)</f>
        <v>0</v>
      </c>
      <c r="DI149" s="13" t="n">
        <f aca="false">IF(Calendario!DI$14=1,DI$143+DI$144+DI$145+DI$140,0)</f>
        <v>0</v>
      </c>
      <c r="DJ149" s="13" t="n">
        <f aca="false">IF(Calendario!DJ$14=1,DJ$143+DJ$144+DJ$145+DJ$140,0)</f>
        <v>0</v>
      </c>
      <c r="DK149" s="13" t="n">
        <f aca="false">IF(Calendario!DK$14=1,DK$143+DK$144+DK$145+DK$140,0)</f>
        <v>0</v>
      </c>
      <c r="DL149" s="13" t="n">
        <f aca="false">IF(Calendario!DL$14=1,DL$143+DL$144+DL$145+DL$140,0)</f>
        <v>0</v>
      </c>
      <c r="DM149" s="13" t="n">
        <f aca="false">IF(Calendario!DM$14=1,DM$143+DM$144+DM$145+DM$140,0)</f>
        <v>0</v>
      </c>
      <c r="DN149" s="13" t="n">
        <f aca="false">IF(Calendario!DN$14=1,DN$143+DN$144+DN$145+DN$140,0)</f>
        <v>0</v>
      </c>
      <c r="DO149" s="13" t="n">
        <f aca="false">IF(Calendario!DO$14=1,DO$143+DO$144+DO$145+DO$140,0)</f>
        <v>0</v>
      </c>
      <c r="DP149" s="13" t="n">
        <f aca="false">IF(Calendario!DP$14=1,DP$143+DP$144+DP$145+DP$140,0)</f>
        <v>0</v>
      </c>
      <c r="DQ149" s="13" t="n">
        <f aca="false">IF(Calendario!DQ$14=1,DQ$143+DQ$144+DQ$145+DQ$140,0)</f>
        <v>0</v>
      </c>
      <c r="DR149" s="13" t="n">
        <f aca="false">IF(Calendario!DR$14=1,DR$143+DR$144+DR$145+DR$140,0)</f>
        <v>0</v>
      </c>
      <c r="DS149" s="13" t="n">
        <f aca="false">IF(Calendario!DS$14=1,DS$143+DS$144+DS$145+DS$140,0)</f>
        <v>0</v>
      </c>
      <c r="DT149" s="13" t="n">
        <f aca="false">IF(Calendario!DT$14=1,DT$143+DT$144+DT$145+DT$140,0)</f>
        <v>0</v>
      </c>
      <c r="DU149" s="13" t="n">
        <f aca="false">IF(Calendario!DU$14=1,DU$143+DU$144+DU$145+DU$140,0)</f>
        <v>0</v>
      </c>
      <c r="DV149" s="13" t="n">
        <f aca="false">IF(Calendario!DV$14=1,DV$143+DV$144+DV$145+DV$140,0)</f>
        <v>0</v>
      </c>
      <c r="DW149" s="13" t="n">
        <f aca="false">IF(Calendario!DW$14=1,DW$143+DW$144+DW$145+DW$140,0)</f>
        <v>0</v>
      </c>
      <c r="DX149" s="13" t="n">
        <f aca="false">IF(Calendario!DX$14=1,DX$143+DX$144+DX$145+DX$140,0)</f>
        <v>0</v>
      </c>
      <c r="DY149" s="13" t="n">
        <f aca="false">IF(Calendario!DY$14=1,DY$143+DY$144+DY$145+DY$140,0)</f>
        <v>0</v>
      </c>
      <c r="DZ149" s="13" t="n">
        <f aca="false">IF(Calendario!DZ$14=1,DZ$143+DZ$144+DZ$145+DZ$140,0)</f>
        <v>0</v>
      </c>
      <c r="EA149" s="13" t="n">
        <f aca="false">IF(Calendario!EA$14=1,EA$143+EA$144+EA$145+EA$140,0)</f>
        <v>0</v>
      </c>
      <c r="EB149" s="13" t="n">
        <f aca="false">IF(Calendario!EB$14=1,EB$143+EB$144+EB$145+EB$140,0)</f>
        <v>0</v>
      </c>
      <c r="EC149" s="13" t="n">
        <f aca="false">IF(Calendario!EC$14=1,EC$143+EC$144+EC$145+EC$140,0)</f>
        <v>0</v>
      </c>
      <c r="ED149" s="13" t="n">
        <f aca="false">IF(Calendario!ED$14=1,ED$143+ED$144+ED$145+ED$140,0)</f>
        <v>0</v>
      </c>
      <c r="EE149" s="13" t="n">
        <f aca="false">IF(Calendario!EE$14=1,EE$143+EE$144+EE$145+EE$140,0)</f>
        <v>0</v>
      </c>
      <c r="EF149" s="13" t="n">
        <f aca="false">IF(Calendario!EF$14=1,EF$143+EF$144+EF$145+EF$140,0)</f>
        <v>0</v>
      </c>
      <c r="EG149" s="13" t="n">
        <f aca="false">IF(Calendario!EG$14=1,EG$143+EG$144+EG$145+EG$140,0)</f>
        <v>0</v>
      </c>
      <c r="EH149" s="13" t="n">
        <f aca="false">IF(Calendario!EH$14=1,EH$143+EH$144+EH$145+EH$140,0)</f>
        <v>0</v>
      </c>
      <c r="EI149" s="13" t="n">
        <f aca="false">IF(Calendario!EI$14=1,EI$143+EI$144+EI$145+EI$140,0)</f>
        <v>0</v>
      </c>
      <c r="EJ149" s="13" t="n">
        <f aca="false">IF(Calendario!EJ$14=1,EJ$143+EJ$144+EJ$145+EJ$140,0)</f>
        <v>0</v>
      </c>
      <c r="EK149" s="13" t="n">
        <f aca="false">IF(Calendario!EK$14=1,EK$143+EK$144+EK$145+EK$140,0)</f>
        <v>0</v>
      </c>
      <c r="EL149" s="13" t="n">
        <f aca="false">IF(Calendario!EL$14=1,EL$143+EL$144+EL$145+EL$140,0)</f>
        <v>0</v>
      </c>
      <c r="EM149" s="13" t="n">
        <f aca="false">IF(Calendario!EM$14=1,EM$143+EM$144+EM$145+EM$140,0)</f>
        <v>0</v>
      </c>
      <c r="EN149" s="13" t="n">
        <f aca="false">IF(Calendario!EN$14=1,EN$143+EN$144+EN$145+EN$140,0)</f>
        <v>0</v>
      </c>
      <c r="EO149" s="13" t="n">
        <f aca="false">IF(Calendario!EO$14=1,EO$143+EO$144+EO$145+EO$140,0)</f>
        <v>0</v>
      </c>
      <c r="EP149" s="13" t="n">
        <f aca="false">IF(Calendario!EP$14=1,EP$143+EP$144+EP$145+EP$140,0)</f>
        <v>0</v>
      </c>
      <c r="EQ149" s="13" t="n">
        <f aca="false">IF(Calendario!EQ$14=1,EQ$143+EQ$144+EQ$145+EQ$140,0)</f>
        <v>0</v>
      </c>
      <c r="ER149" s="13" t="n">
        <f aca="false">IF(Calendario!ER$14=1,ER$143+ER$144+ER$145+ER$140,0)</f>
        <v>0</v>
      </c>
      <c r="ES149" s="13" t="n">
        <f aca="false">IF(Calendario!ES$14=1,ES$143+ES$144+ES$145+ES$140,0)</f>
        <v>0</v>
      </c>
      <c r="ET149" s="13" t="n">
        <f aca="false">IF(Calendario!ET$14=1,ET$143+ET$144+ET$145+ET$140,0)</f>
        <v>0</v>
      </c>
      <c r="EU149" s="13" t="n">
        <f aca="false">IF(Calendario!EU$14=1,EU$143+EU$144+EU$145+EU$140,0)</f>
        <v>0</v>
      </c>
      <c r="EV149" s="13" t="n">
        <f aca="false">IF(Calendario!EV$14=1,EV$143+EV$144+EV$145+EV$140,0)</f>
        <v>0</v>
      </c>
      <c r="EW149" s="13" t="n">
        <f aca="false">IF(Calendario!EW$14=1,EW$143+EW$144+EW$145+EW$140,0)</f>
        <v>0</v>
      </c>
      <c r="EX149" s="13" t="n">
        <f aca="false">IF(Calendario!EX$14=1,EX$143+EX$144+EX$145+EX$140,0)</f>
        <v>0</v>
      </c>
      <c r="EY149" s="13" t="n">
        <f aca="false">IF(Calendario!EY$14=1,EY$143+EY$144+EY$145+EY$140,0)</f>
        <v>0</v>
      </c>
      <c r="EZ149" s="13" t="n">
        <f aca="false">IF(Calendario!EZ$14=1,EZ$143+EZ$144+EZ$145+EZ$140,0)</f>
        <v>0</v>
      </c>
      <c r="FA149" s="13" t="n">
        <f aca="false">IF(Calendario!FA$14=1,FA$143+FA$144+FA$145+FA$140,0)</f>
        <v>0</v>
      </c>
      <c r="FB149" s="13" t="n">
        <f aca="false">IF(Calendario!FB$14=1,FB$143+FB$144+FB$145+FB$140,0)</f>
        <v>0</v>
      </c>
      <c r="FC149" s="13" t="n">
        <f aca="false">IF(Calendario!FC$14=1,FC$143+FC$144+FC$145+FC$140,0)</f>
        <v>0</v>
      </c>
      <c r="FD149" s="13" t="n">
        <f aca="false">IF(Calendario!FD$14=1,FD$143+FD$144+FD$145+FD$140,0)</f>
        <v>0</v>
      </c>
      <c r="FE149" s="13" t="n">
        <f aca="false">IF(Calendario!FE$14=1,FE$143+FE$144+FE$145+FE$140,0)</f>
        <v>0</v>
      </c>
      <c r="FF149" s="13" t="n">
        <f aca="false">IF(Calendario!FF$14=1,FF$143+FF$144+FF$145+FF$140,0)</f>
        <v>0</v>
      </c>
    </row>
    <row r="150" customFormat="false" ht="15" hidden="false" customHeight="false" outlineLevel="0" collapsed="false">
      <c r="A150" s="2" t="s">
        <v>1137</v>
      </c>
      <c r="B150" s="8" t="s">
        <v>1138</v>
      </c>
      <c r="C150" s="8" t="s">
        <v>255</v>
      </c>
      <c r="E150" s="65" t="n">
        <f aca="false">SUM($F150:$FF150)</f>
        <v>7964817.76123879</v>
      </c>
      <c r="F150" s="13" t="n">
        <f aca="false">F$121+F$122+F$123+F$126+F$127+F$124+F$130+F$133+F$134+F$135+F$136+F$137+F$138+F$139+F$140+F$132*IF(p_AlqCaja=3,0,1)+IF(p_C5=1,0,F$113+F$114)</f>
        <v>0</v>
      </c>
      <c r="G150" s="13" t="n">
        <f aca="false">G$121+G$122+G$123+G$126+G$127+G$124+G$130+G$133+G$134+G$135+G$136+G$137+G$138+G$139+G$140+G$132*IF(p_AlqCaja=3,0,1)+IF(p_C5=1,0,G$113+G$114)</f>
        <v>55604.17758386</v>
      </c>
      <c r="H150" s="13" t="n">
        <f aca="false">H$121+H$122+H$123+H$126+H$127+H$124+H$130+H$133+H$134+H$135+H$136+H$137+H$138+H$139+H$140+H$132*IF(p_AlqCaja=3,0,1)+IF(p_C5=1,0,H$113+H$114)</f>
        <v>50672.4497482436</v>
      </c>
      <c r="I150" s="13" t="n">
        <f aca="false">I$121+I$122+I$123+I$126+I$127+I$124+I$130+I$133+I$134+I$135+I$136+I$137+I$138+I$139+I$140+I$132*IF(p_AlqCaja=3,0,1)+IF(p_C5=1,0,I$113+I$114)</f>
        <v>50672.4497482436</v>
      </c>
      <c r="J150" s="13" t="n">
        <f aca="false">J$121+J$122+J$123+J$126+J$127+J$124+J$130+J$133+J$134+J$135+J$136+J$137+J$138+J$139+J$140+J$132*IF(p_AlqCaja=3,0,1)+IF(p_C5=1,0,J$113+J$114)</f>
        <v>50672.4497482436</v>
      </c>
      <c r="K150" s="13" t="n">
        <f aca="false">K$121+K$122+K$123+K$126+K$127+K$124+K$130+K$133+K$134+K$135+K$136+K$137+K$138+K$139+K$140+K$132*IF(p_AlqCaja=3,0,1)+IF(p_C5=1,0,K$113+K$114)</f>
        <v>50672.4497482436</v>
      </c>
      <c r="L150" s="13" t="n">
        <f aca="false">L$121+L$122+L$123+L$126+L$127+L$124+L$130+L$133+L$134+L$135+L$136+L$137+L$138+L$139+L$140+L$132*IF(p_AlqCaja=3,0,1)+IF(p_C5=1,0,L$113+L$114)</f>
        <v>50672.4497482436</v>
      </c>
      <c r="M150" s="13" t="n">
        <f aca="false">M$121+M$122+M$123+M$126+M$127+M$124+M$130+M$133+M$134+M$135+M$136+M$137+M$138+M$139+M$140+M$132*IF(p_AlqCaja=3,0,1)+IF(p_C5=1,0,M$113+M$114)</f>
        <v>50672.4497482436</v>
      </c>
      <c r="N150" s="13" t="n">
        <f aca="false">N$121+N$122+N$123+N$126+N$127+N$124+N$130+N$133+N$134+N$135+N$136+N$137+N$138+N$139+N$140+N$132*IF(p_AlqCaja=3,0,1)+IF(p_C5=1,0,N$113+N$114)</f>
        <v>50672.4497482436</v>
      </c>
      <c r="O150" s="13" t="n">
        <f aca="false">O$121+O$122+O$123+O$126+O$127+O$124+O$130+O$133+O$134+O$135+O$136+O$137+O$138+O$139+O$140+O$132*IF(p_AlqCaja=3,0,1)+IF(p_C5=1,0,O$113+O$114)</f>
        <v>50672.4497482436</v>
      </c>
      <c r="P150" s="13" t="n">
        <f aca="false">P$121+P$122+P$123+P$126+P$127+P$124+P$130+P$133+P$134+P$135+P$136+P$137+P$138+P$139+P$140+P$132*IF(p_AlqCaja=3,0,1)+IF(p_C5=1,0,P$113+P$114)</f>
        <v>50672.4497482436</v>
      </c>
      <c r="Q150" s="13" t="n">
        <f aca="false">Q$121+Q$122+Q$123+Q$126+Q$127+Q$124+Q$130+Q$133+Q$134+Q$135+Q$136+Q$137+Q$138+Q$139+Q$140+Q$132*IF(p_AlqCaja=3,0,1)+IF(p_C5=1,0,Q$113+Q$114)</f>
        <v>50672.4497482436</v>
      </c>
      <c r="R150" s="13" t="n">
        <f aca="false">R$121+R$122+R$123+R$126+R$127+R$124+R$130+R$133+R$134+R$135+R$136+R$137+R$138+R$139+R$140+R$132*IF(p_AlqCaja=3,0,1)+IF(p_C5=1,0,R$113+R$114)</f>
        <v>51968.7616386545</v>
      </c>
      <c r="S150" s="13" t="n">
        <f aca="false">S$121+S$122+S$123+S$126+S$127+S$124+S$130+S$133+S$134+S$135+S$136+S$137+S$138+S$139+S$140+S$132*IF(p_AlqCaja=3,0,1)+IF(p_C5=1,0,S$113+S$114)</f>
        <v>56525.0809982435</v>
      </c>
      <c r="T150" s="13" t="n">
        <f aca="false">T$121+T$122+T$123+T$126+T$127+T$124+T$130+T$133+T$134+T$135+T$136+T$137+T$138+T$139+T$140+T$132*IF(p_AlqCaja=3,0,1)+IF(p_C5=1,0,T$113+T$114)</f>
        <v>56525.0809982435</v>
      </c>
      <c r="U150" s="13" t="n">
        <f aca="false">U$121+U$122+U$123+U$126+U$127+U$124+U$130+U$133+U$134+U$135+U$136+U$137+U$138+U$139+U$140+U$132*IF(p_AlqCaja=3,0,1)+IF(p_C5=1,0,U$113+U$114)</f>
        <v>56525.0809982435</v>
      </c>
      <c r="V150" s="13" t="n">
        <f aca="false">V$121+V$122+V$123+V$126+V$127+V$124+V$130+V$133+V$134+V$135+V$136+V$137+V$138+V$139+V$140+V$132*IF(p_AlqCaja=3,0,1)+IF(p_C5=1,0,V$113+V$114)</f>
        <v>56525.0809982435</v>
      </c>
      <c r="W150" s="13" t="n">
        <f aca="false">W$121+W$122+W$123+W$126+W$127+W$124+W$130+W$133+W$134+W$135+W$136+W$137+W$138+W$139+W$140+W$132*IF(p_AlqCaja=3,0,1)+IF(p_C5=1,0,W$113+W$114)</f>
        <v>56525.0809982435</v>
      </c>
      <c r="X150" s="13" t="n">
        <f aca="false">X$121+X$122+X$123+X$126+X$127+X$124+X$130+X$133+X$134+X$135+X$136+X$137+X$138+X$139+X$140+X$132*IF(p_AlqCaja=3,0,1)+IF(p_C5=1,0,X$113+X$114)</f>
        <v>56525.0809982435</v>
      </c>
      <c r="Y150" s="13" t="n">
        <f aca="false">Y$121+Y$122+Y$123+Y$126+Y$127+Y$124+Y$130+Y$133+Y$134+Y$135+Y$136+Y$137+Y$138+Y$139+Y$140+Y$132*IF(p_AlqCaja=3,0,1)+IF(p_C5=1,0,Y$113+Y$114)</f>
        <v>56525.0809982435</v>
      </c>
      <c r="Z150" s="13" t="n">
        <f aca="false">Z$121+Z$122+Z$123+Z$126+Z$127+Z$124+Z$130+Z$133+Z$134+Z$135+Z$136+Z$137+Z$138+Z$139+Z$140+Z$132*IF(p_AlqCaja=3,0,1)+IF(p_C5=1,0,Z$113+Z$114)</f>
        <v>56525.0809982435</v>
      </c>
      <c r="AA150" s="13" t="n">
        <f aca="false">AA$121+AA$122+AA$123+AA$126+AA$127+AA$124+AA$130+AA$133+AA$134+AA$135+AA$136+AA$137+AA$138+AA$139+AA$140+AA$132*IF(p_AlqCaja=3,0,1)+IF(p_C5=1,0,AA$113+AA$114)</f>
        <v>56525.0809982435</v>
      </c>
      <c r="AB150" s="13" t="n">
        <f aca="false">AB$121+AB$122+AB$123+AB$126+AB$127+AB$124+AB$130+AB$133+AB$134+AB$135+AB$136+AB$137+AB$138+AB$139+AB$140+AB$132*IF(p_AlqCaja=3,0,1)+IF(p_C5=1,0,AB$113+AB$114)</f>
        <v>56525.0809982435</v>
      </c>
      <c r="AC150" s="13" t="n">
        <f aca="false">AC$121+AC$122+AC$123+AC$126+AC$127+AC$124+AC$130+AC$133+AC$134+AC$135+AC$136+AC$137+AC$138+AC$139+AC$140+AC$132*IF(p_AlqCaja=3,0,1)+IF(p_C5=1,0,AC$113+AC$114)</f>
        <v>56525.0809982435</v>
      </c>
      <c r="AD150" s="13" t="n">
        <f aca="false">AD$121+AD$122+AD$123+AD$126+AD$127+AD$124+AD$130+AD$133+AD$134+AD$135+AD$136+AD$137+AD$138+AD$139+AD$140+AD$132*IF(p_AlqCaja=3,0,1)+IF(p_C5=1,0,AD$113+AD$114)</f>
        <v>57828.1220119422</v>
      </c>
      <c r="AE150" s="13" t="n">
        <f aca="false">AE$121+AE$122+AE$123+AE$126+AE$127+AE$124+AE$130+AE$133+AE$134+AE$135+AE$136+AE$137+AE$138+AE$139+AE$140+AE$132*IF(p_AlqCaja=3,0,1)+IF(p_C5=1,0,AE$113+AE$114)</f>
        <v>62619.9560702915</v>
      </c>
      <c r="AF150" s="13" t="n">
        <f aca="false">AF$121+AF$122+AF$123+AF$126+AF$127+AF$124+AF$130+AF$133+AF$134+AF$135+AF$136+AF$137+AF$138+AF$139+AF$140+AF$132*IF(p_AlqCaja=3,0,1)+IF(p_C5=1,0,AF$113+AF$114)</f>
        <v>62619.9560702915</v>
      </c>
      <c r="AG150" s="13" t="n">
        <f aca="false">AG$121+AG$122+AG$123+AG$126+AG$127+AG$124+AG$130+AG$133+AG$134+AG$135+AG$136+AG$137+AG$138+AG$139+AG$140+AG$132*IF(p_AlqCaja=3,0,1)+IF(p_C5=1,0,AG$113+AG$114)</f>
        <v>62619.9560702915</v>
      </c>
      <c r="AH150" s="13" t="n">
        <f aca="false">AH$121+AH$122+AH$123+AH$126+AH$127+AH$124+AH$130+AH$133+AH$134+AH$135+AH$136+AH$137+AH$138+AH$139+AH$140+AH$132*IF(p_AlqCaja=3,0,1)+IF(p_C5=1,0,AH$113+AH$114)</f>
        <v>62619.9560702915</v>
      </c>
      <c r="AI150" s="13" t="n">
        <f aca="false">AI$121+AI$122+AI$123+AI$126+AI$127+AI$124+AI$130+AI$133+AI$134+AI$135+AI$136+AI$137+AI$138+AI$139+AI$140+AI$132*IF(p_AlqCaja=3,0,1)+IF(p_C5=1,0,AI$113+AI$114)</f>
        <v>62619.9560702915</v>
      </c>
      <c r="AJ150" s="13" t="n">
        <f aca="false">AJ$121+AJ$122+AJ$123+AJ$126+AJ$127+AJ$124+AJ$130+AJ$133+AJ$134+AJ$135+AJ$136+AJ$137+AJ$138+AJ$139+AJ$140+AJ$132*IF(p_AlqCaja=3,0,1)+IF(p_C5=1,0,AJ$113+AJ$114)</f>
        <v>62619.9560702915</v>
      </c>
      <c r="AK150" s="13" t="n">
        <f aca="false">AK$121+AK$122+AK$123+AK$126+AK$127+AK$124+AK$130+AK$133+AK$134+AK$135+AK$136+AK$137+AK$138+AK$139+AK$140+AK$132*IF(p_AlqCaja=3,0,1)+IF(p_C5=1,0,AK$113+AK$114)</f>
        <v>62619.9560702915</v>
      </c>
      <c r="AL150" s="13" t="n">
        <f aca="false">AL$121+AL$122+AL$123+AL$126+AL$127+AL$124+AL$130+AL$133+AL$134+AL$135+AL$136+AL$137+AL$138+AL$139+AL$140+AL$132*IF(p_AlqCaja=3,0,1)+IF(p_C5=1,0,AL$113+AL$114)</f>
        <v>62619.9560702915</v>
      </c>
      <c r="AM150" s="13" t="n">
        <f aca="false">AM$121+AM$122+AM$123+AM$126+AM$127+AM$124+AM$130+AM$133+AM$134+AM$135+AM$136+AM$137+AM$138+AM$139+AM$140+AM$132*IF(p_AlqCaja=3,0,1)+IF(p_C5=1,0,AM$113+AM$114)</f>
        <v>62619.9560702915</v>
      </c>
      <c r="AN150" s="13" t="n">
        <f aca="false">AN$121+AN$122+AN$123+AN$126+AN$127+AN$124+AN$130+AN$133+AN$134+AN$135+AN$136+AN$137+AN$138+AN$139+AN$140+AN$132*IF(p_AlqCaja=3,0,1)+IF(p_C5=1,0,AN$113+AN$114)</f>
        <v>62619.9560702915</v>
      </c>
      <c r="AO150" s="13" t="n">
        <f aca="false">AO$121+AO$122+AO$123+AO$126+AO$127+AO$124+AO$130+AO$133+AO$134+AO$135+AO$136+AO$137+AO$138+AO$139+AO$140+AO$132*IF(p_AlqCaja=3,0,1)+IF(p_C5=1,0,AO$113+AO$114)</f>
        <v>62619.9560702915</v>
      </c>
      <c r="AP150" s="13" t="n">
        <f aca="false">AP$121+AP$122+AP$123+AP$126+AP$127+AP$124+AP$130+AP$133+AP$134+AP$135+AP$136+AP$137+AP$138+AP$139+AP$140+AP$132*IF(p_AlqCaja=3,0,1)+IF(p_C5=1,0,AP$113+AP$114)</f>
        <v>63673.7438157709</v>
      </c>
      <c r="AQ150" s="13" t="n">
        <f aca="false">AQ$121+AQ$122+AQ$123+AQ$126+AQ$127+AQ$124+AQ$130+AQ$133+AQ$134+AQ$135+AQ$136+AQ$137+AQ$138+AQ$139+AQ$140+AQ$132*IF(p_AlqCaja=3,0,1)+IF(p_C5=1,0,AQ$113+AQ$114)</f>
        <v>67765.6751573158</v>
      </c>
      <c r="AR150" s="13" t="n">
        <f aca="false">AR$121+AR$122+AR$123+AR$126+AR$127+AR$124+AR$130+AR$133+AR$134+AR$135+AR$136+AR$137+AR$138+AR$139+AR$140+AR$132*IF(p_AlqCaja=3,0,1)+IF(p_C5=1,0,AR$113+AR$114)</f>
        <v>67765.6751573158</v>
      </c>
      <c r="AS150" s="13" t="n">
        <f aca="false">AS$121+AS$122+AS$123+AS$126+AS$127+AS$124+AS$130+AS$133+AS$134+AS$135+AS$136+AS$137+AS$138+AS$139+AS$140+AS$132*IF(p_AlqCaja=3,0,1)+IF(p_C5=1,0,AS$113+AS$114)</f>
        <v>67765.6751573158</v>
      </c>
      <c r="AT150" s="13" t="n">
        <f aca="false">AT$121+AT$122+AT$123+AT$126+AT$127+AT$124+AT$130+AT$133+AT$134+AT$135+AT$136+AT$137+AT$138+AT$139+AT$140+AT$132*IF(p_AlqCaja=3,0,1)+IF(p_C5=1,0,AT$113+AT$114)</f>
        <v>67765.6751573158</v>
      </c>
      <c r="AU150" s="13" t="n">
        <f aca="false">AU$121+AU$122+AU$123+AU$126+AU$127+AU$124+AU$130+AU$133+AU$134+AU$135+AU$136+AU$137+AU$138+AU$139+AU$140+AU$132*IF(p_AlqCaja=3,0,1)+IF(p_C5=1,0,AU$113+AU$114)</f>
        <v>67765.6751573158</v>
      </c>
      <c r="AV150" s="13" t="n">
        <f aca="false">AV$121+AV$122+AV$123+AV$126+AV$127+AV$124+AV$130+AV$133+AV$134+AV$135+AV$136+AV$137+AV$138+AV$139+AV$140+AV$132*IF(p_AlqCaja=3,0,1)+IF(p_C5=1,0,AV$113+AV$114)</f>
        <v>67765.6751573158</v>
      </c>
      <c r="AW150" s="13" t="n">
        <f aca="false">AW$121+AW$122+AW$123+AW$126+AW$127+AW$124+AW$130+AW$133+AW$134+AW$135+AW$136+AW$137+AW$138+AW$139+AW$140+AW$132*IF(p_AlqCaja=3,0,1)+IF(p_C5=1,0,AW$113+AW$114)</f>
        <v>67765.6751573158</v>
      </c>
      <c r="AX150" s="13" t="n">
        <f aca="false">AX$121+AX$122+AX$123+AX$126+AX$127+AX$124+AX$130+AX$133+AX$134+AX$135+AX$136+AX$137+AX$138+AX$139+AX$140+AX$132*IF(p_AlqCaja=3,0,1)+IF(p_C5=1,0,AX$113+AX$114)</f>
        <v>67765.6751573158</v>
      </c>
      <c r="AY150" s="13" t="n">
        <f aca="false">AY$121+AY$122+AY$123+AY$126+AY$127+AY$124+AY$130+AY$133+AY$134+AY$135+AY$136+AY$137+AY$138+AY$139+AY$140+AY$132*IF(p_AlqCaja=3,0,1)+IF(p_C5=1,0,AY$113+AY$114)</f>
        <v>67765.6751573158</v>
      </c>
      <c r="AZ150" s="13" t="n">
        <f aca="false">AZ$121+AZ$122+AZ$123+AZ$126+AZ$127+AZ$124+AZ$130+AZ$133+AZ$134+AZ$135+AZ$136+AZ$137+AZ$138+AZ$139+AZ$140+AZ$132*IF(p_AlqCaja=3,0,1)+IF(p_C5=1,0,AZ$113+AZ$114)</f>
        <v>67765.6751573158</v>
      </c>
      <c r="BA150" s="13" t="n">
        <f aca="false">BA$121+BA$122+BA$123+BA$126+BA$127+BA$124+BA$130+BA$133+BA$134+BA$135+BA$136+BA$137+BA$138+BA$139+BA$140+BA$132*IF(p_AlqCaja=3,0,1)+IF(p_C5=1,0,BA$113+BA$114)</f>
        <v>67765.6751573158</v>
      </c>
      <c r="BB150" s="13" t="n">
        <f aca="false">BB$121+BB$122+BB$123+BB$126+BB$127+BB$124+BB$130+BB$133+BB$134+BB$135+BB$136+BB$137+BB$138+BB$139+BB$140+BB$132*IF(p_AlqCaja=3,0,1)+IF(p_C5=1,0,BB$113+BB$114)</f>
        <v>67765.6751573158</v>
      </c>
      <c r="BC150" s="13" t="n">
        <f aca="false">BC$121+BC$122+BC$123+BC$126+BC$127+BC$124+BC$130+BC$133+BC$134+BC$135+BC$136+BC$137+BC$138+BC$139+BC$140+BC$132*IF(p_AlqCaja=3,0,1)+IF(p_C5=1,0,BC$113+BC$114)</f>
        <v>68776.4707151862</v>
      </c>
      <c r="BD150" s="13" t="n">
        <f aca="false">BD$121+BD$122+BD$123+BD$126+BD$127+BD$124+BD$130+BD$133+BD$134+BD$135+BD$136+BD$137+BD$138+BD$139+BD$140+BD$132*IF(p_AlqCaja=3,0,1)+IF(p_C5=1,0,BD$113+BD$114)</f>
        <v>68776.4707151862</v>
      </c>
      <c r="BE150" s="13" t="n">
        <f aca="false">BE$121+BE$122+BE$123+BE$126+BE$127+BE$124+BE$130+BE$133+BE$134+BE$135+BE$136+BE$137+BE$138+BE$139+BE$140+BE$132*IF(p_AlqCaja=3,0,1)+IF(p_C5=1,0,BE$113+BE$114)</f>
        <v>68776.4707151862</v>
      </c>
      <c r="BF150" s="13" t="n">
        <f aca="false">BF$121+BF$122+BF$123+BF$126+BF$127+BF$124+BF$130+BF$133+BF$134+BF$135+BF$136+BF$137+BF$138+BF$139+BF$140+BF$132*IF(p_AlqCaja=3,0,1)+IF(p_C5=1,0,BF$113+BF$114)</f>
        <v>68776.4707151862</v>
      </c>
      <c r="BG150" s="13" t="n">
        <f aca="false">BG$121+BG$122+BG$123+BG$126+BG$127+BG$124+BG$130+BG$133+BG$134+BG$135+BG$136+BG$137+BG$138+BG$139+BG$140+BG$132*IF(p_AlqCaja=3,0,1)+IF(p_C5=1,0,BG$113+BG$114)</f>
        <v>68776.4707151862</v>
      </c>
      <c r="BH150" s="13" t="n">
        <f aca="false">BH$121+BH$122+BH$123+BH$126+BH$127+BH$124+BH$130+BH$133+BH$134+BH$135+BH$136+BH$137+BH$138+BH$139+BH$140+BH$132*IF(p_AlqCaja=3,0,1)+IF(p_C5=1,0,BH$113+BH$114)</f>
        <v>68776.4707151862</v>
      </c>
      <c r="BI150" s="13" t="n">
        <f aca="false">BI$121+BI$122+BI$123+BI$126+BI$127+BI$124+BI$130+BI$133+BI$134+BI$135+BI$136+BI$137+BI$138+BI$139+BI$140+BI$132*IF(p_AlqCaja=3,0,1)+IF(p_C5=1,0,BI$113+BI$114)</f>
        <v>68776.4707151862</v>
      </c>
      <c r="BJ150" s="13" t="n">
        <f aca="false">BJ$121+BJ$122+BJ$123+BJ$126+BJ$127+BJ$124+BJ$130+BJ$133+BJ$134+BJ$135+BJ$136+BJ$137+BJ$138+BJ$139+BJ$140+BJ$132*IF(p_AlqCaja=3,0,1)+IF(p_C5=1,0,BJ$113+BJ$114)</f>
        <v>68776.4707151862</v>
      </c>
      <c r="BK150" s="13" t="n">
        <f aca="false">BK$121+BK$122+BK$123+BK$126+BK$127+BK$124+BK$130+BK$133+BK$134+BK$135+BK$136+BK$137+BK$138+BK$139+BK$140+BK$132*IF(p_AlqCaja=3,0,1)+IF(p_C5=1,0,BK$113+BK$114)</f>
        <v>68776.4707151862</v>
      </c>
      <c r="BL150" s="13" t="n">
        <f aca="false">BL$121+BL$122+BL$123+BL$126+BL$127+BL$124+BL$130+BL$133+BL$134+BL$135+BL$136+BL$137+BL$138+BL$139+BL$140+BL$132*IF(p_AlqCaja=3,0,1)+IF(p_C5=1,0,BL$113+BL$114)</f>
        <v>68776.4707151862</v>
      </c>
      <c r="BM150" s="13" t="n">
        <f aca="false">BM$121+BM$122+BM$123+BM$126+BM$127+BM$124+BM$130+BM$133+BM$134+BM$135+BM$136+BM$137+BM$138+BM$139+BM$140+BM$132*IF(p_AlqCaja=3,0,1)+IF(p_C5=1,0,BM$113+BM$114)</f>
        <v>68776.4707151862</v>
      </c>
      <c r="BN150" s="13" t="n">
        <f aca="false">BN$121+BN$122+BN$123+BN$126+BN$127+BN$124+BN$130+BN$133+BN$134+BN$135+BN$136+BN$137+BN$138+BN$139+BN$140+BN$132*IF(p_AlqCaja=3,0,1)+IF(p_C5=1,0,BN$113+BN$114)</f>
        <v>68776.4707151862</v>
      </c>
      <c r="BO150" s="13" t="n">
        <f aca="false">BO$121+BO$122+BO$123+BO$126+BO$127+BO$124+BO$130+BO$133+BO$134+BO$135+BO$136+BO$137+BO$138+BO$139+BO$140+BO$132*IF(p_AlqCaja=3,0,1)+IF(p_C5=1,0,BO$113+BO$114)</f>
        <v>69650.6743903824</v>
      </c>
      <c r="BP150" s="13" t="n">
        <f aca="false">BP$121+BP$122+BP$123+BP$126+BP$127+BP$124+BP$130+BP$133+BP$134+BP$135+BP$136+BP$137+BP$138+BP$139+BP$140+BP$132*IF(p_AlqCaja=3,0,1)+IF(p_C5=1,0,BP$113+BP$114)</f>
        <v>69650.6743903824</v>
      </c>
      <c r="BQ150" s="13" t="n">
        <f aca="false">BQ$121+BQ$122+BQ$123+BQ$126+BQ$127+BQ$124+BQ$130+BQ$133+BQ$134+BQ$135+BQ$136+BQ$137+BQ$138+BQ$139+BQ$140+BQ$132*IF(p_AlqCaja=3,0,1)+IF(p_C5=1,0,BQ$113+BQ$114)</f>
        <v>69650.6743903824</v>
      </c>
      <c r="BR150" s="13" t="n">
        <f aca="false">BR$121+BR$122+BR$123+BR$126+BR$127+BR$124+BR$130+BR$133+BR$134+BR$135+BR$136+BR$137+BR$138+BR$139+BR$140+BR$132*IF(p_AlqCaja=3,0,1)+IF(p_C5=1,0,BR$113+BR$114)</f>
        <v>69650.6743903824</v>
      </c>
      <c r="BS150" s="13" t="n">
        <f aca="false">BS$121+BS$122+BS$123+BS$126+BS$127+BS$124+BS$130+BS$133+BS$134+BS$135+BS$136+BS$137+BS$138+BS$139+BS$140+BS$132*IF(p_AlqCaja=3,0,1)+IF(p_C5=1,0,BS$113+BS$114)</f>
        <v>69650.6743903824</v>
      </c>
      <c r="BT150" s="13" t="n">
        <f aca="false">BT$121+BT$122+BT$123+BT$126+BT$127+BT$124+BT$130+BT$133+BT$134+BT$135+BT$136+BT$137+BT$138+BT$139+BT$140+BT$132*IF(p_AlqCaja=3,0,1)+IF(p_C5=1,0,BT$113+BT$114)</f>
        <v>69650.6743903824</v>
      </c>
      <c r="BU150" s="13" t="n">
        <f aca="false">BU$121+BU$122+BU$123+BU$126+BU$127+BU$124+BU$130+BU$133+BU$134+BU$135+BU$136+BU$137+BU$138+BU$139+BU$140+BU$132*IF(p_AlqCaja=3,0,1)+IF(p_C5=1,0,BU$113+BU$114)</f>
        <v>69650.6743903824</v>
      </c>
      <c r="BV150" s="13" t="n">
        <f aca="false">BV$121+BV$122+BV$123+BV$126+BV$127+BV$124+BV$130+BV$133+BV$134+BV$135+BV$136+BV$137+BV$138+BV$139+BV$140+BV$132*IF(p_AlqCaja=3,0,1)+IF(p_C5=1,0,BV$113+BV$114)</f>
        <v>69650.6743903824</v>
      </c>
      <c r="BW150" s="13" t="n">
        <f aca="false">BW$121+BW$122+BW$123+BW$126+BW$127+BW$124+BW$130+BW$133+BW$134+BW$135+BW$136+BW$137+BW$138+BW$139+BW$140+BW$132*IF(p_AlqCaja=3,0,1)+IF(p_C5=1,0,BW$113+BW$114)</f>
        <v>69650.6743903824</v>
      </c>
      <c r="BX150" s="13" t="n">
        <f aca="false">BX$121+BX$122+BX$123+BX$126+BX$127+BX$124+BX$130+BX$133+BX$134+BX$135+BX$136+BX$137+BX$138+BX$139+BX$140+BX$132*IF(p_AlqCaja=3,0,1)+IF(p_C5=1,0,BX$113+BX$114)</f>
        <v>69650.6743903824</v>
      </c>
      <c r="BY150" s="13" t="n">
        <f aca="false">BY$121+BY$122+BY$123+BY$126+BY$127+BY$124+BY$130+BY$133+BY$134+BY$135+BY$136+BY$137+BY$138+BY$139+BY$140+BY$132*IF(p_AlqCaja=3,0,1)+IF(p_C5=1,0,BY$113+BY$114)</f>
        <v>69650.6743903824</v>
      </c>
      <c r="BZ150" s="13" t="n">
        <f aca="false">BZ$121+BZ$122+BZ$123+BZ$126+BZ$127+BZ$124+BZ$130+BZ$133+BZ$134+BZ$135+BZ$136+BZ$137+BZ$138+BZ$139+BZ$140+BZ$132*IF(p_AlqCaja=3,0,1)+IF(p_C5=1,0,BZ$113+BZ$114)</f>
        <v>69650.6743903824</v>
      </c>
      <c r="CA150" s="13" t="n">
        <f aca="false">CA$121+CA$122+CA$123+CA$126+CA$127+CA$124+CA$130+CA$133+CA$134+CA$135+CA$136+CA$137+CA$138+CA$139+CA$140+CA$132*IF(p_AlqCaja=3,0,1)+IF(p_C5=1,0,CA$113+CA$114)</f>
        <v>70545.1064650103</v>
      </c>
      <c r="CB150" s="13" t="n">
        <f aca="false">CB$121+CB$122+CB$123+CB$126+CB$127+CB$124+CB$130+CB$133+CB$134+CB$135+CB$136+CB$137+CB$138+CB$139+CB$140+CB$132*IF(p_AlqCaja=3,0,1)+IF(p_C5=1,0,CB$113+CB$114)</f>
        <v>70545.1064650103</v>
      </c>
      <c r="CC150" s="13" t="n">
        <f aca="false">CC$121+CC$122+CC$123+CC$126+CC$127+CC$124+CC$130+CC$133+CC$134+CC$135+CC$136+CC$137+CC$138+CC$139+CC$140+CC$132*IF(p_AlqCaja=3,0,1)+IF(p_C5=1,0,CC$113+CC$114)</f>
        <v>70545.1064650103</v>
      </c>
      <c r="CD150" s="13" t="n">
        <f aca="false">CD$121+CD$122+CD$123+CD$126+CD$127+CD$124+CD$130+CD$133+CD$134+CD$135+CD$136+CD$137+CD$138+CD$139+CD$140+CD$132*IF(p_AlqCaja=3,0,1)+IF(p_C5=1,0,CD$113+CD$114)</f>
        <v>70545.1064650103</v>
      </c>
      <c r="CE150" s="13" t="n">
        <f aca="false">CE$121+CE$122+CE$123+CE$126+CE$127+CE$124+CE$130+CE$133+CE$134+CE$135+CE$136+CE$137+CE$138+CE$139+CE$140+CE$132*IF(p_AlqCaja=3,0,1)+IF(p_C5=1,0,CE$113+CE$114)</f>
        <v>70545.1064650103</v>
      </c>
      <c r="CF150" s="13" t="n">
        <f aca="false">CF$121+CF$122+CF$123+CF$126+CF$127+CF$124+CF$130+CF$133+CF$134+CF$135+CF$136+CF$137+CF$138+CF$139+CF$140+CF$132*IF(p_AlqCaja=3,0,1)+IF(p_C5=1,0,CF$113+CF$114)</f>
        <v>70545.1064650103</v>
      </c>
      <c r="CG150" s="13" t="n">
        <f aca="false">CG$121+CG$122+CG$123+CG$126+CG$127+CG$124+CG$130+CG$133+CG$134+CG$135+CG$136+CG$137+CG$138+CG$139+CG$140+CG$132*IF(p_AlqCaja=3,0,1)+IF(p_C5=1,0,CG$113+CG$114)</f>
        <v>70545.1064650103</v>
      </c>
      <c r="CH150" s="13" t="n">
        <f aca="false">CH$121+CH$122+CH$123+CH$126+CH$127+CH$124+CH$130+CH$133+CH$134+CH$135+CH$136+CH$137+CH$138+CH$139+CH$140+CH$132*IF(p_AlqCaja=3,0,1)+IF(p_C5=1,0,CH$113+CH$114)</f>
        <v>70545.1064650103</v>
      </c>
      <c r="CI150" s="13" t="n">
        <f aca="false">CI$121+CI$122+CI$123+CI$126+CI$127+CI$124+CI$130+CI$133+CI$134+CI$135+CI$136+CI$137+CI$138+CI$139+CI$140+CI$132*IF(p_AlqCaja=3,0,1)+IF(p_C5=1,0,CI$113+CI$114)</f>
        <v>70545.1064650103</v>
      </c>
      <c r="CJ150" s="13" t="n">
        <f aca="false">CJ$121+CJ$122+CJ$123+CJ$126+CJ$127+CJ$124+CJ$130+CJ$133+CJ$134+CJ$135+CJ$136+CJ$137+CJ$138+CJ$139+CJ$140+CJ$132*IF(p_AlqCaja=3,0,1)+IF(p_C5=1,0,CJ$113+CJ$114)</f>
        <v>70545.1064650103</v>
      </c>
      <c r="CK150" s="13" t="n">
        <f aca="false">CK$121+CK$122+CK$123+CK$126+CK$127+CK$124+CK$130+CK$133+CK$134+CK$135+CK$136+CK$137+CK$138+CK$139+CK$140+CK$132*IF(p_AlqCaja=3,0,1)+IF(p_C5=1,0,CK$113+CK$114)</f>
        <v>70545.1064650103</v>
      </c>
      <c r="CL150" s="13" t="n">
        <f aca="false">CL$121+CL$122+CL$123+CL$126+CL$127+CL$124+CL$130+CL$133+CL$134+CL$135+CL$136+CL$137+CL$138+CL$139+CL$140+CL$132*IF(p_AlqCaja=3,0,1)+IF(p_C5=1,0,CL$113+CL$114)</f>
        <v>70545.1064650103</v>
      </c>
      <c r="CM150" s="13" t="n">
        <f aca="false">CM$121+CM$122+CM$123+CM$126+CM$127+CM$124+CM$130+CM$133+CM$134+CM$135+CM$136+CM$137+CM$138+CM$139+CM$140+CM$132*IF(p_AlqCaja=3,0,1)+IF(p_C5=1,0,CM$113+CM$114)</f>
        <v>71460.3294106446</v>
      </c>
      <c r="CN150" s="13" t="n">
        <f aca="false">CN$121+CN$122+CN$123+CN$126+CN$127+CN$124+CN$130+CN$133+CN$134+CN$135+CN$136+CN$137+CN$138+CN$139+CN$140+CN$132*IF(p_AlqCaja=3,0,1)+IF(p_C5=1,0,CN$113+CN$114)</f>
        <v>71460.3294106446</v>
      </c>
      <c r="CO150" s="13" t="n">
        <f aca="false">CO$121+CO$122+CO$123+CO$126+CO$127+CO$124+CO$130+CO$133+CO$134+CO$135+CO$136+CO$137+CO$138+CO$139+CO$140+CO$132*IF(p_AlqCaja=3,0,1)+IF(p_C5=1,0,CO$113+CO$114)</f>
        <v>71460.3294106446</v>
      </c>
      <c r="CP150" s="13" t="n">
        <f aca="false">CP$121+CP$122+CP$123+CP$126+CP$127+CP$124+CP$130+CP$133+CP$134+CP$135+CP$136+CP$137+CP$138+CP$139+CP$140+CP$132*IF(p_AlqCaja=3,0,1)+IF(p_C5=1,0,CP$113+CP$114)</f>
        <v>71460.3294106446</v>
      </c>
      <c r="CQ150" s="13" t="n">
        <f aca="false">CQ$121+CQ$122+CQ$123+CQ$126+CQ$127+CQ$124+CQ$130+CQ$133+CQ$134+CQ$135+CQ$136+CQ$137+CQ$138+CQ$139+CQ$140+CQ$132*IF(p_AlqCaja=3,0,1)+IF(p_C5=1,0,CQ$113+CQ$114)</f>
        <v>71460.3294106446</v>
      </c>
      <c r="CR150" s="13" t="n">
        <f aca="false">CR$121+CR$122+CR$123+CR$126+CR$127+CR$124+CR$130+CR$133+CR$134+CR$135+CR$136+CR$137+CR$138+CR$139+CR$140+CR$132*IF(p_AlqCaja=3,0,1)+IF(p_C5=1,0,CR$113+CR$114)</f>
        <v>71460.3294106446</v>
      </c>
      <c r="CS150" s="13" t="n">
        <f aca="false">CS$121+CS$122+CS$123+CS$126+CS$127+CS$124+CS$130+CS$133+CS$134+CS$135+CS$136+CS$137+CS$138+CS$139+CS$140+CS$132*IF(p_AlqCaja=3,0,1)+IF(p_C5=1,0,CS$113+CS$114)</f>
        <v>71460.3294106446</v>
      </c>
      <c r="CT150" s="13" t="n">
        <f aca="false">CT$121+CT$122+CT$123+CT$126+CT$127+CT$124+CT$130+CT$133+CT$134+CT$135+CT$136+CT$137+CT$138+CT$139+CT$140+CT$132*IF(p_AlqCaja=3,0,1)+IF(p_C5=1,0,CT$113+CT$114)</f>
        <v>71460.3294106446</v>
      </c>
      <c r="CU150" s="13" t="n">
        <f aca="false">CU$121+CU$122+CU$123+CU$126+CU$127+CU$124+CU$130+CU$133+CU$134+CU$135+CU$136+CU$137+CU$138+CU$139+CU$140+CU$132*IF(p_AlqCaja=3,0,1)+IF(p_C5=1,0,CU$113+CU$114)</f>
        <v>71460.3294106446</v>
      </c>
      <c r="CV150" s="13" t="n">
        <f aca="false">CV$121+CV$122+CV$123+CV$126+CV$127+CV$124+CV$130+CV$133+CV$134+CV$135+CV$136+CV$137+CV$138+CV$139+CV$140+CV$132*IF(p_AlqCaja=3,0,1)+IF(p_C5=1,0,CV$113+CV$114)</f>
        <v>71460.3294106446</v>
      </c>
      <c r="CW150" s="13" t="n">
        <f aca="false">CW$121+CW$122+CW$123+CW$126+CW$127+CW$124+CW$130+CW$133+CW$134+CW$135+CW$136+CW$137+CW$138+CW$139+CW$140+CW$132*IF(p_AlqCaja=3,0,1)+IF(p_C5=1,0,CW$113+CW$114)</f>
        <v>71460.3294106446</v>
      </c>
      <c r="CX150" s="13" t="n">
        <f aca="false">CX$121+CX$122+CX$123+CX$126+CX$127+CX$124+CX$130+CX$133+CX$134+CX$135+CX$136+CX$137+CX$138+CX$139+CX$140+CX$132*IF(p_AlqCaja=3,0,1)+IF(p_C5=1,0,CX$113+CX$114)</f>
        <v>71460.3294106446</v>
      </c>
      <c r="CY150" s="13" t="n">
        <f aca="false">CY$121+CY$122+CY$123+CY$126+CY$127+CY$124+CY$130+CY$133+CY$134+CY$135+CY$136+CY$137+CY$138+CY$139+CY$140+CY$132*IF(p_AlqCaja=3,0,1)+IF(p_C5=1,0,CY$113+CY$114)</f>
        <v>72396.9221292033</v>
      </c>
      <c r="CZ150" s="13" t="n">
        <f aca="false">CZ$121+CZ$122+CZ$123+CZ$126+CZ$127+CZ$124+CZ$130+CZ$133+CZ$134+CZ$135+CZ$136+CZ$137+CZ$138+CZ$139+CZ$140+CZ$132*IF(p_AlqCaja=3,0,1)+IF(p_C5=1,0,CZ$113+CZ$114)</f>
        <v>72396.9221292033</v>
      </c>
      <c r="DA150" s="13" t="n">
        <f aca="false">DA$121+DA$122+DA$123+DA$126+DA$127+DA$124+DA$130+DA$133+DA$134+DA$135+DA$136+DA$137+DA$138+DA$139+DA$140+DA$132*IF(p_AlqCaja=3,0,1)+IF(p_C5=1,0,DA$113+DA$114)</f>
        <v>72396.9221292033</v>
      </c>
      <c r="DB150" s="13" t="n">
        <f aca="false">DB$121+DB$122+DB$123+DB$126+DB$127+DB$124+DB$130+DB$133+DB$134+DB$135+DB$136+DB$137+DB$138+DB$139+DB$140+DB$132*IF(p_AlqCaja=3,0,1)+IF(p_C5=1,0,DB$113+DB$114)</f>
        <v>72396.9221292033</v>
      </c>
      <c r="DC150" s="13" t="n">
        <f aca="false">DC$121+DC$122+DC$123+DC$126+DC$127+DC$124+DC$130+DC$133+DC$134+DC$135+DC$136+DC$137+DC$138+DC$139+DC$140+DC$132*IF(p_AlqCaja=3,0,1)+IF(p_C5=1,0,DC$113+DC$114)</f>
        <v>72396.9221292033</v>
      </c>
      <c r="DD150" s="13" t="n">
        <f aca="false">DD$121+DD$122+DD$123+DD$126+DD$127+DD$124+DD$130+DD$133+DD$134+DD$135+DD$136+DD$137+DD$138+DD$139+DD$140+DD$132*IF(p_AlqCaja=3,0,1)+IF(p_C5=1,0,DD$113+DD$114)</f>
        <v>72396.9221292033</v>
      </c>
      <c r="DE150" s="13" t="n">
        <f aca="false">DE$121+DE$122+DE$123+DE$126+DE$127+DE$124+DE$130+DE$133+DE$134+DE$135+DE$136+DE$137+DE$138+DE$139+DE$140+DE$132*IF(p_AlqCaja=3,0,1)+IF(p_C5=1,0,DE$113+DE$114)</f>
        <v>72396.9221292033</v>
      </c>
      <c r="DF150" s="13" t="n">
        <f aca="false">DF$121+DF$122+DF$123+DF$126+DF$127+DF$124+DF$130+DF$133+DF$134+DF$135+DF$136+DF$137+DF$138+DF$139+DF$140+DF$132*IF(p_AlqCaja=3,0,1)+IF(p_C5=1,0,DF$113+DF$114)</f>
        <v>72396.9221292033</v>
      </c>
      <c r="DG150" s="13" t="n">
        <f aca="false">DG$121+DG$122+DG$123+DG$126+DG$127+DG$124+DG$130+DG$133+DG$134+DG$135+DG$136+DG$137+DG$138+DG$139+DG$140+DG$132*IF(p_AlqCaja=3,0,1)+IF(p_C5=1,0,DG$113+DG$114)</f>
        <v>72396.9221292033</v>
      </c>
      <c r="DH150" s="13" t="n">
        <f aca="false">DH$121+DH$122+DH$123+DH$126+DH$127+DH$124+DH$130+DH$133+DH$134+DH$135+DH$136+DH$137+DH$138+DH$139+DH$140+DH$132*IF(p_AlqCaja=3,0,1)+IF(p_C5=1,0,DH$113+DH$114)</f>
        <v>72396.9221292033</v>
      </c>
      <c r="DI150" s="13" t="n">
        <f aca="false">DI$121+DI$122+DI$123+DI$126+DI$127+DI$124+DI$130+DI$133+DI$134+DI$135+DI$136+DI$137+DI$138+DI$139+DI$140+DI$132*IF(p_AlqCaja=3,0,1)+IF(p_C5=1,0,DI$113+DI$114)</f>
        <v>72396.9221292033</v>
      </c>
      <c r="DJ150" s="13" t="n">
        <f aca="false">DJ$121+DJ$122+DJ$123+DJ$126+DJ$127+DJ$124+DJ$130+DJ$133+DJ$134+DJ$135+DJ$136+DJ$137+DJ$138+DJ$139+DJ$140+DJ$132*IF(p_AlqCaja=3,0,1)+IF(p_C5=1,0,DJ$113+DJ$114)</f>
        <v>72396.9221292033</v>
      </c>
      <c r="DK150" s="13" t="n">
        <f aca="false">DK$121+DK$122+DK$123+DK$126+DK$127+DK$124+DK$130+DK$133+DK$134+DK$135+DK$136+DK$137+DK$138+DK$139+DK$140+DK$132*IF(p_AlqCaja=3,0,1)+IF(p_C5=1,0,DK$113+DK$114)</f>
        <v>73355.4804414196</v>
      </c>
      <c r="DL150" s="13" t="n">
        <f aca="false">DL$121+DL$122+DL$123+DL$126+DL$127+DL$124+DL$130+DL$133+DL$134+DL$135+DL$136+DL$137+DL$138+DL$139+DL$140+DL$132*IF(p_AlqCaja=3,0,1)+IF(p_C5=1,0,DL$113+DL$114)</f>
        <v>73355.4804414196</v>
      </c>
      <c r="DM150" s="13" t="n">
        <f aca="false">DM$121+DM$122+DM$123+DM$126+DM$127+DM$124+DM$130+DM$133+DM$134+DM$135+DM$136+DM$137+DM$138+DM$139+DM$140+DM$132*IF(p_AlqCaja=3,0,1)+IF(p_C5=1,0,DM$113+DM$114)</f>
        <v>73355.4804414196</v>
      </c>
      <c r="DN150" s="13" t="n">
        <f aca="false">DN$121+DN$122+DN$123+DN$126+DN$127+DN$124+DN$130+DN$133+DN$134+DN$135+DN$136+DN$137+DN$138+DN$139+DN$140+DN$132*IF(p_AlqCaja=3,0,1)+IF(p_C5=1,0,DN$113+DN$114)</f>
        <v>73355.4804414196</v>
      </c>
      <c r="DO150" s="13" t="n">
        <f aca="false">DO$121+DO$122+DO$123+DO$126+DO$127+DO$124+DO$130+DO$133+DO$134+DO$135+DO$136+DO$137+DO$138+DO$139+DO$140+DO$132*IF(p_AlqCaja=3,0,1)+IF(p_C5=1,0,DO$113+DO$114)</f>
        <v>73355.4804414196</v>
      </c>
      <c r="DP150" s="13" t="n">
        <f aca="false">DP$121+DP$122+DP$123+DP$126+DP$127+DP$124+DP$130+DP$133+DP$134+DP$135+DP$136+DP$137+DP$138+DP$139+DP$140+DP$132*IF(p_AlqCaja=3,0,1)+IF(p_C5=1,0,DP$113+DP$114)</f>
        <v>73355.4804414196</v>
      </c>
      <c r="DQ150" s="13" t="n">
        <f aca="false">DQ$121+DQ$122+DQ$123+DQ$126+DQ$127+DQ$124+DQ$130+DQ$133+DQ$134+DQ$135+DQ$136+DQ$137+DQ$138+DQ$139+DQ$140+DQ$132*IF(p_AlqCaja=3,0,1)+IF(p_C5=1,0,DQ$113+DQ$114)</f>
        <v>73355.4804414196</v>
      </c>
      <c r="DR150" s="13" t="n">
        <f aca="false">DR$121+DR$122+DR$123+DR$126+DR$127+DR$124+DR$130+DR$133+DR$134+DR$135+DR$136+DR$137+DR$138+DR$139+DR$140+DR$132*IF(p_AlqCaja=3,0,1)+IF(p_C5=1,0,DR$113+DR$114)</f>
        <v>73355.4804414196</v>
      </c>
      <c r="DS150" s="13" t="n">
        <f aca="false">DS$121+DS$122+DS$123+DS$126+DS$127+DS$124+DS$130+DS$133+DS$134+DS$135+DS$136+DS$137+DS$138+DS$139+DS$140+DS$132*IF(p_AlqCaja=3,0,1)+IF(p_C5=1,0,DS$113+DS$114)</f>
        <v>73355.4804414196</v>
      </c>
      <c r="DT150" s="13" t="n">
        <f aca="false">DT$121+DT$122+DT$123+DT$126+DT$127+DT$124+DT$130+DT$133+DT$134+DT$135+DT$136+DT$137+DT$138+DT$139+DT$140+DT$132*IF(p_AlqCaja=3,0,1)+IF(p_C5=1,0,DT$113+DT$114)</f>
        <v>73355.4804414196</v>
      </c>
      <c r="DU150" s="13" t="n">
        <f aca="false">DU$121+DU$122+DU$123+DU$126+DU$127+DU$124+DU$130+DU$133+DU$134+DU$135+DU$136+DU$137+DU$138+DU$139+DU$140+DU$132*IF(p_AlqCaja=3,0,1)+IF(p_C5=1,0,DU$113+DU$114)</f>
        <v>73355.4804414196</v>
      </c>
      <c r="DV150" s="13" t="n">
        <f aca="false">DV$121+DV$122+DV$123+DV$126+DV$127+DV$124+DV$130+DV$133+DV$134+DV$135+DV$136+DV$137+DV$138+DV$139+DV$140+DV$132*IF(p_AlqCaja=3,0,1)+IF(p_C5=1,0,DV$113+DV$114)</f>
        <v>64370.6268837116</v>
      </c>
      <c r="DW150" s="13" t="n">
        <f aca="false">DW$121+DW$122+DW$123+DW$126+DW$127+DW$124+DW$130+DW$133+DW$134+DW$135+DW$136+DW$137+DW$138+DW$139+DW$140+DW$132*IF(p_AlqCaja=3,0,1)+IF(p_C5=1,0,DW$113+DW$114)</f>
        <v>0</v>
      </c>
      <c r="DX150" s="13" t="n">
        <f aca="false">DX$121+DX$122+DX$123+DX$126+DX$127+DX$124+DX$130+DX$133+DX$134+DX$135+DX$136+DX$137+DX$138+DX$139+DX$140+DX$132*IF(p_AlqCaja=3,0,1)+IF(p_C5=1,0,DX$113+DX$114)</f>
        <v>0</v>
      </c>
      <c r="DY150" s="13" t="n">
        <f aca="false">DY$121+DY$122+DY$123+DY$126+DY$127+DY$124+DY$130+DY$133+DY$134+DY$135+DY$136+DY$137+DY$138+DY$139+DY$140+DY$132*IF(p_AlqCaja=3,0,1)+IF(p_C5=1,0,DY$113+DY$114)</f>
        <v>0</v>
      </c>
      <c r="DZ150" s="13" t="n">
        <f aca="false">DZ$121+DZ$122+DZ$123+DZ$126+DZ$127+DZ$124+DZ$130+DZ$133+DZ$134+DZ$135+DZ$136+DZ$137+DZ$138+DZ$139+DZ$140+DZ$132*IF(p_AlqCaja=3,0,1)+IF(p_C5=1,0,DZ$113+DZ$114)</f>
        <v>0</v>
      </c>
      <c r="EA150" s="13" t="n">
        <f aca="false">EA$121+EA$122+EA$123+EA$126+EA$127+EA$124+EA$130+EA$133+EA$134+EA$135+EA$136+EA$137+EA$138+EA$139+EA$140+EA$132*IF(p_AlqCaja=3,0,1)+IF(p_C5=1,0,EA$113+EA$114)</f>
        <v>0</v>
      </c>
      <c r="EB150" s="13" t="n">
        <f aca="false">EB$121+EB$122+EB$123+EB$126+EB$127+EB$124+EB$130+EB$133+EB$134+EB$135+EB$136+EB$137+EB$138+EB$139+EB$140+EB$132*IF(p_AlqCaja=3,0,1)+IF(p_C5=1,0,EB$113+EB$114)</f>
        <v>0</v>
      </c>
      <c r="EC150" s="13" t="n">
        <f aca="false">EC$121+EC$122+EC$123+EC$126+EC$127+EC$124+EC$130+EC$133+EC$134+EC$135+EC$136+EC$137+EC$138+EC$139+EC$140+EC$132*IF(p_AlqCaja=3,0,1)+IF(p_C5=1,0,EC$113+EC$114)</f>
        <v>0</v>
      </c>
      <c r="ED150" s="13" t="n">
        <f aca="false">ED$121+ED$122+ED$123+ED$126+ED$127+ED$124+ED$130+ED$133+ED$134+ED$135+ED$136+ED$137+ED$138+ED$139+ED$140+ED$132*IF(p_AlqCaja=3,0,1)+IF(p_C5=1,0,ED$113+ED$114)</f>
        <v>0</v>
      </c>
      <c r="EE150" s="13" t="n">
        <f aca="false">EE$121+EE$122+EE$123+EE$126+EE$127+EE$124+EE$130+EE$133+EE$134+EE$135+EE$136+EE$137+EE$138+EE$139+EE$140+EE$132*IF(p_AlqCaja=3,0,1)+IF(p_C5=1,0,EE$113+EE$114)</f>
        <v>0</v>
      </c>
      <c r="EF150" s="13" t="n">
        <f aca="false">EF$121+EF$122+EF$123+EF$126+EF$127+EF$124+EF$130+EF$133+EF$134+EF$135+EF$136+EF$137+EF$138+EF$139+EF$140+EF$132*IF(p_AlqCaja=3,0,1)+IF(p_C5=1,0,EF$113+EF$114)</f>
        <v>0</v>
      </c>
      <c r="EG150" s="13" t="n">
        <f aca="false">EG$121+EG$122+EG$123+EG$126+EG$127+EG$124+EG$130+EG$133+EG$134+EG$135+EG$136+EG$137+EG$138+EG$139+EG$140+EG$132*IF(p_AlqCaja=3,0,1)+IF(p_C5=1,0,EG$113+EG$114)</f>
        <v>0</v>
      </c>
      <c r="EH150" s="13" t="n">
        <f aca="false">EH$121+EH$122+EH$123+EH$126+EH$127+EH$124+EH$130+EH$133+EH$134+EH$135+EH$136+EH$137+EH$138+EH$139+EH$140+EH$132*IF(p_AlqCaja=3,0,1)+IF(p_C5=1,0,EH$113+EH$114)</f>
        <v>0</v>
      </c>
      <c r="EI150" s="13" t="n">
        <f aca="false">EI$121+EI$122+EI$123+EI$126+EI$127+EI$124+EI$130+EI$133+EI$134+EI$135+EI$136+EI$137+EI$138+EI$139+EI$140+EI$132*IF(p_AlqCaja=3,0,1)+IF(p_C5=1,0,EI$113+EI$114)</f>
        <v>0</v>
      </c>
      <c r="EJ150" s="13" t="n">
        <f aca="false">EJ$121+EJ$122+EJ$123+EJ$126+EJ$127+EJ$124+EJ$130+EJ$133+EJ$134+EJ$135+EJ$136+EJ$137+EJ$138+EJ$139+EJ$140+EJ$132*IF(p_AlqCaja=3,0,1)+IF(p_C5=1,0,EJ$113+EJ$114)</f>
        <v>0</v>
      </c>
      <c r="EK150" s="13" t="n">
        <f aca="false">EK$121+EK$122+EK$123+EK$126+EK$127+EK$124+EK$130+EK$133+EK$134+EK$135+EK$136+EK$137+EK$138+EK$139+EK$140+EK$132*IF(p_AlqCaja=3,0,1)+IF(p_C5=1,0,EK$113+EK$114)</f>
        <v>0</v>
      </c>
      <c r="EL150" s="13" t="n">
        <f aca="false">EL$121+EL$122+EL$123+EL$126+EL$127+EL$124+EL$130+EL$133+EL$134+EL$135+EL$136+EL$137+EL$138+EL$139+EL$140+EL$132*IF(p_AlqCaja=3,0,1)+IF(p_C5=1,0,EL$113+EL$114)</f>
        <v>0</v>
      </c>
      <c r="EM150" s="13" t="n">
        <f aca="false">EM$121+EM$122+EM$123+EM$126+EM$127+EM$124+EM$130+EM$133+EM$134+EM$135+EM$136+EM$137+EM$138+EM$139+EM$140+EM$132*IF(p_AlqCaja=3,0,1)+IF(p_C5=1,0,EM$113+EM$114)</f>
        <v>0</v>
      </c>
      <c r="EN150" s="13" t="n">
        <f aca="false">EN$121+EN$122+EN$123+EN$126+EN$127+EN$124+EN$130+EN$133+EN$134+EN$135+EN$136+EN$137+EN$138+EN$139+EN$140+EN$132*IF(p_AlqCaja=3,0,1)+IF(p_C5=1,0,EN$113+EN$114)</f>
        <v>0</v>
      </c>
      <c r="EO150" s="13" t="n">
        <f aca="false">EO$121+EO$122+EO$123+EO$126+EO$127+EO$124+EO$130+EO$133+EO$134+EO$135+EO$136+EO$137+EO$138+EO$139+EO$140+EO$132*IF(p_AlqCaja=3,0,1)+IF(p_C5=1,0,EO$113+EO$114)</f>
        <v>0</v>
      </c>
      <c r="EP150" s="13" t="n">
        <f aca="false">EP$121+EP$122+EP$123+EP$126+EP$127+EP$124+EP$130+EP$133+EP$134+EP$135+EP$136+EP$137+EP$138+EP$139+EP$140+EP$132*IF(p_AlqCaja=3,0,1)+IF(p_C5=1,0,EP$113+EP$114)</f>
        <v>0</v>
      </c>
      <c r="EQ150" s="13" t="n">
        <f aca="false">EQ$121+EQ$122+EQ$123+EQ$126+EQ$127+EQ$124+EQ$130+EQ$133+EQ$134+EQ$135+EQ$136+EQ$137+EQ$138+EQ$139+EQ$140+EQ$132*IF(p_AlqCaja=3,0,1)+IF(p_C5=1,0,EQ$113+EQ$114)</f>
        <v>0</v>
      </c>
      <c r="ER150" s="13" t="n">
        <f aca="false">ER$121+ER$122+ER$123+ER$126+ER$127+ER$124+ER$130+ER$133+ER$134+ER$135+ER$136+ER$137+ER$138+ER$139+ER$140+ER$132*IF(p_AlqCaja=3,0,1)+IF(p_C5=1,0,ER$113+ER$114)</f>
        <v>0</v>
      </c>
      <c r="ES150" s="13" t="n">
        <f aca="false">ES$121+ES$122+ES$123+ES$126+ES$127+ES$124+ES$130+ES$133+ES$134+ES$135+ES$136+ES$137+ES$138+ES$139+ES$140+ES$132*IF(p_AlqCaja=3,0,1)+IF(p_C5=1,0,ES$113+ES$114)</f>
        <v>0</v>
      </c>
      <c r="ET150" s="13" t="n">
        <f aca="false">ET$121+ET$122+ET$123+ET$126+ET$127+ET$124+ET$130+ET$133+ET$134+ET$135+ET$136+ET$137+ET$138+ET$139+ET$140+ET$132*IF(p_AlqCaja=3,0,1)+IF(p_C5=1,0,ET$113+ET$114)</f>
        <v>0</v>
      </c>
      <c r="EU150" s="13" t="n">
        <f aca="false">EU$121+EU$122+EU$123+EU$126+EU$127+EU$124+EU$130+EU$133+EU$134+EU$135+EU$136+EU$137+EU$138+EU$139+EU$140+EU$132*IF(p_AlqCaja=3,0,1)+IF(p_C5=1,0,EU$113+EU$114)</f>
        <v>0</v>
      </c>
      <c r="EV150" s="13" t="n">
        <f aca="false">EV$121+EV$122+EV$123+EV$126+EV$127+EV$124+EV$130+EV$133+EV$134+EV$135+EV$136+EV$137+EV$138+EV$139+EV$140+EV$132*IF(p_AlqCaja=3,0,1)+IF(p_C5=1,0,EV$113+EV$114)</f>
        <v>0</v>
      </c>
      <c r="EW150" s="13" t="n">
        <f aca="false">EW$121+EW$122+EW$123+EW$126+EW$127+EW$124+EW$130+EW$133+EW$134+EW$135+EW$136+EW$137+EW$138+EW$139+EW$140+EW$132*IF(p_AlqCaja=3,0,1)+IF(p_C5=1,0,EW$113+EW$114)</f>
        <v>0</v>
      </c>
      <c r="EX150" s="13" t="n">
        <f aca="false">EX$121+EX$122+EX$123+EX$126+EX$127+EX$124+EX$130+EX$133+EX$134+EX$135+EX$136+EX$137+EX$138+EX$139+EX$140+EX$132*IF(p_AlqCaja=3,0,1)+IF(p_C5=1,0,EX$113+EX$114)</f>
        <v>0</v>
      </c>
      <c r="EY150" s="13" t="n">
        <f aca="false">EY$121+EY$122+EY$123+EY$126+EY$127+EY$124+EY$130+EY$133+EY$134+EY$135+EY$136+EY$137+EY$138+EY$139+EY$140+EY$132*IF(p_AlqCaja=3,0,1)+IF(p_C5=1,0,EY$113+EY$114)</f>
        <v>0</v>
      </c>
      <c r="EZ150" s="13" t="n">
        <f aca="false">EZ$121+EZ$122+EZ$123+EZ$126+EZ$127+EZ$124+EZ$130+EZ$133+EZ$134+EZ$135+EZ$136+EZ$137+EZ$138+EZ$139+EZ$140+EZ$132*IF(p_AlqCaja=3,0,1)+IF(p_C5=1,0,EZ$113+EZ$114)</f>
        <v>0</v>
      </c>
      <c r="FA150" s="13" t="n">
        <f aca="false">FA$121+FA$122+FA$123+FA$126+FA$127+FA$124+FA$130+FA$133+FA$134+FA$135+FA$136+FA$137+FA$138+FA$139+FA$140+FA$132*IF(p_AlqCaja=3,0,1)+IF(p_C5=1,0,FA$113+FA$114)</f>
        <v>0</v>
      </c>
      <c r="FB150" s="13" t="n">
        <f aca="false">FB$121+FB$122+FB$123+FB$126+FB$127+FB$124+FB$130+FB$133+FB$134+FB$135+FB$136+FB$137+FB$138+FB$139+FB$140+FB$132*IF(p_AlqCaja=3,0,1)+IF(p_C5=1,0,FB$113+FB$114)</f>
        <v>0</v>
      </c>
      <c r="FC150" s="13" t="n">
        <f aca="false">FC$121+FC$122+FC$123+FC$126+FC$127+FC$124+FC$130+FC$133+FC$134+FC$135+FC$136+FC$137+FC$138+FC$139+FC$140+FC$132*IF(p_AlqCaja=3,0,1)+IF(p_C5=1,0,FC$113+FC$114)</f>
        <v>0</v>
      </c>
      <c r="FD150" s="13" t="n">
        <f aca="false">FD$121+FD$122+FD$123+FD$126+FD$127+FD$124+FD$130+FD$133+FD$134+FD$135+FD$136+FD$137+FD$138+FD$139+FD$140+FD$132*IF(p_AlqCaja=3,0,1)+IF(p_C5=1,0,FD$113+FD$114)</f>
        <v>0</v>
      </c>
      <c r="FE150" s="13" t="n">
        <f aca="false">FE$121+FE$122+FE$123+FE$126+FE$127+FE$124+FE$130+FE$133+FE$134+FE$135+FE$136+FE$137+FE$138+FE$139+FE$140+FE$132*IF(p_AlqCaja=3,0,1)+IF(p_C5=1,0,FE$113+FE$114)</f>
        <v>0</v>
      </c>
      <c r="FF150" s="13" t="n">
        <f aca="false">FF$121+FF$122+FF$123+FF$126+FF$127+FF$124+FF$130+FF$133+FF$134+FF$135+FF$136+FF$137+FF$138+FF$139+FF$140+FF$132*IF(p_AlqCaja=3,0,1)+IF(p_C5=1,0,FF$113+FF$114)</f>
        <v>0</v>
      </c>
    </row>
    <row r="151" customFormat="false" ht="15" hidden="false" customHeight="false" outlineLevel="0" collapsed="false">
      <c r="A151" s="2" t="s">
        <v>1139</v>
      </c>
      <c r="B151" s="8" t="s">
        <v>1140</v>
      </c>
      <c r="C151" s="8" t="s">
        <v>255</v>
      </c>
      <c r="E151" s="65" t="n">
        <f aca="false">SUM($F151:$FF151)</f>
        <v>0</v>
      </c>
      <c r="F151" s="13" t="n">
        <f aca="false">IF(p_AlqCaja=3,F$132,0)</f>
        <v>0</v>
      </c>
      <c r="G151" s="13" t="n">
        <f aca="false">IF(p_AlqCaja=3,G$132,0)</f>
        <v>0</v>
      </c>
      <c r="H151" s="13" t="n">
        <f aca="false">IF(p_AlqCaja=3,H$132,0)</f>
        <v>0</v>
      </c>
      <c r="I151" s="13" t="n">
        <f aca="false">IF(p_AlqCaja=3,I$132,0)</f>
        <v>0</v>
      </c>
      <c r="J151" s="13" t="n">
        <f aca="false">IF(p_AlqCaja=3,J$132,0)</f>
        <v>0</v>
      </c>
      <c r="K151" s="13" t="n">
        <f aca="false">IF(p_AlqCaja=3,K$132,0)</f>
        <v>0</v>
      </c>
      <c r="L151" s="13" t="n">
        <f aca="false">IF(p_AlqCaja=3,L$132,0)</f>
        <v>0</v>
      </c>
      <c r="M151" s="13" t="n">
        <f aca="false">IF(p_AlqCaja=3,M$132,0)</f>
        <v>0</v>
      </c>
      <c r="N151" s="13" t="n">
        <f aca="false">IF(p_AlqCaja=3,N$132,0)</f>
        <v>0</v>
      </c>
      <c r="O151" s="13" t="n">
        <f aca="false">IF(p_AlqCaja=3,O$132,0)</f>
        <v>0</v>
      </c>
      <c r="P151" s="13" t="n">
        <f aca="false">IF(p_AlqCaja=3,P$132,0)</f>
        <v>0</v>
      </c>
      <c r="Q151" s="13" t="n">
        <f aca="false">IF(p_AlqCaja=3,Q$132,0)</f>
        <v>0</v>
      </c>
      <c r="R151" s="13" t="n">
        <f aca="false">IF(p_AlqCaja=3,R$132,0)</f>
        <v>0</v>
      </c>
      <c r="S151" s="13" t="n">
        <f aca="false">IF(p_AlqCaja=3,S$132,0)</f>
        <v>0</v>
      </c>
      <c r="T151" s="13" t="n">
        <f aca="false">IF(p_AlqCaja=3,T$132,0)</f>
        <v>0</v>
      </c>
      <c r="U151" s="13" t="n">
        <f aca="false">IF(p_AlqCaja=3,U$132,0)</f>
        <v>0</v>
      </c>
      <c r="V151" s="13" t="n">
        <f aca="false">IF(p_AlqCaja=3,V$132,0)</f>
        <v>0</v>
      </c>
      <c r="W151" s="13" t="n">
        <f aca="false">IF(p_AlqCaja=3,W$132,0)</f>
        <v>0</v>
      </c>
      <c r="X151" s="13" t="n">
        <f aca="false">IF(p_AlqCaja=3,X$132,0)</f>
        <v>0</v>
      </c>
      <c r="Y151" s="13" t="n">
        <f aca="false">IF(p_AlqCaja=3,Y$132,0)</f>
        <v>0</v>
      </c>
      <c r="Z151" s="13" t="n">
        <f aca="false">IF(p_AlqCaja=3,Z$132,0)</f>
        <v>0</v>
      </c>
      <c r="AA151" s="13" t="n">
        <f aca="false">IF(p_AlqCaja=3,AA$132,0)</f>
        <v>0</v>
      </c>
      <c r="AB151" s="13" t="n">
        <f aca="false">IF(p_AlqCaja=3,AB$132,0)</f>
        <v>0</v>
      </c>
      <c r="AC151" s="13" t="n">
        <f aca="false">IF(p_AlqCaja=3,AC$132,0)</f>
        <v>0</v>
      </c>
      <c r="AD151" s="13" t="n">
        <f aca="false">IF(p_AlqCaja=3,AD$132,0)</f>
        <v>0</v>
      </c>
      <c r="AE151" s="13" t="n">
        <f aca="false">IF(p_AlqCaja=3,AE$132,0)</f>
        <v>0</v>
      </c>
      <c r="AF151" s="13" t="n">
        <f aca="false">IF(p_AlqCaja=3,AF$132,0)</f>
        <v>0</v>
      </c>
      <c r="AG151" s="13" t="n">
        <f aca="false">IF(p_AlqCaja=3,AG$132,0)</f>
        <v>0</v>
      </c>
      <c r="AH151" s="13" t="n">
        <f aca="false">IF(p_AlqCaja=3,AH$132,0)</f>
        <v>0</v>
      </c>
      <c r="AI151" s="13" t="n">
        <f aca="false">IF(p_AlqCaja=3,AI$132,0)</f>
        <v>0</v>
      </c>
      <c r="AJ151" s="13" t="n">
        <f aca="false">IF(p_AlqCaja=3,AJ$132,0)</f>
        <v>0</v>
      </c>
      <c r="AK151" s="13" t="n">
        <f aca="false">IF(p_AlqCaja=3,AK$132,0)</f>
        <v>0</v>
      </c>
      <c r="AL151" s="13" t="n">
        <f aca="false">IF(p_AlqCaja=3,AL$132,0)</f>
        <v>0</v>
      </c>
      <c r="AM151" s="13" t="n">
        <f aca="false">IF(p_AlqCaja=3,AM$132,0)</f>
        <v>0</v>
      </c>
      <c r="AN151" s="13" t="n">
        <f aca="false">IF(p_AlqCaja=3,AN$132,0)</f>
        <v>0</v>
      </c>
      <c r="AO151" s="13" t="n">
        <f aca="false">IF(p_AlqCaja=3,AO$132,0)</f>
        <v>0</v>
      </c>
      <c r="AP151" s="13" t="n">
        <f aca="false">IF(p_AlqCaja=3,AP$132,0)</f>
        <v>0</v>
      </c>
      <c r="AQ151" s="13" t="n">
        <f aca="false">IF(p_AlqCaja=3,AQ$132,0)</f>
        <v>0</v>
      </c>
      <c r="AR151" s="13" t="n">
        <f aca="false">IF(p_AlqCaja=3,AR$132,0)</f>
        <v>0</v>
      </c>
      <c r="AS151" s="13" t="n">
        <f aca="false">IF(p_AlqCaja=3,AS$132,0)</f>
        <v>0</v>
      </c>
      <c r="AT151" s="13" t="n">
        <f aca="false">IF(p_AlqCaja=3,AT$132,0)</f>
        <v>0</v>
      </c>
      <c r="AU151" s="13" t="n">
        <f aca="false">IF(p_AlqCaja=3,AU$132,0)</f>
        <v>0</v>
      </c>
      <c r="AV151" s="13" t="n">
        <f aca="false">IF(p_AlqCaja=3,AV$132,0)</f>
        <v>0</v>
      </c>
      <c r="AW151" s="13" t="n">
        <f aca="false">IF(p_AlqCaja=3,AW$132,0)</f>
        <v>0</v>
      </c>
      <c r="AX151" s="13" t="n">
        <f aca="false">IF(p_AlqCaja=3,AX$132,0)</f>
        <v>0</v>
      </c>
      <c r="AY151" s="13" t="n">
        <f aca="false">IF(p_AlqCaja=3,AY$132,0)</f>
        <v>0</v>
      </c>
      <c r="AZ151" s="13" t="n">
        <f aca="false">IF(p_AlqCaja=3,AZ$132,0)</f>
        <v>0</v>
      </c>
      <c r="BA151" s="13" t="n">
        <f aca="false">IF(p_AlqCaja=3,BA$132,0)</f>
        <v>0</v>
      </c>
      <c r="BB151" s="13" t="n">
        <f aca="false">IF(p_AlqCaja=3,BB$132,0)</f>
        <v>0</v>
      </c>
      <c r="BC151" s="13" t="n">
        <f aca="false">IF(p_AlqCaja=3,BC$132,0)</f>
        <v>0</v>
      </c>
      <c r="BD151" s="13" t="n">
        <f aca="false">IF(p_AlqCaja=3,BD$132,0)</f>
        <v>0</v>
      </c>
      <c r="BE151" s="13" t="n">
        <f aca="false">IF(p_AlqCaja=3,BE$132,0)</f>
        <v>0</v>
      </c>
      <c r="BF151" s="13" t="n">
        <f aca="false">IF(p_AlqCaja=3,BF$132,0)</f>
        <v>0</v>
      </c>
      <c r="BG151" s="13" t="n">
        <f aca="false">IF(p_AlqCaja=3,BG$132,0)</f>
        <v>0</v>
      </c>
      <c r="BH151" s="13" t="n">
        <f aca="false">IF(p_AlqCaja=3,BH$132,0)</f>
        <v>0</v>
      </c>
      <c r="BI151" s="13" t="n">
        <f aca="false">IF(p_AlqCaja=3,BI$132,0)</f>
        <v>0</v>
      </c>
      <c r="BJ151" s="13" t="n">
        <f aca="false">IF(p_AlqCaja=3,BJ$132,0)</f>
        <v>0</v>
      </c>
      <c r="BK151" s="13" t="n">
        <f aca="false">IF(p_AlqCaja=3,BK$132,0)</f>
        <v>0</v>
      </c>
      <c r="BL151" s="13" t="n">
        <f aca="false">IF(p_AlqCaja=3,BL$132,0)</f>
        <v>0</v>
      </c>
      <c r="BM151" s="13" t="n">
        <f aca="false">IF(p_AlqCaja=3,BM$132,0)</f>
        <v>0</v>
      </c>
      <c r="BN151" s="13" t="n">
        <f aca="false">IF(p_AlqCaja=3,BN$132,0)</f>
        <v>0</v>
      </c>
      <c r="BO151" s="13" t="n">
        <f aca="false">IF(p_AlqCaja=3,BO$132,0)</f>
        <v>0</v>
      </c>
      <c r="BP151" s="13" t="n">
        <f aca="false">IF(p_AlqCaja=3,BP$132,0)</f>
        <v>0</v>
      </c>
      <c r="BQ151" s="13" t="n">
        <f aca="false">IF(p_AlqCaja=3,BQ$132,0)</f>
        <v>0</v>
      </c>
      <c r="BR151" s="13" t="n">
        <f aca="false">IF(p_AlqCaja=3,BR$132,0)</f>
        <v>0</v>
      </c>
      <c r="BS151" s="13" t="n">
        <f aca="false">IF(p_AlqCaja=3,BS$132,0)</f>
        <v>0</v>
      </c>
      <c r="BT151" s="13" t="n">
        <f aca="false">IF(p_AlqCaja=3,BT$132,0)</f>
        <v>0</v>
      </c>
      <c r="BU151" s="13" t="n">
        <f aca="false">IF(p_AlqCaja=3,BU$132,0)</f>
        <v>0</v>
      </c>
      <c r="BV151" s="13" t="n">
        <f aca="false">IF(p_AlqCaja=3,BV$132,0)</f>
        <v>0</v>
      </c>
      <c r="BW151" s="13" t="n">
        <f aca="false">IF(p_AlqCaja=3,BW$132,0)</f>
        <v>0</v>
      </c>
      <c r="BX151" s="13" t="n">
        <f aca="false">IF(p_AlqCaja=3,BX$132,0)</f>
        <v>0</v>
      </c>
      <c r="BY151" s="13" t="n">
        <f aca="false">IF(p_AlqCaja=3,BY$132,0)</f>
        <v>0</v>
      </c>
      <c r="BZ151" s="13" t="n">
        <f aca="false">IF(p_AlqCaja=3,BZ$132,0)</f>
        <v>0</v>
      </c>
      <c r="CA151" s="13" t="n">
        <f aca="false">IF(p_AlqCaja=3,CA$132,0)</f>
        <v>0</v>
      </c>
      <c r="CB151" s="13" t="n">
        <f aca="false">IF(p_AlqCaja=3,CB$132,0)</f>
        <v>0</v>
      </c>
      <c r="CC151" s="13" t="n">
        <f aca="false">IF(p_AlqCaja=3,CC$132,0)</f>
        <v>0</v>
      </c>
      <c r="CD151" s="13" t="n">
        <f aca="false">IF(p_AlqCaja=3,CD$132,0)</f>
        <v>0</v>
      </c>
      <c r="CE151" s="13" t="n">
        <f aca="false">IF(p_AlqCaja=3,CE$132,0)</f>
        <v>0</v>
      </c>
      <c r="CF151" s="13" t="n">
        <f aca="false">IF(p_AlqCaja=3,CF$132,0)</f>
        <v>0</v>
      </c>
      <c r="CG151" s="13" t="n">
        <f aca="false">IF(p_AlqCaja=3,CG$132,0)</f>
        <v>0</v>
      </c>
      <c r="CH151" s="13" t="n">
        <f aca="false">IF(p_AlqCaja=3,CH$132,0)</f>
        <v>0</v>
      </c>
      <c r="CI151" s="13" t="n">
        <f aca="false">IF(p_AlqCaja=3,CI$132,0)</f>
        <v>0</v>
      </c>
      <c r="CJ151" s="13" t="n">
        <f aca="false">IF(p_AlqCaja=3,CJ$132,0)</f>
        <v>0</v>
      </c>
      <c r="CK151" s="13" t="n">
        <f aca="false">IF(p_AlqCaja=3,CK$132,0)</f>
        <v>0</v>
      </c>
      <c r="CL151" s="13" t="n">
        <f aca="false">IF(p_AlqCaja=3,CL$132,0)</f>
        <v>0</v>
      </c>
      <c r="CM151" s="13" t="n">
        <f aca="false">IF(p_AlqCaja=3,CM$132,0)</f>
        <v>0</v>
      </c>
      <c r="CN151" s="13" t="n">
        <f aca="false">IF(p_AlqCaja=3,CN$132,0)</f>
        <v>0</v>
      </c>
      <c r="CO151" s="13" t="n">
        <f aca="false">IF(p_AlqCaja=3,CO$132,0)</f>
        <v>0</v>
      </c>
      <c r="CP151" s="13" t="n">
        <f aca="false">IF(p_AlqCaja=3,CP$132,0)</f>
        <v>0</v>
      </c>
      <c r="CQ151" s="13" t="n">
        <f aca="false">IF(p_AlqCaja=3,CQ$132,0)</f>
        <v>0</v>
      </c>
      <c r="CR151" s="13" t="n">
        <f aca="false">IF(p_AlqCaja=3,CR$132,0)</f>
        <v>0</v>
      </c>
      <c r="CS151" s="13" t="n">
        <f aca="false">IF(p_AlqCaja=3,CS$132,0)</f>
        <v>0</v>
      </c>
      <c r="CT151" s="13" t="n">
        <f aca="false">IF(p_AlqCaja=3,CT$132,0)</f>
        <v>0</v>
      </c>
      <c r="CU151" s="13" t="n">
        <f aca="false">IF(p_AlqCaja=3,CU$132,0)</f>
        <v>0</v>
      </c>
      <c r="CV151" s="13" t="n">
        <f aca="false">IF(p_AlqCaja=3,CV$132,0)</f>
        <v>0</v>
      </c>
      <c r="CW151" s="13" t="n">
        <f aca="false">IF(p_AlqCaja=3,CW$132,0)</f>
        <v>0</v>
      </c>
      <c r="CX151" s="13" t="n">
        <f aca="false">IF(p_AlqCaja=3,CX$132,0)</f>
        <v>0</v>
      </c>
      <c r="CY151" s="13" t="n">
        <f aca="false">IF(p_AlqCaja=3,CY$132,0)</f>
        <v>0</v>
      </c>
      <c r="CZ151" s="13" t="n">
        <f aca="false">IF(p_AlqCaja=3,CZ$132,0)</f>
        <v>0</v>
      </c>
      <c r="DA151" s="13" t="n">
        <f aca="false">IF(p_AlqCaja=3,DA$132,0)</f>
        <v>0</v>
      </c>
      <c r="DB151" s="13" t="n">
        <f aca="false">IF(p_AlqCaja=3,DB$132,0)</f>
        <v>0</v>
      </c>
      <c r="DC151" s="13" t="n">
        <f aca="false">IF(p_AlqCaja=3,DC$132,0)</f>
        <v>0</v>
      </c>
      <c r="DD151" s="13" t="n">
        <f aca="false">IF(p_AlqCaja=3,DD$132,0)</f>
        <v>0</v>
      </c>
      <c r="DE151" s="13" t="n">
        <f aca="false">IF(p_AlqCaja=3,DE$132,0)</f>
        <v>0</v>
      </c>
      <c r="DF151" s="13" t="n">
        <f aca="false">IF(p_AlqCaja=3,DF$132,0)</f>
        <v>0</v>
      </c>
      <c r="DG151" s="13" t="n">
        <f aca="false">IF(p_AlqCaja=3,DG$132,0)</f>
        <v>0</v>
      </c>
      <c r="DH151" s="13" t="n">
        <f aca="false">IF(p_AlqCaja=3,DH$132,0)</f>
        <v>0</v>
      </c>
      <c r="DI151" s="13" t="n">
        <f aca="false">IF(p_AlqCaja=3,DI$132,0)</f>
        <v>0</v>
      </c>
      <c r="DJ151" s="13" t="n">
        <f aca="false">IF(p_AlqCaja=3,DJ$132,0)</f>
        <v>0</v>
      </c>
      <c r="DK151" s="13" t="n">
        <f aca="false">IF(p_AlqCaja=3,DK$132,0)</f>
        <v>0</v>
      </c>
      <c r="DL151" s="13" t="n">
        <f aca="false">IF(p_AlqCaja=3,DL$132,0)</f>
        <v>0</v>
      </c>
      <c r="DM151" s="13" t="n">
        <f aca="false">IF(p_AlqCaja=3,DM$132,0)</f>
        <v>0</v>
      </c>
      <c r="DN151" s="13" t="n">
        <f aca="false">IF(p_AlqCaja=3,DN$132,0)</f>
        <v>0</v>
      </c>
      <c r="DO151" s="13" t="n">
        <f aca="false">IF(p_AlqCaja=3,DO$132,0)</f>
        <v>0</v>
      </c>
      <c r="DP151" s="13" t="n">
        <f aca="false">IF(p_AlqCaja=3,DP$132,0)</f>
        <v>0</v>
      </c>
      <c r="DQ151" s="13" t="n">
        <f aca="false">IF(p_AlqCaja=3,DQ$132,0)</f>
        <v>0</v>
      </c>
      <c r="DR151" s="13" t="n">
        <f aca="false">IF(p_AlqCaja=3,DR$132,0)</f>
        <v>0</v>
      </c>
      <c r="DS151" s="13" t="n">
        <f aca="false">IF(p_AlqCaja=3,DS$132,0)</f>
        <v>0</v>
      </c>
      <c r="DT151" s="13" t="n">
        <f aca="false">IF(p_AlqCaja=3,DT$132,0)</f>
        <v>0</v>
      </c>
      <c r="DU151" s="13" t="n">
        <f aca="false">IF(p_AlqCaja=3,DU$132,0)</f>
        <v>0</v>
      </c>
      <c r="DV151" s="13" t="n">
        <f aca="false">IF(p_AlqCaja=3,DV$132,0)</f>
        <v>0</v>
      </c>
      <c r="DW151" s="13" t="n">
        <f aca="false">IF(p_AlqCaja=3,DW$132,0)</f>
        <v>0</v>
      </c>
      <c r="DX151" s="13" t="n">
        <f aca="false">IF(p_AlqCaja=3,DX$132,0)</f>
        <v>0</v>
      </c>
      <c r="DY151" s="13" t="n">
        <f aca="false">IF(p_AlqCaja=3,DY$132,0)</f>
        <v>0</v>
      </c>
      <c r="DZ151" s="13" t="n">
        <f aca="false">IF(p_AlqCaja=3,DZ$132,0)</f>
        <v>0</v>
      </c>
      <c r="EA151" s="13" t="n">
        <f aca="false">IF(p_AlqCaja=3,EA$132,0)</f>
        <v>0</v>
      </c>
      <c r="EB151" s="13" t="n">
        <f aca="false">IF(p_AlqCaja=3,EB$132,0)</f>
        <v>0</v>
      </c>
      <c r="EC151" s="13" t="n">
        <f aca="false">IF(p_AlqCaja=3,EC$132,0)</f>
        <v>0</v>
      </c>
      <c r="ED151" s="13" t="n">
        <f aca="false">IF(p_AlqCaja=3,ED$132,0)</f>
        <v>0</v>
      </c>
      <c r="EE151" s="13" t="n">
        <f aca="false">IF(p_AlqCaja=3,EE$132,0)</f>
        <v>0</v>
      </c>
      <c r="EF151" s="13" t="n">
        <f aca="false">IF(p_AlqCaja=3,EF$132,0)</f>
        <v>0</v>
      </c>
      <c r="EG151" s="13" t="n">
        <f aca="false">IF(p_AlqCaja=3,EG$132,0)</f>
        <v>0</v>
      </c>
      <c r="EH151" s="13" t="n">
        <f aca="false">IF(p_AlqCaja=3,EH$132,0)</f>
        <v>0</v>
      </c>
      <c r="EI151" s="13" t="n">
        <f aca="false">IF(p_AlqCaja=3,EI$132,0)</f>
        <v>0</v>
      </c>
      <c r="EJ151" s="13" t="n">
        <f aca="false">IF(p_AlqCaja=3,EJ$132,0)</f>
        <v>0</v>
      </c>
      <c r="EK151" s="13" t="n">
        <f aca="false">IF(p_AlqCaja=3,EK$132,0)</f>
        <v>0</v>
      </c>
      <c r="EL151" s="13" t="n">
        <f aca="false">IF(p_AlqCaja=3,EL$132,0)</f>
        <v>0</v>
      </c>
      <c r="EM151" s="13" t="n">
        <f aca="false">IF(p_AlqCaja=3,EM$132,0)</f>
        <v>0</v>
      </c>
      <c r="EN151" s="13" t="n">
        <f aca="false">IF(p_AlqCaja=3,EN$132,0)</f>
        <v>0</v>
      </c>
      <c r="EO151" s="13" t="n">
        <f aca="false">IF(p_AlqCaja=3,EO$132,0)</f>
        <v>0</v>
      </c>
      <c r="EP151" s="13" t="n">
        <f aca="false">IF(p_AlqCaja=3,EP$132,0)</f>
        <v>0</v>
      </c>
      <c r="EQ151" s="13" t="n">
        <f aca="false">IF(p_AlqCaja=3,EQ$132,0)</f>
        <v>0</v>
      </c>
      <c r="ER151" s="13" t="n">
        <f aca="false">IF(p_AlqCaja=3,ER$132,0)</f>
        <v>0</v>
      </c>
      <c r="ES151" s="13" t="n">
        <f aca="false">IF(p_AlqCaja=3,ES$132,0)</f>
        <v>0</v>
      </c>
      <c r="ET151" s="13" t="n">
        <f aca="false">IF(p_AlqCaja=3,ET$132,0)</f>
        <v>0</v>
      </c>
      <c r="EU151" s="13" t="n">
        <f aca="false">IF(p_AlqCaja=3,EU$132,0)</f>
        <v>0</v>
      </c>
      <c r="EV151" s="13" t="n">
        <f aca="false">IF(p_AlqCaja=3,EV$132,0)</f>
        <v>0</v>
      </c>
      <c r="EW151" s="13" t="n">
        <f aca="false">IF(p_AlqCaja=3,EW$132,0)</f>
        <v>0</v>
      </c>
      <c r="EX151" s="13" t="n">
        <f aca="false">IF(p_AlqCaja=3,EX$132,0)</f>
        <v>0</v>
      </c>
      <c r="EY151" s="13" t="n">
        <f aca="false">IF(p_AlqCaja=3,EY$132,0)</f>
        <v>0</v>
      </c>
      <c r="EZ151" s="13" t="n">
        <f aca="false">IF(p_AlqCaja=3,EZ$132,0)</f>
        <v>0</v>
      </c>
      <c r="FA151" s="13" t="n">
        <f aca="false">IF(p_AlqCaja=3,FA$132,0)</f>
        <v>0</v>
      </c>
      <c r="FB151" s="13" t="n">
        <f aca="false">IF(p_AlqCaja=3,FB$132,0)</f>
        <v>0</v>
      </c>
      <c r="FC151" s="13" t="n">
        <f aca="false">IF(p_AlqCaja=3,FC$132,0)</f>
        <v>0</v>
      </c>
      <c r="FD151" s="13" t="n">
        <f aca="false">IF(p_AlqCaja=3,FD$132,0)</f>
        <v>0</v>
      </c>
      <c r="FE151" s="13" t="n">
        <f aca="false">IF(p_AlqCaja=3,FE$132,0)</f>
        <v>0</v>
      </c>
      <c r="FF151" s="13" t="n">
        <f aca="false">IF(p_AlqCaja=3,FF$132,0)</f>
        <v>0</v>
      </c>
    </row>
  </sheetData>
  <dataValidations count="2">
    <dataValidation allowBlank="true" errorStyle="stop" operator="between" showDropDown="false" showErrorMessage="false" showInputMessage="false" sqref="D6:D31" type="list">
      <formula1>"Directo,Indirecto fábrica,Administración"</formula1>
      <formula2>0</formula2>
    </dataValidation>
    <dataValidation allowBlank="true" errorStyle="stop" operator="between" showDropDown="false" showErrorMessage="false" showInputMessage="false" sqref="E46:E52" type="list">
      <formula1>"PYG,USD"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F6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26" topLeftCell="F27" activePane="bottomRight" state="frozen"/>
      <selection pane="topLeft" activeCell="A1" activeCellId="0" sqref="A1"/>
      <selection pane="topRight" activeCell="F1" activeCellId="0" sqref="F1"/>
      <selection pane="bottomLeft" activeCell="A27" activeCellId="0" sqref="A2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162" min="6" style="0" width="11.5"/>
  </cols>
  <sheetData>
    <row r="1" customFormat="false" ht="16.15" hidden="false" customHeight="false" outlineLevel="0" collapsed="false">
      <c r="A1" s="1" t="s">
        <v>1141</v>
      </c>
    </row>
    <row r="2" customFormat="false" ht="15" hidden="false" customHeight="false" outlineLevel="0" collapsed="false">
      <c r="A2" s="2" t="s">
        <v>1142</v>
      </c>
    </row>
    <row r="4" customFormat="false" ht="15" hidden="false" customHeight="false" outlineLevel="0" collapsed="false">
      <c r="A4" s="3" t="s">
        <v>1143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42" hidden="false" customHeight="true" outlineLevel="0" collapsed="false">
      <c r="A5" s="10" t="s">
        <v>147</v>
      </c>
      <c r="B5" s="10" t="s">
        <v>1144</v>
      </c>
      <c r="C5" s="10" t="s">
        <v>1145</v>
      </c>
      <c r="D5" s="10" t="s">
        <v>1146</v>
      </c>
      <c r="E5" s="10" t="s">
        <v>1147</v>
      </c>
      <c r="F5" s="10" t="s">
        <v>1148</v>
      </c>
      <c r="G5" s="10" t="s">
        <v>1149</v>
      </c>
      <c r="H5" s="10" t="s">
        <v>1150</v>
      </c>
      <c r="I5" s="10" t="s">
        <v>1151</v>
      </c>
      <c r="J5" s="10" t="s">
        <v>1152</v>
      </c>
      <c r="K5" s="10" t="s">
        <v>1153</v>
      </c>
      <c r="L5" s="10" t="s">
        <v>1154</v>
      </c>
      <c r="M5" s="10" t="s">
        <v>1155</v>
      </c>
      <c r="N5" s="10" t="s">
        <v>1156</v>
      </c>
      <c r="O5" s="10" t="s">
        <v>1157</v>
      </c>
      <c r="P5" s="10" t="s">
        <v>1158</v>
      </c>
      <c r="Q5" s="10" t="s">
        <v>1159</v>
      </c>
      <c r="R5" s="10" t="s">
        <v>1160</v>
      </c>
      <c r="S5" s="10" t="s">
        <v>1161</v>
      </c>
      <c r="T5" s="10" t="s">
        <v>1162</v>
      </c>
      <c r="U5" s="10" t="s">
        <v>1163</v>
      </c>
      <c r="V5" s="10" t="s">
        <v>1164</v>
      </c>
      <c r="W5" s="10" t="s">
        <v>1165</v>
      </c>
      <c r="X5" s="10" t="s">
        <v>1166</v>
      </c>
      <c r="Y5" s="10" t="s">
        <v>1167</v>
      </c>
      <c r="Z5" s="10" t="s">
        <v>442</v>
      </c>
    </row>
    <row r="6" customFormat="false" ht="15" hidden="false" customHeight="false" outlineLevel="0" collapsed="false">
      <c r="A6" s="8" t="s">
        <v>1168</v>
      </c>
      <c r="B6" s="8" t="s">
        <v>1169</v>
      </c>
      <c r="C6" s="8" t="s">
        <v>1170</v>
      </c>
      <c r="D6" s="69" t="s">
        <v>1171</v>
      </c>
      <c r="E6" s="28" t="n">
        <f aca="false">Base_PDF!$E$77</f>
        <v>87000</v>
      </c>
      <c r="F6" s="13" t="n">
        <v>0</v>
      </c>
      <c r="G6" s="13" t="n">
        <v>0</v>
      </c>
      <c r="H6" s="12" t="n">
        <f aca="false">N(E6)+F6+G6</f>
        <v>87000</v>
      </c>
      <c r="I6" s="28" t="n">
        <f aca="false">IF(Datos_Reales!$C$31="",0,Datos_Reales!$C$31)</f>
        <v>0</v>
      </c>
      <c r="J6" s="28" t="n">
        <f aca="false">IF(Datos_Reales!$D$31="",0,Datos_Reales!$D$31)</f>
        <v>0</v>
      </c>
      <c r="K6" s="13" t="n">
        <f aca="false">I6-J6</f>
        <v>0</v>
      </c>
      <c r="L6" s="28" t="n">
        <f aca="false">IF(Datos_Reales!$E$31="",0,Datos_Reales!$E$31)</f>
        <v>0</v>
      </c>
      <c r="M6" s="28" t="str">
        <f aca="false">IF(Datos_Reales!$F$31="","",Datos_Reales!$F$31)</f>
        <v/>
      </c>
      <c r="N6" s="13" t="n">
        <f aca="false">IF(M6&lt;&gt;"",N(M6),MAX(0,H6-I6-L6)*(1+e_Sobrecosto))</f>
        <v>87000</v>
      </c>
      <c r="O6" s="12" t="n">
        <f aca="false">I6+L6+N6</f>
        <v>87000</v>
      </c>
      <c r="P6" s="13" t="n">
        <f aca="false">O6-H6</f>
        <v>0</v>
      </c>
      <c r="Q6" s="48" t="n">
        <f aca="false">IF(H6=0,"",P6/H6)</f>
        <v>0</v>
      </c>
      <c r="R6" s="48" t="n">
        <f aca="false">IF(O6=0,"",J6/O6)</f>
        <v>0</v>
      </c>
      <c r="S6" s="29" t="n">
        <v>0</v>
      </c>
      <c r="T6" s="31" t="n">
        <f aca="false">MAX(N(S6),p_MesCorte+1)</f>
        <v>0</v>
      </c>
      <c r="U6" s="31" t="n">
        <f aca="false">IF(Datos_Reales!$G$31&lt;&gt;"",Datos_Reales!$G$31,IF(p_C3=1,p_MesArranque,p_MesArranque+12))</f>
        <v>1</v>
      </c>
      <c r="V6" s="29" t="n">
        <v>10</v>
      </c>
      <c r="W6" s="37" t="n">
        <v>0</v>
      </c>
      <c r="X6" s="13" t="n">
        <f aca="false">K6+L6+N6</f>
        <v>87000</v>
      </c>
      <c r="Y6" s="13" t="n">
        <f aca="false">L6+N6</f>
        <v>87000</v>
      </c>
      <c r="Z6" s="8" t="s">
        <v>1172</v>
      </c>
    </row>
    <row r="7" customFormat="false" ht="15" hidden="false" customHeight="false" outlineLevel="0" collapsed="false">
      <c r="A7" s="8" t="s">
        <v>1173</v>
      </c>
      <c r="B7" s="8" t="s">
        <v>1174</v>
      </c>
      <c r="C7" s="8" t="s">
        <v>1175</v>
      </c>
      <c r="D7" s="69" t="s">
        <v>1171</v>
      </c>
      <c r="E7" s="28" t="n">
        <f aca="false">Base_PDF!$E$65</f>
        <v>161583</v>
      </c>
      <c r="F7" s="28" t="n">
        <f aca="false">Base_PDF!$F$65</f>
        <v>16158.3</v>
      </c>
      <c r="G7" s="13" t="n">
        <f aca="false">(E7+F7)*Base_PDF!$F$76</f>
        <v>5332.30289233766</v>
      </c>
      <c r="H7" s="12" t="n">
        <f aca="false">N(E7)+F7+G7</f>
        <v>183073.602892338</v>
      </c>
      <c r="I7" s="28" t="n">
        <f aca="false">IF(Datos_Reales!$C$32="",0,Datos_Reales!$C$32)</f>
        <v>0</v>
      </c>
      <c r="J7" s="28" t="n">
        <f aca="false">IF(Datos_Reales!$D$32="",0,Datos_Reales!$D$32)</f>
        <v>0</v>
      </c>
      <c r="K7" s="13" t="n">
        <f aca="false">I7-J7</f>
        <v>0</v>
      </c>
      <c r="L7" s="28" t="n">
        <f aca="false">IF(Datos_Reales!$E$32="",0,Datos_Reales!$E$32)</f>
        <v>0</v>
      </c>
      <c r="M7" s="28" t="str">
        <f aca="false">IF(Datos_Reales!$F$32="","",Datos_Reales!$F$32)</f>
        <v/>
      </c>
      <c r="N7" s="13" t="n">
        <f aca="false">IF(M7&lt;&gt;"",N(M7),MAX(0,H7-I7-L7)*(1+e_Sobrecosto))</f>
        <v>183073.602892338</v>
      </c>
      <c r="O7" s="12" t="n">
        <f aca="false">I7+L7+N7</f>
        <v>183073.602892338</v>
      </c>
      <c r="P7" s="13" t="n">
        <f aca="false">O7-H7</f>
        <v>0</v>
      </c>
      <c r="Q7" s="48" t="n">
        <f aca="false">IF(H7=0,"",P7/H7)</f>
        <v>0</v>
      </c>
      <c r="R7" s="48" t="n">
        <f aca="false">IF(O7=0,"",J7/O7)</f>
        <v>0</v>
      </c>
      <c r="S7" s="29" t="n">
        <v>0</v>
      </c>
      <c r="T7" s="31" t="n">
        <f aca="false">MAX(N(S7),p_MesCorte+1)</f>
        <v>0</v>
      </c>
      <c r="U7" s="31" t="n">
        <f aca="false">IF(Datos_Reales!$G$32&lt;&gt;"",Datos_Reales!$G$32,IF(p_C3=1,p_MesArranque,p_MesArranque+12))</f>
        <v>1</v>
      </c>
      <c r="V7" s="29" t="n">
        <v>10</v>
      </c>
      <c r="W7" s="37" t="n">
        <v>0</v>
      </c>
      <c r="X7" s="13" t="n">
        <f aca="false">K7+L7+N7</f>
        <v>183073.602892338</v>
      </c>
      <c r="Y7" s="13" t="n">
        <f aca="false">L7+N7</f>
        <v>183073.602892338</v>
      </c>
      <c r="Z7" s="8" t="s">
        <v>1176</v>
      </c>
    </row>
    <row r="8" customFormat="false" ht="15" hidden="false" customHeight="false" outlineLevel="0" collapsed="false">
      <c r="A8" s="8" t="s">
        <v>1177</v>
      </c>
      <c r="B8" s="8" t="s">
        <v>1178</v>
      </c>
      <c r="C8" s="8" t="s">
        <v>1175</v>
      </c>
      <c r="D8" s="69" t="s">
        <v>1171</v>
      </c>
      <c r="E8" s="28" t="n">
        <f aca="false">Base_PDF!$E$66</f>
        <v>74400</v>
      </c>
      <c r="F8" s="28" t="n">
        <f aca="false">Base_PDF!$F$66</f>
        <v>7440</v>
      </c>
      <c r="G8" s="13" t="n">
        <f aca="false">(E8+F8)*Base_PDF!$F$76</f>
        <v>2455.22941887403</v>
      </c>
      <c r="H8" s="12" t="n">
        <f aca="false">N(E8)+F8+G8</f>
        <v>84295.229418874</v>
      </c>
      <c r="I8" s="28" t="n">
        <f aca="false">IF(Datos_Reales!$C$33="",0,Datos_Reales!$C$33)</f>
        <v>0</v>
      </c>
      <c r="J8" s="28" t="n">
        <f aca="false">IF(Datos_Reales!$D$33="",0,Datos_Reales!$D$33)</f>
        <v>0</v>
      </c>
      <c r="K8" s="13" t="n">
        <f aca="false">I8-J8</f>
        <v>0</v>
      </c>
      <c r="L8" s="28" t="n">
        <f aca="false">IF(Datos_Reales!$E$33="",0,Datos_Reales!$E$33)</f>
        <v>0</v>
      </c>
      <c r="M8" s="28" t="str">
        <f aca="false">IF(Datos_Reales!$F$33="","",Datos_Reales!$F$33)</f>
        <v/>
      </c>
      <c r="N8" s="13" t="n">
        <f aca="false">IF(M8&lt;&gt;"",N(M8),MAX(0,H8-I8-L8)*(1+e_Sobrecosto))</f>
        <v>84295.229418874</v>
      </c>
      <c r="O8" s="12" t="n">
        <f aca="false">I8+L8+N8</f>
        <v>84295.229418874</v>
      </c>
      <c r="P8" s="13" t="n">
        <f aca="false">O8-H8</f>
        <v>0</v>
      </c>
      <c r="Q8" s="48" t="n">
        <f aca="false">IF(H8=0,"",P8/H8)</f>
        <v>0</v>
      </c>
      <c r="R8" s="48" t="n">
        <f aca="false">IF(O8=0,"",J8/O8)</f>
        <v>0</v>
      </c>
      <c r="S8" s="29" t="n">
        <v>0</v>
      </c>
      <c r="T8" s="31" t="n">
        <f aca="false">MAX(N(S8),p_MesCorte+1)</f>
        <v>0</v>
      </c>
      <c r="U8" s="31" t="n">
        <f aca="false">IF(Datos_Reales!$G$33&lt;&gt;"",Datos_Reales!$G$33,IF(p_C3=1,p_MesArranque,p_MesArranque+12))</f>
        <v>1</v>
      </c>
      <c r="V8" s="29" t="n">
        <v>10</v>
      </c>
      <c r="W8" s="37" t="n">
        <v>0</v>
      </c>
      <c r="X8" s="13" t="n">
        <f aca="false">K8+L8+N8</f>
        <v>84295.229418874</v>
      </c>
      <c r="Y8" s="13" t="n">
        <f aca="false">L8+N8</f>
        <v>84295.229418874</v>
      </c>
      <c r="Z8" s="8" t="s">
        <v>1176</v>
      </c>
    </row>
    <row r="9" customFormat="false" ht="15" hidden="false" customHeight="false" outlineLevel="0" collapsed="false">
      <c r="A9" s="8" t="s">
        <v>1179</v>
      </c>
      <c r="B9" s="8" t="s">
        <v>1180</v>
      </c>
      <c r="C9" s="8" t="s">
        <v>1175</v>
      </c>
      <c r="D9" s="69" t="s">
        <v>1171</v>
      </c>
      <c r="E9" s="28" t="n">
        <f aca="false">Base_PDF!$E$67</f>
        <v>9000</v>
      </c>
      <c r="F9" s="28" t="n">
        <f aca="false">Base_PDF!$F$67</f>
        <v>900</v>
      </c>
      <c r="G9" s="13" t="n">
        <f aca="false">(E9+F9)*Base_PDF!$F$76</f>
        <v>297.003558734761</v>
      </c>
      <c r="H9" s="12" t="n">
        <f aca="false">N(E9)+F9+G9</f>
        <v>10197.0035587348</v>
      </c>
      <c r="I9" s="28" t="n">
        <f aca="false">IF(Datos_Reales!$C$34="",0,Datos_Reales!$C$34)</f>
        <v>0</v>
      </c>
      <c r="J9" s="28" t="n">
        <f aca="false">IF(Datos_Reales!$D$34="",0,Datos_Reales!$D$34)</f>
        <v>0</v>
      </c>
      <c r="K9" s="13" t="n">
        <f aca="false">I9-J9</f>
        <v>0</v>
      </c>
      <c r="L9" s="28" t="n">
        <f aca="false">IF(Datos_Reales!$E$34="",0,Datos_Reales!$E$34)</f>
        <v>0</v>
      </c>
      <c r="M9" s="28" t="str">
        <f aca="false">IF(Datos_Reales!$F$34="","",Datos_Reales!$F$34)</f>
        <v/>
      </c>
      <c r="N9" s="13" t="n">
        <f aca="false">IF(M9&lt;&gt;"",N(M9),MAX(0,H9-I9-L9)*(1+e_Sobrecosto))</f>
        <v>10197.0035587348</v>
      </c>
      <c r="O9" s="12" t="n">
        <f aca="false">I9+L9+N9</f>
        <v>10197.0035587348</v>
      </c>
      <c r="P9" s="13" t="n">
        <f aca="false">O9-H9</f>
        <v>0</v>
      </c>
      <c r="Q9" s="48" t="n">
        <f aca="false">IF(H9=0,"",P9/H9)</f>
        <v>0</v>
      </c>
      <c r="R9" s="48" t="n">
        <f aca="false">IF(O9=0,"",J9/O9)</f>
        <v>0</v>
      </c>
      <c r="S9" s="29" t="n">
        <v>0</v>
      </c>
      <c r="T9" s="31" t="n">
        <f aca="false">MAX(N(S9),p_MesCorte+1)</f>
        <v>0</v>
      </c>
      <c r="U9" s="31" t="n">
        <f aca="false">IF(Datos_Reales!$G$34&lt;&gt;"",Datos_Reales!$G$34,IF(p_C3=1,p_MesArranque,p_MesArranque+12))</f>
        <v>1</v>
      </c>
      <c r="V9" s="29" t="n">
        <v>10</v>
      </c>
      <c r="W9" s="37" t="n">
        <v>0</v>
      </c>
      <c r="X9" s="13" t="n">
        <f aca="false">K9+L9+N9</f>
        <v>10197.0035587348</v>
      </c>
      <c r="Y9" s="13" t="n">
        <f aca="false">L9+N9</f>
        <v>10197.0035587348</v>
      </c>
      <c r="Z9" s="8" t="s">
        <v>1176</v>
      </c>
    </row>
    <row r="10" customFormat="false" ht="15" hidden="false" customHeight="false" outlineLevel="0" collapsed="false">
      <c r="A10" s="8" t="s">
        <v>1181</v>
      </c>
      <c r="B10" s="8" t="s">
        <v>1182</v>
      </c>
      <c r="C10" s="8" t="s">
        <v>1175</v>
      </c>
      <c r="D10" s="69" t="s">
        <v>1171</v>
      </c>
      <c r="E10" s="28" t="n">
        <f aca="false">Base_PDF!$E$68</f>
        <v>134128</v>
      </c>
      <c r="F10" s="28" t="n">
        <f aca="false">Base_PDF!$F$68</f>
        <v>13412.8</v>
      </c>
      <c r="G10" s="13" t="n">
        <f aca="false">(E10+F10)*Base_PDF!$F$76</f>
        <v>4426.27703621956</v>
      </c>
      <c r="H10" s="12" t="n">
        <f aca="false">N(E10)+F10+G10</f>
        <v>151967.07703622</v>
      </c>
      <c r="I10" s="28" t="n">
        <f aca="false">IF(Datos_Reales!$C$35="",0,Datos_Reales!$C$35)</f>
        <v>0</v>
      </c>
      <c r="J10" s="28" t="n">
        <f aca="false">IF(Datos_Reales!$D$35="",0,Datos_Reales!$D$35)</f>
        <v>0</v>
      </c>
      <c r="K10" s="13" t="n">
        <f aca="false">I10-J10</f>
        <v>0</v>
      </c>
      <c r="L10" s="28" t="n">
        <f aca="false">IF(Datos_Reales!$E$35="",0,Datos_Reales!$E$35)</f>
        <v>0</v>
      </c>
      <c r="M10" s="28" t="str">
        <f aca="false">IF(Datos_Reales!$F$35="","",Datos_Reales!$F$35)</f>
        <v/>
      </c>
      <c r="N10" s="13" t="n">
        <f aca="false">IF(M10&lt;&gt;"",N(M10),MAX(0,H10-I10-L10)*(1+e_Sobrecosto))</f>
        <v>151967.07703622</v>
      </c>
      <c r="O10" s="12" t="n">
        <f aca="false">I10+L10+N10</f>
        <v>151967.07703622</v>
      </c>
      <c r="P10" s="13" t="n">
        <f aca="false">O10-H10</f>
        <v>0</v>
      </c>
      <c r="Q10" s="48" t="n">
        <f aca="false">IF(H10=0,"",P10/H10)</f>
        <v>0</v>
      </c>
      <c r="R10" s="48" t="n">
        <f aca="false">IF(O10=0,"",J10/O10)</f>
        <v>0</v>
      </c>
      <c r="S10" s="29" t="n">
        <v>0</v>
      </c>
      <c r="T10" s="31" t="n">
        <f aca="false">MAX(N(S10),p_MesCorte+1)</f>
        <v>0</v>
      </c>
      <c r="U10" s="31" t="n">
        <f aca="false">IF(Datos_Reales!$G$35&lt;&gt;"",Datos_Reales!$G$35,IF(p_C3=1,p_MesArranque,p_MesArranque+12))</f>
        <v>1</v>
      </c>
      <c r="V10" s="29" t="n">
        <v>10</v>
      </c>
      <c r="W10" s="37" t="n">
        <v>0</v>
      </c>
      <c r="X10" s="13" t="n">
        <f aca="false">K10+L10+N10</f>
        <v>151967.07703622</v>
      </c>
      <c r="Y10" s="13" t="n">
        <f aca="false">L10+N10</f>
        <v>151967.07703622</v>
      </c>
      <c r="Z10" s="8" t="s">
        <v>1176</v>
      </c>
    </row>
    <row r="11" customFormat="false" ht="15" hidden="false" customHeight="false" outlineLevel="0" collapsed="false">
      <c r="A11" s="8" t="s">
        <v>1183</v>
      </c>
      <c r="B11" s="8" t="s">
        <v>1184</v>
      </c>
      <c r="C11" s="8" t="s">
        <v>1175</v>
      </c>
      <c r="D11" s="69" t="s">
        <v>1171</v>
      </c>
      <c r="E11" s="28" t="n">
        <f aca="false">Base_PDF!$E$69</f>
        <v>3000</v>
      </c>
      <c r="F11" s="28" t="n">
        <f aca="false">Base_PDF!$F$69</f>
        <v>300</v>
      </c>
      <c r="G11" s="13" t="n">
        <f aca="false">(E11+F11)*Base_PDF!$F$76</f>
        <v>99.0011862449205</v>
      </c>
      <c r="H11" s="12" t="n">
        <f aca="false">N(E11)+F11+G11</f>
        <v>3399.00118624492</v>
      </c>
      <c r="I11" s="28" t="n">
        <f aca="false">IF(Datos_Reales!$C$36="",0,Datos_Reales!$C$36)</f>
        <v>0</v>
      </c>
      <c r="J11" s="28" t="n">
        <f aca="false">IF(Datos_Reales!$D$36="",0,Datos_Reales!$D$36)</f>
        <v>0</v>
      </c>
      <c r="K11" s="13" t="n">
        <f aca="false">I11-J11</f>
        <v>0</v>
      </c>
      <c r="L11" s="28" t="n">
        <f aca="false">IF(Datos_Reales!$E$36="",0,Datos_Reales!$E$36)</f>
        <v>0</v>
      </c>
      <c r="M11" s="28" t="str">
        <f aca="false">IF(Datos_Reales!$F$36="","",Datos_Reales!$F$36)</f>
        <v/>
      </c>
      <c r="N11" s="13" t="n">
        <f aca="false">IF(M11&lt;&gt;"",N(M11),MAX(0,H11-I11-L11)*(1+e_Sobrecosto))</f>
        <v>3399.00118624492</v>
      </c>
      <c r="O11" s="12" t="n">
        <f aca="false">I11+L11+N11</f>
        <v>3399.00118624492</v>
      </c>
      <c r="P11" s="13" t="n">
        <f aca="false">O11-H11</f>
        <v>0</v>
      </c>
      <c r="Q11" s="48" t="n">
        <f aca="false">IF(H11=0,"",P11/H11)</f>
        <v>0</v>
      </c>
      <c r="R11" s="48" t="n">
        <f aca="false">IF(O11=0,"",J11/O11)</f>
        <v>0</v>
      </c>
      <c r="S11" s="29" t="n">
        <v>0</v>
      </c>
      <c r="T11" s="31" t="n">
        <f aca="false">MAX(N(S11),p_MesCorte+1)</f>
        <v>0</v>
      </c>
      <c r="U11" s="31" t="n">
        <f aca="false">IF(Datos_Reales!$G$36&lt;&gt;"",Datos_Reales!$G$36,IF(p_C3=1,p_MesArranque,p_MesArranque+12))</f>
        <v>1</v>
      </c>
      <c r="V11" s="29" t="n">
        <v>10</v>
      </c>
      <c r="W11" s="37" t="n">
        <v>0</v>
      </c>
      <c r="X11" s="13" t="n">
        <f aca="false">K11+L11+N11</f>
        <v>3399.00118624492</v>
      </c>
      <c r="Y11" s="13" t="n">
        <f aca="false">L11+N11</f>
        <v>3399.00118624492</v>
      </c>
      <c r="Z11" s="8" t="s">
        <v>1176</v>
      </c>
    </row>
    <row r="12" customFormat="false" ht="15" hidden="false" customHeight="false" outlineLevel="0" collapsed="false">
      <c r="A12" s="8" t="s">
        <v>1185</v>
      </c>
      <c r="B12" s="8" t="s">
        <v>1186</v>
      </c>
      <c r="C12" s="8" t="s">
        <v>1175</v>
      </c>
      <c r="D12" s="69" t="s">
        <v>1171</v>
      </c>
      <c r="E12" s="28" t="n">
        <f aca="false">Base_PDF!$E$70</f>
        <v>520</v>
      </c>
      <c r="F12" s="28" t="n">
        <f aca="false">Base_PDF!$F$70</f>
        <v>52</v>
      </c>
      <c r="G12" s="13" t="n">
        <f aca="false">(E12+F12)*Base_PDF!$F$76</f>
        <v>17.1602056157862</v>
      </c>
      <c r="H12" s="12" t="n">
        <f aca="false">N(E12)+F12+G12</f>
        <v>589.160205615786</v>
      </c>
      <c r="I12" s="28" t="n">
        <f aca="false">IF(Datos_Reales!$C$37="",0,Datos_Reales!$C$37)</f>
        <v>0</v>
      </c>
      <c r="J12" s="28" t="n">
        <f aca="false">IF(Datos_Reales!$D$37="",0,Datos_Reales!$D$37)</f>
        <v>0</v>
      </c>
      <c r="K12" s="13" t="n">
        <f aca="false">I12-J12</f>
        <v>0</v>
      </c>
      <c r="L12" s="28" t="n">
        <f aca="false">IF(Datos_Reales!$E$37="",0,Datos_Reales!$E$37)</f>
        <v>0</v>
      </c>
      <c r="M12" s="28" t="str">
        <f aca="false">IF(Datos_Reales!$F$37="","",Datos_Reales!$F$37)</f>
        <v/>
      </c>
      <c r="N12" s="13" t="n">
        <f aca="false">IF(M12&lt;&gt;"",N(M12),MAX(0,H12-I12-L12)*(1+e_Sobrecosto))</f>
        <v>589.160205615786</v>
      </c>
      <c r="O12" s="12" t="n">
        <f aca="false">I12+L12+N12</f>
        <v>589.160205615786</v>
      </c>
      <c r="P12" s="13" t="n">
        <f aca="false">O12-H12</f>
        <v>0</v>
      </c>
      <c r="Q12" s="48" t="n">
        <f aca="false">IF(H12=0,"",P12/H12)</f>
        <v>0</v>
      </c>
      <c r="R12" s="48" t="n">
        <f aca="false">IF(O12=0,"",J12/O12)</f>
        <v>0</v>
      </c>
      <c r="S12" s="29" t="n">
        <v>0</v>
      </c>
      <c r="T12" s="31" t="n">
        <f aca="false">MAX(N(S12),p_MesCorte+1)</f>
        <v>0</v>
      </c>
      <c r="U12" s="31" t="n">
        <f aca="false">IF(Datos_Reales!$G$37&lt;&gt;"",Datos_Reales!$G$37,IF(p_C3=1,p_MesArranque,p_MesArranque+12))</f>
        <v>1</v>
      </c>
      <c r="V12" s="29" t="n">
        <v>10</v>
      </c>
      <c r="W12" s="37" t="n">
        <v>0</v>
      </c>
      <c r="X12" s="13" t="n">
        <f aca="false">K12+L12+N12</f>
        <v>589.160205615786</v>
      </c>
      <c r="Y12" s="13" t="n">
        <f aca="false">L12+N12</f>
        <v>589.160205615786</v>
      </c>
      <c r="Z12" s="8" t="s">
        <v>1176</v>
      </c>
    </row>
    <row r="13" customFormat="false" ht="15" hidden="false" customHeight="false" outlineLevel="0" collapsed="false">
      <c r="A13" s="8" t="s">
        <v>1187</v>
      </c>
      <c r="B13" s="8" t="s">
        <v>1188</v>
      </c>
      <c r="C13" s="8" t="s">
        <v>1175</v>
      </c>
      <c r="D13" s="69" t="s">
        <v>1171</v>
      </c>
      <c r="E13" s="28" t="n">
        <f aca="false">Base_PDF!$E$71</f>
        <v>25000</v>
      </c>
      <c r="F13" s="28" t="n">
        <f aca="false">Base_PDF!$F$71</f>
        <v>2500</v>
      </c>
      <c r="G13" s="13" t="n">
        <f aca="false">(E13+F13)*Base_PDF!$F$76</f>
        <v>825.009885374337</v>
      </c>
      <c r="H13" s="12" t="n">
        <f aca="false">N(E13)+F13+G13</f>
        <v>28325.0098853743</v>
      </c>
      <c r="I13" s="28" t="n">
        <f aca="false">IF(Datos_Reales!$C$38="",0,Datos_Reales!$C$38)</f>
        <v>0</v>
      </c>
      <c r="J13" s="28" t="n">
        <f aca="false">IF(Datos_Reales!$D$38="",0,Datos_Reales!$D$38)</f>
        <v>0</v>
      </c>
      <c r="K13" s="13" t="n">
        <f aca="false">I13-J13</f>
        <v>0</v>
      </c>
      <c r="L13" s="28" t="n">
        <f aca="false">IF(Datos_Reales!$E$38="",0,Datos_Reales!$E$38)</f>
        <v>0</v>
      </c>
      <c r="M13" s="28" t="str">
        <f aca="false">IF(Datos_Reales!$F$38="","",Datos_Reales!$F$38)</f>
        <v/>
      </c>
      <c r="N13" s="13" t="n">
        <f aca="false">IF(M13&lt;&gt;"",N(M13),MAX(0,H13-I13-L13)*(1+e_Sobrecosto))</f>
        <v>28325.0098853743</v>
      </c>
      <c r="O13" s="12" t="n">
        <f aca="false">I13+L13+N13</f>
        <v>28325.0098853743</v>
      </c>
      <c r="P13" s="13" t="n">
        <f aca="false">O13-H13</f>
        <v>0</v>
      </c>
      <c r="Q13" s="48" t="n">
        <f aca="false">IF(H13=0,"",P13/H13)</f>
        <v>0</v>
      </c>
      <c r="R13" s="48" t="n">
        <f aca="false">IF(O13=0,"",J13/O13)</f>
        <v>0</v>
      </c>
      <c r="S13" s="29" t="n">
        <v>0</v>
      </c>
      <c r="T13" s="31" t="n">
        <f aca="false">MAX(N(S13),p_MesCorte+1)</f>
        <v>0</v>
      </c>
      <c r="U13" s="31" t="n">
        <f aca="false">IF(Datos_Reales!$G$38&lt;&gt;"",Datos_Reales!$G$38,IF(p_C3=1,p_MesArranque,p_MesArranque+12))</f>
        <v>1</v>
      </c>
      <c r="V13" s="29" t="n">
        <v>10</v>
      </c>
      <c r="W13" s="37" t="n">
        <v>0</v>
      </c>
      <c r="X13" s="13" t="n">
        <f aca="false">K13+L13+N13</f>
        <v>28325.0098853743</v>
      </c>
      <c r="Y13" s="13" t="n">
        <f aca="false">L13+N13</f>
        <v>28325.0098853743</v>
      </c>
      <c r="Z13" s="8" t="s">
        <v>1176</v>
      </c>
    </row>
    <row r="14" customFormat="false" ht="15" hidden="false" customHeight="false" outlineLevel="0" collapsed="false">
      <c r="A14" s="8" t="s">
        <v>1189</v>
      </c>
      <c r="B14" s="8" t="s">
        <v>1190</v>
      </c>
      <c r="C14" s="8" t="s">
        <v>1175</v>
      </c>
      <c r="D14" s="69" t="s">
        <v>1171</v>
      </c>
      <c r="E14" s="28" t="n">
        <f aca="false">Base_PDF!$E$72</f>
        <v>8700</v>
      </c>
      <c r="F14" s="28" t="n">
        <f aca="false">Base_PDF!$F$72</f>
        <v>870</v>
      </c>
      <c r="G14" s="13" t="n">
        <f aca="false">(E14+F14)*Base_PDF!$F$76</f>
        <v>287.103440110269</v>
      </c>
      <c r="H14" s="12" t="n">
        <f aca="false">N(E14)+F14+G14</f>
        <v>9857.10344011027</v>
      </c>
      <c r="I14" s="28" t="n">
        <f aca="false">IF(Datos_Reales!$C$39="",0,Datos_Reales!$C$39)</f>
        <v>0</v>
      </c>
      <c r="J14" s="28" t="n">
        <f aca="false">IF(Datos_Reales!$D$39="",0,Datos_Reales!$D$39)</f>
        <v>0</v>
      </c>
      <c r="K14" s="13" t="n">
        <f aca="false">I14-J14</f>
        <v>0</v>
      </c>
      <c r="L14" s="28" t="n">
        <f aca="false">IF(Datos_Reales!$E$39="",0,Datos_Reales!$E$39)</f>
        <v>0</v>
      </c>
      <c r="M14" s="28" t="str">
        <f aca="false">IF(Datos_Reales!$F$39="","",Datos_Reales!$F$39)</f>
        <v/>
      </c>
      <c r="N14" s="13" t="n">
        <f aca="false">IF(M14&lt;&gt;"",N(M14),MAX(0,H14-I14-L14)*(1+e_Sobrecosto))</f>
        <v>9857.10344011027</v>
      </c>
      <c r="O14" s="12" t="n">
        <f aca="false">I14+L14+N14</f>
        <v>9857.10344011027</v>
      </c>
      <c r="P14" s="13" t="n">
        <f aca="false">O14-H14</f>
        <v>0</v>
      </c>
      <c r="Q14" s="48" t="n">
        <f aca="false">IF(H14=0,"",P14/H14)</f>
        <v>0</v>
      </c>
      <c r="R14" s="48" t="n">
        <f aca="false">IF(O14=0,"",J14/O14)</f>
        <v>0</v>
      </c>
      <c r="S14" s="29" t="n">
        <v>0</v>
      </c>
      <c r="T14" s="31" t="n">
        <f aca="false">MAX(N(S14),p_MesCorte+1)</f>
        <v>0</v>
      </c>
      <c r="U14" s="31" t="n">
        <f aca="false">IF(Datos_Reales!$G$39&lt;&gt;"",Datos_Reales!$G$39,IF(p_C3=1,p_MesArranque,p_MesArranque+12))</f>
        <v>1</v>
      </c>
      <c r="V14" s="29" t="n">
        <v>10</v>
      </c>
      <c r="W14" s="37" t="n">
        <v>0</v>
      </c>
      <c r="X14" s="13" t="n">
        <f aca="false">K14+L14+N14</f>
        <v>9857.10344011027</v>
      </c>
      <c r="Y14" s="13" t="n">
        <f aca="false">L14+N14</f>
        <v>9857.10344011027</v>
      </c>
      <c r="Z14" s="8" t="s">
        <v>1176</v>
      </c>
    </row>
    <row r="15" customFormat="false" ht="15" hidden="false" customHeight="false" outlineLevel="0" collapsed="false">
      <c r="A15" s="8" t="s">
        <v>1191</v>
      </c>
      <c r="B15" s="8" t="s">
        <v>1192</v>
      </c>
      <c r="C15" s="8" t="s">
        <v>1175</v>
      </c>
      <c r="D15" s="69" t="s">
        <v>1171</v>
      </c>
      <c r="E15" s="28" t="n">
        <f aca="false">Base_PDF!$E$73</f>
        <v>26000</v>
      </c>
      <c r="F15" s="28" t="n">
        <f aca="false">Base_PDF!$F$73</f>
        <v>2600</v>
      </c>
      <c r="G15" s="13" t="n">
        <f aca="false">(E15+F15)*Base_PDF!$F$76</f>
        <v>858.010280789311</v>
      </c>
      <c r="H15" s="12" t="n">
        <f aca="false">N(E15)+F15+G15</f>
        <v>29458.0102807893</v>
      </c>
      <c r="I15" s="28" t="n">
        <f aca="false">IF(Datos_Reales!$C$40="",0,Datos_Reales!$C$40)</f>
        <v>0</v>
      </c>
      <c r="J15" s="28" t="n">
        <f aca="false">IF(Datos_Reales!$D$40="",0,Datos_Reales!$D$40)</f>
        <v>0</v>
      </c>
      <c r="K15" s="13" t="n">
        <f aca="false">I15-J15</f>
        <v>0</v>
      </c>
      <c r="L15" s="28" t="n">
        <f aca="false">IF(Datos_Reales!$E$40="",0,Datos_Reales!$E$40)</f>
        <v>0</v>
      </c>
      <c r="M15" s="28" t="str">
        <f aca="false">IF(Datos_Reales!$F$40="","",Datos_Reales!$F$40)</f>
        <v/>
      </c>
      <c r="N15" s="13" t="n">
        <f aca="false">IF(M15&lt;&gt;"",N(M15),MAX(0,H15-I15-L15)*(1+e_Sobrecosto))</f>
        <v>29458.0102807893</v>
      </c>
      <c r="O15" s="12" t="n">
        <f aca="false">I15+L15+N15</f>
        <v>29458.0102807893</v>
      </c>
      <c r="P15" s="13" t="n">
        <f aca="false">O15-H15</f>
        <v>0</v>
      </c>
      <c r="Q15" s="48" t="n">
        <f aca="false">IF(H15=0,"",P15/H15)</f>
        <v>0</v>
      </c>
      <c r="R15" s="48" t="n">
        <f aca="false">IF(O15=0,"",J15/O15)</f>
        <v>0</v>
      </c>
      <c r="S15" s="29" t="n">
        <v>0</v>
      </c>
      <c r="T15" s="31" t="n">
        <f aca="false">MAX(N(S15),p_MesCorte+1)</f>
        <v>0</v>
      </c>
      <c r="U15" s="31" t="n">
        <f aca="false">IF(Datos_Reales!$G$40&lt;&gt;"",Datos_Reales!$G$40,IF(p_C3=1,p_MesArranque,p_MesArranque+12))</f>
        <v>1</v>
      </c>
      <c r="V15" s="29" t="n">
        <v>10</v>
      </c>
      <c r="W15" s="37" t="n">
        <v>0</v>
      </c>
      <c r="X15" s="13" t="n">
        <f aca="false">K15+L15+N15</f>
        <v>29458.0102807893</v>
      </c>
      <c r="Y15" s="13" t="n">
        <f aca="false">L15+N15</f>
        <v>29458.0102807893</v>
      </c>
      <c r="Z15" s="8" t="s">
        <v>1176</v>
      </c>
    </row>
    <row r="16" customFormat="false" ht="15" hidden="false" customHeight="false" outlineLevel="0" collapsed="false">
      <c r="A16" s="8" t="s">
        <v>1193</v>
      </c>
      <c r="B16" s="8" t="s">
        <v>1194</v>
      </c>
      <c r="C16" s="8" t="s">
        <v>1175</v>
      </c>
      <c r="D16" s="69" t="s">
        <v>1171</v>
      </c>
      <c r="E16" s="28" t="n">
        <f aca="false">Base_PDF!$E$74</f>
        <v>5300</v>
      </c>
      <c r="F16" s="28" t="n">
        <f aca="false">Base_PDF!$F$74</f>
        <v>530</v>
      </c>
      <c r="G16" s="13" t="n">
        <f aca="false">(E16+F16)*Base_PDF!$F$76</f>
        <v>174.90209569936</v>
      </c>
      <c r="H16" s="12" t="n">
        <f aca="false">N(E16)+F16+G16</f>
        <v>6004.90209569936</v>
      </c>
      <c r="I16" s="28" t="n">
        <f aca="false">IF(Datos_Reales!$C$41="",0,Datos_Reales!$C$41)</f>
        <v>0</v>
      </c>
      <c r="J16" s="28" t="n">
        <f aca="false">IF(Datos_Reales!$D$41="",0,Datos_Reales!$D$41)</f>
        <v>0</v>
      </c>
      <c r="K16" s="13" t="n">
        <f aca="false">I16-J16</f>
        <v>0</v>
      </c>
      <c r="L16" s="28" t="n">
        <f aca="false">IF(Datos_Reales!$E$41="",0,Datos_Reales!$E$41)</f>
        <v>0</v>
      </c>
      <c r="M16" s="28" t="str">
        <f aca="false">IF(Datos_Reales!$F$41="","",Datos_Reales!$F$41)</f>
        <v/>
      </c>
      <c r="N16" s="13" t="n">
        <f aca="false">IF(M16&lt;&gt;"",N(M16),MAX(0,H16-I16-L16)*(1+e_Sobrecosto))</f>
        <v>6004.90209569936</v>
      </c>
      <c r="O16" s="12" t="n">
        <f aca="false">I16+L16+N16</f>
        <v>6004.90209569936</v>
      </c>
      <c r="P16" s="13" t="n">
        <f aca="false">O16-H16</f>
        <v>0</v>
      </c>
      <c r="Q16" s="48" t="n">
        <f aca="false">IF(H16=0,"",P16/H16)</f>
        <v>0</v>
      </c>
      <c r="R16" s="48" t="n">
        <f aca="false">IF(O16=0,"",J16/O16)</f>
        <v>0</v>
      </c>
      <c r="S16" s="29" t="n">
        <v>0</v>
      </c>
      <c r="T16" s="31" t="n">
        <f aca="false">MAX(N(S16),p_MesCorte+1)</f>
        <v>0</v>
      </c>
      <c r="U16" s="31" t="n">
        <f aca="false">IF(Datos_Reales!$G$41&lt;&gt;"",Datos_Reales!$G$41,IF(p_C3=1,p_MesArranque,p_MesArranque+12))</f>
        <v>1</v>
      </c>
      <c r="V16" s="29" t="n">
        <v>10</v>
      </c>
      <c r="W16" s="37" t="n">
        <v>0</v>
      </c>
      <c r="X16" s="13" t="n">
        <f aca="false">K16+L16+N16</f>
        <v>6004.90209569936</v>
      </c>
      <c r="Y16" s="13" t="n">
        <f aca="false">L16+N16</f>
        <v>6004.90209569936</v>
      </c>
      <c r="Z16" s="8" t="s">
        <v>1176</v>
      </c>
    </row>
    <row r="17" customFormat="false" ht="15" hidden="false" customHeight="false" outlineLevel="0" collapsed="false">
      <c r="A17" s="8" t="s">
        <v>1195</v>
      </c>
      <c r="B17" s="8" t="s">
        <v>1196</v>
      </c>
      <c r="C17" s="8" t="s">
        <v>1197</v>
      </c>
      <c r="D17" s="69" t="s">
        <v>1171</v>
      </c>
      <c r="E17" s="28" t="n">
        <f aca="false">Base_PDF!$E$78</f>
        <v>43478</v>
      </c>
      <c r="F17" s="13" t="n">
        <v>0</v>
      </c>
      <c r="G17" s="13" t="n">
        <v>0</v>
      </c>
      <c r="H17" s="12" t="n">
        <f aca="false">N(E17)+F17+G17</f>
        <v>43478</v>
      </c>
      <c r="I17" s="28" t="n">
        <f aca="false">IF(Datos_Reales!$C$42="",0,Datos_Reales!$C$42)</f>
        <v>0</v>
      </c>
      <c r="J17" s="28" t="n">
        <f aca="false">IF(Datos_Reales!$D$42="",0,Datos_Reales!$D$42)</f>
        <v>0</v>
      </c>
      <c r="K17" s="13" t="n">
        <f aca="false">I17-J17</f>
        <v>0</v>
      </c>
      <c r="L17" s="28" t="n">
        <f aca="false">IF(Datos_Reales!$E$42="",0,Datos_Reales!$E$42)</f>
        <v>0</v>
      </c>
      <c r="M17" s="28" t="str">
        <f aca="false">IF(Datos_Reales!$F$42="","",Datos_Reales!$F$42)</f>
        <v/>
      </c>
      <c r="N17" s="13" t="n">
        <f aca="false">IF(M17&lt;&gt;"",N(M17),MAX(0,H17-I17-L17)*(1+e_Sobrecosto))</f>
        <v>43478</v>
      </c>
      <c r="O17" s="12" t="n">
        <f aca="false">I17+L17+N17</f>
        <v>43478</v>
      </c>
      <c r="P17" s="13" t="n">
        <f aca="false">O17-H17</f>
        <v>0</v>
      </c>
      <c r="Q17" s="48" t="n">
        <f aca="false">IF(H17=0,"",P17/H17)</f>
        <v>0</v>
      </c>
      <c r="R17" s="48" t="n">
        <f aca="false">IF(O17=0,"",J17/O17)</f>
        <v>0</v>
      </c>
      <c r="S17" s="29" t="n">
        <v>0</v>
      </c>
      <c r="T17" s="31" t="n">
        <f aca="false">MAX(N(S17),p_MesCorte+1)</f>
        <v>0</v>
      </c>
      <c r="U17" s="31" t="n">
        <f aca="false">IF(Datos_Reales!$G$42&lt;&gt;"",Datos_Reales!$G$42,IF(p_C3=1,p_MesArranque,p_MesArranque+12))</f>
        <v>1</v>
      </c>
      <c r="V17" s="29" t="n">
        <v>5</v>
      </c>
      <c r="W17" s="37" t="n">
        <v>0</v>
      </c>
      <c r="X17" s="13" t="n">
        <f aca="false">K17+L17+N17</f>
        <v>43478</v>
      </c>
      <c r="Y17" s="13" t="n">
        <f aca="false">L17+N17</f>
        <v>43478</v>
      </c>
      <c r="Z17" s="8" t="s">
        <v>1198</v>
      </c>
    </row>
    <row r="18" customFormat="false" ht="15" hidden="false" customHeight="false" outlineLevel="0" collapsed="false">
      <c r="A18" s="8" t="s">
        <v>1199</v>
      </c>
      <c r="B18" s="8" t="s">
        <v>1200</v>
      </c>
      <c r="C18" s="8" t="s">
        <v>1200</v>
      </c>
      <c r="D18" s="69" t="s">
        <v>1171</v>
      </c>
      <c r="E18" s="28" t="n">
        <f aca="false">Base_PDF!$E$79</f>
        <v>17400</v>
      </c>
      <c r="F18" s="13" t="n">
        <v>0</v>
      </c>
      <c r="G18" s="13" t="n">
        <v>0</v>
      </c>
      <c r="H18" s="12" t="n">
        <f aca="false">N(E18)+F18+G18</f>
        <v>17400</v>
      </c>
      <c r="I18" s="28" t="n">
        <f aca="false">IF(Datos_Reales!$C$43="",0,Datos_Reales!$C$43)</f>
        <v>0</v>
      </c>
      <c r="J18" s="28" t="n">
        <f aca="false">IF(Datos_Reales!$D$43="",0,Datos_Reales!$D$43)</f>
        <v>0</v>
      </c>
      <c r="K18" s="13" t="n">
        <f aca="false">I18-J18</f>
        <v>0</v>
      </c>
      <c r="L18" s="28" t="n">
        <f aca="false">IF(Datos_Reales!$E$43="",0,Datos_Reales!$E$43)</f>
        <v>0</v>
      </c>
      <c r="M18" s="28" t="str">
        <f aca="false">IF(Datos_Reales!$F$43="","",Datos_Reales!$F$43)</f>
        <v/>
      </c>
      <c r="N18" s="13" t="n">
        <f aca="false">IF(M18&lt;&gt;"",N(M18),MAX(0,H18-I18-L18)*(1+e_Sobrecosto))</f>
        <v>17400</v>
      </c>
      <c r="O18" s="12" t="n">
        <f aca="false">I18+L18+N18</f>
        <v>17400</v>
      </c>
      <c r="P18" s="13" t="n">
        <f aca="false">O18-H18</f>
        <v>0</v>
      </c>
      <c r="Q18" s="48" t="n">
        <f aca="false">IF(H18=0,"",P18/H18)</f>
        <v>0</v>
      </c>
      <c r="R18" s="48" t="n">
        <f aca="false">IF(O18=0,"",J18/O18)</f>
        <v>0</v>
      </c>
      <c r="S18" s="29" t="n">
        <v>0</v>
      </c>
      <c r="T18" s="31" t="n">
        <f aca="false">MAX(N(S18),p_MesCorte+1)</f>
        <v>0</v>
      </c>
      <c r="U18" s="31" t="n">
        <f aca="false">IF(Datos_Reales!$G$43&lt;&gt;"",Datos_Reales!$G$43,IF(p_C3=1,p_MesArranque,p_MesArranque+12))</f>
        <v>1</v>
      </c>
      <c r="V18" s="29" t="n">
        <v>5</v>
      </c>
      <c r="W18" s="37" t="n">
        <v>0</v>
      </c>
      <c r="X18" s="13" t="n">
        <f aca="false">K18+L18+N18</f>
        <v>17400</v>
      </c>
      <c r="Y18" s="13" t="n">
        <f aca="false">L18+N18</f>
        <v>17400</v>
      </c>
      <c r="Z18" s="8" t="s">
        <v>1198</v>
      </c>
    </row>
    <row r="19" customFormat="false" ht="15" hidden="false" customHeight="false" outlineLevel="0" collapsed="false">
      <c r="A19" s="8" t="s">
        <v>1201</v>
      </c>
      <c r="B19" s="8" t="s">
        <v>1202</v>
      </c>
      <c r="C19" s="8" t="s">
        <v>216</v>
      </c>
      <c r="D19" s="69" t="s">
        <v>1203</v>
      </c>
      <c r="E19" s="13" t="n">
        <f aca="false">e_Capex2</f>
        <v>100000</v>
      </c>
      <c r="F19" s="13" t="n">
        <v>0</v>
      </c>
      <c r="G19" s="13" t="n">
        <v>0</v>
      </c>
      <c r="H19" s="12" t="n">
        <f aca="false">N(E19)+F19+G19</f>
        <v>100000</v>
      </c>
      <c r="I19" s="28" t="n">
        <f aca="false">IF(Datos_Reales!$C$44="",0,Datos_Reales!$C$44)</f>
        <v>0</v>
      </c>
      <c r="J19" s="28" t="n">
        <f aca="false">IF(Datos_Reales!$D$44="",0,Datos_Reales!$D$44)</f>
        <v>0</v>
      </c>
      <c r="K19" s="13" t="n">
        <f aca="false">I19-J19</f>
        <v>0</v>
      </c>
      <c r="L19" s="28" t="n">
        <f aca="false">IF(Datos_Reales!$E$44="",0,Datos_Reales!$E$44)</f>
        <v>0</v>
      </c>
      <c r="M19" s="28" t="str">
        <f aca="false">IF(Datos_Reales!$F$44="","",Datos_Reales!$F$44)</f>
        <v/>
      </c>
      <c r="N19" s="13" t="n">
        <f aca="false">IF(M19&lt;&gt;"",N(M19),MAX(0,H19-I19-L19)*(1+e_Sobrecosto))</f>
        <v>100000</v>
      </c>
      <c r="O19" s="12" t="n">
        <f aca="false">I19+L19+N19</f>
        <v>100000</v>
      </c>
      <c r="P19" s="13" t="n">
        <f aca="false">O19-H19</f>
        <v>0</v>
      </c>
      <c r="Q19" s="48" t="n">
        <f aca="false">IF(H19=0,"",P19/H19)</f>
        <v>0</v>
      </c>
      <c r="R19" s="48" t="n">
        <f aca="false">IF(O19=0,"",J19/O19)</f>
        <v>0</v>
      </c>
      <c r="S19" s="31" t="n">
        <f aca="false">e_Capex2Mes</f>
        <v>13</v>
      </c>
      <c r="T19" s="31" t="n">
        <f aca="false">MAX(N(S19),p_MesCorte+1)</f>
        <v>13</v>
      </c>
      <c r="U19" s="31" t="n">
        <f aca="false">IF(Datos_Reales!$G$44&lt;&gt;"",Datos_Reales!$G$44,IF(p_C4=1,T19,9999))</f>
        <v>13</v>
      </c>
      <c r="V19" s="29" t="n">
        <v>10</v>
      </c>
      <c r="W19" s="37" t="n">
        <v>0</v>
      </c>
      <c r="X19" s="13" t="n">
        <f aca="false">K19+L19+N19</f>
        <v>100000</v>
      </c>
      <c r="Y19" s="13" t="n">
        <f aca="false">L19+N19</f>
        <v>100000</v>
      </c>
      <c r="Z19" s="8" t="s">
        <v>1204</v>
      </c>
    </row>
    <row r="20" customFormat="false" ht="15" hidden="false" customHeight="false" outlineLevel="0" collapsed="false">
      <c r="A20" s="8" t="s">
        <v>1205</v>
      </c>
      <c r="B20" s="8" t="s">
        <v>1206</v>
      </c>
      <c r="C20" s="69"/>
      <c r="D20" s="69" t="s">
        <v>1207</v>
      </c>
      <c r="E20" s="44"/>
      <c r="F20" s="13" t="n">
        <v>0</v>
      </c>
      <c r="G20" s="13" t="n">
        <v>0</v>
      </c>
      <c r="H20" s="12" t="n">
        <f aca="false">N(E20)+F20+G20</f>
        <v>0</v>
      </c>
      <c r="I20" s="28" t="n">
        <f aca="false">IF(Datos_Reales!$C$45="",0,Datos_Reales!$C$45)</f>
        <v>0</v>
      </c>
      <c r="J20" s="28" t="n">
        <f aca="false">IF(Datos_Reales!$D$45="",0,Datos_Reales!$D$45)</f>
        <v>0</v>
      </c>
      <c r="K20" s="13" t="n">
        <f aca="false">I20-J20</f>
        <v>0</v>
      </c>
      <c r="L20" s="28" t="n">
        <f aca="false">IF(Datos_Reales!$E$45="",0,Datos_Reales!$E$45)</f>
        <v>0</v>
      </c>
      <c r="M20" s="28" t="str">
        <f aca="false">IF(Datos_Reales!$F$45="","",Datos_Reales!$F$45)</f>
        <v/>
      </c>
      <c r="N20" s="13" t="n">
        <f aca="false">IF(M20&lt;&gt;"",N(M20),MAX(0,H20-I20-L20)*(1+e_Sobrecosto))</f>
        <v>0</v>
      </c>
      <c r="O20" s="12" t="n">
        <f aca="false">I20+L20+N20</f>
        <v>0</v>
      </c>
      <c r="P20" s="13" t="n">
        <f aca="false">O20-H20</f>
        <v>0</v>
      </c>
      <c r="Q20" s="48" t="str">
        <f aca="false">IF(H20=0,"",P20/H20)</f>
        <v/>
      </c>
      <c r="R20" s="48" t="str">
        <f aca="false">IF(O20=0,"",J20/O20)</f>
        <v/>
      </c>
      <c r="S20" s="29"/>
      <c r="T20" s="31" t="n">
        <f aca="false">MAX(N(S20),p_MesCorte+1)</f>
        <v>0</v>
      </c>
      <c r="U20" s="31" t="n">
        <f aca="false">IF(Datos_Reales!$G$45&lt;&gt;"",Datos_Reales!$G$45,T20)</f>
        <v>0</v>
      </c>
      <c r="V20" s="29"/>
      <c r="W20" s="37" t="n">
        <v>0</v>
      </c>
      <c r="X20" s="13" t="n">
        <f aca="false">K20+L20+N20</f>
        <v>0</v>
      </c>
      <c r="Y20" s="13" t="n">
        <f aca="false">L20+N20</f>
        <v>0</v>
      </c>
      <c r="Z20" s="8" t="s">
        <v>1208</v>
      </c>
    </row>
    <row r="21" customFormat="false" ht="15" hidden="false" customHeight="false" outlineLevel="0" collapsed="false">
      <c r="A21" s="8" t="s">
        <v>1209</v>
      </c>
      <c r="B21" s="8" t="s">
        <v>1210</v>
      </c>
      <c r="C21" s="69"/>
      <c r="D21" s="69" t="s">
        <v>1207</v>
      </c>
      <c r="E21" s="44"/>
      <c r="F21" s="13" t="n">
        <v>0</v>
      </c>
      <c r="G21" s="13" t="n">
        <v>0</v>
      </c>
      <c r="H21" s="12" t="n">
        <f aca="false">N(E21)+F21+G21</f>
        <v>0</v>
      </c>
      <c r="I21" s="28" t="n">
        <f aca="false">IF(Datos_Reales!$C$46="",0,Datos_Reales!$C$46)</f>
        <v>0</v>
      </c>
      <c r="J21" s="28" t="n">
        <f aca="false">IF(Datos_Reales!$D$46="",0,Datos_Reales!$D$46)</f>
        <v>0</v>
      </c>
      <c r="K21" s="13" t="n">
        <f aca="false">I21-J21</f>
        <v>0</v>
      </c>
      <c r="L21" s="28" t="n">
        <f aca="false">IF(Datos_Reales!$E$46="",0,Datos_Reales!$E$46)</f>
        <v>0</v>
      </c>
      <c r="M21" s="28" t="str">
        <f aca="false">IF(Datos_Reales!$F$46="","",Datos_Reales!$F$46)</f>
        <v/>
      </c>
      <c r="N21" s="13" t="n">
        <f aca="false">IF(M21&lt;&gt;"",N(M21),MAX(0,H21-I21-L21)*(1+e_Sobrecosto))</f>
        <v>0</v>
      </c>
      <c r="O21" s="12" t="n">
        <f aca="false">I21+L21+N21</f>
        <v>0</v>
      </c>
      <c r="P21" s="13" t="n">
        <f aca="false">O21-H21</f>
        <v>0</v>
      </c>
      <c r="Q21" s="48" t="str">
        <f aca="false">IF(H21=0,"",P21/H21)</f>
        <v/>
      </c>
      <c r="R21" s="48" t="str">
        <f aca="false">IF(O21=0,"",J21/O21)</f>
        <v/>
      </c>
      <c r="S21" s="29"/>
      <c r="T21" s="31" t="n">
        <f aca="false">MAX(N(S21),p_MesCorte+1)</f>
        <v>0</v>
      </c>
      <c r="U21" s="31" t="n">
        <f aca="false">IF(Datos_Reales!$G$46&lt;&gt;"",Datos_Reales!$G$46,T21)</f>
        <v>0</v>
      </c>
      <c r="V21" s="29"/>
      <c r="W21" s="37" t="n">
        <v>0</v>
      </c>
      <c r="X21" s="13" t="n">
        <f aca="false">K21+L21+N21</f>
        <v>0</v>
      </c>
      <c r="Y21" s="13" t="n">
        <f aca="false">L21+N21</f>
        <v>0</v>
      </c>
      <c r="Z21" s="8" t="s">
        <v>1208</v>
      </c>
    </row>
    <row r="22" customFormat="false" ht="15" hidden="false" customHeight="false" outlineLevel="0" collapsed="false">
      <c r="A22" s="8" t="s">
        <v>1211</v>
      </c>
      <c r="B22" s="8" t="s">
        <v>1212</v>
      </c>
      <c r="C22" s="69"/>
      <c r="D22" s="69" t="s">
        <v>1203</v>
      </c>
      <c r="E22" s="44"/>
      <c r="F22" s="13" t="n">
        <v>0</v>
      </c>
      <c r="G22" s="13" t="n">
        <v>0</v>
      </c>
      <c r="H22" s="12" t="n">
        <f aca="false">N(E22)+F22+G22</f>
        <v>0</v>
      </c>
      <c r="I22" s="28" t="n">
        <f aca="false">IF(Datos_Reales!$C$47="",0,Datos_Reales!$C$47)</f>
        <v>0</v>
      </c>
      <c r="J22" s="28" t="n">
        <f aca="false">IF(Datos_Reales!$D$47="",0,Datos_Reales!$D$47)</f>
        <v>0</v>
      </c>
      <c r="K22" s="13" t="n">
        <f aca="false">I22-J22</f>
        <v>0</v>
      </c>
      <c r="L22" s="28" t="n">
        <f aca="false">IF(Datos_Reales!$E$47="",0,Datos_Reales!$E$47)</f>
        <v>0</v>
      </c>
      <c r="M22" s="28" t="str">
        <f aca="false">IF(Datos_Reales!$F$47="","",Datos_Reales!$F$47)</f>
        <v/>
      </c>
      <c r="N22" s="13" t="n">
        <f aca="false">IF(M22&lt;&gt;"",N(M22),MAX(0,H22-I22-L22)*(1+e_Sobrecosto))</f>
        <v>0</v>
      </c>
      <c r="O22" s="12" t="n">
        <f aca="false">I22+L22+N22</f>
        <v>0</v>
      </c>
      <c r="P22" s="13" t="n">
        <f aca="false">O22-H22</f>
        <v>0</v>
      </c>
      <c r="Q22" s="48" t="str">
        <f aca="false">IF(H22=0,"",P22/H22)</f>
        <v/>
      </c>
      <c r="R22" s="48" t="str">
        <f aca="false">IF(O22=0,"",J22/O22)</f>
        <v/>
      </c>
      <c r="S22" s="29"/>
      <c r="T22" s="31" t="n">
        <f aca="false">MAX(N(S22),p_MesCorte+1)</f>
        <v>0</v>
      </c>
      <c r="U22" s="31" t="n">
        <f aca="false">IF(Datos_Reales!$G$47&lt;&gt;"",Datos_Reales!$G$47,T22)</f>
        <v>0</v>
      </c>
      <c r="V22" s="29"/>
      <c r="W22" s="37" t="n">
        <v>0</v>
      </c>
      <c r="X22" s="13" t="n">
        <f aca="false">K22+L22+N22</f>
        <v>0</v>
      </c>
      <c r="Y22" s="13" t="n">
        <f aca="false">L22+N22</f>
        <v>0</v>
      </c>
      <c r="Z22" s="8" t="s">
        <v>1208</v>
      </c>
    </row>
    <row r="23" customFormat="false" ht="15" hidden="false" customHeight="false" outlineLevel="0" collapsed="false">
      <c r="B23" s="5" t="s">
        <v>1213</v>
      </c>
      <c r="E23" s="67" t="n">
        <f aca="false">SUM(E6:E22)</f>
        <v>695509</v>
      </c>
      <c r="F23" s="67" t="n">
        <f aca="false">SUM(F6:F22)</f>
        <v>44763.1</v>
      </c>
      <c r="G23" s="67" t="n">
        <f aca="false">SUM(G6:G22)</f>
        <v>14772</v>
      </c>
      <c r="H23" s="67" t="n">
        <f aca="false">SUM(H6:H22)</f>
        <v>755044.1</v>
      </c>
      <c r="I23" s="67" t="n">
        <f aca="false">SUM(I6:I22)</f>
        <v>0</v>
      </c>
      <c r="J23" s="67" t="n">
        <f aca="false">SUM(J6:J22)</f>
        <v>0</v>
      </c>
      <c r="K23" s="67" t="n">
        <f aca="false">SUM(K6:K22)</f>
        <v>0</v>
      </c>
      <c r="L23" s="67" t="n">
        <f aca="false">SUM(L6:L22)</f>
        <v>0</v>
      </c>
      <c r="N23" s="67" t="n">
        <f aca="false">SUM(N6:N22)</f>
        <v>755044.1</v>
      </c>
      <c r="O23" s="67" t="n">
        <f aca="false">SUM(O6:O22)</f>
        <v>755044.1</v>
      </c>
      <c r="P23" s="67" t="n">
        <f aca="false">SUM(P6:P22)</f>
        <v>0</v>
      </c>
      <c r="Q23" s="49" t="n">
        <f aca="false">IF(H23=0,"",P23/H23)</f>
        <v>0</v>
      </c>
      <c r="R23" s="49" t="n">
        <f aca="false">IF(O23=0,"",J23/O23)</f>
        <v>0</v>
      </c>
      <c r="X23" s="67" t="n">
        <f aca="false">SUM(X6:X22)</f>
        <v>755044.1</v>
      </c>
      <c r="Y23" s="67" t="n">
        <f aca="false">SUM(Y6:Y22)</f>
        <v>755044.1</v>
      </c>
    </row>
    <row r="24" customFormat="false" ht="15" hidden="false" customHeight="false" outlineLevel="0" collapsed="false">
      <c r="B24" s="8" t="s">
        <v>1214</v>
      </c>
      <c r="H24" s="13" t="n">
        <f aca="false">SUMIF($D$6:$D$22,"Inicial",H6:H22)</f>
        <v>655044.1</v>
      </c>
      <c r="O24" s="13" t="n">
        <f aca="false">SUMIF($D$6:$D$22,"Inicial",O6:O22)</f>
        <v>655044.1</v>
      </c>
    </row>
    <row r="25" customFormat="false" ht="15" hidden="false" customHeight="false" outlineLevel="0" collapsed="false">
      <c r="B25" s="2" t="s">
        <v>1215</v>
      </c>
    </row>
    <row r="27" customFormat="false" ht="15" hidden="false" customHeight="false" outlineLevel="0" collapsed="false">
      <c r="A27" s="62" t="s">
        <v>807</v>
      </c>
      <c r="B27" s="58" t="s">
        <v>808</v>
      </c>
      <c r="C27" s="63"/>
      <c r="D27" s="63"/>
      <c r="E27" s="58" t="s">
        <v>809</v>
      </c>
      <c r="F27" s="59" t="n">
        <f aca="false">Calendario!F$5</f>
        <v>0</v>
      </c>
      <c r="G27" s="59" t="n">
        <f aca="false">Calendario!G$5</f>
        <v>1</v>
      </c>
      <c r="H27" s="59" t="n">
        <f aca="false">Calendario!H$5</f>
        <v>2</v>
      </c>
      <c r="I27" s="59" t="n">
        <f aca="false">Calendario!I$5</f>
        <v>3</v>
      </c>
      <c r="J27" s="59" t="n">
        <f aca="false">Calendario!J$5</f>
        <v>4</v>
      </c>
      <c r="K27" s="59" t="n">
        <f aca="false">Calendario!K$5</f>
        <v>5</v>
      </c>
      <c r="L27" s="59" t="n">
        <f aca="false">Calendario!L$5</f>
        <v>6</v>
      </c>
      <c r="M27" s="59" t="n">
        <f aca="false">Calendario!M$5</f>
        <v>7</v>
      </c>
      <c r="N27" s="59" t="n">
        <f aca="false">Calendario!N$5</f>
        <v>8</v>
      </c>
      <c r="O27" s="59" t="n">
        <f aca="false">Calendario!O$5</f>
        <v>9</v>
      </c>
      <c r="P27" s="59" t="n">
        <f aca="false">Calendario!P$5</f>
        <v>10</v>
      </c>
      <c r="Q27" s="59" t="n">
        <f aca="false">Calendario!Q$5</f>
        <v>11</v>
      </c>
      <c r="R27" s="59" t="n">
        <f aca="false">Calendario!R$5</f>
        <v>12</v>
      </c>
      <c r="S27" s="59" t="n">
        <f aca="false">Calendario!S$5</f>
        <v>13</v>
      </c>
      <c r="T27" s="59" t="n">
        <f aca="false">Calendario!T$5</f>
        <v>14</v>
      </c>
      <c r="U27" s="59" t="n">
        <f aca="false">Calendario!U$5</f>
        <v>15</v>
      </c>
      <c r="V27" s="59" t="n">
        <f aca="false">Calendario!V$5</f>
        <v>16</v>
      </c>
      <c r="W27" s="59" t="n">
        <f aca="false">Calendario!W$5</f>
        <v>17</v>
      </c>
      <c r="X27" s="59" t="n">
        <f aca="false">Calendario!X$5</f>
        <v>18</v>
      </c>
      <c r="Y27" s="59" t="n">
        <f aca="false">Calendario!Y$5</f>
        <v>19</v>
      </c>
      <c r="Z27" s="59" t="n">
        <f aca="false">Calendario!Z$5</f>
        <v>20</v>
      </c>
      <c r="AA27" s="59" t="n">
        <f aca="false">Calendario!AA$5</f>
        <v>21</v>
      </c>
      <c r="AB27" s="59" t="n">
        <f aca="false">Calendario!AB$5</f>
        <v>22</v>
      </c>
      <c r="AC27" s="59" t="n">
        <f aca="false">Calendario!AC$5</f>
        <v>23</v>
      </c>
      <c r="AD27" s="59" t="n">
        <f aca="false">Calendario!AD$5</f>
        <v>24</v>
      </c>
      <c r="AE27" s="59" t="n">
        <f aca="false">Calendario!AE$5</f>
        <v>25</v>
      </c>
      <c r="AF27" s="59" t="n">
        <f aca="false">Calendario!AF$5</f>
        <v>26</v>
      </c>
      <c r="AG27" s="59" t="n">
        <f aca="false">Calendario!AG$5</f>
        <v>27</v>
      </c>
      <c r="AH27" s="59" t="n">
        <f aca="false">Calendario!AH$5</f>
        <v>28</v>
      </c>
      <c r="AI27" s="59" t="n">
        <f aca="false">Calendario!AI$5</f>
        <v>29</v>
      </c>
      <c r="AJ27" s="59" t="n">
        <f aca="false">Calendario!AJ$5</f>
        <v>30</v>
      </c>
      <c r="AK27" s="59" t="n">
        <f aca="false">Calendario!AK$5</f>
        <v>31</v>
      </c>
      <c r="AL27" s="59" t="n">
        <f aca="false">Calendario!AL$5</f>
        <v>32</v>
      </c>
      <c r="AM27" s="59" t="n">
        <f aca="false">Calendario!AM$5</f>
        <v>33</v>
      </c>
      <c r="AN27" s="59" t="n">
        <f aca="false">Calendario!AN$5</f>
        <v>34</v>
      </c>
      <c r="AO27" s="59" t="n">
        <f aca="false">Calendario!AO$5</f>
        <v>35</v>
      </c>
      <c r="AP27" s="59" t="n">
        <f aca="false">Calendario!AP$5</f>
        <v>36</v>
      </c>
      <c r="AQ27" s="59" t="n">
        <f aca="false">Calendario!AQ$5</f>
        <v>37</v>
      </c>
      <c r="AR27" s="59" t="n">
        <f aca="false">Calendario!AR$5</f>
        <v>38</v>
      </c>
      <c r="AS27" s="59" t="n">
        <f aca="false">Calendario!AS$5</f>
        <v>39</v>
      </c>
      <c r="AT27" s="59" t="n">
        <f aca="false">Calendario!AT$5</f>
        <v>40</v>
      </c>
      <c r="AU27" s="59" t="n">
        <f aca="false">Calendario!AU$5</f>
        <v>41</v>
      </c>
      <c r="AV27" s="59" t="n">
        <f aca="false">Calendario!AV$5</f>
        <v>42</v>
      </c>
      <c r="AW27" s="59" t="n">
        <f aca="false">Calendario!AW$5</f>
        <v>43</v>
      </c>
      <c r="AX27" s="59" t="n">
        <f aca="false">Calendario!AX$5</f>
        <v>44</v>
      </c>
      <c r="AY27" s="59" t="n">
        <f aca="false">Calendario!AY$5</f>
        <v>45</v>
      </c>
      <c r="AZ27" s="59" t="n">
        <f aca="false">Calendario!AZ$5</f>
        <v>46</v>
      </c>
      <c r="BA27" s="59" t="n">
        <f aca="false">Calendario!BA$5</f>
        <v>47</v>
      </c>
      <c r="BB27" s="59" t="n">
        <f aca="false">Calendario!BB$5</f>
        <v>48</v>
      </c>
      <c r="BC27" s="59" t="n">
        <f aca="false">Calendario!BC$5</f>
        <v>49</v>
      </c>
      <c r="BD27" s="59" t="n">
        <f aca="false">Calendario!BD$5</f>
        <v>50</v>
      </c>
      <c r="BE27" s="59" t="n">
        <f aca="false">Calendario!BE$5</f>
        <v>51</v>
      </c>
      <c r="BF27" s="59" t="n">
        <f aca="false">Calendario!BF$5</f>
        <v>52</v>
      </c>
      <c r="BG27" s="59" t="n">
        <f aca="false">Calendario!BG$5</f>
        <v>53</v>
      </c>
      <c r="BH27" s="59" t="n">
        <f aca="false">Calendario!BH$5</f>
        <v>54</v>
      </c>
      <c r="BI27" s="59" t="n">
        <f aca="false">Calendario!BI$5</f>
        <v>55</v>
      </c>
      <c r="BJ27" s="59" t="n">
        <f aca="false">Calendario!BJ$5</f>
        <v>56</v>
      </c>
      <c r="BK27" s="59" t="n">
        <f aca="false">Calendario!BK$5</f>
        <v>57</v>
      </c>
      <c r="BL27" s="59" t="n">
        <f aca="false">Calendario!BL$5</f>
        <v>58</v>
      </c>
      <c r="BM27" s="59" t="n">
        <f aca="false">Calendario!BM$5</f>
        <v>59</v>
      </c>
      <c r="BN27" s="59" t="n">
        <f aca="false">Calendario!BN$5</f>
        <v>60</v>
      </c>
      <c r="BO27" s="59" t="n">
        <f aca="false">Calendario!BO$5</f>
        <v>61</v>
      </c>
      <c r="BP27" s="59" t="n">
        <f aca="false">Calendario!BP$5</f>
        <v>62</v>
      </c>
      <c r="BQ27" s="59" t="n">
        <f aca="false">Calendario!BQ$5</f>
        <v>63</v>
      </c>
      <c r="BR27" s="59" t="n">
        <f aca="false">Calendario!BR$5</f>
        <v>64</v>
      </c>
      <c r="BS27" s="59" t="n">
        <f aca="false">Calendario!BS$5</f>
        <v>65</v>
      </c>
      <c r="BT27" s="59" t="n">
        <f aca="false">Calendario!BT$5</f>
        <v>66</v>
      </c>
      <c r="BU27" s="59" t="n">
        <f aca="false">Calendario!BU$5</f>
        <v>67</v>
      </c>
      <c r="BV27" s="59" t="n">
        <f aca="false">Calendario!BV$5</f>
        <v>68</v>
      </c>
      <c r="BW27" s="59" t="n">
        <f aca="false">Calendario!BW$5</f>
        <v>69</v>
      </c>
      <c r="BX27" s="59" t="n">
        <f aca="false">Calendario!BX$5</f>
        <v>70</v>
      </c>
      <c r="BY27" s="59" t="n">
        <f aca="false">Calendario!BY$5</f>
        <v>71</v>
      </c>
      <c r="BZ27" s="59" t="n">
        <f aca="false">Calendario!BZ$5</f>
        <v>72</v>
      </c>
      <c r="CA27" s="59" t="n">
        <f aca="false">Calendario!CA$5</f>
        <v>73</v>
      </c>
      <c r="CB27" s="59" t="n">
        <f aca="false">Calendario!CB$5</f>
        <v>74</v>
      </c>
      <c r="CC27" s="59" t="n">
        <f aca="false">Calendario!CC$5</f>
        <v>75</v>
      </c>
      <c r="CD27" s="59" t="n">
        <f aca="false">Calendario!CD$5</f>
        <v>76</v>
      </c>
      <c r="CE27" s="59" t="n">
        <f aca="false">Calendario!CE$5</f>
        <v>77</v>
      </c>
      <c r="CF27" s="59" t="n">
        <f aca="false">Calendario!CF$5</f>
        <v>78</v>
      </c>
      <c r="CG27" s="59" t="n">
        <f aca="false">Calendario!CG$5</f>
        <v>79</v>
      </c>
      <c r="CH27" s="59" t="n">
        <f aca="false">Calendario!CH$5</f>
        <v>80</v>
      </c>
      <c r="CI27" s="59" t="n">
        <f aca="false">Calendario!CI$5</f>
        <v>81</v>
      </c>
      <c r="CJ27" s="59" t="n">
        <f aca="false">Calendario!CJ$5</f>
        <v>82</v>
      </c>
      <c r="CK27" s="59" t="n">
        <f aca="false">Calendario!CK$5</f>
        <v>83</v>
      </c>
      <c r="CL27" s="59" t="n">
        <f aca="false">Calendario!CL$5</f>
        <v>84</v>
      </c>
      <c r="CM27" s="59" t="n">
        <f aca="false">Calendario!CM$5</f>
        <v>85</v>
      </c>
      <c r="CN27" s="59" t="n">
        <f aca="false">Calendario!CN$5</f>
        <v>86</v>
      </c>
      <c r="CO27" s="59" t="n">
        <f aca="false">Calendario!CO$5</f>
        <v>87</v>
      </c>
      <c r="CP27" s="59" t="n">
        <f aca="false">Calendario!CP$5</f>
        <v>88</v>
      </c>
      <c r="CQ27" s="59" t="n">
        <f aca="false">Calendario!CQ$5</f>
        <v>89</v>
      </c>
      <c r="CR27" s="59" t="n">
        <f aca="false">Calendario!CR$5</f>
        <v>90</v>
      </c>
      <c r="CS27" s="59" t="n">
        <f aca="false">Calendario!CS$5</f>
        <v>91</v>
      </c>
      <c r="CT27" s="59" t="n">
        <f aca="false">Calendario!CT$5</f>
        <v>92</v>
      </c>
      <c r="CU27" s="59" t="n">
        <f aca="false">Calendario!CU$5</f>
        <v>93</v>
      </c>
      <c r="CV27" s="59" t="n">
        <f aca="false">Calendario!CV$5</f>
        <v>94</v>
      </c>
      <c r="CW27" s="59" t="n">
        <f aca="false">Calendario!CW$5</f>
        <v>95</v>
      </c>
      <c r="CX27" s="59" t="n">
        <f aca="false">Calendario!CX$5</f>
        <v>96</v>
      </c>
      <c r="CY27" s="59" t="n">
        <f aca="false">Calendario!CY$5</f>
        <v>97</v>
      </c>
      <c r="CZ27" s="59" t="n">
        <f aca="false">Calendario!CZ$5</f>
        <v>98</v>
      </c>
      <c r="DA27" s="59" t="n">
        <f aca="false">Calendario!DA$5</f>
        <v>99</v>
      </c>
      <c r="DB27" s="59" t="n">
        <f aca="false">Calendario!DB$5</f>
        <v>100</v>
      </c>
      <c r="DC27" s="59" t="n">
        <f aca="false">Calendario!DC$5</f>
        <v>101</v>
      </c>
      <c r="DD27" s="59" t="n">
        <f aca="false">Calendario!DD$5</f>
        <v>102</v>
      </c>
      <c r="DE27" s="59" t="n">
        <f aca="false">Calendario!DE$5</f>
        <v>103</v>
      </c>
      <c r="DF27" s="59" t="n">
        <f aca="false">Calendario!DF$5</f>
        <v>104</v>
      </c>
      <c r="DG27" s="59" t="n">
        <f aca="false">Calendario!DG$5</f>
        <v>105</v>
      </c>
      <c r="DH27" s="59" t="n">
        <f aca="false">Calendario!DH$5</f>
        <v>106</v>
      </c>
      <c r="DI27" s="59" t="n">
        <f aca="false">Calendario!DI$5</f>
        <v>107</v>
      </c>
      <c r="DJ27" s="59" t="n">
        <f aca="false">Calendario!DJ$5</f>
        <v>108</v>
      </c>
      <c r="DK27" s="59" t="n">
        <f aca="false">Calendario!DK$5</f>
        <v>109</v>
      </c>
      <c r="DL27" s="59" t="n">
        <f aca="false">Calendario!DL$5</f>
        <v>110</v>
      </c>
      <c r="DM27" s="59" t="n">
        <f aca="false">Calendario!DM$5</f>
        <v>111</v>
      </c>
      <c r="DN27" s="59" t="n">
        <f aca="false">Calendario!DN$5</f>
        <v>112</v>
      </c>
      <c r="DO27" s="59" t="n">
        <f aca="false">Calendario!DO$5</f>
        <v>113</v>
      </c>
      <c r="DP27" s="59" t="n">
        <f aca="false">Calendario!DP$5</f>
        <v>114</v>
      </c>
      <c r="DQ27" s="59" t="n">
        <f aca="false">Calendario!DQ$5</f>
        <v>115</v>
      </c>
      <c r="DR27" s="59" t="n">
        <f aca="false">Calendario!DR$5</f>
        <v>116</v>
      </c>
      <c r="DS27" s="59" t="n">
        <f aca="false">Calendario!DS$5</f>
        <v>117</v>
      </c>
      <c r="DT27" s="59" t="n">
        <f aca="false">Calendario!DT$5</f>
        <v>118</v>
      </c>
      <c r="DU27" s="59" t="n">
        <f aca="false">Calendario!DU$5</f>
        <v>119</v>
      </c>
      <c r="DV27" s="59" t="n">
        <f aca="false">Calendario!DV$5</f>
        <v>120</v>
      </c>
      <c r="DW27" s="59" t="n">
        <f aca="false">Calendario!DW$5</f>
        <v>121</v>
      </c>
      <c r="DX27" s="59" t="n">
        <f aca="false">Calendario!DX$5</f>
        <v>122</v>
      </c>
      <c r="DY27" s="59" t="n">
        <f aca="false">Calendario!DY$5</f>
        <v>123</v>
      </c>
      <c r="DZ27" s="59" t="n">
        <f aca="false">Calendario!DZ$5</f>
        <v>124</v>
      </c>
      <c r="EA27" s="59" t="n">
        <f aca="false">Calendario!EA$5</f>
        <v>125</v>
      </c>
      <c r="EB27" s="59" t="n">
        <f aca="false">Calendario!EB$5</f>
        <v>126</v>
      </c>
      <c r="EC27" s="59" t="n">
        <f aca="false">Calendario!EC$5</f>
        <v>127</v>
      </c>
      <c r="ED27" s="59" t="n">
        <f aca="false">Calendario!ED$5</f>
        <v>128</v>
      </c>
      <c r="EE27" s="59" t="n">
        <f aca="false">Calendario!EE$5</f>
        <v>129</v>
      </c>
      <c r="EF27" s="59" t="n">
        <f aca="false">Calendario!EF$5</f>
        <v>130</v>
      </c>
      <c r="EG27" s="59" t="n">
        <f aca="false">Calendario!EG$5</f>
        <v>131</v>
      </c>
      <c r="EH27" s="59" t="n">
        <f aca="false">Calendario!EH$5</f>
        <v>132</v>
      </c>
      <c r="EI27" s="59" t="n">
        <f aca="false">Calendario!EI$5</f>
        <v>133</v>
      </c>
      <c r="EJ27" s="59" t="n">
        <f aca="false">Calendario!EJ$5</f>
        <v>134</v>
      </c>
      <c r="EK27" s="59" t="n">
        <f aca="false">Calendario!EK$5</f>
        <v>135</v>
      </c>
      <c r="EL27" s="59" t="n">
        <f aca="false">Calendario!EL$5</f>
        <v>136</v>
      </c>
      <c r="EM27" s="59" t="n">
        <f aca="false">Calendario!EM$5</f>
        <v>137</v>
      </c>
      <c r="EN27" s="59" t="n">
        <f aca="false">Calendario!EN$5</f>
        <v>138</v>
      </c>
      <c r="EO27" s="59" t="n">
        <f aca="false">Calendario!EO$5</f>
        <v>139</v>
      </c>
      <c r="EP27" s="59" t="n">
        <f aca="false">Calendario!EP$5</f>
        <v>140</v>
      </c>
      <c r="EQ27" s="59" t="n">
        <f aca="false">Calendario!EQ$5</f>
        <v>141</v>
      </c>
      <c r="ER27" s="59" t="n">
        <f aca="false">Calendario!ER$5</f>
        <v>142</v>
      </c>
      <c r="ES27" s="59" t="n">
        <f aca="false">Calendario!ES$5</f>
        <v>143</v>
      </c>
      <c r="ET27" s="59" t="n">
        <f aca="false">Calendario!ET$5</f>
        <v>144</v>
      </c>
      <c r="EU27" s="59" t="n">
        <f aca="false">Calendario!EU$5</f>
        <v>145</v>
      </c>
      <c r="EV27" s="59" t="n">
        <f aca="false">Calendario!EV$5</f>
        <v>146</v>
      </c>
      <c r="EW27" s="59" t="n">
        <f aca="false">Calendario!EW$5</f>
        <v>147</v>
      </c>
      <c r="EX27" s="59" t="n">
        <f aca="false">Calendario!EX$5</f>
        <v>148</v>
      </c>
      <c r="EY27" s="59" t="n">
        <f aca="false">Calendario!EY$5</f>
        <v>149</v>
      </c>
      <c r="EZ27" s="59" t="n">
        <f aca="false">Calendario!EZ$5</f>
        <v>150</v>
      </c>
      <c r="FA27" s="59" t="n">
        <f aca="false">Calendario!FA$5</f>
        <v>151</v>
      </c>
      <c r="FB27" s="59" t="n">
        <f aca="false">Calendario!FB$5</f>
        <v>152</v>
      </c>
      <c r="FC27" s="59" t="n">
        <f aca="false">Calendario!FC$5</f>
        <v>153</v>
      </c>
      <c r="FD27" s="59" t="n">
        <f aca="false">Calendario!FD$5</f>
        <v>154</v>
      </c>
      <c r="FE27" s="59" t="n">
        <f aca="false">Calendario!FE$5</f>
        <v>155</v>
      </c>
      <c r="FF27" s="59" t="n">
        <f aca="false">Calendario!FF$5</f>
        <v>156</v>
      </c>
    </row>
    <row r="28" customFormat="false" ht="15" hidden="false" customHeight="false" outlineLevel="0" collapsed="false">
      <c r="A28" s="8" t="s">
        <v>810</v>
      </c>
      <c r="B28" s="5" t="s">
        <v>811</v>
      </c>
      <c r="F28" s="64" t="str">
        <f aca="false">Calendario!F$6</f>
        <v>s/f</v>
      </c>
      <c r="G28" s="64" t="str">
        <f aca="false">Calendario!G$6</f>
        <v>s/f</v>
      </c>
      <c r="H28" s="64" t="str">
        <f aca="false">Calendario!H$6</f>
        <v>s/f</v>
      </c>
      <c r="I28" s="64" t="str">
        <f aca="false">Calendario!I$6</f>
        <v>s/f</v>
      </c>
      <c r="J28" s="64" t="str">
        <f aca="false">Calendario!J$6</f>
        <v>s/f</v>
      </c>
      <c r="K28" s="64" t="str">
        <f aca="false">Calendario!K$6</f>
        <v>s/f</v>
      </c>
      <c r="L28" s="64" t="str">
        <f aca="false">Calendario!L$6</f>
        <v>s/f</v>
      </c>
      <c r="M28" s="64" t="str">
        <f aca="false">Calendario!M$6</f>
        <v>s/f</v>
      </c>
      <c r="N28" s="64" t="str">
        <f aca="false">Calendario!N$6</f>
        <v>s/f</v>
      </c>
      <c r="O28" s="64" t="str">
        <f aca="false">Calendario!O$6</f>
        <v>s/f</v>
      </c>
      <c r="P28" s="64" t="str">
        <f aca="false">Calendario!P$6</f>
        <v>s/f</v>
      </c>
      <c r="Q28" s="64" t="str">
        <f aca="false">Calendario!Q$6</f>
        <v>s/f</v>
      </c>
      <c r="R28" s="64" t="str">
        <f aca="false">Calendario!R$6</f>
        <v>s/f</v>
      </c>
      <c r="S28" s="64" t="str">
        <f aca="false">Calendario!S$6</f>
        <v>s/f</v>
      </c>
      <c r="T28" s="64" t="str">
        <f aca="false">Calendario!T$6</f>
        <v>s/f</v>
      </c>
      <c r="U28" s="64" t="str">
        <f aca="false">Calendario!U$6</f>
        <v>s/f</v>
      </c>
      <c r="V28" s="64" t="str">
        <f aca="false">Calendario!V$6</f>
        <v>s/f</v>
      </c>
      <c r="W28" s="64" t="str">
        <f aca="false">Calendario!W$6</f>
        <v>s/f</v>
      </c>
      <c r="X28" s="64" t="str">
        <f aca="false">Calendario!X$6</f>
        <v>s/f</v>
      </c>
      <c r="Y28" s="64" t="str">
        <f aca="false">Calendario!Y$6</f>
        <v>s/f</v>
      </c>
      <c r="Z28" s="64" t="str">
        <f aca="false">Calendario!Z$6</f>
        <v>s/f</v>
      </c>
      <c r="AA28" s="64" t="str">
        <f aca="false">Calendario!AA$6</f>
        <v>s/f</v>
      </c>
      <c r="AB28" s="64" t="str">
        <f aca="false">Calendario!AB$6</f>
        <v>s/f</v>
      </c>
      <c r="AC28" s="64" t="str">
        <f aca="false">Calendario!AC$6</f>
        <v>s/f</v>
      </c>
      <c r="AD28" s="64" t="str">
        <f aca="false">Calendario!AD$6</f>
        <v>s/f</v>
      </c>
      <c r="AE28" s="64" t="str">
        <f aca="false">Calendario!AE$6</f>
        <v>s/f</v>
      </c>
      <c r="AF28" s="64" t="str">
        <f aca="false">Calendario!AF$6</f>
        <v>s/f</v>
      </c>
      <c r="AG28" s="64" t="str">
        <f aca="false">Calendario!AG$6</f>
        <v>s/f</v>
      </c>
      <c r="AH28" s="64" t="str">
        <f aca="false">Calendario!AH$6</f>
        <v>s/f</v>
      </c>
      <c r="AI28" s="64" t="str">
        <f aca="false">Calendario!AI$6</f>
        <v>s/f</v>
      </c>
      <c r="AJ28" s="64" t="str">
        <f aca="false">Calendario!AJ$6</f>
        <v>s/f</v>
      </c>
      <c r="AK28" s="64" t="str">
        <f aca="false">Calendario!AK$6</f>
        <v>s/f</v>
      </c>
      <c r="AL28" s="64" t="str">
        <f aca="false">Calendario!AL$6</f>
        <v>s/f</v>
      </c>
      <c r="AM28" s="64" t="str">
        <f aca="false">Calendario!AM$6</f>
        <v>s/f</v>
      </c>
      <c r="AN28" s="64" t="str">
        <f aca="false">Calendario!AN$6</f>
        <v>s/f</v>
      </c>
      <c r="AO28" s="64" t="str">
        <f aca="false">Calendario!AO$6</f>
        <v>s/f</v>
      </c>
      <c r="AP28" s="64" t="str">
        <f aca="false">Calendario!AP$6</f>
        <v>s/f</v>
      </c>
      <c r="AQ28" s="64" t="str">
        <f aca="false">Calendario!AQ$6</f>
        <v>s/f</v>
      </c>
      <c r="AR28" s="64" t="str">
        <f aca="false">Calendario!AR$6</f>
        <v>s/f</v>
      </c>
      <c r="AS28" s="64" t="str">
        <f aca="false">Calendario!AS$6</f>
        <v>s/f</v>
      </c>
      <c r="AT28" s="64" t="str">
        <f aca="false">Calendario!AT$6</f>
        <v>s/f</v>
      </c>
      <c r="AU28" s="64" t="str">
        <f aca="false">Calendario!AU$6</f>
        <v>s/f</v>
      </c>
      <c r="AV28" s="64" t="str">
        <f aca="false">Calendario!AV$6</f>
        <v>s/f</v>
      </c>
      <c r="AW28" s="64" t="str">
        <f aca="false">Calendario!AW$6</f>
        <v>s/f</v>
      </c>
      <c r="AX28" s="64" t="str">
        <f aca="false">Calendario!AX$6</f>
        <v>s/f</v>
      </c>
      <c r="AY28" s="64" t="str">
        <f aca="false">Calendario!AY$6</f>
        <v>s/f</v>
      </c>
      <c r="AZ28" s="64" t="str">
        <f aca="false">Calendario!AZ$6</f>
        <v>s/f</v>
      </c>
      <c r="BA28" s="64" t="str">
        <f aca="false">Calendario!BA$6</f>
        <v>s/f</v>
      </c>
      <c r="BB28" s="64" t="str">
        <f aca="false">Calendario!BB$6</f>
        <v>s/f</v>
      </c>
      <c r="BC28" s="64" t="str">
        <f aca="false">Calendario!BC$6</f>
        <v>s/f</v>
      </c>
      <c r="BD28" s="64" t="str">
        <f aca="false">Calendario!BD$6</f>
        <v>s/f</v>
      </c>
      <c r="BE28" s="64" t="str">
        <f aca="false">Calendario!BE$6</f>
        <v>s/f</v>
      </c>
      <c r="BF28" s="64" t="str">
        <f aca="false">Calendario!BF$6</f>
        <v>s/f</v>
      </c>
      <c r="BG28" s="64" t="str">
        <f aca="false">Calendario!BG$6</f>
        <v>s/f</v>
      </c>
      <c r="BH28" s="64" t="str">
        <f aca="false">Calendario!BH$6</f>
        <v>s/f</v>
      </c>
      <c r="BI28" s="64" t="str">
        <f aca="false">Calendario!BI$6</f>
        <v>s/f</v>
      </c>
      <c r="BJ28" s="64" t="str">
        <f aca="false">Calendario!BJ$6</f>
        <v>s/f</v>
      </c>
      <c r="BK28" s="64" t="str">
        <f aca="false">Calendario!BK$6</f>
        <v>s/f</v>
      </c>
      <c r="BL28" s="64" t="str">
        <f aca="false">Calendario!BL$6</f>
        <v>s/f</v>
      </c>
      <c r="BM28" s="64" t="str">
        <f aca="false">Calendario!BM$6</f>
        <v>s/f</v>
      </c>
      <c r="BN28" s="64" t="str">
        <f aca="false">Calendario!BN$6</f>
        <v>s/f</v>
      </c>
      <c r="BO28" s="64" t="str">
        <f aca="false">Calendario!BO$6</f>
        <v>s/f</v>
      </c>
      <c r="BP28" s="64" t="str">
        <f aca="false">Calendario!BP$6</f>
        <v>s/f</v>
      </c>
      <c r="BQ28" s="64" t="str">
        <f aca="false">Calendario!BQ$6</f>
        <v>s/f</v>
      </c>
      <c r="BR28" s="64" t="str">
        <f aca="false">Calendario!BR$6</f>
        <v>s/f</v>
      </c>
      <c r="BS28" s="64" t="str">
        <f aca="false">Calendario!BS$6</f>
        <v>s/f</v>
      </c>
      <c r="BT28" s="64" t="str">
        <f aca="false">Calendario!BT$6</f>
        <v>s/f</v>
      </c>
      <c r="BU28" s="64" t="str">
        <f aca="false">Calendario!BU$6</f>
        <v>s/f</v>
      </c>
      <c r="BV28" s="64" t="str">
        <f aca="false">Calendario!BV$6</f>
        <v>s/f</v>
      </c>
      <c r="BW28" s="64" t="str">
        <f aca="false">Calendario!BW$6</f>
        <v>s/f</v>
      </c>
      <c r="BX28" s="64" t="str">
        <f aca="false">Calendario!BX$6</f>
        <v>s/f</v>
      </c>
      <c r="BY28" s="64" t="str">
        <f aca="false">Calendario!BY$6</f>
        <v>s/f</v>
      </c>
      <c r="BZ28" s="64" t="str">
        <f aca="false">Calendario!BZ$6</f>
        <v>s/f</v>
      </c>
      <c r="CA28" s="64" t="str">
        <f aca="false">Calendario!CA$6</f>
        <v>s/f</v>
      </c>
      <c r="CB28" s="64" t="str">
        <f aca="false">Calendario!CB$6</f>
        <v>s/f</v>
      </c>
      <c r="CC28" s="64" t="str">
        <f aca="false">Calendario!CC$6</f>
        <v>s/f</v>
      </c>
      <c r="CD28" s="64" t="str">
        <f aca="false">Calendario!CD$6</f>
        <v>s/f</v>
      </c>
      <c r="CE28" s="64" t="str">
        <f aca="false">Calendario!CE$6</f>
        <v>s/f</v>
      </c>
      <c r="CF28" s="64" t="str">
        <f aca="false">Calendario!CF$6</f>
        <v>s/f</v>
      </c>
      <c r="CG28" s="64" t="str">
        <f aca="false">Calendario!CG$6</f>
        <v>s/f</v>
      </c>
      <c r="CH28" s="64" t="str">
        <f aca="false">Calendario!CH$6</f>
        <v>s/f</v>
      </c>
      <c r="CI28" s="64" t="str">
        <f aca="false">Calendario!CI$6</f>
        <v>s/f</v>
      </c>
      <c r="CJ28" s="64" t="str">
        <f aca="false">Calendario!CJ$6</f>
        <v>s/f</v>
      </c>
      <c r="CK28" s="64" t="str">
        <f aca="false">Calendario!CK$6</f>
        <v>s/f</v>
      </c>
      <c r="CL28" s="64" t="str">
        <f aca="false">Calendario!CL$6</f>
        <v>s/f</v>
      </c>
      <c r="CM28" s="64" t="str">
        <f aca="false">Calendario!CM$6</f>
        <v>s/f</v>
      </c>
      <c r="CN28" s="64" t="str">
        <f aca="false">Calendario!CN$6</f>
        <v>s/f</v>
      </c>
      <c r="CO28" s="64" t="str">
        <f aca="false">Calendario!CO$6</f>
        <v>s/f</v>
      </c>
      <c r="CP28" s="64" t="str">
        <f aca="false">Calendario!CP$6</f>
        <v>s/f</v>
      </c>
      <c r="CQ28" s="64" t="str">
        <f aca="false">Calendario!CQ$6</f>
        <v>s/f</v>
      </c>
      <c r="CR28" s="64" t="str">
        <f aca="false">Calendario!CR$6</f>
        <v>s/f</v>
      </c>
      <c r="CS28" s="64" t="str">
        <f aca="false">Calendario!CS$6</f>
        <v>s/f</v>
      </c>
      <c r="CT28" s="64" t="str">
        <f aca="false">Calendario!CT$6</f>
        <v>s/f</v>
      </c>
      <c r="CU28" s="64" t="str">
        <f aca="false">Calendario!CU$6</f>
        <v>s/f</v>
      </c>
      <c r="CV28" s="64" t="str">
        <f aca="false">Calendario!CV$6</f>
        <v>s/f</v>
      </c>
      <c r="CW28" s="64" t="str">
        <f aca="false">Calendario!CW$6</f>
        <v>s/f</v>
      </c>
      <c r="CX28" s="64" t="str">
        <f aca="false">Calendario!CX$6</f>
        <v>s/f</v>
      </c>
      <c r="CY28" s="64" t="str">
        <f aca="false">Calendario!CY$6</f>
        <v>s/f</v>
      </c>
      <c r="CZ28" s="64" t="str">
        <f aca="false">Calendario!CZ$6</f>
        <v>s/f</v>
      </c>
      <c r="DA28" s="64" t="str">
        <f aca="false">Calendario!DA$6</f>
        <v>s/f</v>
      </c>
      <c r="DB28" s="64" t="str">
        <f aca="false">Calendario!DB$6</f>
        <v>s/f</v>
      </c>
      <c r="DC28" s="64" t="str">
        <f aca="false">Calendario!DC$6</f>
        <v>s/f</v>
      </c>
      <c r="DD28" s="64" t="str">
        <f aca="false">Calendario!DD$6</f>
        <v>s/f</v>
      </c>
      <c r="DE28" s="64" t="str">
        <f aca="false">Calendario!DE$6</f>
        <v>s/f</v>
      </c>
      <c r="DF28" s="64" t="str">
        <f aca="false">Calendario!DF$6</f>
        <v>s/f</v>
      </c>
      <c r="DG28" s="64" t="str">
        <f aca="false">Calendario!DG$6</f>
        <v>s/f</v>
      </c>
      <c r="DH28" s="64" t="str">
        <f aca="false">Calendario!DH$6</f>
        <v>s/f</v>
      </c>
      <c r="DI28" s="64" t="str">
        <f aca="false">Calendario!DI$6</f>
        <v>s/f</v>
      </c>
      <c r="DJ28" s="64" t="str">
        <f aca="false">Calendario!DJ$6</f>
        <v>s/f</v>
      </c>
      <c r="DK28" s="64" t="str">
        <f aca="false">Calendario!DK$6</f>
        <v>s/f</v>
      </c>
      <c r="DL28" s="64" t="str">
        <f aca="false">Calendario!DL$6</f>
        <v>s/f</v>
      </c>
      <c r="DM28" s="64" t="str">
        <f aca="false">Calendario!DM$6</f>
        <v>s/f</v>
      </c>
      <c r="DN28" s="64" t="str">
        <f aca="false">Calendario!DN$6</f>
        <v>s/f</v>
      </c>
      <c r="DO28" s="64" t="str">
        <f aca="false">Calendario!DO$6</f>
        <v>s/f</v>
      </c>
      <c r="DP28" s="64" t="str">
        <f aca="false">Calendario!DP$6</f>
        <v>s/f</v>
      </c>
      <c r="DQ28" s="64" t="str">
        <f aca="false">Calendario!DQ$6</f>
        <v>s/f</v>
      </c>
      <c r="DR28" s="64" t="str">
        <f aca="false">Calendario!DR$6</f>
        <v>s/f</v>
      </c>
      <c r="DS28" s="64" t="str">
        <f aca="false">Calendario!DS$6</f>
        <v>s/f</v>
      </c>
      <c r="DT28" s="64" t="str">
        <f aca="false">Calendario!DT$6</f>
        <v>s/f</v>
      </c>
      <c r="DU28" s="64" t="str">
        <f aca="false">Calendario!DU$6</f>
        <v>s/f</v>
      </c>
      <c r="DV28" s="64" t="str">
        <f aca="false">Calendario!DV$6</f>
        <v>s/f</v>
      </c>
      <c r="DW28" s="64" t="str">
        <f aca="false">Calendario!DW$6</f>
        <v>s/f</v>
      </c>
      <c r="DX28" s="64" t="str">
        <f aca="false">Calendario!DX$6</f>
        <v>s/f</v>
      </c>
      <c r="DY28" s="64" t="str">
        <f aca="false">Calendario!DY$6</f>
        <v>s/f</v>
      </c>
      <c r="DZ28" s="64" t="str">
        <f aca="false">Calendario!DZ$6</f>
        <v>s/f</v>
      </c>
      <c r="EA28" s="64" t="str">
        <f aca="false">Calendario!EA$6</f>
        <v>s/f</v>
      </c>
      <c r="EB28" s="64" t="str">
        <f aca="false">Calendario!EB$6</f>
        <v>s/f</v>
      </c>
      <c r="EC28" s="64" t="str">
        <f aca="false">Calendario!EC$6</f>
        <v>s/f</v>
      </c>
      <c r="ED28" s="64" t="str">
        <f aca="false">Calendario!ED$6</f>
        <v>s/f</v>
      </c>
      <c r="EE28" s="64" t="str">
        <f aca="false">Calendario!EE$6</f>
        <v>s/f</v>
      </c>
      <c r="EF28" s="64" t="str">
        <f aca="false">Calendario!EF$6</f>
        <v>s/f</v>
      </c>
      <c r="EG28" s="64" t="str">
        <f aca="false">Calendario!EG$6</f>
        <v>s/f</v>
      </c>
      <c r="EH28" s="64" t="str">
        <f aca="false">Calendario!EH$6</f>
        <v>s/f</v>
      </c>
      <c r="EI28" s="64" t="str">
        <f aca="false">Calendario!EI$6</f>
        <v>s/f</v>
      </c>
      <c r="EJ28" s="64" t="str">
        <f aca="false">Calendario!EJ$6</f>
        <v>s/f</v>
      </c>
      <c r="EK28" s="64" t="str">
        <f aca="false">Calendario!EK$6</f>
        <v>s/f</v>
      </c>
      <c r="EL28" s="64" t="str">
        <f aca="false">Calendario!EL$6</f>
        <v>s/f</v>
      </c>
      <c r="EM28" s="64" t="str">
        <f aca="false">Calendario!EM$6</f>
        <v>s/f</v>
      </c>
      <c r="EN28" s="64" t="str">
        <f aca="false">Calendario!EN$6</f>
        <v>s/f</v>
      </c>
      <c r="EO28" s="64" t="str">
        <f aca="false">Calendario!EO$6</f>
        <v>s/f</v>
      </c>
      <c r="EP28" s="64" t="str">
        <f aca="false">Calendario!EP$6</f>
        <v>s/f</v>
      </c>
      <c r="EQ28" s="64" t="str">
        <f aca="false">Calendario!EQ$6</f>
        <v>s/f</v>
      </c>
      <c r="ER28" s="64" t="str">
        <f aca="false">Calendario!ER$6</f>
        <v>s/f</v>
      </c>
      <c r="ES28" s="64" t="str">
        <f aca="false">Calendario!ES$6</f>
        <v>s/f</v>
      </c>
      <c r="ET28" s="64" t="str">
        <f aca="false">Calendario!ET$6</f>
        <v>s/f</v>
      </c>
      <c r="EU28" s="64" t="str">
        <f aca="false">Calendario!EU$6</f>
        <v>s/f</v>
      </c>
      <c r="EV28" s="64" t="str">
        <f aca="false">Calendario!EV$6</f>
        <v>s/f</v>
      </c>
      <c r="EW28" s="64" t="str">
        <f aca="false">Calendario!EW$6</f>
        <v>s/f</v>
      </c>
      <c r="EX28" s="64" t="str">
        <f aca="false">Calendario!EX$6</f>
        <v>s/f</v>
      </c>
      <c r="EY28" s="64" t="str">
        <f aca="false">Calendario!EY$6</f>
        <v>s/f</v>
      </c>
      <c r="EZ28" s="64" t="str">
        <f aca="false">Calendario!EZ$6</f>
        <v>s/f</v>
      </c>
      <c r="FA28" s="64" t="str">
        <f aca="false">Calendario!FA$6</f>
        <v>s/f</v>
      </c>
      <c r="FB28" s="64" t="str">
        <f aca="false">Calendario!FB$6</f>
        <v>s/f</v>
      </c>
      <c r="FC28" s="64" t="str">
        <f aca="false">Calendario!FC$6</f>
        <v>s/f</v>
      </c>
      <c r="FD28" s="64" t="str">
        <f aca="false">Calendario!FD$6</f>
        <v>s/f</v>
      </c>
      <c r="FE28" s="64" t="str">
        <f aca="false">Calendario!FE$6</f>
        <v>s/f</v>
      </c>
      <c r="FF28" s="64" t="str">
        <f aca="false">Calendario!FF$6</f>
        <v>s/f</v>
      </c>
    </row>
    <row r="29" customFormat="false" ht="15" hidden="false" customHeight="false" outlineLevel="0" collapsed="false">
      <c r="A29" s="8" t="s">
        <v>812</v>
      </c>
      <c r="B29" s="5" t="s">
        <v>813</v>
      </c>
      <c r="F29" s="43" t="n">
        <f aca="false">Calendario!F$7</f>
        <v>0</v>
      </c>
      <c r="G29" s="43" t="n">
        <f aca="false">Calendario!G$7</f>
        <v>1</v>
      </c>
      <c r="H29" s="43" t="n">
        <f aca="false">Calendario!H$7</f>
        <v>1</v>
      </c>
      <c r="I29" s="43" t="n">
        <f aca="false">Calendario!I$7</f>
        <v>1</v>
      </c>
      <c r="J29" s="43" t="n">
        <f aca="false">Calendario!J$7</f>
        <v>1</v>
      </c>
      <c r="K29" s="43" t="n">
        <f aca="false">Calendario!K$7</f>
        <v>1</v>
      </c>
      <c r="L29" s="43" t="n">
        <f aca="false">Calendario!L$7</f>
        <v>1</v>
      </c>
      <c r="M29" s="43" t="n">
        <f aca="false">Calendario!M$7</f>
        <v>1</v>
      </c>
      <c r="N29" s="43" t="n">
        <f aca="false">Calendario!N$7</f>
        <v>1</v>
      </c>
      <c r="O29" s="43" t="n">
        <f aca="false">Calendario!O$7</f>
        <v>1</v>
      </c>
      <c r="P29" s="43" t="n">
        <f aca="false">Calendario!P$7</f>
        <v>1</v>
      </c>
      <c r="Q29" s="43" t="n">
        <f aca="false">Calendario!Q$7</f>
        <v>1</v>
      </c>
      <c r="R29" s="43" t="n">
        <f aca="false">Calendario!R$7</f>
        <v>1</v>
      </c>
      <c r="S29" s="43" t="n">
        <f aca="false">Calendario!S$7</f>
        <v>2</v>
      </c>
      <c r="T29" s="43" t="n">
        <f aca="false">Calendario!T$7</f>
        <v>2</v>
      </c>
      <c r="U29" s="43" t="n">
        <f aca="false">Calendario!U$7</f>
        <v>2</v>
      </c>
      <c r="V29" s="43" t="n">
        <f aca="false">Calendario!V$7</f>
        <v>2</v>
      </c>
      <c r="W29" s="43" t="n">
        <f aca="false">Calendario!W$7</f>
        <v>2</v>
      </c>
      <c r="X29" s="43" t="n">
        <f aca="false">Calendario!X$7</f>
        <v>2</v>
      </c>
      <c r="Y29" s="43" t="n">
        <f aca="false">Calendario!Y$7</f>
        <v>2</v>
      </c>
      <c r="Z29" s="43" t="n">
        <f aca="false">Calendario!Z$7</f>
        <v>2</v>
      </c>
      <c r="AA29" s="43" t="n">
        <f aca="false">Calendario!AA$7</f>
        <v>2</v>
      </c>
      <c r="AB29" s="43" t="n">
        <f aca="false">Calendario!AB$7</f>
        <v>2</v>
      </c>
      <c r="AC29" s="43" t="n">
        <f aca="false">Calendario!AC$7</f>
        <v>2</v>
      </c>
      <c r="AD29" s="43" t="n">
        <f aca="false">Calendario!AD$7</f>
        <v>2</v>
      </c>
      <c r="AE29" s="43" t="n">
        <f aca="false">Calendario!AE$7</f>
        <v>3</v>
      </c>
      <c r="AF29" s="43" t="n">
        <f aca="false">Calendario!AF$7</f>
        <v>3</v>
      </c>
      <c r="AG29" s="43" t="n">
        <f aca="false">Calendario!AG$7</f>
        <v>3</v>
      </c>
      <c r="AH29" s="43" t="n">
        <f aca="false">Calendario!AH$7</f>
        <v>3</v>
      </c>
      <c r="AI29" s="43" t="n">
        <f aca="false">Calendario!AI$7</f>
        <v>3</v>
      </c>
      <c r="AJ29" s="43" t="n">
        <f aca="false">Calendario!AJ$7</f>
        <v>3</v>
      </c>
      <c r="AK29" s="43" t="n">
        <f aca="false">Calendario!AK$7</f>
        <v>3</v>
      </c>
      <c r="AL29" s="43" t="n">
        <f aca="false">Calendario!AL$7</f>
        <v>3</v>
      </c>
      <c r="AM29" s="43" t="n">
        <f aca="false">Calendario!AM$7</f>
        <v>3</v>
      </c>
      <c r="AN29" s="43" t="n">
        <f aca="false">Calendario!AN$7</f>
        <v>3</v>
      </c>
      <c r="AO29" s="43" t="n">
        <f aca="false">Calendario!AO$7</f>
        <v>3</v>
      </c>
      <c r="AP29" s="43" t="n">
        <f aca="false">Calendario!AP$7</f>
        <v>3</v>
      </c>
      <c r="AQ29" s="43" t="n">
        <f aca="false">Calendario!AQ$7</f>
        <v>4</v>
      </c>
      <c r="AR29" s="43" t="n">
        <f aca="false">Calendario!AR$7</f>
        <v>4</v>
      </c>
      <c r="AS29" s="43" t="n">
        <f aca="false">Calendario!AS$7</f>
        <v>4</v>
      </c>
      <c r="AT29" s="43" t="n">
        <f aca="false">Calendario!AT$7</f>
        <v>4</v>
      </c>
      <c r="AU29" s="43" t="n">
        <f aca="false">Calendario!AU$7</f>
        <v>4</v>
      </c>
      <c r="AV29" s="43" t="n">
        <f aca="false">Calendario!AV$7</f>
        <v>4</v>
      </c>
      <c r="AW29" s="43" t="n">
        <f aca="false">Calendario!AW$7</f>
        <v>4</v>
      </c>
      <c r="AX29" s="43" t="n">
        <f aca="false">Calendario!AX$7</f>
        <v>4</v>
      </c>
      <c r="AY29" s="43" t="n">
        <f aca="false">Calendario!AY$7</f>
        <v>4</v>
      </c>
      <c r="AZ29" s="43" t="n">
        <f aca="false">Calendario!AZ$7</f>
        <v>4</v>
      </c>
      <c r="BA29" s="43" t="n">
        <f aca="false">Calendario!BA$7</f>
        <v>4</v>
      </c>
      <c r="BB29" s="43" t="n">
        <f aca="false">Calendario!BB$7</f>
        <v>4</v>
      </c>
      <c r="BC29" s="43" t="n">
        <f aca="false">Calendario!BC$7</f>
        <v>5</v>
      </c>
      <c r="BD29" s="43" t="n">
        <f aca="false">Calendario!BD$7</f>
        <v>5</v>
      </c>
      <c r="BE29" s="43" t="n">
        <f aca="false">Calendario!BE$7</f>
        <v>5</v>
      </c>
      <c r="BF29" s="43" t="n">
        <f aca="false">Calendario!BF$7</f>
        <v>5</v>
      </c>
      <c r="BG29" s="43" t="n">
        <f aca="false">Calendario!BG$7</f>
        <v>5</v>
      </c>
      <c r="BH29" s="43" t="n">
        <f aca="false">Calendario!BH$7</f>
        <v>5</v>
      </c>
      <c r="BI29" s="43" t="n">
        <f aca="false">Calendario!BI$7</f>
        <v>5</v>
      </c>
      <c r="BJ29" s="43" t="n">
        <f aca="false">Calendario!BJ$7</f>
        <v>5</v>
      </c>
      <c r="BK29" s="43" t="n">
        <f aca="false">Calendario!BK$7</f>
        <v>5</v>
      </c>
      <c r="BL29" s="43" t="n">
        <f aca="false">Calendario!BL$7</f>
        <v>5</v>
      </c>
      <c r="BM29" s="43" t="n">
        <f aca="false">Calendario!BM$7</f>
        <v>5</v>
      </c>
      <c r="BN29" s="43" t="n">
        <f aca="false">Calendario!BN$7</f>
        <v>5</v>
      </c>
      <c r="BO29" s="43" t="n">
        <f aca="false">Calendario!BO$7</f>
        <v>6</v>
      </c>
      <c r="BP29" s="43" t="n">
        <f aca="false">Calendario!BP$7</f>
        <v>6</v>
      </c>
      <c r="BQ29" s="43" t="n">
        <f aca="false">Calendario!BQ$7</f>
        <v>6</v>
      </c>
      <c r="BR29" s="43" t="n">
        <f aca="false">Calendario!BR$7</f>
        <v>6</v>
      </c>
      <c r="BS29" s="43" t="n">
        <f aca="false">Calendario!BS$7</f>
        <v>6</v>
      </c>
      <c r="BT29" s="43" t="n">
        <f aca="false">Calendario!BT$7</f>
        <v>6</v>
      </c>
      <c r="BU29" s="43" t="n">
        <f aca="false">Calendario!BU$7</f>
        <v>6</v>
      </c>
      <c r="BV29" s="43" t="n">
        <f aca="false">Calendario!BV$7</f>
        <v>6</v>
      </c>
      <c r="BW29" s="43" t="n">
        <f aca="false">Calendario!BW$7</f>
        <v>6</v>
      </c>
      <c r="BX29" s="43" t="n">
        <f aca="false">Calendario!BX$7</f>
        <v>6</v>
      </c>
      <c r="BY29" s="43" t="n">
        <f aca="false">Calendario!BY$7</f>
        <v>6</v>
      </c>
      <c r="BZ29" s="43" t="n">
        <f aca="false">Calendario!BZ$7</f>
        <v>6</v>
      </c>
      <c r="CA29" s="43" t="n">
        <f aca="false">Calendario!CA$7</f>
        <v>7</v>
      </c>
      <c r="CB29" s="43" t="n">
        <f aca="false">Calendario!CB$7</f>
        <v>7</v>
      </c>
      <c r="CC29" s="43" t="n">
        <f aca="false">Calendario!CC$7</f>
        <v>7</v>
      </c>
      <c r="CD29" s="43" t="n">
        <f aca="false">Calendario!CD$7</f>
        <v>7</v>
      </c>
      <c r="CE29" s="43" t="n">
        <f aca="false">Calendario!CE$7</f>
        <v>7</v>
      </c>
      <c r="CF29" s="43" t="n">
        <f aca="false">Calendario!CF$7</f>
        <v>7</v>
      </c>
      <c r="CG29" s="43" t="n">
        <f aca="false">Calendario!CG$7</f>
        <v>7</v>
      </c>
      <c r="CH29" s="43" t="n">
        <f aca="false">Calendario!CH$7</f>
        <v>7</v>
      </c>
      <c r="CI29" s="43" t="n">
        <f aca="false">Calendario!CI$7</f>
        <v>7</v>
      </c>
      <c r="CJ29" s="43" t="n">
        <f aca="false">Calendario!CJ$7</f>
        <v>7</v>
      </c>
      <c r="CK29" s="43" t="n">
        <f aca="false">Calendario!CK$7</f>
        <v>7</v>
      </c>
      <c r="CL29" s="43" t="n">
        <f aca="false">Calendario!CL$7</f>
        <v>7</v>
      </c>
      <c r="CM29" s="43" t="n">
        <f aca="false">Calendario!CM$7</f>
        <v>8</v>
      </c>
      <c r="CN29" s="43" t="n">
        <f aca="false">Calendario!CN$7</f>
        <v>8</v>
      </c>
      <c r="CO29" s="43" t="n">
        <f aca="false">Calendario!CO$7</f>
        <v>8</v>
      </c>
      <c r="CP29" s="43" t="n">
        <f aca="false">Calendario!CP$7</f>
        <v>8</v>
      </c>
      <c r="CQ29" s="43" t="n">
        <f aca="false">Calendario!CQ$7</f>
        <v>8</v>
      </c>
      <c r="CR29" s="43" t="n">
        <f aca="false">Calendario!CR$7</f>
        <v>8</v>
      </c>
      <c r="CS29" s="43" t="n">
        <f aca="false">Calendario!CS$7</f>
        <v>8</v>
      </c>
      <c r="CT29" s="43" t="n">
        <f aca="false">Calendario!CT$7</f>
        <v>8</v>
      </c>
      <c r="CU29" s="43" t="n">
        <f aca="false">Calendario!CU$7</f>
        <v>8</v>
      </c>
      <c r="CV29" s="43" t="n">
        <f aca="false">Calendario!CV$7</f>
        <v>8</v>
      </c>
      <c r="CW29" s="43" t="n">
        <f aca="false">Calendario!CW$7</f>
        <v>8</v>
      </c>
      <c r="CX29" s="43" t="n">
        <f aca="false">Calendario!CX$7</f>
        <v>8</v>
      </c>
      <c r="CY29" s="43" t="n">
        <f aca="false">Calendario!CY$7</f>
        <v>9</v>
      </c>
      <c r="CZ29" s="43" t="n">
        <f aca="false">Calendario!CZ$7</f>
        <v>9</v>
      </c>
      <c r="DA29" s="43" t="n">
        <f aca="false">Calendario!DA$7</f>
        <v>9</v>
      </c>
      <c r="DB29" s="43" t="n">
        <f aca="false">Calendario!DB$7</f>
        <v>9</v>
      </c>
      <c r="DC29" s="43" t="n">
        <f aca="false">Calendario!DC$7</f>
        <v>9</v>
      </c>
      <c r="DD29" s="43" t="n">
        <f aca="false">Calendario!DD$7</f>
        <v>9</v>
      </c>
      <c r="DE29" s="43" t="n">
        <f aca="false">Calendario!DE$7</f>
        <v>9</v>
      </c>
      <c r="DF29" s="43" t="n">
        <f aca="false">Calendario!DF$7</f>
        <v>9</v>
      </c>
      <c r="DG29" s="43" t="n">
        <f aca="false">Calendario!DG$7</f>
        <v>9</v>
      </c>
      <c r="DH29" s="43" t="n">
        <f aca="false">Calendario!DH$7</f>
        <v>9</v>
      </c>
      <c r="DI29" s="43" t="n">
        <f aca="false">Calendario!DI$7</f>
        <v>9</v>
      </c>
      <c r="DJ29" s="43" t="n">
        <f aca="false">Calendario!DJ$7</f>
        <v>9</v>
      </c>
      <c r="DK29" s="43" t="n">
        <f aca="false">Calendario!DK$7</f>
        <v>10</v>
      </c>
      <c r="DL29" s="43" t="n">
        <f aca="false">Calendario!DL$7</f>
        <v>10</v>
      </c>
      <c r="DM29" s="43" t="n">
        <f aca="false">Calendario!DM$7</f>
        <v>10</v>
      </c>
      <c r="DN29" s="43" t="n">
        <f aca="false">Calendario!DN$7</f>
        <v>10</v>
      </c>
      <c r="DO29" s="43" t="n">
        <f aca="false">Calendario!DO$7</f>
        <v>10</v>
      </c>
      <c r="DP29" s="43" t="n">
        <f aca="false">Calendario!DP$7</f>
        <v>10</v>
      </c>
      <c r="DQ29" s="43" t="n">
        <f aca="false">Calendario!DQ$7</f>
        <v>10</v>
      </c>
      <c r="DR29" s="43" t="n">
        <f aca="false">Calendario!DR$7</f>
        <v>10</v>
      </c>
      <c r="DS29" s="43" t="n">
        <f aca="false">Calendario!DS$7</f>
        <v>10</v>
      </c>
      <c r="DT29" s="43" t="n">
        <f aca="false">Calendario!DT$7</f>
        <v>10</v>
      </c>
      <c r="DU29" s="43" t="n">
        <f aca="false">Calendario!DU$7</f>
        <v>10</v>
      </c>
      <c r="DV29" s="43" t="n">
        <f aca="false">Calendario!DV$7</f>
        <v>10</v>
      </c>
      <c r="DW29" s="43" t="n">
        <f aca="false">Calendario!DW$7</f>
        <v>11</v>
      </c>
      <c r="DX29" s="43" t="n">
        <f aca="false">Calendario!DX$7</f>
        <v>11</v>
      </c>
      <c r="DY29" s="43" t="n">
        <f aca="false">Calendario!DY$7</f>
        <v>11</v>
      </c>
      <c r="DZ29" s="43" t="n">
        <f aca="false">Calendario!DZ$7</f>
        <v>11</v>
      </c>
      <c r="EA29" s="43" t="n">
        <f aca="false">Calendario!EA$7</f>
        <v>11</v>
      </c>
      <c r="EB29" s="43" t="n">
        <f aca="false">Calendario!EB$7</f>
        <v>11</v>
      </c>
      <c r="EC29" s="43" t="n">
        <f aca="false">Calendario!EC$7</f>
        <v>11</v>
      </c>
      <c r="ED29" s="43" t="n">
        <f aca="false">Calendario!ED$7</f>
        <v>11</v>
      </c>
      <c r="EE29" s="43" t="n">
        <f aca="false">Calendario!EE$7</f>
        <v>11</v>
      </c>
      <c r="EF29" s="43" t="n">
        <f aca="false">Calendario!EF$7</f>
        <v>11</v>
      </c>
      <c r="EG29" s="43" t="n">
        <f aca="false">Calendario!EG$7</f>
        <v>11</v>
      </c>
      <c r="EH29" s="43" t="n">
        <f aca="false">Calendario!EH$7</f>
        <v>11</v>
      </c>
      <c r="EI29" s="43" t="n">
        <f aca="false">Calendario!EI$7</f>
        <v>12</v>
      </c>
      <c r="EJ29" s="43" t="n">
        <f aca="false">Calendario!EJ$7</f>
        <v>12</v>
      </c>
      <c r="EK29" s="43" t="n">
        <f aca="false">Calendario!EK$7</f>
        <v>12</v>
      </c>
      <c r="EL29" s="43" t="n">
        <f aca="false">Calendario!EL$7</f>
        <v>12</v>
      </c>
      <c r="EM29" s="43" t="n">
        <f aca="false">Calendario!EM$7</f>
        <v>12</v>
      </c>
      <c r="EN29" s="43" t="n">
        <f aca="false">Calendario!EN$7</f>
        <v>12</v>
      </c>
      <c r="EO29" s="43" t="n">
        <f aca="false">Calendario!EO$7</f>
        <v>12</v>
      </c>
      <c r="EP29" s="43" t="n">
        <f aca="false">Calendario!EP$7</f>
        <v>12</v>
      </c>
      <c r="EQ29" s="43" t="n">
        <f aca="false">Calendario!EQ$7</f>
        <v>12</v>
      </c>
      <c r="ER29" s="43" t="n">
        <f aca="false">Calendario!ER$7</f>
        <v>12</v>
      </c>
      <c r="ES29" s="43" t="n">
        <f aca="false">Calendario!ES$7</f>
        <v>12</v>
      </c>
      <c r="ET29" s="43" t="n">
        <f aca="false">Calendario!ET$7</f>
        <v>12</v>
      </c>
      <c r="EU29" s="43" t="n">
        <f aca="false">Calendario!EU$7</f>
        <v>13</v>
      </c>
      <c r="EV29" s="43" t="n">
        <f aca="false">Calendario!EV$7</f>
        <v>13</v>
      </c>
      <c r="EW29" s="43" t="n">
        <f aca="false">Calendario!EW$7</f>
        <v>13</v>
      </c>
      <c r="EX29" s="43" t="n">
        <f aca="false">Calendario!EX$7</f>
        <v>13</v>
      </c>
      <c r="EY29" s="43" t="n">
        <f aca="false">Calendario!EY$7</f>
        <v>13</v>
      </c>
      <c r="EZ29" s="43" t="n">
        <f aca="false">Calendario!EZ$7</f>
        <v>13</v>
      </c>
      <c r="FA29" s="43" t="n">
        <f aca="false">Calendario!FA$7</f>
        <v>13</v>
      </c>
      <c r="FB29" s="43" t="n">
        <f aca="false">Calendario!FB$7</f>
        <v>13</v>
      </c>
      <c r="FC29" s="43" t="n">
        <f aca="false">Calendario!FC$7</f>
        <v>13</v>
      </c>
      <c r="FD29" s="43" t="n">
        <f aca="false">Calendario!FD$7</f>
        <v>13</v>
      </c>
      <c r="FE29" s="43" t="n">
        <f aca="false">Calendario!FE$7</f>
        <v>13</v>
      </c>
      <c r="FF29" s="43" t="n">
        <f aca="false">Calendario!FF$7</f>
        <v>13</v>
      </c>
    </row>
    <row r="30" customFormat="false" ht="15" hidden="false" customHeight="false" outlineLevel="0" collapsed="false">
      <c r="A30" s="8" t="s">
        <v>814</v>
      </c>
      <c r="B30" s="5" t="s">
        <v>815</v>
      </c>
      <c r="F30" s="43" t="n">
        <f aca="false">Calendario!F$11</f>
        <v>0</v>
      </c>
      <c r="G30" s="43" t="n">
        <f aca="false">Calendario!G$11</f>
        <v>1</v>
      </c>
      <c r="H30" s="43" t="n">
        <f aca="false">Calendario!H$11</f>
        <v>1</v>
      </c>
      <c r="I30" s="43" t="n">
        <f aca="false">Calendario!I$11</f>
        <v>1</v>
      </c>
      <c r="J30" s="43" t="n">
        <f aca="false">Calendario!J$11</f>
        <v>1</v>
      </c>
      <c r="K30" s="43" t="n">
        <f aca="false">Calendario!K$11</f>
        <v>1</v>
      </c>
      <c r="L30" s="43" t="n">
        <f aca="false">Calendario!L$11</f>
        <v>1</v>
      </c>
      <c r="M30" s="43" t="n">
        <f aca="false">Calendario!M$11</f>
        <v>1</v>
      </c>
      <c r="N30" s="43" t="n">
        <f aca="false">Calendario!N$11</f>
        <v>1</v>
      </c>
      <c r="O30" s="43" t="n">
        <f aca="false">Calendario!O$11</f>
        <v>1</v>
      </c>
      <c r="P30" s="43" t="n">
        <f aca="false">Calendario!P$11</f>
        <v>1</v>
      </c>
      <c r="Q30" s="43" t="n">
        <f aca="false">Calendario!Q$11</f>
        <v>1</v>
      </c>
      <c r="R30" s="43" t="n">
        <f aca="false">Calendario!R$11</f>
        <v>1</v>
      </c>
      <c r="S30" s="43" t="n">
        <f aca="false">Calendario!S$11</f>
        <v>2</v>
      </c>
      <c r="T30" s="43" t="n">
        <f aca="false">Calendario!T$11</f>
        <v>2</v>
      </c>
      <c r="U30" s="43" t="n">
        <f aca="false">Calendario!U$11</f>
        <v>2</v>
      </c>
      <c r="V30" s="43" t="n">
        <f aca="false">Calendario!V$11</f>
        <v>2</v>
      </c>
      <c r="W30" s="43" t="n">
        <f aca="false">Calendario!W$11</f>
        <v>2</v>
      </c>
      <c r="X30" s="43" t="n">
        <f aca="false">Calendario!X$11</f>
        <v>2</v>
      </c>
      <c r="Y30" s="43" t="n">
        <f aca="false">Calendario!Y$11</f>
        <v>2</v>
      </c>
      <c r="Z30" s="43" t="n">
        <f aca="false">Calendario!Z$11</f>
        <v>2</v>
      </c>
      <c r="AA30" s="43" t="n">
        <f aca="false">Calendario!AA$11</f>
        <v>2</v>
      </c>
      <c r="AB30" s="43" t="n">
        <f aca="false">Calendario!AB$11</f>
        <v>2</v>
      </c>
      <c r="AC30" s="43" t="n">
        <f aca="false">Calendario!AC$11</f>
        <v>2</v>
      </c>
      <c r="AD30" s="43" t="n">
        <f aca="false">Calendario!AD$11</f>
        <v>2</v>
      </c>
      <c r="AE30" s="43" t="n">
        <f aca="false">Calendario!AE$11</f>
        <v>3</v>
      </c>
      <c r="AF30" s="43" t="n">
        <f aca="false">Calendario!AF$11</f>
        <v>3</v>
      </c>
      <c r="AG30" s="43" t="n">
        <f aca="false">Calendario!AG$11</f>
        <v>3</v>
      </c>
      <c r="AH30" s="43" t="n">
        <f aca="false">Calendario!AH$11</f>
        <v>3</v>
      </c>
      <c r="AI30" s="43" t="n">
        <f aca="false">Calendario!AI$11</f>
        <v>3</v>
      </c>
      <c r="AJ30" s="43" t="n">
        <f aca="false">Calendario!AJ$11</f>
        <v>3</v>
      </c>
      <c r="AK30" s="43" t="n">
        <f aca="false">Calendario!AK$11</f>
        <v>3</v>
      </c>
      <c r="AL30" s="43" t="n">
        <f aca="false">Calendario!AL$11</f>
        <v>3</v>
      </c>
      <c r="AM30" s="43" t="n">
        <f aca="false">Calendario!AM$11</f>
        <v>3</v>
      </c>
      <c r="AN30" s="43" t="n">
        <f aca="false">Calendario!AN$11</f>
        <v>3</v>
      </c>
      <c r="AO30" s="43" t="n">
        <f aca="false">Calendario!AO$11</f>
        <v>3</v>
      </c>
      <c r="AP30" s="43" t="n">
        <f aca="false">Calendario!AP$11</f>
        <v>3</v>
      </c>
      <c r="AQ30" s="43" t="n">
        <f aca="false">Calendario!AQ$11</f>
        <v>4</v>
      </c>
      <c r="AR30" s="43" t="n">
        <f aca="false">Calendario!AR$11</f>
        <v>4</v>
      </c>
      <c r="AS30" s="43" t="n">
        <f aca="false">Calendario!AS$11</f>
        <v>4</v>
      </c>
      <c r="AT30" s="43" t="n">
        <f aca="false">Calendario!AT$11</f>
        <v>4</v>
      </c>
      <c r="AU30" s="43" t="n">
        <f aca="false">Calendario!AU$11</f>
        <v>4</v>
      </c>
      <c r="AV30" s="43" t="n">
        <f aca="false">Calendario!AV$11</f>
        <v>4</v>
      </c>
      <c r="AW30" s="43" t="n">
        <f aca="false">Calendario!AW$11</f>
        <v>4</v>
      </c>
      <c r="AX30" s="43" t="n">
        <f aca="false">Calendario!AX$11</f>
        <v>4</v>
      </c>
      <c r="AY30" s="43" t="n">
        <f aca="false">Calendario!AY$11</f>
        <v>4</v>
      </c>
      <c r="AZ30" s="43" t="n">
        <f aca="false">Calendario!AZ$11</f>
        <v>4</v>
      </c>
      <c r="BA30" s="43" t="n">
        <f aca="false">Calendario!BA$11</f>
        <v>4</v>
      </c>
      <c r="BB30" s="43" t="n">
        <f aca="false">Calendario!BB$11</f>
        <v>4</v>
      </c>
      <c r="BC30" s="43" t="n">
        <f aca="false">Calendario!BC$11</f>
        <v>5</v>
      </c>
      <c r="BD30" s="43" t="n">
        <f aca="false">Calendario!BD$11</f>
        <v>5</v>
      </c>
      <c r="BE30" s="43" t="n">
        <f aca="false">Calendario!BE$11</f>
        <v>5</v>
      </c>
      <c r="BF30" s="43" t="n">
        <f aca="false">Calendario!BF$11</f>
        <v>5</v>
      </c>
      <c r="BG30" s="43" t="n">
        <f aca="false">Calendario!BG$11</f>
        <v>5</v>
      </c>
      <c r="BH30" s="43" t="n">
        <f aca="false">Calendario!BH$11</f>
        <v>5</v>
      </c>
      <c r="BI30" s="43" t="n">
        <f aca="false">Calendario!BI$11</f>
        <v>5</v>
      </c>
      <c r="BJ30" s="43" t="n">
        <f aca="false">Calendario!BJ$11</f>
        <v>5</v>
      </c>
      <c r="BK30" s="43" t="n">
        <f aca="false">Calendario!BK$11</f>
        <v>5</v>
      </c>
      <c r="BL30" s="43" t="n">
        <f aca="false">Calendario!BL$11</f>
        <v>5</v>
      </c>
      <c r="BM30" s="43" t="n">
        <f aca="false">Calendario!BM$11</f>
        <v>5</v>
      </c>
      <c r="BN30" s="43" t="n">
        <f aca="false">Calendario!BN$11</f>
        <v>5</v>
      </c>
      <c r="BO30" s="43" t="n">
        <f aca="false">Calendario!BO$11</f>
        <v>6</v>
      </c>
      <c r="BP30" s="43" t="n">
        <f aca="false">Calendario!BP$11</f>
        <v>6</v>
      </c>
      <c r="BQ30" s="43" t="n">
        <f aca="false">Calendario!BQ$11</f>
        <v>6</v>
      </c>
      <c r="BR30" s="43" t="n">
        <f aca="false">Calendario!BR$11</f>
        <v>6</v>
      </c>
      <c r="BS30" s="43" t="n">
        <f aca="false">Calendario!BS$11</f>
        <v>6</v>
      </c>
      <c r="BT30" s="43" t="n">
        <f aca="false">Calendario!BT$11</f>
        <v>6</v>
      </c>
      <c r="BU30" s="43" t="n">
        <f aca="false">Calendario!BU$11</f>
        <v>6</v>
      </c>
      <c r="BV30" s="43" t="n">
        <f aca="false">Calendario!BV$11</f>
        <v>6</v>
      </c>
      <c r="BW30" s="43" t="n">
        <f aca="false">Calendario!BW$11</f>
        <v>6</v>
      </c>
      <c r="BX30" s="43" t="n">
        <f aca="false">Calendario!BX$11</f>
        <v>6</v>
      </c>
      <c r="BY30" s="43" t="n">
        <f aca="false">Calendario!BY$11</f>
        <v>6</v>
      </c>
      <c r="BZ30" s="43" t="n">
        <f aca="false">Calendario!BZ$11</f>
        <v>6</v>
      </c>
      <c r="CA30" s="43" t="n">
        <f aca="false">Calendario!CA$11</f>
        <v>7</v>
      </c>
      <c r="CB30" s="43" t="n">
        <f aca="false">Calendario!CB$11</f>
        <v>7</v>
      </c>
      <c r="CC30" s="43" t="n">
        <f aca="false">Calendario!CC$11</f>
        <v>7</v>
      </c>
      <c r="CD30" s="43" t="n">
        <f aca="false">Calendario!CD$11</f>
        <v>7</v>
      </c>
      <c r="CE30" s="43" t="n">
        <f aca="false">Calendario!CE$11</f>
        <v>7</v>
      </c>
      <c r="CF30" s="43" t="n">
        <f aca="false">Calendario!CF$11</f>
        <v>7</v>
      </c>
      <c r="CG30" s="43" t="n">
        <f aca="false">Calendario!CG$11</f>
        <v>7</v>
      </c>
      <c r="CH30" s="43" t="n">
        <f aca="false">Calendario!CH$11</f>
        <v>7</v>
      </c>
      <c r="CI30" s="43" t="n">
        <f aca="false">Calendario!CI$11</f>
        <v>7</v>
      </c>
      <c r="CJ30" s="43" t="n">
        <f aca="false">Calendario!CJ$11</f>
        <v>7</v>
      </c>
      <c r="CK30" s="43" t="n">
        <f aca="false">Calendario!CK$11</f>
        <v>7</v>
      </c>
      <c r="CL30" s="43" t="n">
        <f aca="false">Calendario!CL$11</f>
        <v>7</v>
      </c>
      <c r="CM30" s="43" t="n">
        <f aca="false">Calendario!CM$11</f>
        <v>8</v>
      </c>
      <c r="CN30" s="43" t="n">
        <f aca="false">Calendario!CN$11</f>
        <v>8</v>
      </c>
      <c r="CO30" s="43" t="n">
        <f aca="false">Calendario!CO$11</f>
        <v>8</v>
      </c>
      <c r="CP30" s="43" t="n">
        <f aca="false">Calendario!CP$11</f>
        <v>8</v>
      </c>
      <c r="CQ30" s="43" t="n">
        <f aca="false">Calendario!CQ$11</f>
        <v>8</v>
      </c>
      <c r="CR30" s="43" t="n">
        <f aca="false">Calendario!CR$11</f>
        <v>8</v>
      </c>
      <c r="CS30" s="43" t="n">
        <f aca="false">Calendario!CS$11</f>
        <v>8</v>
      </c>
      <c r="CT30" s="43" t="n">
        <f aca="false">Calendario!CT$11</f>
        <v>8</v>
      </c>
      <c r="CU30" s="43" t="n">
        <f aca="false">Calendario!CU$11</f>
        <v>8</v>
      </c>
      <c r="CV30" s="43" t="n">
        <f aca="false">Calendario!CV$11</f>
        <v>8</v>
      </c>
      <c r="CW30" s="43" t="n">
        <f aca="false">Calendario!CW$11</f>
        <v>8</v>
      </c>
      <c r="CX30" s="43" t="n">
        <f aca="false">Calendario!CX$11</f>
        <v>8</v>
      </c>
      <c r="CY30" s="43" t="n">
        <f aca="false">Calendario!CY$11</f>
        <v>9</v>
      </c>
      <c r="CZ30" s="43" t="n">
        <f aca="false">Calendario!CZ$11</f>
        <v>9</v>
      </c>
      <c r="DA30" s="43" t="n">
        <f aca="false">Calendario!DA$11</f>
        <v>9</v>
      </c>
      <c r="DB30" s="43" t="n">
        <f aca="false">Calendario!DB$11</f>
        <v>9</v>
      </c>
      <c r="DC30" s="43" t="n">
        <f aca="false">Calendario!DC$11</f>
        <v>9</v>
      </c>
      <c r="DD30" s="43" t="n">
        <f aca="false">Calendario!DD$11</f>
        <v>9</v>
      </c>
      <c r="DE30" s="43" t="n">
        <f aca="false">Calendario!DE$11</f>
        <v>9</v>
      </c>
      <c r="DF30" s="43" t="n">
        <f aca="false">Calendario!DF$11</f>
        <v>9</v>
      </c>
      <c r="DG30" s="43" t="n">
        <f aca="false">Calendario!DG$11</f>
        <v>9</v>
      </c>
      <c r="DH30" s="43" t="n">
        <f aca="false">Calendario!DH$11</f>
        <v>9</v>
      </c>
      <c r="DI30" s="43" t="n">
        <f aca="false">Calendario!DI$11</f>
        <v>9</v>
      </c>
      <c r="DJ30" s="43" t="n">
        <f aca="false">Calendario!DJ$11</f>
        <v>9</v>
      </c>
      <c r="DK30" s="43" t="n">
        <f aca="false">Calendario!DK$11</f>
        <v>10</v>
      </c>
      <c r="DL30" s="43" t="n">
        <f aca="false">Calendario!DL$11</f>
        <v>10</v>
      </c>
      <c r="DM30" s="43" t="n">
        <f aca="false">Calendario!DM$11</f>
        <v>10</v>
      </c>
      <c r="DN30" s="43" t="n">
        <f aca="false">Calendario!DN$11</f>
        <v>10</v>
      </c>
      <c r="DO30" s="43" t="n">
        <f aca="false">Calendario!DO$11</f>
        <v>10</v>
      </c>
      <c r="DP30" s="43" t="n">
        <f aca="false">Calendario!DP$11</f>
        <v>10</v>
      </c>
      <c r="DQ30" s="43" t="n">
        <f aca="false">Calendario!DQ$11</f>
        <v>10</v>
      </c>
      <c r="DR30" s="43" t="n">
        <f aca="false">Calendario!DR$11</f>
        <v>10</v>
      </c>
      <c r="DS30" s="43" t="n">
        <f aca="false">Calendario!DS$11</f>
        <v>10</v>
      </c>
      <c r="DT30" s="43" t="n">
        <f aca="false">Calendario!DT$11</f>
        <v>10</v>
      </c>
      <c r="DU30" s="43" t="n">
        <f aca="false">Calendario!DU$11</f>
        <v>10</v>
      </c>
      <c r="DV30" s="43" t="n">
        <f aca="false">Calendario!DV$11</f>
        <v>10</v>
      </c>
      <c r="DW30" s="43" t="n">
        <f aca="false">Calendario!DW$11</f>
        <v>0</v>
      </c>
      <c r="DX30" s="43" t="n">
        <f aca="false">Calendario!DX$11</f>
        <v>0</v>
      </c>
      <c r="DY30" s="43" t="n">
        <f aca="false">Calendario!DY$11</f>
        <v>0</v>
      </c>
      <c r="DZ30" s="43" t="n">
        <f aca="false">Calendario!DZ$11</f>
        <v>0</v>
      </c>
      <c r="EA30" s="43" t="n">
        <f aca="false">Calendario!EA$11</f>
        <v>0</v>
      </c>
      <c r="EB30" s="43" t="n">
        <f aca="false">Calendario!EB$11</f>
        <v>0</v>
      </c>
      <c r="EC30" s="43" t="n">
        <f aca="false">Calendario!EC$11</f>
        <v>0</v>
      </c>
      <c r="ED30" s="43" t="n">
        <f aca="false">Calendario!ED$11</f>
        <v>0</v>
      </c>
      <c r="EE30" s="43" t="n">
        <f aca="false">Calendario!EE$11</f>
        <v>0</v>
      </c>
      <c r="EF30" s="43" t="n">
        <f aca="false">Calendario!EF$11</f>
        <v>0</v>
      </c>
      <c r="EG30" s="43" t="n">
        <f aca="false">Calendario!EG$11</f>
        <v>0</v>
      </c>
      <c r="EH30" s="43" t="n">
        <f aca="false">Calendario!EH$11</f>
        <v>0</v>
      </c>
      <c r="EI30" s="43" t="n">
        <f aca="false">Calendario!EI$11</f>
        <v>0</v>
      </c>
      <c r="EJ30" s="43" t="n">
        <f aca="false">Calendario!EJ$11</f>
        <v>0</v>
      </c>
      <c r="EK30" s="43" t="n">
        <f aca="false">Calendario!EK$11</f>
        <v>0</v>
      </c>
      <c r="EL30" s="43" t="n">
        <f aca="false">Calendario!EL$11</f>
        <v>0</v>
      </c>
      <c r="EM30" s="43" t="n">
        <f aca="false">Calendario!EM$11</f>
        <v>0</v>
      </c>
      <c r="EN30" s="43" t="n">
        <f aca="false">Calendario!EN$11</f>
        <v>0</v>
      </c>
      <c r="EO30" s="43" t="n">
        <f aca="false">Calendario!EO$11</f>
        <v>0</v>
      </c>
      <c r="EP30" s="43" t="n">
        <f aca="false">Calendario!EP$11</f>
        <v>0</v>
      </c>
      <c r="EQ30" s="43" t="n">
        <f aca="false">Calendario!EQ$11</f>
        <v>0</v>
      </c>
      <c r="ER30" s="43" t="n">
        <f aca="false">Calendario!ER$11</f>
        <v>0</v>
      </c>
      <c r="ES30" s="43" t="n">
        <f aca="false">Calendario!ES$11</f>
        <v>0</v>
      </c>
      <c r="ET30" s="43" t="n">
        <f aca="false">Calendario!ET$11</f>
        <v>0</v>
      </c>
      <c r="EU30" s="43" t="n">
        <f aca="false">Calendario!EU$11</f>
        <v>0</v>
      </c>
      <c r="EV30" s="43" t="n">
        <f aca="false">Calendario!EV$11</f>
        <v>0</v>
      </c>
      <c r="EW30" s="43" t="n">
        <f aca="false">Calendario!EW$11</f>
        <v>0</v>
      </c>
      <c r="EX30" s="43" t="n">
        <f aca="false">Calendario!EX$11</f>
        <v>0</v>
      </c>
      <c r="EY30" s="43" t="n">
        <f aca="false">Calendario!EY$11</f>
        <v>0</v>
      </c>
      <c r="EZ30" s="43" t="n">
        <f aca="false">Calendario!EZ$11</f>
        <v>0</v>
      </c>
      <c r="FA30" s="43" t="n">
        <f aca="false">Calendario!FA$11</f>
        <v>0</v>
      </c>
      <c r="FB30" s="43" t="n">
        <f aca="false">Calendario!FB$11</f>
        <v>0</v>
      </c>
      <c r="FC30" s="43" t="n">
        <f aca="false">Calendario!FC$11</f>
        <v>0</v>
      </c>
      <c r="FD30" s="43" t="n">
        <f aca="false">Calendario!FD$11</f>
        <v>0</v>
      </c>
      <c r="FE30" s="43" t="n">
        <f aca="false">Calendario!FE$11</f>
        <v>0</v>
      </c>
      <c r="FF30" s="43" t="n">
        <f aca="false">Calendario!FF$11</f>
        <v>0</v>
      </c>
    </row>
    <row r="31" customFormat="false" ht="15" hidden="false" customHeight="false" outlineLevel="0" collapsed="false">
      <c r="A31" s="8" t="s">
        <v>816</v>
      </c>
      <c r="B31" s="5" t="s">
        <v>784</v>
      </c>
      <c r="F31" s="43" t="n">
        <f aca="false">Calendario!F$12</f>
        <v>0</v>
      </c>
      <c r="G31" s="43" t="n">
        <f aca="false">Calendario!G$12</f>
        <v>1</v>
      </c>
      <c r="H31" s="43" t="n">
        <f aca="false">Calendario!H$12</f>
        <v>1</v>
      </c>
      <c r="I31" s="43" t="n">
        <f aca="false">Calendario!I$12</f>
        <v>1</v>
      </c>
      <c r="J31" s="43" t="n">
        <f aca="false">Calendario!J$12</f>
        <v>1</v>
      </c>
      <c r="K31" s="43" t="n">
        <f aca="false">Calendario!K$12</f>
        <v>1</v>
      </c>
      <c r="L31" s="43" t="n">
        <f aca="false">Calendario!L$12</f>
        <v>1</v>
      </c>
      <c r="M31" s="43" t="n">
        <f aca="false">Calendario!M$12</f>
        <v>1</v>
      </c>
      <c r="N31" s="43" t="n">
        <f aca="false">Calendario!N$12</f>
        <v>1</v>
      </c>
      <c r="O31" s="43" t="n">
        <f aca="false">Calendario!O$12</f>
        <v>1</v>
      </c>
      <c r="P31" s="43" t="n">
        <f aca="false">Calendario!P$12</f>
        <v>1</v>
      </c>
      <c r="Q31" s="43" t="n">
        <f aca="false">Calendario!Q$12</f>
        <v>1</v>
      </c>
      <c r="R31" s="43" t="n">
        <f aca="false">Calendario!R$12</f>
        <v>1</v>
      </c>
      <c r="S31" s="43" t="n">
        <f aca="false">Calendario!S$12</f>
        <v>1</v>
      </c>
      <c r="T31" s="43" t="n">
        <f aca="false">Calendario!T$12</f>
        <v>1</v>
      </c>
      <c r="U31" s="43" t="n">
        <f aca="false">Calendario!U$12</f>
        <v>1</v>
      </c>
      <c r="V31" s="43" t="n">
        <f aca="false">Calendario!V$12</f>
        <v>1</v>
      </c>
      <c r="W31" s="43" t="n">
        <f aca="false">Calendario!W$12</f>
        <v>1</v>
      </c>
      <c r="X31" s="43" t="n">
        <f aca="false">Calendario!X$12</f>
        <v>1</v>
      </c>
      <c r="Y31" s="43" t="n">
        <f aca="false">Calendario!Y$12</f>
        <v>1</v>
      </c>
      <c r="Z31" s="43" t="n">
        <f aca="false">Calendario!Z$12</f>
        <v>1</v>
      </c>
      <c r="AA31" s="43" t="n">
        <f aca="false">Calendario!AA$12</f>
        <v>1</v>
      </c>
      <c r="AB31" s="43" t="n">
        <f aca="false">Calendario!AB$12</f>
        <v>1</v>
      </c>
      <c r="AC31" s="43" t="n">
        <f aca="false">Calendario!AC$12</f>
        <v>1</v>
      </c>
      <c r="AD31" s="43" t="n">
        <f aca="false">Calendario!AD$12</f>
        <v>1</v>
      </c>
      <c r="AE31" s="43" t="n">
        <f aca="false">Calendario!AE$12</f>
        <v>1</v>
      </c>
      <c r="AF31" s="43" t="n">
        <f aca="false">Calendario!AF$12</f>
        <v>1</v>
      </c>
      <c r="AG31" s="43" t="n">
        <f aca="false">Calendario!AG$12</f>
        <v>1</v>
      </c>
      <c r="AH31" s="43" t="n">
        <f aca="false">Calendario!AH$12</f>
        <v>1</v>
      </c>
      <c r="AI31" s="43" t="n">
        <f aca="false">Calendario!AI$12</f>
        <v>1</v>
      </c>
      <c r="AJ31" s="43" t="n">
        <f aca="false">Calendario!AJ$12</f>
        <v>1</v>
      </c>
      <c r="AK31" s="43" t="n">
        <f aca="false">Calendario!AK$12</f>
        <v>1</v>
      </c>
      <c r="AL31" s="43" t="n">
        <f aca="false">Calendario!AL$12</f>
        <v>1</v>
      </c>
      <c r="AM31" s="43" t="n">
        <f aca="false">Calendario!AM$12</f>
        <v>1</v>
      </c>
      <c r="AN31" s="43" t="n">
        <f aca="false">Calendario!AN$12</f>
        <v>1</v>
      </c>
      <c r="AO31" s="43" t="n">
        <f aca="false">Calendario!AO$12</f>
        <v>1</v>
      </c>
      <c r="AP31" s="43" t="n">
        <f aca="false">Calendario!AP$12</f>
        <v>1</v>
      </c>
      <c r="AQ31" s="43" t="n">
        <f aca="false">Calendario!AQ$12</f>
        <v>1</v>
      </c>
      <c r="AR31" s="43" t="n">
        <f aca="false">Calendario!AR$12</f>
        <v>1</v>
      </c>
      <c r="AS31" s="43" t="n">
        <f aca="false">Calendario!AS$12</f>
        <v>1</v>
      </c>
      <c r="AT31" s="43" t="n">
        <f aca="false">Calendario!AT$12</f>
        <v>1</v>
      </c>
      <c r="AU31" s="43" t="n">
        <f aca="false">Calendario!AU$12</f>
        <v>1</v>
      </c>
      <c r="AV31" s="43" t="n">
        <f aca="false">Calendario!AV$12</f>
        <v>1</v>
      </c>
      <c r="AW31" s="43" t="n">
        <f aca="false">Calendario!AW$12</f>
        <v>1</v>
      </c>
      <c r="AX31" s="43" t="n">
        <f aca="false">Calendario!AX$12</f>
        <v>1</v>
      </c>
      <c r="AY31" s="43" t="n">
        <f aca="false">Calendario!AY$12</f>
        <v>1</v>
      </c>
      <c r="AZ31" s="43" t="n">
        <f aca="false">Calendario!AZ$12</f>
        <v>1</v>
      </c>
      <c r="BA31" s="43" t="n">
        <f aca="false">Calendario!BA$12</f>
        <v>1</v>
      </c>
      <c r="BB31" s="43" t="n">
        <f aca="false">Calendario!BB$12</f>
        <v>1</v>
      </c>
      <c r="BC31" s="43" t="n">
        <f aca="false">Calendario!BC$12</f>
        <v>1</v>
      </c>
      <c r="BD31" s="43" t="n">
        <f aca="false">Calendario!BD$12</f>
        <v>1</v>
      </c>
      <c r="BE31" s="43" t="n">
        <f aca="false">Calendario!BE$12</f>
        <v>1</v>
      </c>
      <c r="BF31" s="43" t="n">
        <f aca="false">Calendario!BF$12</f>
        <v>1</v>
      </c>
      <c r="BG31" s="43" t="n">
        <f aca="false">Calendario!BG$12</f>
        <v>1</v>
      </c>
      <c r="BH31" s="43" t="n">
        <f aca="false">Calendario!BH$12</f>
        <v>1</v>
      </c>
      <c r="BI31" s="43" t="n">
        <f aca="false">Calendario!BI$12</f>
        <v>1</v>
      </c>
      <c r="BJ31" s="43" t="n">
        <f aca="false">Calendario!BJ$12</f>
        <v>1</v>
      </c>
      <c r="BK31" s="43" t="n">
        <f aca="false">Calendario!BK$12</f>
        <v>1</v>
      </c>
      <c r="BL31" s="43" t="n">
        <f aca="false">Calendario!BL$12</f>
        <v>1</v>
      </c>
      <c r="BM31" s="43" t="n">
        <f aca="false">Calendario!BM$12</f>
        <v>1</v>
      </c>
      <c r="BN31" s="43" t="n">
        <f aca="false">Calendario!BN$12</f>
        <v>1</v>
      </c>
      <c r="BO31" s="43" t="n">
        <f aca="false">Calendario!BO$12</f>
        <v>1</v>
      </c>
      <c r="BP31" s="43" t="n">
        <f aca="false">Calendario!BP$12</f>
        <v>1</v>
      </c>
      <c r="BQ31" s="43" t="n">
        <f aca="false">Calendario!BQ$12</f>
        <v>1</v>
      </c>
      <c r="BR31" s="43" t="n">
        <f aca="false">Calendario!BR$12</f>
        <v>1</v>
      </c>
      <c r="BS31" s="43" t="n">
        <f aca="false">Calendario!BS$12</f>
        <v>1</v>
      </c>
      <c r="BT31" s="43" t="n">
        <f aca="false">Calendario!BT$12</f>
        <v>1</v>
      </c>
      <c r="BU31" s="43" t="n">
        <f aca="false">Calendario!BU$12</f>
        <v>1</v>
      </c>
      <c r="BV31" s="43" t="n">
        <f aca="false">Calendario!BV$12</f>
        <v>1</v>
      </c>
      <c r="BW31" s="43" t="n">
        <f aca="false">Calendario!BW$12</f>
        <v>1</v>
      </c>
      <c r="BX31" s="43" t="n">
        <f aca="false">Calendario!BX$12</f>
        <v>1</v>
      </c>
      <c r="BY31" s="43" t="n">
        <f aca="false">Calendario!BY$12</f>
        <v>1</v>
      </c>
      <c r="BZ31" s="43" t="n">
        <f aca="false">Calendario!BZ$12</f>
        <v>1</v>
      </c>
      <c r="CA31" s="43" t="n">
        <f aca="false">Calendario!CA$12</f>
        <v>1</v>
      </c>
      <c r="CB31" s="43" t="n">
        <f aca="false">Calendario!CB$12</f>
        <v>1</v>
      </c>
      <c r="CC31" s="43" t="n">
        <f aca="false">Calendario!CC$12</f>
        <v>1</v>
      </c>
      <c r="CD31" s="43" t="n">
        <f aca="false">Calendario!CD$12</f>
        <v>1</v>
      </c>
      <c r="CE31" s="43" t="n">
        <f aca="false">Calendario!CE$12</f>
        <v>1</v>
      </c>
      <c r="CF31" s="43" t="n">
        <f aca="false">Calendario!CF$12</f>
        <v>1</v>
      </c>
      <c r="CG31" s="43" t="n">
        <f aca="false">Calendario!CG$12</f>
        <v>1</v>
      </c>
      <c r="CH31" s="43" t="n">
        <f aca="false">Calendario!CH$12</f>
        <v>1</v>
      </c>
      <c r="CI31" s="43" t="n">
        <f aca="false">Calendario!CI$12</f>
        <v>1</v>
      </c>
      <c r="CJ31" s="43" t="n">
        <f aca="false">Calendario!CJ$12</f>
        <v>1</v>
      </c>
      <c r="CK31" s="43" t="n">
        <f aca="false">Calendario!CK$12</f>
        <v>1</v>
      </c>
      <c r="CL31" s="43" t="n">
        <f aca="false">Calendario!CL$12</f>
        <v>1</v>
      </c>
      <c r="CM31" s="43" t="n">
        <f aca="false">Calendario!CM$12</f>
        <v>1</v>
      </c>
      <c r="CN31" s="43" t="n">
        <f aca="false">Calendario!CN$12</f>
        <v>1</v>
      </c>
      <c r="CO31" s="43" t="n">
        <f aca="false">Calendario!CO$12</f>
        <v>1</v>
      </c>
      <c r="CP31" s="43" t="n">
        <f aca="false">Calendario!CP$12</f>
        <v>1</v>
      </c>
      <c r="CQ31" s="43" t="n">
        <f aca="false">Calendario!CQ$12</f>
        <v>1</v>
      </c>
      <c r="CR31" s="43" t="n">
        <f aca="false">Calendario!CR$12</f>
        <v>1</v>
      </c>
      <c r="CS31" s="43" t="n">
        <f aca="false">Calendario!CS$12</f>
        <v>1</v>
      </c>
      <c r="CT31" s="43" t="n">
        <f aca="false">Calendario!CT$12</f>
        <v>1</v>
      </c>
      <c r="CU31" s="43" t="n">
        <f aca="false">Calendario!CU$12</f>
        <v>1</v>
      </c>
      <c r="CV31" s="43" t="n">
        <f aca="false">Calendario!CV$12</f>
        <v>1</v>
      </c>
      <c r="CW31" s="43" t="n">
        <f aca="false">Calendario!CW$12</f>
        <v>1</v>
      </c>
      <c r="CX31" s="43" t="n">
        <f aca="false">Calendario!CX$12</f>
        <v>1</v>
      </c>
      <c r="CY31" s="43" t="n">
        <f aca="false">Calendario!CY$12</f>
        <v>1</v>
      </c>
      <c r="CZ31" s="43" t="n">
        <f aca="false">Calendario!CZ$12</f>
        <v>1</v>
      </c>
      <c r="DA31" s="43" t="n">
        <f aca="false">Calendario!DA$12</f>
        <v>1</v>
      </c>
      <c r="DB31" s="43" t="n">
        <f aca="false">Calendario!DB$12</f>
        <v>1</v>
      </c>
      <c r="DC31" s="43" t="n">
        <f aca="false">Calendario!DC$12</f>
        <v>1</v>
      </c>
      <c r="DD31" s="43" t="n">
        <f aca="false">Calendario!DD$12</f>
        <v>1</v>
      </c>
      <c r="DE31" s="43" t="n">
        <f aca="false">Calendario!DE$12</f>
        <v>1</v>
      </c>
      <c r="DF31" s="43" t="n">
        <f aca="false">Calendario!DF$12</f>
        <v>1</v>
      </c>
      <c r="DG31" s="43" t="n">
        <f aca="false">Calendario!DG$12</f>
        <v>1</v>
      </c>
      <c r="DH31" s="43" t="n">
        <f aca="false">Calendario!DH$12</f>
        <v>1</v>
      </c>
      <c r="DI31" s="43" t="n">
        <f aca="false">Calendario!DI$12</f>
        <v>1</v>
      </c>
      <c r="DJ31" s="43" t="n">
        <f aca="false">Calendario!DJ$12</f>
        <v>1</v>
      </c>
      <c r="DK31" s="43" t="n">
        <f aca="false">Calendario!DK$12</f>
        <v>1</v>
      </c>
      <c r="DL31" s="43" t="n">
        <f aca="false">Calendario!DL$12</f>
        <v>1</v>
      </c>
      <c r="DM31" s="43" t="n">
        <f aca="false">Calendario!DM$12</f>
        <v>1</v>
      </c>
      <c r="DN31" s="43" t="n">
        <f aca="false">Calendario!DN$12</f>
        <v>1</v>
      </c>
      <c r="DO31" s="43" t="n">
        <f aca="false">Calendario!DO$12</f>
        <v>1</v>
      </c>
      <c r="DP31" s="43" t="n">
        <f aca="false">Calendario!DP$12</f>
        <v>1</v>
      </c>
      <c r="DQ31" s="43" t="n">
        <f aca="false">Calendario!DQ$12</f>
        <v>1</v>
      </c>
      <c r="DR31" s="43" t="n">
        <f aca="false">Calendario!DR$12</f>
        <v>1</v>
      </c>
      <c r="DS31" s="43" t="n">
        <f aca="false">Calendario!DS$12</f>
        <v>1</v>
      </c>
      <c r="DT31" s="43" t="n">
        <f aca="false">Calendario!DT$12</f>
        <v>1</v>
      </c>
      <c r="DU31" s="43" t="n">
        <f aca="false">Calendario!DU$12</f>
        <v>1</v>
      </c>
      <c r="DV31" s="43" t="n">
        <f aca="false">Calendario!DV$12</f>
        <v>1</v>
      </c>
      <c r="DW31" s="43" t="n">
        <f aca="false">Calendario!DW$12</f>
        <v>0</v>
      </c>
      <c r="DX31" s="43" t="n">
        <f aca="false">Calendario!DX$12</f>
        <v>0</v>
      </c>
      <c r="DY31" s="43" t="n">
        <f aca="false">Calendario!DY$12</f>
        <v>0</v>
      </c>
      <c r="DZ31" s="43" t="n">
        <f aca="false">Calendario!DZ$12</f>
        <v>0</v>
      </c>
      <c r="EA31" s="43" t="n">
        <f aca="false">Calendario!EA$12</f>
        <v>0</v>
      </c>
      <c r="EB31" s="43" t="n">
        <f aca="false">Calendario!EB$12</f>
        <v>0</v>
      </c>
      <c r="EC31" s="43" t="n">
        <f aca="false">Calendario!EC$12</f>
        <v>0</v>
      </c>
      <c r="ED31" s="43" t="n">
        <f aca="false">Calendario!ED$12</f>
        <v>0</v>
      </c>
      <c r="EE31" s="43" t="n">
        <f aca="false">Calendario!EE$12</f>
        <v>0</v>
      </c>
      <c r="EF31" s="43" t="n">
        <f aca="false">Calendario!EF$12</f>
        <v>0</v>
      </c>
      <c r="EG31" s="43" t="n">
        <f aca="false">Calendario!EG$12</f>
        <v>0</v>
      </c>
      <c r="EH31" s="43" t="n">
        <f aca="false">Calendario!EH$12</f>
        <v>0</v>
      </c>
      <c r="EI31" s="43" t="n">
        <f aca="false">Calendario!EI$12</f>
        <v>0</v>
      </c>
      <c r="EJ31" s="43" t="n">
        <f aca="false">Calendario!EJ$12</f>
        <v>0</v>
      </c>
      <c r="EK31" s="43" t="n">
        <f aca="false">Calendario!EK$12</f>
        <v>0</v>
      </c>
      <c r="EL31" s="43" t="n">
        <f aca="false">Calendario!EL$12</f>
        <v>0</v>
      </c>
      <c r="EM31" s="43" t="n">
        <f aca="false">Calendario!EM$12</f>
        <v>0</v>
      </c>
      <c r="EN31" s="43" t="n">
        <f aca="false">Calendario!EN$12</f>
        <v>0</v>
      </c>
      <c r="EO31" s="43" t="n">
        <f aca="false">Calendario!EO$12</f>
        <v>0</v>
      </c>
      <c r="EP31" s="43" t="n">
        <f aca="false">Calendario!EP$12</f>
        <v>0</v>
      </c>
      <c r="EQ31" s="43" t="n">
        <f aca="false">Calendario!EQ$12</f>
        <v>0</v>
      </c>
      <c r="ER31" s="43" t="n">
        <f aca="false">Calendario!ER$12</f>
        <v>0</v>
      </c>
      <c r="ES31" s="43" t="n">
        <f aca="false">Calendario!ES$12</f>
        <v>0</v>
      </c>
      <c r="ET31" s="43" t="n">
        <f aca="false">Calendario!ET$12</f>
        <v>0</v>
      </c>
      <c r="EU31" s="43" t="n">
        <f aca="false">Calendario!EU$12</f>
        <v>0</v>
      </c>
      <c r="EV31" s="43" t="n">
        <f aca="false">Calendario!EV$12</f>
        <v>0</v>
      </c>
      <c r="EW31" s="43" t="n">
        <f aca="false">Calendario!EW$12</f>
        <v>0</v>
      </c>
      <c r="EX31" s="43" t="n">
        <f aca="false">Calendario!EX$12</f>
        <v>0</v>
      </c>
      <c r="EY31" s="43" t="n">
        <f aca="false">Calendario!EY$12</f>
        <v>0</v>
      </c>
      <c r="EZ31" s="43" t="n">
        <f aca="false">Calendario!EZ$12</f>
        <v>0</v>
      </c>
      <c r="FA31" s="43" t="n">
        <f aca="false">Calendario!FA$12</f>
        <v>0</v>
      </c>
      <c r="FB31" s="43" t="n">
        <f aca="false">Calendario!FB$12</f>
        <v>0</v>
      </c>
      <c r="FC31" s="43" t="n">
        <f aca="false">Calendario!FC$12</f>
        <v>0</v>
      </c>
      <c r="FD31" s="43" t="n">
        <f aca="false">Calendario!FD$12</f>
        <v>0</v>
      </c>
      <c r="FE31" s="43" t="n">
        <f aca="false">Calendario!FE$12</f>
        <v>0</v>
      </c>
      <c r="FF31" s="43" t="n">
        <f aca="false">Calendario!FF$12</f>
        <v>0</v>
      </c>
    </row>
    <row r="32" customFormat="false" ht="15" hidden="false" customHeight="false" outlineLevel="0" collapsed="false">
      <c r="A32" s="8" t="s">
        <v>817</v>
      </c>
      <c r="B32" s="5" t="s">
        <v>818</v>
      </c>
      <c r="F32" s="43" t="n">
        <f aca="false">Calendario!F$18</f>
        <v>0</v>
      </c>
      <c r="G32" s="43" t="n">
        <f aca="false">Calendario!G$18</f>
        <v>0</v>
      </c>
      <c r="H32" s="43" t="n">
        <f aca="false">Calendario!H$18</f>
        <v>0</v>
      </c>
      <c r="I32" s="43" t="n">
        <f aca="false">Calendario!I$18</f>
        <v>0</v>
      </c>
      <c r="J32" s="43" t="n">
        <f aca="false">Calendario!J$18</f>
        <v>0</v>
      </c>
      <c r="K32" s="43" t="n">
        <f aca="false">Calendario!K$18</f>
        <v>0</v>
      </c>
      <c r="L32" s="43" t="n">
        <f aca="false">Calendario!L$18</f>
        <v>0</v>
      </c>
      <c r="M32" s="43" t="n">
        <f aca="false">Calendario!M$18</f>
        <v>0</v>
      </c>
      <c r="N32" s="43" t="n">
        <f aca="false">Calendario!N$18</f>
        <v>0</v>
      </c>
      <c r="O32" s="43" t="n">
        <f aca="false">Calendario!O$18</f>
        <v>0</v>
      </c>
      <c r="P32" s="43" t="n">
        <f aca="false">Calendario!P$18</f>
        <v>0</v>
      </c>
      <c r="Q32" s="43" t="n">
        <f aca="false">Calendario!Q$18</f>
        <v>0</v>
      </c>
      <c r="R32" s="43" t="n">
        <f aca="false">Calendario!R$18</f>
        <v>0</v>
      </c>
      <c r="S32" s="43" t="n">
        <f aca="false">Calendario!S$18</f>
        <v>0</v>
      </c>
      <c r="T32" s="43" t="n">
        <f aca="false">Calendario!T$18</f>
        <v>0</v>
      </c>
      <c r="U32" s="43" t="n">
        <f aca="false">Calendario!U$18</f>
        <v>0</v>
      </c>
      <c r="V32" s="43" t="n">
        <f aca="false">Calendario!V$18</f>
        <v>0</v>
      </c>
      <c r="W32" s="43" t="n">
        <f aca="false">Calendario!W$18</f>
        <v>0</v>
      </c>
      <c r="X32" s="43" t="n">
        <f aca="false">Calendario!X$18</f>
        <v>0</v>
      </c>
      <c r="Y32" s="43" t="n">
        <f aca="false">Calendario!Y$18</f>
        <v>0</v>
      </c>
      <c r="Z32" s="43" t="n">
        <f aca="false">Calendario!Z$18</f>
        <v>0</v>
      </c>
      <c r="AA32" s="43" t="n">
        <f aca="false">Calendario!AA$18</f>
        <v>0</v>
      </c>
      <c r="AB32" s="43" t="n">
        <f aca="false">Calendario!AB$18</f>
        <v>0</v>
      </c>
      <c r="AC32" s="43" t="n">
        <f aca="false">Calendario!AC$18</f>
        <v>0</v>
      </c>
      <c r="AD32" s="43" t="n">
        <f aca="false">Calendario!AD$18</f>
        <v>0</v>
      </c>
      <c r="AE32" s="43" t="n">
        <f aca="false">Calendario!AE$18</f>
        <v>0</v>
      </c>
      <c r="AF32" s="43" t="n">
        <f aca="false">Calendario!AF$18</f>
        <v>0</v>
      </c>
      <c r="AG32" s="43" t="n">
        <f aca="false">Calendario!AG$18</f>
        <v>0</v>
      </c>
      <c r="AH32" s="43" t="n">
        <f aca="false">Calendario!AH$18</f>
        <v>0</v>
      </c>
      <c r="AI32" s="43" t="n">
        <f aca="false">Calendario!AI$18</f>
        <v>0</v>
      </c>
      <c r="AJ32" s="43" t="n">
        <f aca="false">Calendario!AJ$18</f>
        <v>0</v>
      </c>
      <c r="AK32" s="43" t="n">
        <f aca="false">Calendario!AK$18</f>
        <v>0</v>
      </c>
      <c r="AL32" s="43" t="n">
        <f aca="false">Calendario!AL$18</f>
        <v>0</v>
      </c>
      <c r="AM32" s="43" t="n">
        <f aca="false">Calendario!AM$18</f>
        <v>0</v>
      </c>
      <c r="AN32" s="43" t="n">
        <f aca="false">Calendario!AN$18</f>
        <v>0</v>
      </c>
      <c r="AO32" s="43" t="n">
        <f aca="false">Calendario!AO$18</f>
        <v>0</v>
      </c>
      <c r="AP32" s="43" t="n">
        <f aca="false">Calendario!AP$18</f>
        <v>0</v>
      </c>
      <c r="AQ32" s="43" t="n">
        <f aca="false">Calendario!AQ$18</f>
        <v>0</v>
      </c>
      <c r="AR32" s="43" t="n">
        <f aca="false">Calendario!AR$18</f>
        <v>0</v>
      </c>
      <c r="AS32" s="43" t="n">
        <f aca="false">Calendario!AS$18</f>
        <v>0</v>
      </c>
      <c r="AT32" s="43" t="n">
        <f aca="false">Calendario!AT$18</f>
        <v>0</v>
      </c>
      <c r="AU32" s="43" t="n">
        <f aca="false">Calendario!AU$18</f>
        <v>0</v>
      </c>
      <c r="AV32" s="43" t="n">
        <f aca="false">Calendario!AV$18</f>
        <v>0</v>
      </c>
      <c r="AW32" s="43" t="n">
        <f aca="false">Calendario!AW$18</f>
        <v>0</v>
      </c>
      <c r="AX32" s="43" t="n">
        <f aca="false">Calendario!AX$18</f>
        <v>0</v>
      </c>
      <c r="AY32" s="43" t="n">
        <f aca="false">Calendario!AY$18</f>
        <v>0</v>
      </c>
      <c r="AZ32" s="43" t="n">
        <f aca="false">Calendario!AZ$18</f>
        <v>0</v>
      </c>
      <c r="BA32" s="43" t="n">
        <f aca="false">Calendario!BA$18</f>
        <v>0</v>
      </c>
      <c r="BB32" s="43" t="n">
        <f aca="false">Calendario!BB$18</f>
        <v>0</v>
      </c>
      <c r="BC32" s="43" t="n">
        <f aca="false">Calendario!BC$18</f>
        <v>0</v>
      </c>
      <c r="BD32" s="43" t="n">
        <f aca="false">Calendario!BD$18</f>
        <v>0</v>
      </c>
      <c r="BE32" s="43" t="n">
        <f aca="false">Calendario!BE$18</f>
        <v>0</v>
      </c>
      <c r="BF32" s="43" t="n">
        <f aca="false">Calendario!BF$18</f>
        <v>0</v>
      </c>
      <c r="BG32" s="43" t="n">
        <f aca="false">Calendario!BG$18</f>
        <v>0</v>
      </c>
      <c r="BH32" s="43" t="n">
        <f aca="false">Calendario!BH$18</f>
        <v>0</v>
      </c>
      <c r="BI32" s="43" t="n">
        <f aca="false">Calendario!BI$18</f>
        <v>0</v>
      </c>
      <c r="BJ32" s="43" t="n">
        <f aca="false">Calendario!BJ$18</f>
        <v>0</v>
      </c>
      <c r="BK32" s="43" t="n">
        <f aca="false">Calendario!BK$18</f>
        <v>0</v>
      </c>
      <c r="BL32" s="43" t="n">
        <f aca="false">Calendario!BL$18</f>
        <v>0</v>
      </c>
      <c r="BM32" s="43" t="n">
        <f aca="false">Calendario!BM$18</f>
        <v>0</v>
      </c>
      <c r="BN32" s="43" t="n">
        <f aca="false">Calendario!BN$18</f>
        <v>0</v>
      </c>
      <c r="BO32" s="43" t="n">
        <f aca="false">Calendario!BO$18</f>
        <v>0</v>
      </c>
      <c r="BP32" s="43" t="n">
        <f aca="false">Calendario!BP$18</f>
        <v>0</v>
      </c>
      <c r="BQ32" s="43" t="n">
        <f aca="false">Calendario!BQ$18</f>
        <v>0</v>
      </c>
      <c r="BR32" s="43" t="n">
        <f aca="false">Calendario!BR$18</f>
        <v>0</v>
      </c>
      <c r="BS32" s="43" t="n">
        <f aca="false">Calendario!BS$18</f>
        <v>0</v>
      </c>
      <c r="BT32" s="43" t="n">
        <f aca="false">Calendario!BT$18</f>
        <v>0</v>
      </c>
      <c r="BU32" s="43" t="n">
        <f aca="false">Calendario!BU$18</f>
        <v>0</v>
      </c>
      <c r="BV32" s="43" t="n">
        <f aca="false">Calendario!BV$18</f>
        <v>0</v>
      </c>
      <c r="BW32" s="43" t="n">
        <f aca="false">Calendario!BW$18</f>
        <v>0</v>
      </c>
      <c r="BX32" s="43" t="n">
        <f aca="false">Calendario!BX$18</f>
        <v>0</v>
      </c>
      <c r="BY32" s="43" t="n">
        <f aca="false">Calendario!BY$18</f>
        <v>0</v>
      </c>
      <c r="BZ32" s="43" t="n">
        <f aca="false">Calendario!BZ$18</f>
        <v>0</v>
      </c>
      <c r="CA32" s="43" t="n">
        <f aca="false">Calendario!CA$18</f>
        <v>0</v>
      </c>
      <c r="CB32" s="43" t="n">
        <f aca="false">Calendario!CB$18</f>
        <v>0</v>
      </c>
      <c r="CC32" s="43" t="n">
        <f aca="false">Calendario!CC$18</f>
        <v>0</v>
      </c>
      <c r="CD32" s="43" t="n">
        <f aca="false">Calendario!CD$18</f>
        <v>0</v>
      </c>
      <c r="CE32" s="43" t="n">
        <f aca="false">Calendario!CE$18</f>
        <v>0</v>
      </c>
      <c r="CF32" s="43" t="n">
        <f aca="false">Calendario!CF$18</f>
        <v>0</v>
      </c>
      <c r="CG32" s="43" t="n">
        <f aca="false">Calendario!CG$18</f>
        <v>0</v>
      </c>
      <c r="CH32" s="43" t="n">
        <f aca="false">Calendario!CH$18</f>
        <v>0</v>
      </c>
      <c r="CI32" s="43" t="n">
        <f aca="false">Calendario!CI$18</f>
        <v>0</v>
      </c>
      <c r="CJ32" s="43" t="n">
        <f aca="false">Calendario!CJ$18</f>
        <v>0</v>
      </c>
      <c r="CK32" s="43" t="n">
        <f aca="false">Calendario!CK$18</f>
        <v>0</v>
      </c>
      <c r="CL32" s="43" t="n">
        <f aca="false">Calendario!CL$18</f>
        <v>0</v>
      </c>
      <c r="CM32" s="43" t="n">
        <f aca="false">Calendario!CM$18</f>
        <v>0</v>
      </c>
      <c r="CN32" s="43" t="n">
        <f aca="false">Calendario!CN$18</f>
        <v>0</v>
      </c>
      <c r="CO32" s="43" t="n">
        <f aca="false">Calendario!CO$18</f>
        <v>0</v>
      </c>
      <c r="CP32" s="43" t="n">
        <f aca="false">Calendario!CP$18</f>
        <v>0</v>
      </c>
      <c r="CQ32" s="43" t="n">
        <f aca="false">Calendario!CQ$18</f>
        <v>0</v>
      </c>
      <c r="CR32" s="43" t="n">
        <f aca="false">Calendario!CR$18</f>
        <v>0</v>
      </c>
      <c r="CS32" s="43" t="n">
        <f aca="false">Calendario!CS$18</f>
        <v>0</v>
      </c>
      <c r="CT32" s="43" t="n">
        <f aca="false">Calendario!CT$18</f>
        <v>0</v>
      </c>
      <c r="CU32" s="43" t="n">
        <f aca="false">Calendario!CU$18</f>
        <v>0</v>
      </c>
      <c r="CV32" s="43" t="n">
        <f aca="false">Calendario!CV$18</f>
        <v>0</v>
      </c>
      <c r="CW32" s="43" t="n">
        <f aca="false">Calendario!CW$18</f>
        <v>0</v>
      </c>
      <c r="CX32" s="43" t="n">
        <f aca="false">Calendario!CX$18</f>
        <v>0</v>
      </c>
      <c r="CY32" s="43" t="n">
        <f aca="false">Calendario!CY$18</f>
        <v>0</v>
      </c>
      <c r="CZ32" s="43" t="n">
        <f aca="false">Calendario!CZ$18</f>
        <v>0</v>
      </c>
      <c r="DA32" s="43" t="n">
        <f aca="false">Calendario!DA$18</f>
        <v>0</v>
      </c>
      <c r="DB32" s="43" t="n">
        <f aca="false">Calendario!DB$18</f>
        <v>0</v>
      </c>
      <c r="DC32" s="43" t="n">
        <f aca="false">Calendario!DC$18</f>
        <v>0</v>
      </c>
      <c r="DD32" s="43" t="n">
        <f aca="false">Calendario!DD$18</f>
        <v>0</v>
      </c>
      <c r="DE32" s="43" t="n">
        <f aca="false">Calendario!DE$18</f>
        <v>0</v>
      </c>
      <c r="DF32" s="43" t="n">
        <f aca="false">Calendario!DF$18</f>
        <v>0</v>
      </c>
      <c r="DG32" s="43" t="n">
        <f aca="false">Calendario!DG$18</f>
        <v>0</v>
      </c>
      <c r="DH32" s="43" t="n">
        <f aca="false">Calendario!DH$18</f>
        <v>0</v>
      </c>
      <c r="DI32" s="43" t="n">
        <f aca="false">Calendario!DI$18</f>
        <v>0</v>
      </c>
      <c r="DJ32" s="43" t="n">
        <f aca="false">Calendario!DJ$18</f>
        <v>0</v>
      </c>
      <c r="DK32" s="43" t="n">
        <f aca="false">Calendario!DK$18</f>
        <v>0</v>
      </c>
      <c r="DL32" s="43" t="n">
        <f aca="false">Calendario!DL$18</f>
        <v>0</v>
      </c>
      <c r="DM32" s="43" t="n">
        <f aca="false">Calendario!DM$18</f>
        <v>0</v>
      </c>
      <c r="DN32" s="43" t="n">
        <f aca="false">Calendario!DN$18</f>
        <v>0</v>
      </c>
      <c r="DO32" s="43" t="n">
        <f aca="false">Calendario!DO$18</f>
        <v>0</v>
      </c>
      <c r="DP32" s="43" t="n">
        <f aca="false">Calendario!DP$18</f>
        <v>0</v>
      </c>
      <c r="DQ32" s="43" t="n">
        <f aca="false">Calendario!DQ$18</f>
        <v>0</v>
      </c>
      <c r="DR32" s="43" t="n">
        <f aca="false">Calendario!DR$18</f>
        <v>0</v>
      </c>
      <c r="DS32" s="43" t="n">
        <f aca="false">Calendario!DS$18</f>
        <v>0</v>
      </c>
      <c r="DT32" s="43" t="n">
        <f aca="false">Calendario!DT$18</f>
        <v>0</v>
      </c>
      <c r="DU32" s="43" t="n">
        <f aca="false">Calendario!DU$18</f>
        <v>0</v>
      </c>
      <c r="DV32" s="43" t="n">
        <f aca="false">Calendario!DV$18</f>
        <v>0</v>
      </c>
      <c r="DW32" s="43" t="n">
        <f aca="false">Calendario!DW$18</f>
        <v>0</v>
      </c>
      <c r="DX32" s="43" t="n">
        <f aca="false">Calendario!DX$18</f>
        <v>0</v>
      </c>
      <c r="DY32" s="43" t="n">
        <f aca="false">Calendario!DY$18</f>
        <v>0</v>
      </c>
      <c r="DZ32" s="43" t="n">
        <f aca="false">Calendario!DZ$18</f>
        <v>0</v>
      </c>
      <c r="EA32" s="43" t="n">
        <f aca="false">Calendario!EA$18</f>
        <v>0</v>
      </c>
      <c r="EB32" s="43" t="n">
        <f aca="false">Calendario!EB$18</f>
        <v>0</v>
      </c>
      <c r="EC32" s="43" t="n">
        <f aca="false">Calendario!EC$18</f>
        <v>0</v>
      </c>
      <c r="ED32" s="43" t="n">
        <f aca="false">Calendario!ED$18</f>
        <v>0</v>
      </c>
      <c r="EE32" s="43" t="n">
        <f aca="false">Calendario!EE$18</f>
        <v>0</v>
      </c>
      <c r="EF32" s="43" t="n">
        <f aca="false">Calendario!EF$18</f>
        <v>0</v>
      </c>
      <c r="EG32" s="43" t="n">
        <f aca="false">Calendario!EG$18</f>
        <v>0</v>
      </c>
      <c r="EH32" s="43" t="n">
        <f aca="false">Calendario!EH$18</f>
        <v>0</v>
      </c>
      <c r="EI32" s="43" t="n">
        <f aca="false">Calendario!EI$18</f>
        <v>0</v>
      </c>
      <c r="EJ32" s="43" t="n">
        <f aca="false">Calendario!EJ$18</f>
        <v>0</v>
      </c>
      <c r="EK32" s="43" t="n">
        <f aca="false">Calendario!EK$18</f>
        <v>0</v>
      </c>
      <c r="EL32" s="43" t="n">
        <f aca="false">Calendario!EL$18</f>
        <v>0</v>
      </c>
      <c r="EM32" s="43" t="n">
        <f aca="false">Calendario!EM$18</f>
        <v>0</v>
      </c>
      <c r="EN32" s="43" t="n">
        <f aca="false">Calendario!EN$18</f>
        <v>0</v>
      </c>
      <c r="EO32" s="43" t="n">
        <f aca="false">Calendario!EO$18</f>
        <v>0</v>
      </c>
      <c r="EP32" s="43" t="n">
        <f aca="false">Calendario!EP$18</f>
        <v>0</v>
      </c>
      <c r="EQ32" s="43" t="n">
        <f aca="false">Calendario!EQ$18</f>
        <v>0</v>
      </c>
      <c r="ER32" s="43" t="n">
        <f aca="false">Calendario!ER$18</f>
        <v>0</v>
      </c>
      <c r="ES32" s="43" t="n">
        <f aca="false">Calendario!ES$18</f>
        <v>0</v>
      </c>
      <c r="ET32" s="43" t="n">
        <f aca="false">Calendario!ET$18</f>
        <v>0</v>
      </c>
      <c r="EU32" s="43" t="n">
        <f aca="false">Calendario!EU$18</f>
        <v>0</v>
      </c>
      <c r="EV32" s="43" t="n">
        <f aca="false">Calendario!EV$18</f>
        <v>0</v>
      </c>
      <c r="EW32" s="43" t="n">
        <f aca="false">Calendario!EW$18</f>
        <v>0</v>
      </c>
      <c r="EX32" s="43" t="n">
        <f aca="false">Calendario!EX$18</f>
        <v>0</v>
      </c>
      <c r="EY32" s="43" t="n">
        <f aca="false">Calendario!EY$18</f>
        <v>0</v>
      </c>
      <c r="EZ32" s="43" t="n">
        <f aca="false">Calendario!EZ$18</f>
        <v>0</v>
      </c>
      <c r="FA32" s="43" t="n">
        <f aca="false">Calendario!FA$18</f>
        <v>0</v>
      </c>
      <c r="FB32" s="43" t="n">
        <f aca="false">Calendario!FB$18</f>
        <v>0</v>
      </c>
      <c r="FC32" s="43" t="n">
        <f aca="false">Calendario!FC$18</f>
        <v>0</v>
      </c>
      <c r="FD32" s="43" t="n">
        <f aca="false">Calendario!FD$18</f>
        <v>0</v>
      </c>
      <c r="FE32" s="43" t="n">
        <f aca="false">Calendario!FE$18</f>
        <v>0</v>
      </c>
      <c r="FF32" s="43" t="n">
        <f aca="false">Calendario!FF$18</f>
        <v>0</v>
      </c>
    </row>
    <row r="33" customFormat="false" ht="15" hidden="false" customHeight="false" outlineLevel="0" collapsed="false">
      <c r="A33" s="4"/>
      <c r="B33" s="3" t="s">
        <v>1216</v>
      </c>
      <c r="C33" s="4"/>
      <c r="D33" s="4"/>
      <c r="E33" s="4"/>
    </row>
    <row r="34" customFormat="false" ht="15" hidden="false" customHeight="false" outlineLevel="0" collapsed="false">
      <c r="A34" s="2" t="s">
        <v>1217</v>
      </c>
      <c r="B34" s="8" t="s">
        <v>1218</v>
      </c>
      <c r="C34" s="8" t="s">
        <v>255</v>
      </c>
      <c r="E34" s="65" t="n">
        <f aca="false">SUM($F34:$FF34)</f>
        <v>0</v>
      </c>
      <c r="F34" s="13" t="n">
        <f aca="false">IF(F$32=1,SUMIFS(dr_USD,dr_Mes,0,dr_Cod,"CAPEX_PAG",dr_Est,"&lt;&gt;Excluido"),0)</f>
        <v>0</v>
      </c>
      <c r="G34" s="13" t="n">
        <f aca="false">IF(G$32=1,SUMIFS(dr_USD,dr_Mes,1,dr_Cod,"CAPEX_PAG",dr_Est,"&lt;&gt;Excluido"),0)</f>
        <v>0</v>
      </c>
      <c r="H34" s="13" t="n">
        <f aca="false">IF(H$32=1,SUMIFS(dr_USD,dr_Mes,2,dr_Cod,"CAPEX_PAG",dr_Est,"&lt;&gt;Excluido"),0)</f>
        <v>0</v>
      </c>
      <c r="I34" s="13" t="n">
        <f aca="false">IF(I$32=1,SUMIFS(dr_USD,dr_Mes,3,dr_Cod,"CAPEX_PAG",dr_Est,"&lt;&gt;Excluido"),0)</f>
        <v>0</v>
      </c>
      <c r="J34" s="13" t="n">
        <f aca="false">IF(J$32=1,SUMIFS(dr_USD,dr_Mes,4,dr_Cod,"CAPEX_PAG",dr_Est,"&lt;&gt;Excluido"),0)</f>
        <v>0</v>
      </c>
      <c r="K34" s="13" t="n">
        <f aca="false">IF(K$32=1,SUMIFS(dr_USD,dr_Mes,5,dr_Cod,"CAPEX_PAG",dr_Est,"&lt;&gt;Excluido"),0)</f>
        <v>0</v>
      </c>
      <c r="L34" s="13" t="n">
        <f aca="false">IF(L$32=1,SUMIFS(dr_USD,dr_Mes,6,dr_Cod,"CAPEX_PAG",dr_Est,"&lt;&gt;Excluido"),0)</f>
        <v>0</v>
      </c>
      <c r="M34" s="13" t="n">
        <f aca="false">IF(M$32=1,SUMIFS(dr_USD,dr_Mes,7,dr_Cod,"CAPEX_PAG",dr_Est,"&lt;&gt;Excluido"),0)</f>
        <v>0</v>
      </c>
      <c r="N34" s="13" t="n">
        <f aca="false">IF(N$32=1,SUMIFS(dr_USD,dr_Mes,8,dr_Cod,"CAPEX_PAG",dr_Est,"&lt;&gt;Excluido"),0)</f>
        <v>0</v>
      </c>
      <c r="O34" s="13" t="n">
        <f aca="false">IF(O$32=1,SUMIFS(dr_USD,dr_Mes,9,dr_Cod,"CAPEX_PAG",dr_Est,"&lt;&gt;Excluido"),0)</f>
        <v>0</v>
      </c>
      <c r="P34" s="13" t="n">
        <f aca="false">IF(P$32=1,SUMIFS(dr_USD,dr_Mes,10,dr_Cod,"CAPEX_PAG",dr_Est,"&lt;&gt;Excluido"),0)</f>
        <v>0</v>
      </c>
      <c r="Q34" s="13" t="n">
        <f aca="false">IF(Q$32=1,SUMIFS(dr_USD,dr_Mes,11,dr_Cod,"CAPEX_PAG",dr_Est,"&lt;&gt;Excluido"),0)</f>
        <v>0</v>
      </c>
      <c r="R34" s="13" t="n">
        <f aca="false">IF(R$32=1,SUMIFS(dr_USD,dr_Mes,12,dr_Cod,"CAPEX_PAG",dr_Est,"&lt;&gt;Excluido"),0)</f>
        <v>0</v>
      </c>
      <c r="S34" s="13" t="n">
        <f aca="false">IF(S$32=1,SUMIFS(dr_USD,dr_Mes,13,dr_Cod,"CAPEX_PAG",dr_Est,"&lt;&gt;Excluido"),0)</f>
        <v>0</v>
      </c>
      <c r="T34" s="13" t="n">
        <f aca="false">IF(T$32=1,SUMIFS(dr_USD,dr_Mes,14,dr_Cod,"CAPEX_PAG",dr_Est,"&lt;&gt;Excluido"),0)</f>
        <v>0</v>
      </c>
      <c r="U34" s="13" t="n">
        <f aca="false">IF(U$32=1,SUMIFS(dr_USD,dr_Mes,15,dr_Cod,"CAPEX_PAG",dr_Est,"&lt;&gt;Excluido"),0)</f>
        <v>0</v>
      </c>
      <c r="V34" s="13" t="n">
        <f aca="false">IF(V$32=1,SUMIFS(dr_USD,dr_Mes,16,dr_Cod,"CAPEX_PAG",dr_Est,"&lt;&gt;Excluido"),0)</f>
        <v>0</v>
      </c>
      <c r="W34" s="13" t="n">
        <f aca="false">IF(W$32=1,SUMIFS(dr_USD,dr_Mes,17,dr_Cod,"CAPEX_PAG",dr_Est,"&lt;&gt;Excluido"),0)</f>
        <v>0</v>
      </c>
      <c r="X34" s="13" t="n">
        <f aca="false">IF(X$32=1,SUMIFS(dr_USD,dr_Mes,18,dr_Cod,"CAPEX_PAG",dr_Est,"&lt;&gt;Excluido"),0)</f>
        <v>0</v>
      </c>
      <c r="Y34" s="13" t="n">
        <f aca="false">IF(Y$32=1,SUMIFS(dr_USD,dr_Mes,19,dr_Cod,"CAPEX_PAG",dr_Est,"&lt;&gt;Excluido"),0)</f>
        <v>0</v>
      </c>
      <c r="Z34" s="13" t="n">
        <f aca="false">IF(Z$32=1,SUMIFS(dr_USD,dr_Mes,20,dr_Cod,"CAPEX_PAG",dr_Est,"&lt;&gt;Excluido"),0)</f>
        <v>0</v>
      </c>
      <c r="AA34" s="13" t="n">
        <f aca="false">IF(AA$32=1,SUMIFS(dr_USD,dr_Mes,21,dr_Cod,"CAPEX_PAG",dr_Est,"&lt;&gt;Excluido"),0)</f>
        <v>0</v>
      </c>
      <c r="AB34" s="13" t="n">
        <f aca="false">IF(AB$32=1,SUMIFS(dr_USD,dr_Mes,22,dr_Cod,"CAPEX_PAG",dr_Est,"&lt;&gt;Excluido"),0)</f>
        <v>0</v>
      </c>
      <c r="AC34" s="13" t="n">
        <f aca="false">IF(AC$32=1,SUMIFS(dr_USD,dr_Mes,23,dr_Cod,"CAPEX_PAG",dr_Est,"&lt;&gt;Excluido"),0)</f>
        <v>0</v>
      </c>
      <c r="AD34" s="13" t="n">
        <f aca="false">IF(AD$32=1,SUMIFS(dr_USD,dr_Mes,24,dr_Cod,"CAPEX_PAG",dr_Est,"&lt;&gt;Excluido"),0)</f>
        <v>0</v>
      </c>
      <c r="AE34" s="13" t="n">
        <f aca="false">IF(AE$32=1,SUMIFS(dr_USD,dr_Mes,25,dr_Cod,"CAPEX_PAG",dr_Est,"&lt;&gt;Excluido"),0)</f>
        <v>0</v>
      </c>
      <c r="AF34" s="13" t="n">
        <f aca="false">IF(AF$32=1,SUMIFS(dr_USD,dr_Mes,26,dr_Cod,"CAPEX_PAG",dr_Est,"&lt;&gt;Excluido"),0)</f>
        <v>0</v>
      </c>
      <c r="AG34" s="13" t="n">
        <f aca="false">IF(AG$32=1,SUMIFS(dr_USD,dr_Mes,27,dr_Cod,"CAPEX_PAG",dr_Est,"&lt;&gt;Excluido"),0)</f>
        <v>0</v>
      </c>
      <c r="AH34" s="13" t="n">
        <f aca="false">IF(AH$32=1,SUMIFS(dr_USD,dr_Mes,28,dr_Cod,"CAPEX_PAG",dr_Est,"&lt;&gt;Excluido"),0)</f>
        <v>0</v>
      </c>
      <c r="AI34" s="13" t="n">
        <f aca="false">IF(AI$32=1,SUMIFS(dr_USD,dr_Mes,29,dr_Cod,"CAPEX_PAG",dr_Est,"&lt;&gt;Excluido"),0)</f>
        <v>0</v>
      </c>
      <c r="AJ34" s="13" t="n">
        <f aca="false">IF(AJ$32=1,SUMIFS(dr_USD,dr_Mes,30,dr_Cod,"CAPEX_PAG",dr_Est,"&lt;&gt;Excluido"),0)</f>
        <v>0</v>
      </c>
      <c r="AK34" s="13" t="n">
        <f aca="false">IF(AK$32=1,SUMIFS(dr_USD,dr_Mes,31,dr_Cod,"CAPEX_PAG",dr_Est,"&lt;&gt;Excluido"),0)</f>
        <v>0</v>
      </c>
      <c r="AL34" s="13" t="n">
        <f aca="false">IF(AL$32=1,SUMIFS(dr_USD,dr_Mes,32,dr_Cod,"CAPEX_PAG",dr_Est,"&lt;&gt;Excluido"),0)</f>
        <v>0</v>
      </c>
      <c r="AM34" s="13" t="n">
        <f aca="false">IF(AM$32=1,SUMIFS(dr_USD,dr_Mes,33,dr_Cod,"CAPEX_PAG",dr_Est,"&lt;&gt;Excluido"),0)</f>
        <v>0</v>
      </c>
      <c r="AN34" s="13" t="n">
        <f aca="false">IF(AN$32=1,SUMIFS(dr_USD,dr_Mes,34,dr_Cod,"CAPEX_PAG",dr_Est,"&lt;&gt;Excluido"),0)</f>
        <v>0</v>
      </c>
      <c r="AO34" s="13" t="n">
        <f aca="false">IF(AO$32=1,SUMIFS(dr_USD,dr_Mes,35,dr_Cod,"CAPEX_PAG",dr_Est,"&lt;&gt;Excluido"),0)</f>
        <v>0</v>
      </c>
      <c r="AP34" s="13" t="n">
        <f aca="false">IF(AP$32=1,SUMIFS(dr_USD,dr_Mes,36,dr_Cod,"CAPEX_PAG",dr_Est,"&lt;&gt;Excluido"),0)</f>
        <v>0</v>
      </c>
      <c r="AQ34" s="13" t="n">
        <f aca="false">IF(AQ$32=1,SUMIFS(dr_USD,dr_Mes,37,dr_Cod,"CAPEX_PAG",dr_Est,"&lt;&gt;Excluido"),0)</f>
        <v>0</v>
      </c>
      <c r="AR34" s="13" t="n">
        <f aca="false">IF(AR$32=1,SUMIFS(dr_USD,dr_Mes,38,dr_Cod,"CAPEX_PAG",dr_Est,"&lt;&gt;Excluido"),0)</f>
        <v>0</v>
      </c>
      <c r="AS34" s="13" t="n">
        <f aca="false">IF(AS$32=1,SUMIFS(dr_USD,dr_Mes,39,dr_Cod,"CAPEX_PAG",dr_Est,"&lt;&gt;Excluido"),0)</f>
        <v>0</v>
      </c>
      <c r="AT34" s="13" t="n">
        <f aca="false">IF(AT$32=1,SUMIFS(dr_USD,dr_Mes,40,dr_Cod,"CAPEX_PAG",dr_Est,"&lt;&gt;Excluido"),0)</f>
        <v>0</v>
      </c>
      <c r="AU34" s="13" t="n">
        <f aca="false">IF(AU$32=1,SUMIFS(dr_USD,dr_Mes,41,dr_Cod,"CAPEX_PAG",dr_Est,"&lt;&gt;Excluido"),0)</f>
        <v>0</v>
      </c>
      <c r="AV34" s="13" t="n">
        <f aca="false">IF(AV$32=1,SUMIFS(dr_USD,dr_Mes,42,dr_Cod,"CAPEX_PAG",dr_Est,"&lt;&gt;Excluido"),0)</f>
        <v>0</v>
      </c>
      <c r="AW34" s="13" t="n">
        <f aca="false">IF(AW$32=1,SUMIFS(dr_USD,dr_Mes,43,dr_Cod,"CAPEX_PAG",dr_Est,"&lt;&gt;Excluido"),0)</f>
        <v>0</v>
      </c>
      <c r="AX34" s="13" t="n">
        <f aca="false">IF(AX$32=1,SUMIFS(dr_USD,dr_Mes,44,dr_Cod,"CAPEX_PAG",dr_Est,"&lt;&gt;Excluido"),0)</f>
        <v>0</v>
      </c>
      <c r="AY34" s="13" t="n">
        <f aca="false">IF(AY$32=1,SUMIFS(dr_USD,dr_Mes,45,dr_Cod,"CAPEX_PAG",dr_Est,"&lt;&gt;Excluido"),0)</f>
        <v>0</v>
      </c>
      <c r="AZ34" s="13" t="n">
        <f aca="false">IF(AZ$32=1,SUMIFS(dr_USD,dr_Mes,46,dr_Cod,"CAPEX_PAG",dr_Est,"&lt;&gt;Excluido"),0)</f>
        <v>0</v>
      </c>
      <c r="BA34" s="13" t="n">
        <f aca="false">IF(BA$32=1,SUMIFS(dr_USD,dr_Mes,47,dr_Cod,"CAPEX_PAG",dr_Est,"&lt;&gt;Excluido"),0)</f>
        <v>0</v>
      </c>
      <c r="BB34" s="13" t="n">
        <f aca="false">IF(BB$32=1,SUMIFS(dr_USD,dr_Mes,48,dr_Cod,"CAPEX_PAG",dr_Est,"&lt;&gt;Excluido"),0)</f>
        <v>0</v>
      </c>
      <c r="BC34" s="13" t="n">
        <f aca="false">IF(BC$32=1,SUMIFS(dr_USD,dr_Mes,49,dr_Cod,"CAPEX_PAG",dr_Est,"&lt;&gt;Excluido"),0)</f>
        <v>0</v>
      </c>
      <c r="BD34" s="13" t="n">
        <f aca="false">IF(BD$32=1,SUMIFS(dr_USD,dr_Mes,50,dr_Cod,"CAPEX_PAG",dr_Est,"&lt;&gt;Excluido"),0)</f>
        <v>0</v>
      </c>
      <c r="BE34" s="13" t="n">
        <f aca="false">IF(BE$32=1,SUMIFS(dr_USD,dr_Mes,51,dr_Cod,"CAPEX_PAG",dr_Est,"&lt;&gt;Excluido"),0)</f>
        <v>0</v>
      </c>
      <c r="BF34" s="13" t="n">
        <f aca="false">IF(BF$32=1,SUMIFS(dr_USD,dr_Mes,52,dr_Cod,"CAPEX_PAG",dr_Est,"&lt;&gt;Excluido"),0)</f>
        <v>0</v>
      </c>
      <c r="BG34" s="13" t="n">
        <f aca="false">IF(BG$32=1,SUMIFS(dr_USD,dr_Mes,53,dr_Cod,"CAPEX_PAG",dr_Est,"&lt;&gt;Excluido"),0)</f>
        <v>0</v>
      </c>
      <c r="BH34" s="13" t="n">
        <f aca="false">IF(BH$32=1,SUMIFS(dr_USD,dr_Mes,54,dr_Cod,"CAPEX_PAG",dr_Est,"&lt;&gt;Excluido"),0)</f>
        <v>0</v>
      </c>
      <c r="BI34" s="13" t="n">
        <f aca="false">IF(BI$32=1,SUMIFS(dr_USD,dr_Mes,55,dr_Cod,"CAPEX_PAG",dr_Est,"&lt;&gt;Excluido"),0)</f>
        <v>0</v>
      </c>
      <c r="BJ34" s="13" t="n">
        <f aca="false">IF(BJ$32=1,SUMIFS(dr_USD,dr_Mes,56,dr_Cod,"CAPEX_PAG",dr_Est,"&lt;&gt;Excluido"),0)</f>
        <v>0</v>
      </c>
      <c r="BK34" s="13" t="n">
        <f aca="false">IF(BK$32=1,SUMIFS(dr_USD,dr_Mes,57,dr_Cod,"CAPEX_PAG",dr_Est,"&lt;&gt;Excluido"),0)</f>
        <v>0</v>
      </c>
      <c r="BL34" s="13" t="n">
        <f aca="false">IF(BL$32=1,SUMIFS(dr_USD,dr_Mes,58,dr_Cod,"CAPEX_PAG",dr_Est,"&lt;&gt;Excluido"),0)</f>
        <v>0</v>
      </c>
      <c r="BM34" s="13" t="n">
        <f aca="false">IF(BM$32=1,SUMIFS(dr_USD,dr_Mes,59,dr_Cod,"CAPEX_PAG",dr_Est,"&lt;&gt;Excluido"),0)</f>
        <v>0</v>
      </c>
      <c r="BN34" s="13" t="n">
        <f aca="false">IF(BN$32=1,SUMIFS(dr_USD,dr_Mes,60,dr_Cod,"CAPEX_PAG",dr_Est,"&lt;&gt;Excluido"),0)</f>
        <v>0</v>
      </c>
      <c r="BO34" s="13" t="n">
        <f aca="false">IF(BO$32=1,SUMIFS(dr_USD,dr_Mes,61,dr_Cod,"CAPEX_PAG",dr_Est,"&lt;&gt;Excluido"),0)</f>
        <v>0</v>
      </c>
      <c r="BP34" s="13" t="n">
        <f aca="false">IF(BP$32=1,SUMIFS(dr_USD,dr_Mes,62,dr_Cod,"CAPEX_PAG",dr_Est,"&lt;&gt;Excluido"),0)</f>
        <v>0</v>
      </c>
      <c r="BQ34" s="13" t="n">
        <f aca="false">IF(BQ$32=1,SUMIFS(dr_USD,dr_Mes,63,dr_Cod,"CAPEX_PAG",dr_Est,"&lt;&gt;Excluido"),0)</f>
        <v>0</v>
      </c>
      <c r="BR34" s="13" t="n">
        <f aca="false">IF(BR$32=1,SUMIFS(dr_USD,dr_Mes,64,dr_Cod,"CAPEX_PAG",dr_Est,"&lt;&gt;Excluido"),0)</f>
        <v>0</v>
      </c>
      <c r="BS34" s="13" t="n">
        <f aca="false">IF(BS$32=1,SUMIFS(dr_USD,dr_Mes,65,dr_Cod,"CAPEX_PAG",dr_Est,"&lt;&gt;Excluido"),0)</f>
        <v>0</v>
      </c>
      <c r="BT34" s="13" t="n">
        <f aca="false">IF(BT$32=1,SUMIFS(dr_USD,dr_Mes,66,dr_Cod,"CAPEX_PAG",dr_Est,"&lt;&gt;Excluido"),0)</f>
        <v>0</v>
      </c>
      <c r="BU34" s="13" t="n">
        <f aca="false">IF(BU$32=1,SUMIFS(dr_USD,dr_Mes,67,dr_Cod,"CAPEX_PAG",dr_Est,"&lt;&gt;Excluido"),0)</f>
        <v>0</v>
      </c>
      <c r="BV34" s="13" t="n">
        <f aca="false">IF(BV$32=1,SUMIFS(dr_USD,dr_Mes,68,dr_Cod,"CAPEX_PAG",dr_Est,"&lt;&gt;Excluido"),0)</f>
        <v>0</v>
      </c>
      <c r="BW34" s="13" t="n">
        <f aca="false">IF(BW$32=1,SUMIFS(dr_USD,dr_Mes,69,dr_Cod,"CAPEX_PAG",dr_Est,"&lt;&gt;Excluido"),0)</f>
        <v>0</v>
      </c>
      <c r="BX34" s="13" t="n">
        <f aca="false">IF(BX$32=1,SUMIFS(dr_USD,dr_Mes,70,dr_Cod,"CAPEX_PAG",dr_Est,"&lt;&gt;Excluido"),0)</f>
        <v>0</v>
      </c>
      <c r="BY34" s="13" t="n">
        <f aca="false">IF(BY$32=1,SUMIFS(dr_USD,dr_Mes,71,dr_Cod,"CAPEX_PAG",dr_Est,"&lt;&gt;Excluido"),0)</f>
        <v>0</v>
      </c>
      <c r="BZ34" s="13" t="n">
        <f aca="false">IF(BZ$32=1,SUMIFS(dr_USD,dr_Mes,72,dr_Cod,"CAPEX_PAG",dr_Est,"&lt;&gt;Excluido"),0)</f>
        <v>0</v>
      </c>
      <c r="CA34" s="13" t="n">
        <f aca="false">IF(CA$32=1,SUMIFS(dr_USD,dr_Mes,73,dr_Cod,"CAPEX_PAG",dr_Est,"&lt;&gt;Excluido"),0)</f>
        <v>0</v>
      </c>
      <c r="CB34" s="13" t="n">
        <f aca="false">IF(CB$32=1,SUMIFS(dr_USD,dr_Mes,74,dr_Cod,"CAPEX_PAG",dr_Est,"&lt;&gt;Excluido"),0)</f>
        <v>0</v>
      </c>
      <c r="CC34" s="13" t="n">
        <f aca="false">IF(CC$32=1,SUMIFS(dr_USD,dr_Mes,75,dr_Cod,"CAPEX_PAG",dr_Est,"&lt;&gt;Excluido"),0)</f>
        <v>0</v>
      </c>
      <c r="CD34" s="13" t="n">
        <f aca="false">IF(CD$32=1,SUMIFS(dr_USD,dr_Mes,76,dr_Cod,"CAPEX_PAG",dr_Est,"&lt;&gt;Excluido"),0)</f>
        <v>0</v>
      </c>
      <c r="CE34" s="13" t="n">
        <f aca="false">IF(CE$32=1,SUMIFS(dr_USD,dr_Mes,77,dr_Cod,"CAPEX_PAG",dr_Est,"&lt;&gt;Excluido"),0)</f>
        <v>0</v>
      </c>
      <c r="CF34" s="13" t="n">
        <f aca="false">IF(CF$32=1,SUMIFS(dr_USD,dr_Mes,78,dr_Cod,"CAPEX_PAG",dr_Est,"&lt;&gt;Excluido"),0)</f>
        <v>0</v>
      </c>
      <c r="CG34" s="13" t="n">
        <f aca="false">IF(CG$32=1,SUMIFS(dr_USD,dr_Mes,79,dr_Cod,"CAPEX_PAG",dr_Est,"&lt;&gt;Excluido"),0)</f>
        <v>0</v>
      </c>
      <c r="CH34" s="13" t="n">
        <f aca="false">IF(CH$32=1,SUMIFS(dr_USD,dr_Mes,80,dr_Cod,"CAPEX_PAG",dr_Est,"&lt;&gt;Excluido"),0)</f>
        <v>0</v>
      </c>
      <c r="CI34" s="13" t="n">
        <f aca="false">IF(CI$32=1,SUMIFS(dr_USD,dr_Mes,81,dr_Cod,"CAPEX_PAG",dr_Est,"&lt;&gt;Excluido"),0)</f>
        <v>0</v>
      </c>
      <c r="CJ34" s="13" t="n">
        <f aca="false">IF(CJ$32=1,SUMIFS(dr_USD,dr_Mes,82,dr_Cod,"CAPEX_PAG",dr_Est,"&lt;&gt;Excluido"),0)</f>
        <v>0</v>
      </c>
      <c r="CK34" s="13" t="n">
        <f aca="false">IF(CK$32=1,SUMIFS(dr_USD,dr_Mes,83,dr_Cod,"CAPEX_PAG",dr_Est,"&lt;&gt;Excluido"),0)</f>
        <v>0</v>
      </c>
      <c r="CL34" s="13" t="n">
        <f aca="false">IF(CL$32=1,SUMIFS(dr_USD,dr_Mes,84,dr_Cod,"CAPEX_PAG",dr_Est,"&lt;&gt;Excluido"),0)</f>
        <v>0</v>
      </c>
      <c r="CM34" s="13" t="n">
        <f aca="false">IF(CM$32=1,SUMIFS(dr_USD,dr_Mes,85,dr_Cod,"CAPEX_PAG",dr_Est,"&lt;&gt;Excluido"),0)</f>
        <v>0</v>
      </c>
      <c r="CN34" s="13" t="n">
        <f aca="false">IF(CN$32=1,SUMIFS(dr_USD,dr_Mes,86,dr_Cod,"CAPEX_PAG",dr_Est,"&lt;&gt;Excluido"),0)</f>
        <v>0</v>
      </c>
      <c r="CO34" s="13" t="n">
        <f aca="false">IF(CO$32=1,SUMIFS(dr_USD,dr_Mes,87,dr_Cod,"CAPEX_PAG",dr_Est,"&lt;&gt;Excluido"),0)</f>
        <v>0</v>
      </c>
      <c r="CP34" s="13" t="n">
        <f aca="false">IF(CP$32=1,SUMIFS(dr_USD,dr_Mes,88,dr_Cod,"CAPEX_PAG",dr_Est,"&lt;&gt;Excluido"),0)</f>
        <v>0</v>
      </c>
      <c r="CQ34" s="13" t="n">
        <f aca="false">IF(CQ$32=1,SUMIFS(dr_USD,dr_Mes,89,dr_Cod,"CAPEX_PAG",dr_Est,"&lt;&gt;Excluido"),0)</f>
        <v>0</v>
      </c>
      <c r="CR34" s="13" t="n">
        <f aca="false">IF(CR$32=1,SUMIFS(dr_USD,dr_Mes,90,dr_Cod,"CAPEX_PAG",dr_Est,"&lt;&gt;Excluido"),0)</f>
        <v>0</v>
      </c>
      <c r="CS34" s="13" t="n">
        <f aca="false">IF(CS$32=1,SUMIFS(dr_USD,dr_Mes,91,dr_Cod,"CAPEX_PAG",dr_Est,"&lt;&gt;Excluido"),0)</f>
        <v>0</v>
      </c>
      <c r="CT34" s="13" t="n">
        <f aca="false">IF(CT$32=1,SUMIFS(dr_USD,dr_Mes,92,dr_Cod,"CAPEX_PAG",dr_Est,"&lt;&gt;Excluido"),0)</f>
        <v>0</v>
      </c>
      <c r="CU34" s="13" t="n">
        <f aca="false">IF(CU$32=1,SUMIFS(dr_USD,dr_Mes,93,dr_Cod,"CAPEX_PAG",dr_Est,"&lt;&gt;Excluido"),0)</f>
        <v>0</v>
      </c>
      <c r="CV34" s="13" t="n">
        <f aca="false">IF(CV$32=1,SUMIFS(dr_USD,dr_Mes,94,dr_Cod,"CAPEX_PAG",dr_Est,"&lt;&gt;Excluido"),0)</f>
        <v>0</v>
      </c>
      <c r="CW34" s="13" t="n">
        <f aca="false">IF(CW$32=1,SUMIFS(dr_USD,dr_Mes,95,dr_Cod,"CAPEX_PAG",dr_Est,"&lt;&gt;Excluido"),0)</f>
        <v>0</v>
      </c>
      <c r="CX34" s="13" t="n">
        <f aca="false">IF(CX$32=1,SUMIFS(dr_USD,dr_Mes,96,dr_Cod,"CAPEX_PAG",dr_Est,"&lt;&gt;Excluido"),0)</f>
        <v>0</v>
      </c>
      <c r="CY34" s="13" t="n">
        <f aca="false">IF(CY$32=1,SUMIFS(dr_USD,dr_Mes,97,dr_Cod,"CAPEX_PAG",dr_Est,"&lt;&gt;Excluido"),0)</f>
        <v>0</v>
      </c>
      <c r="CZ34" s="13" t="n">
        <f aca="false">IF(CZ$32=1,SUMIFS(dr_USD,dr_Mes,98,dr_Cod,"CAPEX_PAG",dr_Est,"&lt;&gt;Excluido"),0)</f>
        <v>0</v>
      </c>
      <c r="DA34" s="13" t="n">
        <f aca="false">IF(DA$32=1,SUMIFS(dr_USD,dr_Mes,99,dr_Cod,"CAPEX_PAG",dr_Est,"&lt;&gt;Excluido"),0)</f>
        <v>0</v>
      </c>
      <c r="DB34" s="13" t="n">
        <f aca="false">IF(DB$32=1,SUMIFS(dr_USD,dr_Mes,100,dr_Cod,"CAPEX_PAG",dr_Est,"&lt;&gt;Excluido"),0)</f>
        <v>0</v>
      </c>
      <c r="DC34" s="13" t="n">
        <f aca="false">IF(DC$32=1,SUMIFS(dr_USD,dr_Mes,101,dr_Cod,"CAPEX_PAG",dr_Est,"&lt;&gt;Excluido"),0)</f>
        <v>0</v>
      </c>
      <c r="DD34" s="13" t="n">
        <f aca="false">IF(DD$32=1,SUMIFS(dr_USD,dr_Mes,102,dr_Cod,"CAPEX_PAG",dr_Est,"&lt;&gt;Excluido"),0)</f>
        <v>0</v>
      </c>
      <c r="DE34" s="13" t="n">
        <f aca="false">IF(DE$32=1,SUMIFS(dr_USD,dr_Mes,103,dr_Cod,"CAPEX_PAG",dr_Est,"&lt;&gt;Excluido"),0)</f>
        <v>0</v>
      </c>
      <c r="DF34" s="13" t="n">
        <f aca="false">IF(DF$32=1,SUMIFS(dr_USD,dr_Mes,104,dr_Cod,"CAPEX_PAG",dr_Est,"&lt;&gt;Excluido"),0)</f>
        <v>0</v>
      </c>
      <c r="DG34" s="13" t="n">
        <f aca="false">IF(DG$32=1,SUMIFS(dr_USD,dr_Mes,105,dr_Cod,"CAPEX_PAG",dr_Est,"&lt;&gt;Excluido"),0)</f>
        <v>0</v>
      </c>
      <c r="DH34" s="13" t="n">
        <f aca="false">IF(DH$32=1,SUMIFS(dr_USD,dr_Mes,106,dr_Cod,"CAPEX_PAG",dr_Est,"&lt;&gt;Excluido"),0)</f>
        <v>0</v>
      </c>
      <c r="DI34" s="13" t="n">
        <f aca="false">IF(DI$32=1,SUMIFS(dr_USD,dr_Mes,107,dr_Cod,"CAPEX_PAG",dr_Est,"&lt;&gt;Excluido"),0)</f>
        <v>0</v>
      </c>
      <c r="DJ34" s="13" t="n">
        <f aca="false">IF(DJ$32=1,SUMIFS(dr_USD,dr_Mes,108,dr_Cod,"CAPEX_PAG",dr_Est,"&lt;&gt;Excluido"),0)</f>
        <v>0</v>
      </c>
      <c r="DK34" s="13" t="n">
        <f aca="false">IF(DK$32=1,SUMIFS(dr_USD,dr_Mes,109,dr_Cod,"CAPEX_PAG",dr_Est,"&lt;&gt;Excluido"),0)</f>
        <v>0</v>
      </c>
      <c r="DL34" s="13" t="n">
        <f aca="false">IF(DL$32=1,SUMIFS(dr_USD,dr_Mes,110,dr_Cod,"CAPEX_PAG",dr_Est,"&lt;&gt;Excluido"),0)</f>
        <v>0</v>
      </c>
      <c r="DM34" s="13" t="n">
        <f aca="false">IF(DM$32=1,SUMIFS(dr_USD,dr_Mes,111,dr_Cod,"CAPEX_PAG",dr_Est,"&lt;&gt;Excluido"),0)</f>
        <v>0</v>
      </c>
      <c r="DN34" s="13" t="n">
        <f aca="false">IF(DN$32=1,SUMIFS(dr_USD,dr_Mes,112,dr_Cod,"CAPEX_PAG",dr_Est,"&lt;&gt;Excluido"),0)</f>
        <v>0</v>
      </c>
      <c r="DO34" s="13" t="n">
        <f aca="false">IF(DO$32=1,SUMIFS(dr_USD,dr_Mes,113,dr_Cod,"CAPEX_PAG",dr_Est,"&lt;&gt;Excluido"),0)</f>
        <v>0</v>
      </c>
      <c r="DP34" s="13" t="n">
        <f aca="false">IF(DP$32=1,SUMIFS(dr_USD,dr_Mes,114,dr_Cod,"CAPEX_PAG",dr_Est,"&lt;&gt;Excluido"),0)</f>
        <v>0</v>
      </c>
      <c r="DQ34" s="13" t="n">
        <f aca="false">IF(DQ$32=1,SUMIFS(dr_USD,dr_Mes,115,dr_Cod,"CAPEX_PAG",dr_Est,"&lt;&gt;Excluido"),0)</f>
        <v>0</v>
      </c>
      <c r="DR34" s="13" t="n">
        <f aca="false">IF(DR$32=1,SUMIFS(dr_USD,dr_Mes,116,dr_Cod,"CAPEX_PAG",dr_Est,"&lt;&gt;Excluido"),0)</f>
        <v>0</v>
      </c>
      <c r="DS34" s="13" t="n">
        <f aca="false">IF(DS$32=1,SUMIFS(dr_USD,dr_Mes,117,dr_Cod,"CAPEX_PAG",dr_Est,"&lt;&gt;Excluido"),0)</f>
        <v>0</v>
      </c>
      <c r="DT34" s="13" t="n">
        <f aca="false">IF(DT$32=1,SUMIFS(dr_USD,dr_Mes,118,dr_Cod,"CAPEX_PAG",dr_Est,"&lt;&gt;Excluido"),0)</f>
        <v>0</v>
      </c>
      <c r="DU34" s="13" t="n">
        <f aca="false">IF(DU$32=1,SUMIFS(dr_USD,dr_Mes,119,dr_Cod,"CAPEX_PAG",dr_Est,"&lt;&gt;Excluido"),0)</f>
        <v>0</v>
      </c>
      <c r="DV34" s="13" t="n">
        <f aca="false">IF(DV$32=1,SUMIFS(dr_USD,dr_Mes,120,dr_Cod,"CAPEX_PAG",dr_Est,"&lt;&gt;Excluido"),0)</f>
        <v>0</v>
      </c>
      <c r="DW34" s="13" t="n">
        <f aca="false">IF(DW$32=1,SUMIFS(dr_USD,dr_Mes,121,dr_Cod,"CAPEX_PAG",dr_Est,"&lt;&gt;Excluido"),0)</f>
        <v>0</v>
      </c>
      <c r="DX34" s="13" t="n">
        <f aca="false">IF(DX$32=1,SUMIFS(dr_USD,dr_Mes,122,dr_Cod,"CAPEX_PAG",dr_Est,"&lt;&gt;Excluido"),0)</f>
        <v>0</v>
      </c>
      <c r="DY34" s="13" t="n">
        <f aca="false">IF(DY$32=1,SUMIFS(dr_USD,dr_Mes,123,dr_Cod,"CAPEX_PAG",dr_Est,"&lt;&gt;Excluido"),0)</f>
        <v>0</v>
      </c>
      <c r="DZ34" s="13" t="n">
        <f aca="false">IF(DZ$32=1,SUMIFS(dr_USD,dr_Mes,124,dr_Cod,"CAPEX_PAG",dr_Est,"&lt;&gt;Excluido"),0)</f>
        <v>0</v>
      </c>
      <c r="EA34" s="13" t="n">
        <f aca="false">IF(EA$32=1,SUMIFS(dr_USD,dr_Mes,125,dr_Cod,"CAPEX_PAG",dr_Est,"&lt;&gt;Excluido"),0)</f>
        <v>0</v>
      </c>
      <c r="EB34" s="13" t="n">
        <f aca="false">IF(EB$32=1,SUMIFS(dr_USD,dr_Mes,126,dr_Cod,"CAPEX_PAG",dr_Est,"&lt;&gt;Excluido"),0)</f>
        <v>0</v>
      </c>
      <c r="EC34" s="13" t="n">
        <f aca="false">IF(EC$32=1,SUMIFS(dr_USD,dr_Mes,127,dr_Cod,"CAPEX_PAG",dr_Est,"&lt;&gt;Excluido"),0)</f>
        <v>0</v>
      </c>
      <c r="ED34" s="13" t="n">
        <f aca="false">IF(ED$32=1,SUMIFS(dr_USD,dr_Mes,128,dr_Cod,"CAPEX_PAG",dr_Est,"&lt;&gt;Excluido"),0)</f>
        <v>0</v>
      </c>
      <c r="EE34" s="13" t="n">
        <f aca="false">IF(EE$32=1,SUMIFS(dr_USD,dr_Mes,129,dr_Cod,"CAPEX_PAG",dr_Est,"&lt;&gt;Excluido"),0)</f>
        <v>0</v>
      </c>
      <c r="EF34" s="13" t="n">
        <f aca="false">IF(EF$32=1,SUMIFS(dr_USD,dr_Mes,130,dr_Cod,"CAPEX_PAG",dr_Est,"&lt;&gt;Excluido"),0)</f>
        <v>0</v>
      </c>
      <c r="EG34" s="13" t="n">
        <f aca="false">IF(EG$32=1,SUMIFS(dr_USD,dr_Mes,131,dr_Cod,"CAPEX_PAG",dr_Est,"&lt;&gt;Excluido"),0)</f>
        <v>0</v>
      </c>
      <c r="EH34" s="13" t="n">
        <f aca="false">IF(EH$32=1,SUMIFS(dr_USD,dr_Mes,132,dr_Cod,"CAPEX_PAG",dr_Est,"&lt;&gt;Excluido"),0)</f>
        <v>0</v>
      </c>
      <c r="EI34" s="13" t="n">
        <f aca="false">IF(EI$32=1,SUMIFS(dr_USD,dr_Mes,133,dr_Cod,"CAPEX_PAG",dr_Est,"&lt;&gt;Excluido"),0)</f>
        <v>0</v>
      </c>
      <c r="EJ34" s="13" t="n">
        <f aca="false">IF(EJ$32=1,SUMIFS(dr_USD,dr_Mes,134,dr_Cod,"CAPEX_PAG",dr_Est,"&lt;&gt;Excluido"),0)</f>
        <v>0</v>
      </c>
      <c r="EK34" s="13" t="n">
        <f aca="false">IF(EK$32=1,SUMIFS(dr_USD,dr_Mes,135,dr_Cod,"CAPEX_PAG",dr_Est,"&lt;&gt;Excluido"),0)</f>
        <v>0</v>
      </c>
      <c r="EL34" s="13" t="n">
        <f aca="false">IF(EL$32=1,SUMIFS(dr_USD,dr_Mes,136,dr_Cod,"CAPEX_PAG",dr_Est,"&lt;&gt;Excluido"),0)</f>
        <v>0</v>
      </c>
      <c r="EM34" s="13" t="n">
        <f aca="false">IF(EM$32=1,SUMIFS(dr_USD,dr_Mes,137,dr_Cod,"CAPEX_PAG",dr_Est,"&lt;&gt;Excluido"),0)</f>
        <v>0</v>
      </c>
      <c r="EN34" s="13" t="n">
        <f aca="false">IF(EN$32=1,SUMIFS(dr_USD,dr_Mes,138,dr_Cod,"CAPEX_PAG",dr_Est,"&lt;&gt;Excluido"),0)</f>
        <v>0</v>
      </c>
      <c r="EO34" s="13" t="n">
        <f aca="false">IF(EO$32=1,SUMIFS(dr_USD,dr_Mes,139,dr_Cod,"CAPEX_PAG",dr_Est,"&lt;&gt;Excluido"),0)</f>
        <v>0</v>
      </c>
      <c r="EP34" s="13" t="n">
        <f aca="false">IF(EP$32=1,SUMIFS(dr_USD,dr_Mes,140,dr_Cod,"CAPEX_PAG",dr_Est,"&lt;&gt;Excluido"),0)</f>
        <v>0</v>
      </c>
      <c r="EQ34" s="13" t="n">
        <f aca="false">IF(EQ$32=1,SUMIFS(dr_USD,dr_Mes,141,dr_Cod,"CAPEX_PAG",dr_Est,"&lt;&gt;Excluido"),0)</f>
        <v>0</v>
      </c>
      <c r="ER34" s="13" t="n">
        <f aca="false">IF(ER$32=1,SUMIFS(dr_USD,dr_Mes,142,dr_Cod,"CAPEX_PAG",dr_Est,"&lt;&gt;Excluido"),0)</f>
        <v>0</v>
      </c>
      <c r="ES34" s="13" t="n">
        <f aca="false">IF(ES$32=1,SUMIFS(dr_USD,dr_Mes,143,dr_Cod,"CAPEX_PAG",dr_Est,"&lt;&gt;Excluido"),0)</f>
        <v>0</v>
      </c>
      <c r="ET34" s="13" t="n">
        <f aca="false">IF(ET$32=1,SUMIFS(dr_USD,dr_Mes,144,dr_Cod,"CAPEX_PAG",dr_Est,"&lt;&gt;Excluido"),0)</f>
        <v>0</v>
      </c>
      <c r="EU34" s="13" t="n">
        <f aca="false">IF(EU$32=1,SUMIFS(dr_USD,dr_Mes,145,dr_Cod,"CAPEX_PAG",dr_Est,"&lt;&gt;Excluido"),0)</f>
        <v>0</v>
      </c>
      <c r="EV34" s="13" t="n">
        <f aca="false">IF(EV$32=1,SUMIFS(dr_USD,dr_Mes,146,dr_Cod,"CAPEX_PAG",dr_Est,"&lt;&gt;Excluido"),0)</f>
        <v>0</v>
      </c>
      <c r="EW34" s="13" t="n">
        <f aca="false">IF(EW$32=1,SUMIFS(dr_USD,dr_Mes,147,dr_Cod,"CAPEX_PAG",dr_Est,"&lt;&gt;Excluido"),0)</f>
        <v>0</v>
      </c>
      <c r="EX34" s="13" t="n">
        <f aca="false">IF(EX$32=1,SUMIFS(dr_USD,dr_Mes,148,dr_Cod,"CAPEX_PAG",dr_Est,"&lt;&gt;Excluido"),0)</f>
        <v>0</v>
      </c>
      <c r="EY34" s="13" t="n">
        <f aca="false">IF(EY$32=1,SUMIFS(dr_USD,dr_Mes,149,dr_Cod,"CAPEX_PAG",dr_Est,"&lt;&gt;Excluido"),0)</f>
        <v>0</v>
      </c>
      <c r="EZ34" s="13" t="n">
        <f aca="false">IF(EZ$32=1,SUMIFS(dr_USD,dr_Mes,150,dr_Cod,"CAPEX_PAG",dr_Est,"&lt;&gt;Excluido"),0)</f>
        <v>0</v>
      </c>
      <c r="FA34" s="13" t="n">
        <f aca="false">IF(FA$32=1,SUMIFS(dr_USD,dr_Mes,151,dr_Cod,"CAPEX_PAG",dr_Est,"&lt;&gt;Excluido"),0)</f>
        <v>0</v>
      </c>
      <c r="FB34" s="13" t="n">
        <f aca="false">IF(FB$32=1,SUMIFS(dr_USD,dr_Mes,152,dr_Cod,"CAPEX_PAG",dr_Est,"&lt;&gt;Excluido"),0)</f>
        <v>0</v>
      </c>
      <c r="FC34" s="13" t="n">
        <f aca="false">IF(FC$32=1,SUMIFS(dr_USD,dr_Mes,153,dr_Cod,"CAPEX_PAG",dr_Est,"&lt;&gt;Excluido"),0)</f>
        <v>0</v>
      </c>
      <c r="FD34" s="13" t="n">
        <f aca="false">IF(FD$32=1,SUMIFS(dr_USD,dr_Mes,154,dr_Cod,"CAPEX_PAG",dr_Est,"&lt;&gt;Excluido"),0)</f>
        <v>0</v>
      </c>
      <c r="FE34" s="13" t="n">
        <f aca="false">IF(FE$32=1,SUMIFS(dr_USD,dr_Mes,155,dr_Cod,"CAPEX_PAG",dr_Est,"&lt;&gt;Excluido"),0)</f>
        <v>0</v>
      </c>
      <c r="FF34" s="13" t="n">
        <f aca="false">IF(FF$32=1,SUMIFS(dr_USD,dr_Mes,156,dr_Cod,"CAPEX_PAG",dr_Est,"&lt;&gt;Excluido"),0)</f>
        <v>0</v>
      </c>
    </row>
    <row r="35" customFormat="false" ht="15" hidden="false" customHeight="false" outlineLevel="0" collapsed="false">
      <c r="A35" s="2" t="s">
        <v>1219</v>
      </c>
      <c r="B35" s="8" t="s">
        <v>1220</v>
      </c>
      <c r="C35" s="8" t="s">
        <v>255</v>
      </c>
      <c r="E35" s="65" t="n">
        <f aca="false">SUM($F35:$FF35)</f>
        <v>0</v>
      </c>
      <c r="F35" s="13" t="n">
        <f aca="false">IF(F$32=1,SUMIFS(dr_USD,dr_Mes,0,dr_Cod,"CAPEX_DEV",dr_Est,"&lt;&gt;Excluido"),0)</f>
        <v>0</v>
      </c>
      <c r="G35" s="13" t="n">
        <f aca="false">IF(G$32=1,SUMIFS(dr_USD,dr_Mes,1,dr_Cod,"CAPEX_DEV",dr_Est,"&lt;&gt;Excluido"),0)</f>
        <v>0</v>
      </c>
      <c r="H35" s="13" t="n">
        <f aca="false">IF(H$32=1,SUMIFS(dr_USD,dr_Mes,2,dr_Cod,"CAPEX_DEV",dr_Est,"&lt;&gt;Excluido"),0)</f>
        <v>0</v>
      </c>
      <c r="I35" s="13" t="n">
        <f aca="false">IF(I$32=1,SUMIFS(dr_USD,dr_Mes,3,dr_Cod,"CAPEX_DEV",dr_Est,"&lt;&gt;Excluido"),0)</f>
        <v>0</v>
      </c>
      <c r="J35" s="13" t="n">
        <f aca="false">IF(J$32=1,SUMIFS(dr_USD,dr_Mes,4,dr_Cod,"CAPEX_DEV",dr_Est,"&lt;&gt;Excluido"),0)</f>
        <v>0</v>
      </c>
      <c r="K35" s="13" t="n">
        <f aca="false">IF(K$32=1,SUMIFS(dr_USD,dr_Mes,5,dr_Cod,"CAPEX_DEV",dr_Est,"&lt;&gt;Excluido"),0)</f>
        <v>0</v>
      </c>
      <c r="L35" s="13" t="n">
        <f aca="false">IF(L$32=1,SUMIFS(dr_USD,dr_Mes,6,dr_Cod,"CAPEX_DEV",dr_Est,"&lt;&gt;Excluido"),0)</f>
        <v>0</v>
      </c>
      <c r="M35" s="13" t="n">
        <f aca="false">IF(M$32=1,SUMIFS(dr_USD,dr_Mes,7,dr_Cod,"CAPEX_DEV",dr_Est,"&lt;&gt;Excluido"),0)</f>
        <v>0</v>
      </c>
      <c r="N35" s="13" t="n">
        <f aca="false">IF(N$32=1,SUMIFS(dr_USD,dr_Mes,8,dr_Cod,"CAPEX_DEV",dr_Est,"&lt;&gt;Excluido"),0)</f>
        <v>0</v>
      </c>
      <c r="O35" s="13" t="n">
        <f aca="false">IF(O$32=1,SUMIFS(dr_USD,dr_Mes,9,dr_Cod,"CAPEX_DEV",dr_Est,"&lt;&gt;Excluido"),0)</f>
        <v>0</v>
      </c>
      <c r="P35" s="13" t="n">
        <f aca="false">IF(P$32=1,SUMIFS(dr_USD,dr_Mes,10,dr_Cod,"CAPEX_DEV",dr_Est,"&lt;&gt;Excluido"),0)</f>
        <v>0</v>
      </c>
      <c r="Q35" s="13" t="n">
        <f aca="false">IF(Q$32=1,SUMIFS(dr_USD,dr_Mes,11,dr_Cod,"CAPEX_DEV",dr_Est,"&lt;&gt;Excluido"),0)</f>
        <v>0</v>
      </c>
      <c r="R35" s="13" t="n">
        <f aca="false">IF(R$32=1,SUMIFS(dr_USD,dr_Mes,12,dr_Cod,"CAPEX_DEV",dr_Est,"&lt;&gt;Excluido"),0)</f>
        <v>0</v>
      </c>
      <c r="S35" s="13" t="n">
        <f aca="false">IF(S$32=1,SUMIFS(dr_USD,dr_Mes,13,dr_Cod,"CAPEX_DEV",dr_Est,"&lt;&gt;Excluido"),0)</f>
        <v>0</v>
      </c>
      <c r="T35" s="13" t="n">
        <f aca="false">IF(T$32=1,SUMIFS(dr_USD,dr_Mes,14,dr_Cod,"CAPEX_DEV",dr_Est,"&lt;&gt;Excluido"),0)</f>
        <v>0</v>
      </c>
      <c r="U35" s="13" t="n">
        <f aca="false">IF(U$32=1,SUMIFS(dr_USD,dr_Mes,15,dr_Cod,"CAPEX_DEV",dr_Est,"&lt;&gt;Excluido"),0)</f>
        <v>0</v>
      </c>
      <c r="V35" s="13" t="n">
        <f aca="false">IF(V$32=1,SUMIFS(dr_USD,dr_Mes,16,dr_Cod,"CAPEX_DEV",dr_Est,"&lt;&gt;Excluido"),0)</f>
        <v>0</v>
      </c>
      <c r="W35" s="13" t="n">
        <f aca="false">IF(W$32=1,SUMIFS(dr_USD,dr_Mes,17,dr_Cod,"CAPEX_DEV",dr_Est,"&lt;&gt;Excluido"),0)</f>
        <v>0</v>
      </c>
      <c r="X35" s="13" t="n">
        <f aca="false">IF(X$32=1,SUMIFS(dr_USD,dr_Mes,18,dr_Cod,"CAPEX_DEV",dr_Est,"&lt;&gt;Excluido"),0)</f>
        <v>0</v>
      </c>
      <c r="Y35" s="13" t="n">
        <f aca="false">IF(Y$32=1,SUMIFS(dr_USD,dr_Mes,19,dr_Cod,"CAPEX_DEV",dr_Est,"&lt;&gt;Excluido"),0)</f>
        <v>0</v>
      </c>
      <c r="Z35" s="13" t="n">
        <f aca="false">IF(Z$32=1,SUMIFS(dr_USD,dr_Mes,20,dr_Cod,"CAPEX_DEV",dr_Est,"&lt;&gt;Excluido"),0)</f>
        <v>0</v>
      </c>
      <c r="AA35" s="13" t="n">
        <f aca="false">IF(AA$32=1,SUMIFS(dr_USD,dr_Mes,21,dr_Cod,"CAPEX_DEV",dr_Est,"&lt;&gt;Excluido"),0)</f>
        <v>0</v>
      </c>
      <c r="AB35" s="13" t="n">
        <f aca="false">IF(AB$32=1,SUMIFS(dr_USD,dr_Mes,22,dr_Cod,"CAPEX_DEV",dr_Est,"&lt;&gt;Excluido"),0)</f>
        <v>0</v>
      </c>
      <c r="AC35" s="13" t="n">
        <f aca="false">IF(AC$32=1,SUMIFS(dr_USD,dr_Mes,23,dr_Cod,"CAPEX_DEV",dr_Est,"&lt;&gt;Excluido"),0)</f>
        <v>0</v>
      </c>
      <c r="AD35" s="13" t="n">
        <f aca="false">IF(AD$32=1,SUMIFS(dr_USD,dr_Mes,24,dr_Cod,"CAPEX_DEV",dr_Est,"&lt;&gt;Excluido"),0)</f>
        <v>0</v>
      </c>
      <c r="AE35" s="13" t="n">
        <f aca="false">IF(AE$32=1,SUMIFS(dr_USD,dr_Mes,25,dr_Cod,"CAPEX_DEV",dr_Est,"&lt;&gt;Excluido"),0)</f>
        <v>0</v>
      </c>
      <c r="AF35" s="13" t="n">
        <f aca="false">IF(AF$32=1,SUMIFS(dr_USD,dr_Mes,26,dr_Cod,"CAPEX_DEV",dr_Est,"&lt;&gt;Excluido"),0)</f>
        <v>0</v>
      </c>
      <c r="AG35" s="13" t="n">
        <f aca="false">IF(AG$32=1,SUMIFS(dr_USD,dr_Mes,27,dr_Cod,"CAPEX_DEV",dr_Est,"&lt;&gt;Excluido"),0)</f>
        <v>0</v>
      </c>
      <c r="AH35" s="13" t="n">
        <f aca="false">IF(AH$32=1,SUMIFS(dr_USD,dr_Mes,28,dr_Cod,"CAPEX_DEV",dr_Est,"&lt;&gt;Excluido"),0)</f>
        <v>0</v>
      </c>
      <c r="AI35" s="13" t="n">
        <f aca="false">IF(AI$32=1,SUMIFS(dr_USD,dr_Mes,29,dr_Cod,"CAPEX_DEV",dr_Est,"&lt;&gt;Excluido"),0)</f>
        <v>0</v>
      </c>
      <c r="AJ35" s="13" t="n">
        <f aca="false">IF(AJ$32=1,SUMIFS(dr_USD,dr_Mes,30,dr_Cod,"CAPEX_DEV",dr_Est,"&lt;&gt;Excluido"),0)</f>
        <v>0</v>
      </c>
      <c r="AK35" s="13" t="n">
        <f aca="false">IF(AK$32=1,SUMIFS(dr_USD,dr_Mes,31,dr_Cod,"CAPEX_DEV",dr_Est,"&lt;&gt;Excluido"),0)</f>
        <v>0</v>
      </c>
      <c r="AL35" s="13" t="n">
        <f aca="false">IF(AL$32=1,SUMIFS(dr_USD,dr_Mes,32,dr_Cod,"CAPEX_DEV",dr_Est,"&lt;&gt;Excluido"),0)</f>
        <v>0</v>
      </c>
      <c r="AM35" s="13" t="n">
        <f aca="false">IF(AM$32=1,SUMIFS(dr_USD,dr_Mes,33,dr_Cod,"CAPEX_DEV",dr_Est,"&lt;&gt;Excluido"),0)</f>
        <v>0</v>
      </c>
      <c r="AN35" s="13" t="n">
        <f aca="false">IF(AN$32=1,SUMIFS(dr_USD,dr_Mes,34,dr_Cod,"CAPEX_DEV",dr_Est,"&lt;&gt;Excluido"),0)</f>
        <v>0</v>
      </c>
      <c r="AO35" s="13" t="n">
        <f aca="false">IF(AO$32=1,SUMIFS(dr_USD,dr_Mes,35,dr_Cod,"CAPEX_DEV",dr_Est,"&lt;&gt;Excluido"),0)</f>
        <v>0</v>
      </c>
      <c r="AP35" s="13" t="n">
        <f aca="false">IF(AP$32=1,SUMIFS(dr_USD,dr_Mes,36,dr_Cod,"CAPEX_DEV",dr_Est,"&lt;&gt;Excluido"),0)</f>
        <v>0</v>
      </c>
      <c r="AQ35" s="13" t="n">
        <f aca="false">IF(AQ$32=1,SUMIFS(dr_USD,dr_Mes,37,dr_Cod,"CAPEX_DEV",dr_Est,"&lt;&gt;Excluido"),0)</f>
        <v>0</v>
      </c>
      <c r="AR35" s="13" t="n">
        <f aca="false">IF(AR$32=1,SUMIFS(dr_USD,dr_Mes,38,dr_Cod,"CAPEX_DEV",dr_Est,"&lt;&gt;Excluido"),0)</f>
        <v>0</v>
      </c>
      <c r="AS35" s="13" t="n">
        <f aca="false">IF(AS$32=1,SUMIFS(dr_USD,dr_Mes,39,dr_Cod,"CAPEX_DEV",dr_Est,"&lt;&gt;Excluido"),0)</f>
        <v>0</v>
      </c>
      <c r="AT35" s="13" t="n">
        <f aca="false">IF(AT$32=1,SUMIFS(dr_USD,dr_Mes,40,dr_Cod,"CAPEX_DEV",dr_Est,"&lt;&gt;Excluido"),0)</f>
        <v>0</v>
      </c>
      <c r="AU35" s="13" t="n">
        <f aca="false">IF(AU$32=1,SUMIFS(dr_USD,dr_Mes,41,dr_Cod,"CAPEX_DEV",dr_Est,"&lt;&gt;Excluido"),0)</f>
        <v>0</v>
      </c>
      <c r="AV35" s="13" t="n">
        <f aca="false">IF(AV$32=1,SUMIFS(dr_USD,dr_Mes,42,dr_Cod,"CAPEX_DEV",dr_Est,"&lt;&gt;Excluido"),0)</f>
        <v>0</v>
      </c>
      <c r="AW35" s="13" t="n">
        <f aca="false">IF(AW$32=1,SUMIFS(dr_USD,dr_Mes,43,dr_Cod,"CAPEX_DEV",dr_Est,"&lt;&gt;Excluido"),0)</f>
        <v>0</v>
      </c>
      <c r="AX35" s="13" t="n">
        <f aca="false">IF(AX$32=1,SUMIFS(dr_USD,dr_Mes,44,dr_Cod,"CAPEX_DEV",dr_Est,"&lt;&gt;Excluido"),0)</f>
        <v>0</v>
      </c>
      <c r="AY35" s="13" t="n">
        <f aca="false">IF(AY$32=1,SUMIFS(dr_USD,dr_Mes,45,dr_Cod,"CAPEX_DEV",dr_Est,"&lt;&gt;Excluido"),0)</f>
        <v>0</v>
      </c>
      <c r="AZ35" s="13" t="n">
        <f aca="false">IF(AZ$32=1,SUMIFS(dr_USD,dr_Mes,46,dr_Cod,"CAPEX_DEV",dr_Est,"&lt;&gt;Excluido"),0)</f>
        <v>0</v>
      </c>
      <c r="BA35" s="13" t="n">
        <f aca="false">IF(BA$32=1,SUMIFS(dr_USD,dr_Mes,47,dr_Cod,"CAPEX_DEV",dr_Est,"&lt;&gt;Excluido"),0)</f>
        <v>0</v>
      </c>
      <c r="BB35" s="13" t="n">
        <f aca="false">IF(BB$32=1,SUMIFS(dr_USD,dr_Mes,48,dr_Cod,"CAPEX_DEV",dr_Est,"&lt;&gt;Excluido"),0)</f>
        <v>0</v>
      </c>
      <c r="BC35" s="13" t="n">
        <f aca="false">IF(BC$32=1,SUMIFS(dr_USD,dr_Mes,49,dr_Cod,"CAPEX_DEV",dr_Est,"&lt;&gt;Excluido"),0)</f>
        <v>0</v>
      </c>
      <c r="BD35" s="13" t="n">
        <f aca="false">IF(BD$32=1,SUMIFS(dr_USD,dr_Mes,50,dr_Cod,"CAPEX_DEV",dr_Est,"&lt;&gt;Excluido"),0)</f>
        <v>0</v>
      </c>
      <c r="BE35" s="13" t="n">
        <f aca="false">IF(BE$32=1,SUMIFS(dr_USD,dr_Mes,51,dr_Cod,"CAPEX_DEV",dr_Est,"&lt;&gt;Excluido"),0)</f>
        <v>0</v>
      </c>
      <c r="BF35" s="13" t="n">
        <f aca="false">IF(BF$32=1,SUMIFS(dr_USD,dr_Mes,52,dr_Cod,"CAPEX_DEV",dr_Est,"&lt;&gt;Excluido"),0)</f>
        <v>0</v>
      </c>
      <c r="BG35" s="13" t="n">
        <f aca="false">IF(BG$32=1,SUMIFS(dr_USD,dr_Mes,53,dr_Cod,"CAPEX_DEV",dr_Est,"&lt;&gt;Excluido"),0)</f>
        <v>0</v>
      </c>
      <c r="BH35" s="13" t="n">
        <f aca="false">IF(BH$32=1,SUMIFS(dr_USD,dr_Mes,54,dr_Cod,"CAPEX_DEV",dr_Est,"&lt;&gt;Excluido"),0)</f>
        <v>0</v>
      </c>
      <c r="BI35" s="13" t="n">
        <f aca="false">IF(BI$32=1,SUMIFS(dr_USD,dr_Mes,55,dr_Cod,"CAPEX_DEV",dr_Est,"&lt;&gt;Excluido"),0)</f>
        <v>0</v>
      </c>
      <c r="BJ35" s="13" t="n">
        <f aca="false">IF(BJ$32=1,SUMIFS(dr_USD,dr_Mes,56,dr_Cod,"CAPEX_DEV",dr_Est,"&lt;&gt;Excluido"),0)</f>
        <v>0</v>
      </c>
      <c r="BK35" s="13" t="n">
        <f aca="false">IF(BK$32=1,SUMIFS(dr_USD,dr_Mes,57,dr_Cod,"CAPEX_DEV",dr_Est,"&lt;&gt;Excluido"),0)</f>
        <v>0</v>
      </c>
      <c r="BL35" s="13" t="n">
        <f aca="false">IF(BL$32=1,SUMIFS(dr_USD,dr_Mes,58,dr_Cod,"CAPEX_DEV",dr_Est,"&lt;&gt;Excluido"),0)</f>
        <v>0</v>
      </c>
      <c r="BM35" s="13" t="n">
        <f aca="false">IF(BM$32=1,SUMIFS(dr_USD,dr_Mes,59,dr_Cod,"CAPEX_DEV",dr_Est,"&lt;&gt;Excluido"),0)</f>
        <v>0</v>
      </c>
      <c r="BN35" s="13" t="n">
        <f aca="false">IF(BN$32=1,SUMIFS(dr_USD,dr_Mes,60,dr_Cod,"CAPEX_DEV",dr_Est,"&lt;&gt;Excluido"),0)</f>
        <v>0</v>
      </c>
      <c r="BO35" s="13" t="n">
        <f aca="false">IF(BO$32=1,SUMIFS(dr_USD,dr_Mes,61,dr_Cod,"CAPEX_DEV",dr_Est,"&lt;&gt;Excluido"),0)</f>
        <v>0</v>
      </c>
      <c r="BP35" s="13" t="n">
        <f aca="false">IF(BP$32=1,SUMIFS(dr_USD,dr_Mes,62,dr_Cod,"CAPEX_DEV",dr_Est,"&lt;&gt;Excluido"),0)</f>
        <v>0</v>
      </c>
      <c r="BQ35" s="13" t="n">
        <f aca="false">IF(BQ$32=1,SUMIFS(dr_USD,dr_Mes,63,dr_Cod,"CAPEX_DEV",dr_Est,"&lt;&gt;Excluido"),0)</f>
        <v>0</v>
      </c>
      <c r="BR35" s="13" t="n">
        <f aca="false">IF(BR$32=1,SUMIFS(dr_USD,dr_Mes,64,dr_Cod,"CAPEX_DEV",dr_Est,"&lt;&gt;Excluido"),0)</f>
        <v>0</v>
      </c>
      <c r="BS35" s="13" t="n">
        <f aca="false">IF(BS$32=1,SUMIFS(dr_USD,dr_Mes,65,dr_Cod,"CAPEX_DEV",dr_Est,"&lt;&gt;Excluido"),0)</f>
        <v>0</v>
      </c>
      <c r="BT35" s="13" t="n">
        <f aca="false">IF(BT$32=1,SUMIFS(dr_USD,dr_Mes,66,dr_Cod,"CAPEX_DEV",dr_Est,"&lt;&gt;Excluido"),0)</f>
        <v>0</v>
      </c>
      <c r="BU35" s="13" t="n">
        <f aca="false">IF(BU$32=1,SUMIFS(dr_USD,dr_Mes,67,dr_Cod,"CAPEX_DEV",dr_Est,"&lt;&gt;Excluido"),0)</f>
        <v>0</v>
      </c>
      <c r="BV35" s="13" t="n">
        <f aca="false">IF(BV$32=1,SUMIFS(dr_USD,dr_Mes,68,dr_Cod,"CAPEX_DEV",dr_Est,"&lt;&gt;Excluido"),0)</f>
        <v>0</v>
      </c>
      <c r="BW35" s="13" t="n">
        <f aca="false">IF(BW$32=1,SUMIFS(dr_USD,dr_Mes,69,dr_Cod,"CAPEX_DEV",dr_Est,"&lt;&gt;Excluido"),0)</f>
        <v>0</v>
      </c>
      <c r="BX35" s="13" t="n">
        <f aca="false">IF(BX$32=1,SUMIFS(dr_USD,dr_Mes,70,dr_Cod,"CAPEX_DEV",dr_Est,"&lt;&gt;Excluido"),0)</f>
        <v>0</v>
      </c>
      <c r="BY35" s="13" t="n">
        <f aca="false">IF(BY$32=1,SUMIFS(dr_USD,dr_Mes,71,dr_Cod,"CAPEX_DEV",dr_Est,"&lt;&gt;Excluido"),0)</f>
        <v>0</v>
      </c>
      <c r="BZ35" s="13" t="n">
        <f aca="false">IF(BZ$32=1,SUMIFS(dr_USD,dr_Mes,72,dr_Cod,"CAPEX_DEV",dr_Est,"&lt;&gt;Excluido"),0)</f>
        <v>0</v>
      </c>
      <c r="CA35" s="13" t="n">
        <f aca="false">IF(CA$32=1,SUMIFS(dr_USD,dr_Mes,73,dr_Cod,"CAPEX_DEV",dr_Est,"&lt;&gt;Excluido"),0)</f>
        <v>0</v>
      </c>
      <c r="CB35" s="13" t="n">
        <f aca="false">IF(CB$32=1,SUMIFS(dr_USD,dr_Mes,74,dr_Cod,"CAPEX_DEV",dr_Est,"&lt;&gt;Excluido"),0)</f>
        <v>0</v>
      </c>
      <c r="CC35" s="13" t="n">
        <f aca="false">IF(CC$32=1,SUMIFS(dr_USD,dr_Mes,75,dr_Cod,"CAPEX_DEV",dr_Est,"&lt;&gt;Excluido"),0)</f>
        <v>0</v>
      </c>
      <c r="CD35" s="13" t="n">
        <f aca="false">IF(CD$32=1,SUMIFS(dr_USD,dr_Mes,76,dr_Cod,"CAPEX_DEV",dr_Est,"&lt;&gt;Excluido"),0)</f>
        <v>0</v>
      </c>
      <c r="CE35" s="13" t="n">
        <f aca="false">IF(CE$32=1,SUMIFS(dr_USD,dr_Mes,77,dr_Cod,"CAPEX_DEV",dr_Est,"&lt;&gt;Excluido"),0)</f>
        <v>0</v>
      </c>
      <c r="CF35" s="13" t="n">
        <f aca="false">IF(CF$32=1,SUMIFS(dr_USD,dr_Mes,78,dr_Cod,"CAPEX_DEV",dr_Est,"&lt;&gt;Excluido"),0)</f>
        <v>0</v>
      </c>
      <c r="CG35" s="13" t="n">
        <f aca="false">IF(CG$32=1,SUMIFS(dr_USD,dr_Mes,79,dr_Cod,"CAPEX_DEV",dr_Est,"&lt;&gt;Excluido"),0)</f>
        <v>0</v>
      </c>
      <c r="CH35" s="13" t="n">
        <f aca="false">IF(CH$32=1,SUMIFS(dr_USD,dr_Mes,80,dr_Cod,"CAPEX_DEV",dr_Est,"&lt;&gt;Excluido"),0)</f>
        <v>0</v>
      </c>
      <c r="CI35" s="13" t="n">
        <f aca="false">IF(CI$32=1,SUMIFS(dr_USD,dr_Mes,81,dr_Cod,"CAPEX_DEV",dr_Est,"&lt;&gt;Excluido"),0)</f>
        <v>0</v>
      </c>
      <c r="CJ35" s="13" t="n">
        <f aca="false">IF(CJ$32=1,SUMIFS(dr_USD,dr_Mes,82,dr_Cod,"CAPEX_DEV",dr_Est,"&lt;&gt;Excluido"),0)</f>
        <v>0</v>
      </c>
      <c r="CK35" s="13" t="n">
        <f aca="false">IF(CK$32=1,SUMIFS(dr_USD,dr_Mes,83,dr_Cod,"CAPEX_DEV",dr_Est,"&lt;&gt;Excluido"),0)</f>
        <v>0</v>
      </c>
      <c r="CL35" s="13" t="n">
        <f aca="false">IF(CL$32=1,SUMIFS(dr_USD,dr_Mes,84,dr_Cod,"CAPEX_DEV",dr_Est,"&lt;&gt;Excluido"),0)</f>
        <v>0</v>
      </c>
      <c r="CM35" s="13" t="n">
        <f aca="false">IF(CM$32=1,SUMIFS(dr_USD,dr_Mes,85,dr_Cod,"CAPEX_DEV",dr_Est,"&lt;&gt;Excluido"),0)</f>
        <v>0</v>
      </c>
      <c r="CN35" s="13" t="n">
        <f aca="false">IF(CN$32=1,SUMIFS(dr_USD,dr_Mes,86,dr_Cod,"CAPEX_DEV",dr_Est,"&lt;&gt;Excluido"),0)</f>
        <v>0</v>
      </c>
      <c r="CO35" s="13" t="n">
        <f aca="false">IF(CO$32=1,SUMIFS(dr_USD,dr_Mes,87,dr_Cod,"CAPEX_DEV",dr_Est,"&lt;&gt;Excluido"),0)</f>
        <v>0</v>
      </c>
      <c r="CP35" s="13" t="n">
        <f aca="false">IF(CP$32=1,SUMIFS(dr_USD,dr_Mes,88,dr_Cod,"CAPEX_DEV",dr_Est,"&lt;&gt;Excluido"),0)</f>
        <v>0</v>
      </c>
      <c r="CQ35" s="13" t="n">
        <f aca="false">IF(CQ$32=1,SUMIFS(dr_USD,dr_Mes,89,dr_Cod,"CAPEX_DEV",dr_Est,"&lt;&gt;Excluido"),0)</f>
        <v>0</v>
      </c>
      <c r="CR35" s="13" t="n">
        <f aca="false">IF(CR$32=1,SUMIFS(dr_USD,dr_Mes,90,dr_Cod,"CAPEX_DEV",dr_Est,"&lt;&gt;Excluido"),0)</f>
        <v>0</v>
      </c>
      <c r="CS35" s="13" t="n">
        <f aca="false">IF(CS$32=1,SUMIFS(dr_USD,dr_Mes,91,dr_Cod,"CAPEX_DEV",dr_Est,"&lt;&gt;Excluido"),0)</f>
        <v>0</v>
      </c>
      <c r="CT35" s="13" t="n">
        <f aca="false">IF(CT$32=1,SUMIFS(dr_USD,dr_Mes,92,dr_Cod,"CAPEX_DEV",dr_Est,"&lt;&gt;Excluido"),0)</f>
        <v>0</v>
      </c>
      <c r="CU35" s="13" t="n">
        <f aca="false">IF(CU$32=1,SUMIFS(dr_USD,dr_Mes,93,dr_Cod,"CAPEX_DEV",dr_Est,"&lt;&gt;Excluido"),0)</f>
        <v>0</v>
      </c>
      <c r="CV35" s="13" t="n">
        <f aca="false">IF(CV$32=1,SUMIFS(dr_USD,dr_Mes,94,dr_Cod,"CAPEX_DEV",dr_Est,"&lt;&gt;Excluido"),0)</f>
        <v>0</v>
      </c>
      <c r="CW35" s="13" t="n">
        <f aca="false">IF(CW$32=1,SUMIFS(dr_USD,dr_Mes,95,dr_Cod,"CAPEX_DEV",dr_Est,"&lt;&gt;Excluido"),0)</f>
        <v>0</v>
      </c>
      <c r="CX35" s="13" t="n">
        <f aca="false">IF(CX$32=1,SUMIFS(dr_USD,dr_Mes,96,dr_Cod,"CAPEX_DEV",dr_Est,"&lt;&gt;Excluido"),0)</f>
        <v>0</v>
      </c>
      <c r="CY35" s="13" t="n">
        <f aca="false">IF(CY$32=1,SUMIFS(dr_USD,dr_Mes,97,dr_Cod,"CAPEX_DEV",dr_Est,"&lt;&gt;Excluido"),0)</f>
        <v>0</v>
      </c>
      <c r="CZ35" s="13" t="n">
        <f aca="false">IF(CZ$32=1,SUMIFS(dr_USD,dr_Mes,98,dr_Cod,"CAPEX_DEV",dr_Est,"&lt;&gt;Excluido"),0)</f>
        <v>0</v>
      </c>
      <c r="DA35" s="13" t="n">
        <f aca="false">IF(DA$32=1,SUMIFS(dr_USD,dr_Mes,99,dr_Cod,"CAPEX_DEV",dr_Est,"&lt;&gt;Excluido"),0)</f>
        <v>0</v>
      </c>
      <c r="DB35" s="13" t="n">
        <f aca="false">IF(DB$32=1,SUMIFS(dr_USD,dr_Mes,100,dr_Cod,"CAPEX_DEV",dr_Est,"&lt;&gt;Excluido"),0)</f>
        <v>0</v>
      </c>
      <c r="DC35" s="13" t="n">
        <f aca="false">IF(DC$32=1,SUMIFS(dr_USD,dr_Mes,101,dr_Cod,"CAPEX_DEV",dr_Est,"&lt;&gt;Excluido"),0)</f>
        <v>0</v>
      </c>
      <c r="DD35" s="13" t="n">
        <f aca="false">IF(DD$32=1,SUMIFS(dr_USD,dr_Mes,102,dr_Cod,"CAPEX_DEV",dr_Est,"&lt;&gt;Excluido"),0)</f>
        <v>0</v>
      </c>
      <c r="DE35" s="13" t="n">
        <f aca="false">IF(DE$32=1,SUMIFS(dr_USD,dr_Mes,103,dr_Cod,"CAPEX_DEV",dr_Est,"&lt;&gt;Excluido"),0)</f>
        <v>0</v>
      </c>
      <c r="DF35" s="13" t="n">
        <f aca="false">IF(DF$32=1,SUMIFS(dr_USD,dr_Mes,104,dr_Cod,"CAPEX_DEV",dr_Est,"&lt;&gt;Excluido"),0)</f>
        <v>0</v>
      </c>
      <c r="DG35" s="13" t="n">
        <f aca="false">IF(DG$32=1,SUMIFS(dr_USD,dr_Mes,105,dr_Cod,"CAPEX_DEV",dr_Est,"&lt;&gt;Excluido"),0)</f>
        <v>0</v>
      </c>
      <c r="DH35" s="13" t="n">
        <f aca="false">IF(DH$32=1,SUMIFS(dr_USD,dr_Mes,106,dr_Cod,"CAPEX_DEV",dr_Est,"&lt;&gt;Excluido"),0)</f>
        <v>0</v>
      </c>
      <c r="DI35" s="13" t="n">
        <f aca="false">IF(DI$32=1,SUMIFS(dr_USD,dr_Mes,107,dr_Cod,"CAPEX_DEV",dr_Est,"&lt;&gt;Excluido"),0)</f>
        <v>0</v>
      </c>
      <c r="DJ35" s="13" t="n">
        <f aca="false">IF(DJ$32=1,SUMIFS(dr_USD,dr_Mes,108,dr_Cod,"CAPEX_DEV",dr_Est,"&lt;&gt;Excluido"),0)</f>
        <v>0</v>
      </c>
      <c r="DK35" s="13" t="n">
        <f aca="false">IF(DK$32=1,SUMIFS(dr_USD,dr_Mes,109,dr_Cod,"CAPEX_DEV",dr_Est,"&lt;&gt;Excluido"),0)</f>
        <v>0</v>
      </c>
      <c r="DL35" s="13" t="n">
        <f aca="false">IF(DL$32=1,SUMIFS(dr_USD,dr_Mes,110,dr_Cod,"CAPEX_DEV",dr_Est,"&lt;&gt;Excluido"),0)</f>
        <v>0</v>
      </c>
      <c r="DM35" s="13" t="n">
        <f aca="false">IF(DM$32=1,SUMIFS(dr_USD,dr_Mes,111,dr_Cod,"CAPEX_DEV",dr_Est,"&lt;&gt;Excluido"),0)</f>
        <v>0</v>
      </c>
      <c r="DN35" s="13" t="n">
        <f aca="false">IF(DN$32=1,SUMIFS(dr_USD,dr_Mes,112,dr_Cod,"CAPEX_DEV",dr_Est,"&lt;&gt;Excluido"),0)</f>
        <v>0</v>
      </c>
      <c r="DO35" s="13" t="n">
        <f aca="false">IF(DO$32=1,SUMIFS(dr_USD,dr_Mes,113,dr_Cod,"CAPEX_DEV",dr_Est,"&lt;&gt;Excluido"),0)</f>
        <v>0</v>
      </c>
      <c r="DP35" s="13" t="n">
        <f aca="false">IF(DP$32=1,SUMIFS(dr_USD,dr_Mes,114,dr_Cod,"CAPEX_DEV",dr_Est,"&lt;&gt;Excluido"),0)</f>
        <v>0</v>
      </c>
      <c r="DQ35" s="13" t="n">
        <f aca="false">IF(DQ$32=1,SUMIFS(dr_USD,dr_Mes,115,dr_Cod,"CAPEX_DEV",dr_Est,"&lt;&gt;Excluido"),0)</f>
        <v>0</v>
      </c>
      <c r="DR35" s="13" t="n">
        <f aca="false">IF(DR$32=1,SUMIFS(dr_USD,dr_Mes,116,dr_Cod,"CAPEX_DEV",dr_Est,"&lt;&gt;Excluido"),0)</f>
        <v>0</v>
      </c>
      <c r="DS35" s="13" t="n">
        <f aca="false">IF(DS$32=1,SUMIFS(dr_USD,dr_Mes,117,dr_Cod,"CAPEX_DEV",dr_Est,"&lt;&gt;Excluido"),0)</f>
        <v>0</v>
      </c>
      <c r="DT35" s="13" t="n">
        <f aca="false">IF(DT$32=1,SUMIFS(dr_USD,dr_Mes,118,dr_Cod,"CAPEX_DEV",dr_Est,"&lt;&gt;Excluido"),0)</f>
        <v>0</v>
      </c>
      <c r="DU35" s="13" t="n">
        <f aca="false">IF(DU$32=1,SUMIFS(dr_USD,dr_Mes,119,dr_Cod,"CAPEX_DEV",dr_Est,"&lt;&gt;Excluido"),0)</f>
        <v>0</v>
      </c>
      <c r="DV35" s="13" t="n">
        <f aca="false">IF(DV$32=1,SUMIFS(dr_USD,dr_Mes,120,dr_Cod,"CAPEX_DEV",dr_Est,"&lt;&gt;Excluido"),0)</f>
        <v>0</v>
      </c>
      <c r="DW35" s="13" t="n">
        <f aca="false">IF(DW$32=1,SUMIFS(dr_USD,dr_Mes,121,dr_Cod,"CAPEX_DEV",dr_Est,"&lt;&gt;Excluido"),0)</f>
        <v>0</v>
      </c>
      <c r="DX35" s="13" t="n">
        <f aca="false">IF(DX$32=1,SUMIFS(dr_USD,dr_Mes,122,dr_Cod,"CAPEX_DEV",dr_Est,"&lt;&gt;Excluido"),0)</f>
        <v>0</v>
      </c>
      <c r="DY35" s="13" t="n">
        <f aca="false">IF(DY$32=1,SUMIFS(dr_USD,dr_Mes,123,dr_Cod,"CAPEX_DEV",dr_Est,"&lt;&gt;Excluido"),0)</f>
        <v>0</v>
      </c>
      <c r="DZ35" s="13" t="n">
        <f aca="false">IF(DZ$32=1,SUMIFS(dr_USD,dr_Mes,124,dr_Cod,"CAPEX_DEV",dr_Est,"&lt;&gt;Excluido"),0)</f>
        <v>0</v>
      </c>
      <c r="EA35" s="13" t="n">
        <f aca="false">IF(EA$32=1,SUMIFS(dr_USD,dr_Mes,125,dr_Cod,"CAPEX_DEV",dr_Est,"&lt;&gt;Excluido"),0)</f>
        <v>0</v>
      </c>
      <c r="EB35" s="13" t="n">
        <f aca="false">IF(EB$32=1,SUMIFS(dr_USD,dr_Mes,126,dr_Cod,"CAPEX_DEV",dr_Est,"&lt;&gt;Excluido"),0)</f>
        <v>0</v>
      </c>
      <c r="EC35" s="13" t="n">
        <f aca="false">IF(EC$32=1,SUMIFS(dr_USD,dr_Mes,127,dr_Cod,"CAPEX_DEV",dr_Est,"&lt;&gt;Excluido"),0)</f>
        <v>0</v>
      </c>
      <c r="ED35" s="13" t="n">
        <f aca="false">IF(ED$32=1,SUMIFS(dr_USD,dr_Mes,128,dr_Cod,"CAPEX_DEV",dr_Est,"&lt;&gt;Excluido"),0)</f>
        <v>0</v>
      </c>
      <c r="EE35" s="13" t="n">
        <f aca="false">IF(EE$32=1,SUMIFS(dr_USD,dr_Mes,129,dr_Cod,"CAPEX_DEV",dr_Est,"&lt;&gt;Excluido"),0)</f>
        <v>0</v>
      </c>
      <c r="EF35" s="13" t="n">
        <f aca="false">IF(EF$32=1,SUMIFS(dr_USD,dr_Mes,130,dr_Cod,"CAPEX_DEV",dr_Est,"&lt;&gt;Excluido"),0)</f>
        <v>0</v>
      </c>
      <c r="EG35" s="13" t="n">
        <f aca="false">IF(EG$32=1,SUMIFS(dr_USD,dr_Mes,131,dr_Cod,"CAPEX_DEV",dr_Est,"&lt;&gt;Excluido"),0)</f>
        <v>0</v>
      </c>
      <c r="EH35" s="13" t="n">
        <f aca="false">IF(EH$32=1,SUMIFS(dr_USD,dr_Mes,132,dr_Cod,"CAPEX_DEV",dr_Est,"&lt;&gt;Excluido"),0)</f>
        <v>0</v>
      </c>
      <c r="EI35" s="13" t="n">
        <f aca="false">IF(EI$32=1,SUMIFS(dr_USD,dr_Mes,133,dr_Cod,"CAPEX_DEV",dr_Est,"&lt;&gt;Excluido"),0)</f>
        <v>0</v>
      </c>
      <c r="EJ35" s="13" t="n">
        <f aca="false">IF(EJ$32=1,SUMIFS(dr_USD,dr_Mes,134,dr_Cod,"CAPEX_DEV",dr_Est,"&lt;&gt;Excluido"),0)</f>
        <v>0</v>
      </c>
      <c r="EK35" s="13" t="n">
        <f aca="false">IF(EK$32=1,SUMIFS(dr_USD,dr_Mes,135,dr_Cod,"CAPEX_DEV",dr_Est,"&lt;&gt;Excluido"),0)</f>
        <v>0</v>
      </c>
      <c r="EL35" s="13" t="n">
        <f aca="false">IF(EL$32=1,SUMIFS(dr_USD,dr_Mes,136,dr_Cod,"CAPEX_DEV",dr_Est,"&lt;&gt;Excluido"),0)</f>
        <v>0</v>
      </c>
      <c r="EM35" s="13" t="n">
        <f aca="false">IF(EM$32=1,SUMIFS(dr_USD,dr_Mes,137,dr_Cod,"CAPEX_DEV",dr_Est,"&lt;&gt;Excluido"),0)</f>
        <v>0</v>
      </c>
      <c r="EN35" s="13" t="n">
        <f aca="false">IF(EN$32=1,SUMIFS(dr_USD,dr_Mes,138,dr_Cod,"CAPEX_DEV",dr_Est,"&lt;&gt;Excluido"),0)</f>
        <v>0</v>
      </c>
      <c r="EO35" s="13" t="n">
        <f aca="false">IF(EO$32=1,SUMIFS(dr_USD,dr_Mes,139,dr_Cod,"CAPEX_DEV",dr_Est,"&lt;&gt;Excluido"),0)</f>
        <v>0</v>
      </c>
      <c r="EP35" s="13" t="n">
        <f aca="false">IF(EP$32=1,SUMIFS(dr_USD,dr_Mes,140,dr_Cod,"CAPEX_DEV",dr_Est,"&lt;&gt;Excluido"),0)</f>
        <v>0</v>
      </c>
      <c r="EQ35" s="13" t="n">
        <f aca="false">IF(EQ$32=1,SUMIFS(dr_USD,dr_Mes,141,dr_Cod,"CAPEX_DEV",dr_Est,"&lt;&gt;Excluido"),0)</f>
        <v>0</v>
      </c>
      <c r="ER35" s="13" t="n">
        <f aca="false">IF(ER$32=1,SUMIFS(dr_USD,dr_Mes,142,dr_Cod,"CAPEX_DEV",dr_Est,"&lt;&gt;Excluido"),0)</f>
        <v>0</v>
      </c>
      <c r="ES35" s="13" t="n">
        <f aca="false">IF(ES$32=1,SUMIFS(dr_USD,dr_Mes,143,dr_Cod,"CAPEX_DEV",dr_Est,"&lt;&gt;Excluido"),0)</f>
        <v>0</v>
      </c>
      <c r="ET35" s="13" t="n">
        <f aca="false">IF(ET$32=1,SUMIFS(dr_USD,dr_Mes,144,dr_Cod,"CAPEX_DEV",dr_Est,"&lt;&gt;Excluido"),0)</f>
        <v>0</v>
      </c>
      <c r="EU35" s="13" t="n">
        <f aca="false">IF(EU$32=1,SUMIFS(dr_USD,dr_Mes,145,dr_Cod,"CAPEX_DEV",dr_Est,"&lt;&gt;Excluido"),0)</f>
        <v>0</v>
      </c>
      <c r="EV35" s="13" t="n">
        <f aca="false">IF(EV$32=1,SUMIFS(dr_USD,dr_Mes,146,dr_Cod,"CAPEX_DEV",dr_Est,"&lt;&gt;Excluido"),0)</f>
        <v>0</v>
      </c>
      <c r="EW35" s="13" t="n">
        <f aca="false">IF(EW$32=1,SUMIFS(dr_USD,dr_Mes,147,dr_Cod,"CAPEX_DEV",dr_Est,"&lt;&gt;Excluido"),0)</f>
        <v>0</v>
      </c>
      <c r="EX35" s="13" t="n">
        <f aca="false">IF(EX$32=1,SUMIFS(dr_USD,dr_Mes,148,dr_Cod,"CAPEX_DEV",dr_Est,"&lt;&gt;Excluido"),0)</f>
        <v>0</v>
      </c>
      <c r="EY35" s="13" t="n">
        <f aca="false">IF(EY$32=1,SUMIFS(dr_USD,dr_Mes,149,dr_Cod,"CAPEX_DEV",dr_Est,"&lt;&gt;Excluido"),0)</f>
        <v>0</v>
      </c>
      <c r="EZ35" s="13" t="n">
        <f aca="false">IF(EZ$32=1,SUMIFS(dr_USD,dr_Mes,150,dr_Cod,"CAPEX_DEV",dr_Est,"&lt;&gt;Excluido"),0)</f>
        <v>0</v>
      </c>
      <c r="FA35" s="13" t="n">
        <f aca="false">IF(FA$32=1,SUMIFS(dr_USD,dr_Mes,151,dr_Cod,"CAPEX_DEV",dr_Est,"&lt;&gt;Excluido"),0)</f>
        <v>0</v>
      </c>
      <c r="FB35" s="13" t="n">
        <f aca="false">IF(FB$32=1,SUMIFS(dr_USD,dr_Mes,152,dr_Cod,"CAPEX_DEV",dr_Est,"&lt;&gt;Excluido"),0)</f>
        <v>0</v>
      </c>
      <c r="FC35" s="13" t="n">
        <f aca="false">IF(FC$32=1,SUMIFS(dr_USD,dr_Mes,153,dr_Cod,"CAPEX_DEV",dr_Est,"&lt;&gt;Excluido"),0)</f>
        <v>0</v>
      </c>
      <c r="FD35" s="13" t="n">
        <f aca="false">IF(FD$32=1,SUMIFS(dr_USD,dr_Mes,154,dr_Cod,"CAPEX_DEV",dr_Est,"&lt;&gt;Excluido"),0)</f>
        <v>0</v>
      </c>
      <c r="FE35" s="13" t="n">
        <f aca="false">IF(FE$32=1,SUMIFS(dr_USD,dr_Mes,155,dr_Cod,"CAPEX_DEV",dr_Est,"&lt;&gt;Excluido"),0)</f>
        <v>0</v>
      </c>
      <c r="FF35" s="13" t="n">
        <f aca="false">IF(FF$32=1,SUMIFS(dr_USD,dr_Mes,156,dr_Cod,"CAPEX_DEV",dr_Est,"&lt;&gt;Excluido"),0)</f>
        <v>0</v>
      </c>
    </row>
    <row r="36" customFormat="false" ht="15" hidden="false" customHeight="false" outlineLevel="0" collapsed="false">
      <c r="A36" s="2" t="s">
        <v>1221</v>
      </c>
      <c r="B36" s="8" t="s">
        <v>1222</v>
      </c>
      <c r="C36" s="8" t="s">
        <v>255</v>
      </c>
      <c r="E36" s="65" t="n">
        <f aca="false">SUM($F36:$FF36)</f>
        <v>755044.1</v>
      </c>
      <c r="F36" s="13" t="n">
        <f aca="false">IF(F$32=1,0,SUMIF($T$6:$T$22,0,$X$6:$X$22))</f>
        <v>655044.1</v>
      </c>
      <c r="G36" s="13" t="n">
        <f aca="false">IF(G$32=1,0,SUMIF($T$6:$T$22,1,$X$6:$X$22))</f>
        <v>0</v>
      </c>
      <c r="H36" s="13" t="n">
        <f aca="false">IF(H$32=1,0,SUMIF($T$6:$T$22,2,$X$6:$X$22))</f>
        <v>0</v>
      </c>
      <c r="I36" s="13" t="n">
        <f aca="false">IF(I$32=1,0,SUMIF($T$6:$T$22,3,$X$6:$X$22))</f>
        <v>0</v>
      </c>
      <c r="J36" s="13" t="n">
        <f aca="false">IF(J$32=1,0,SUMIF($T$6:$T$22,4,$X$6:$X$22))</f>
        <v>0</v>
      </c>
      <c r="K36" s="13" t="n">
        <f aca="false">IF(K$32=1,0,SUMIF($T$6:$T$22,5,$X$6:$X$22))</f>
        <v>0</v>
      </c>
      <c r="L36" s="13" t="n">
        <f aca="false">IF(L$32=1,0,SUMIF($T$6:$T$22,6,$X$6:$X$22))</f>
        <v>0</v>
      </c>
      <c r="M36" s="13" t="n">
        <f aca="false">IF(M$32=1,0,SUMIF($T$6:$T$22,7,$X$6:$X$22))</f>
        <v>0</v>
      </c>
      <c r="N36" s="13" t="n">
        <f aca="false">IF(N$32=1,0,SUMIF($T$6:$T$22,8,$X$6:$X$22))</f>
        <v>0</v>
      </c>
      <c r="O36" s="13" t="n">
        <f aca="false">IF(O$32=1,0,SUMIF($T$6:$T$22,9,$X$6:$X$22))</f>
        <v>0</v>
      </c>
      <c r="P36" s="13" t="n">
        <f aca="false">IF(P$32=1,0,SUMIF($T$6:$T$22,10,$X$6:$X$22))</f>
        <v>0</v>
      </c>
      <c r="Q36" s="13" t="n">
        <f aca="false">IF(Q$32=1,0,SUMIF($T$6:$T$22,11,$X$6:$X$22))</f>
        <v>0</v>
      </c>
      <c r="R36" s="13" t="n">
        <f aca="false">IF(R$32=1,0,SUMIF($T$6:$T$22,12,$X$6:$X$22))</f>
        <v>0</v>
      </c>
      <c r="S36" s="13" t="n">
        <f aca="false">IF(S$32=1,0,SUMIF($T$6:$T$22,13,$X$6:$X$22))</f>
        <v>100000</v>
      </c>
      <c r="T36" s="13" t="n">
        <f aca="false">IF(T$32=1,0,SUMIF($T$6:$T$22,14,$X$6:$X$22))</f>
        <v>0</v>
      </c>
      <c r="U36" s="13" t="n">
        <f aca="false">IF(U$32=1,0,SUMIF($T$6:$T$22,15,$X$6:$X$22))</f>
        <v>0</v>
      </c>
      <c r="V36" s="13" t="n">
        <f aca="false">IF(V$32=1,0,SUMIF($T$6:$T$22,16,$X$6:$X$22))</f>
        <v>0</v>
      </c>
      <c r="W36" s="13" t="n">
        <f aca="false">IF(W$32=1,0,SUMIF($T$6:$T$22,17,$X$6:$X$22))</f>
        <v>0</v>
      </c>
      <c r="X36" s="13" t="n">
        <f aca="false">IF(X$32=1,0,SUMIF($T$6:$T$22,18,$X$6:$X$22))</f>
        <v>0</v>
      </c>
      <c r="Y36" s="13" t="n">
        <f aca="false">IF(Y$32=1,0,SUMIF($T$6:$T$22,19,$X$6:$X$22))</f>
        <v>0</v>
      </c>
      <c r="Z36" s="13" t="n">
        <f aca="false">IF(Z$32=1,0,SUMIF($T$6:$T$22,20,$X$6:$X$22))</f>
        <v>0</v>
      </c>
      <c r="AA36" s="13" t="n">
        <f aca="false">IF(AA$32=1,0,SUMIF($T$6:$T$22,21,$X$6:$X$22))</f>
        <v>0</v>
      </c>
      <c r="AB36" s="13" t="n">
        <f aca="false">IF(AB$32=1,0,SUMIF($T$6:$T$22,22,$X$6:$X$22))</f>
        <v>0</v>
      </c>
      <c r="AC36" s="13" t="n">
        <f aca="false">IF(AC$32=1,0,SUMIF($T$6:$T$22,23,$X$6:$X$22))</f>
        <v>0</v>
      </c>
      <c r="AD36" s="13" t="n">
        <f aca="false">IF(AD$32=1,0,SUMIF($T$6:$T$22,24,$X$6:$X$22))</f>
        <v>0</v>
      </c>
      <c r="AE36" s="13" t="n">
        <f aca="false">IF(AE$32=1,0,SUMIF($T$6:$T$22,25,$X$6:$X$22))</f>
        <v>0</v>
      </c>
      <c r="AF36" s="13" t="n">
        <f aca="false">IF(AF$32=1,0,SUMIF($T$6:$T$22,26,$X$6:$X$22))</f>
        <v>0</v>
      </c>
      <c r="AG36" s="13" t="n">
        <f aca="false">IF(AG$32=1,0,SUMIF($T$6:$T$22,27,$X$6:$X$22))</f>
        <v>0</v>
      </c>
      <c r="AH36" s="13" t="n">
        <f aca="false">IF(AH$32=1,0,SUMIF($T$6:$T$22,28,$X$6:$X$22))</f>
        <v>0</v>
      </c>
      <c r="AI36" s="13" t="n">
        <f aca="false">IF(AI$32=1,0,SUMIF($T$6:$T$22,29,$X$6:$X$22))</f>
        <v>0</v>
      </c>
      <c r="AJ36" s="13" t="n">
        <f aca="false">IF(AJ$32=1,0,SUMIF($T$6:$T$22,30,$X$6:$X$22))</f>
        <v>0</v>
      </c>
      <c r="AK36" s="13" t="n">
        <f aca="false">IF(AK$32=1,0,SUMIF($T$6:$T$22,31,$X$6:$X$22))</f>
        <v>0</v>
      </c>
      <c r="AL36" s="13" t="n">
        <f aca="false">IF(AL$32=1,0,SUMIF($T$6:$T$22,32,$X$6:$X$22))</f>
        <v>0</v>
      </c>
      <c r="AM36" s="13" t="n">
        <f aca="false">IF(AM$32=1,0,SUMIF($T$6:$T$22,33,$X$6:$X$22))</f>
        <v>0</v>
      </c>
      <c r="AN36" s="13" t="n">
        <f aca="false">IF(AN$32=1,0,SUMIF($T$6:$T$22,34,$X$6:$X$22))</f>
        <v>0</v>
      </c>
      <c r="AO36" s="13" t="n">
        <f aca="false">IF(AO$32=1,0,SUMIF($T$6:$T$22,35,$X$6:$X$22))</f>
        <v>0</v>
      </c>
      <c r="AP36" s="13" t="n">
        <f aca="false">IF(AP$32=1,0,SUMIF($T$6:$T$22,36,$X$6:$X$22))</f>
        <v>0</v>
      </c>
      <c r="AQ36" s="13" t="n">
        <f aca="false">IF(AQ$32=1,0,SUMIF($T$6:$T$22,37,$X$6:$X$22))</f>
        <v>0</v>
      </c>
      <c r="AR36" s="13" t="n">
        <f aca="false">IF(AR$32=1,0,SUMIF($T$6:$T$22,38,$X$6:$X$22))</f>
        <v>0</v>
      </c>
      <c r="AS36" s="13" t="n">
        <f aca="false">IF(AS$32=1,0,SUMIF($T$6:$T$22,39,$X$6:$X$22))</f>
        <v>0</v>
      </c>
      <c r="AT36" s="13" t="n">
        <f aca="false">IF(AT$32=1,0,SUMIF($T$6:$T$22,40,$X$6:$X$22))</f>
        <v>0</v>
      </c>
      <c r="AU36" s="13" t="n">
        <f aca="false">IF(AU$32=1,0,SUMIF($T$6:$T$22,41,$X$6:$X$22))</f>
        <v>0</v>
      </c>
      <c r="AV36" s="13" t="n">
        <f aca="false">IF(AV$32=1,0,SUMIF($T$6:$T$22,42,$X$6:$X$22))</f>
        <v>0</v>
      </c>
      <c r="AW36" s="13" t="n">
        <f aca="false">IF(AW$32=1,0,SUMIF($T$6:$T$22,43,$X$6:$X$22))</f>
        <v>0</v>
      </c>
      <c r="AX36" s="13" t="n">
        <f aca="false">IF(AX$32=1,0,SUMIF($T$6:$T$22,44,$X$6:$X$22))</f>
        <v>0</v>
      </c>
      <c r="AY36" s="13" t="n">
        <f aca="false">IF(AY$32=1,0,SUMIF($T$6:$T$22,45,$X$6:$X$22))</f>
        <v>0</v>
      </c>
      <c r="AZ36" s="13" t="n">
        <f aca="false">IF(AZ$32=1,0,SUMIF($T$6:$T$22,46,$X$6:$X$22))</f>
        <v>0</v>
      </c>
      <c r="BA36" s="13" t="n">
        <f aca="false">IF(BA$32=1,0,SUMIF($T$6:$T$22,47,$X$6:$X$22))</f>
        <v>0</v>
      </c>
      <c r="BB36" s="13" t="n">
        <f aca="false">IF(BB$32=1,0,SUMIF($T$6:$T$22,48,$X$6:$X$22))</f>
        <v>0</v>
      </c>
      <c r="BC36" s="13" t="n">
        <f aca="false">IF(BC$32=1,0,SUMIF($T$6:$T$22,49,$X$6:$X$22))</f>
        <v>0</v>
      </c>
      <c r="BD36" s="13" t="n">
        <f aca="false">IF(BD$32=1,0,SUMIF($T$6:$T$22,50,$X$6:$X$22))</f>
        <v>0</v>
      </c>
      <c r="BE36" s="13" t="n">
        <f aca="false">IF(BE$32=1,0,SUMIF($T$6:$T$22,51,$X$6:$X$22))</f>
        <v>0</v>
      </c>
      <c r="BF36" s="13" t="n">
        <f aca="false">IF(BF$32=1,0,SUMIF($T$6:$T$22,52,$X$6:$X$22))</f>
        <v>0</v>
      </c>
      <c r="BG36" s="13" t="n">
        <f aca="false">IF(BG$32=1,0,SUMIF($T$6:$T$22,53,$X$6:$X$22))</f>
        <v>0</v>
      </c>
      <c r="BH36" s="13" t="n">
        <f aca="false">IF(BH$32=1,0,SUMIF($T$6:$T$22,54,$X$6:$X$22))</f>
        <v>0</v>
      </c>
      <c r="BI36" s="13" t="n">
        <f aca="false">IF(BI$32=1,0,SUMIF($T$6:$T$22,55,$X$6:$X$22))</f>
        <v>0</v>
      </c>
      <c r="BJ36" s="13" t="n">
        <f aca="false">IF(BJ$32=1,0,SUMIF($T$6:$T$22,56,$X$6:$X$22))</f>
        <v>0</v>
      </c>
      <c r="BK36" s="13" t="n">
        <f aca="false">IF(BK$32=1,0,SUMIF($T$6:$T$22,57,$X$6:$X$22))</f>
        <v>0</v>
      </c>
      <c r="BL36" s="13" t="n">
        <f aca="false">IF(BL$32=1,0,SUMIF($T$6:$T$22,58,$X$6:$X$22))</f>
        <v>0</v>
      </c>
      <c r="BM36" s="13" t="n">
        <f aca="false">IF(BM$32=1,0,SUMIF($T$6:$T$22,59,$X$6:$X$22))</f>
        <v>0</v>
      </c>
      <c r="BN36" s="13" t="n">
        <f aca="false">IF(BN$32=1,0,SUMIF($T$6:$T$22,60,$X$6:$X$22))</f>
        <v>0</v>
      </c>
      <c r="BO36" s="13" t="n">
        <f aca="false">IF(BO$32=1,0,SUMIF($T$6:$T$22,61,$X$6:$X$22))</f>
        <v>0</v>
      </c>
      <c r="BP36" s="13" t="n">
        <f aca="false">IF(BP$32=1,0,SUMIF($T$6:$T$22,62,$X$6:$X$22))</f>
        <v>0</v>
      </c>
      <c r="BQ36" s="13" t="n">
        <f aca="false">IF(BQ$32=1,0,SUMIF($T$6:$T$22,63,$X$6:$X$22))</f>
        <v>0</v>
      </c>
      <c r="BR36" s="13" t="n">
        <f aca="false">IF(BR$32=1,0,SUMIF($T$6:$T$22,64,$X$6:$X$22))</f>
        <v>0</v>
      </c>
      <c r="BS36" s="13" t="n">
        <f aca="false">IF(BS$32=1,0,SUMIF($T$6:$T$22,65,$X$6:$X$22))</f>
        <v>0</v>
      </c>
      <c r="BT36" s="13" t="n">
        <f aca="false">IF(BT$32=1,0,SUMIF($T$6:$T$22,66,$X$6:$X$22))</f>
        <v>0</v>
      </c>
      <c r="BU36" s="13" t="n">
        <f aca="false">IF(BU$32=1,0,SUMIF($T$6:$T$22,67,$X$6:$X$22))</f>
        <v>0</v>
      </c>
      <c r="BV36" s="13" t="n">
        <f aca="false">IF(BV$32=1,0,SUMIF($T$6:$T$22,68,$X$6:$X$22))</f>
        <v>0</v>
      </c>
      <c r="BW36" s="13" t="n">
        <f aca="false">IF(BW$32=1,0,SUMIF($T$6:$T$22,69,$X$6:$X$22))</f>
        <v>0</v>
      </c>
      <c r="BX36" s="13" t="n">
        <f aca="false">IF(BX$32=1,0,SUMIF($T$6:$T$22,70,$X$6:$X$22))</f>
        <v>0</v>
      </c>
      <c r="BY36" s="13" t="n">
        <f aca="false">IF(BY$32=1,0,SUMIF($T$6:$T$22,71,$X$6:$X$22))</f>
        <v>0</v>
      </c>
      <c r="BZ36" s="13" t="n">
        <f aca="false">IF(BZ$32=1,0,SUMIF($T$6:$T$22,72,$X$6:$X$22))</f>
        <v>0</v>
      </c>
      <c r="CA36" s="13" t="n">
        <f aca="false">IF(CA$32=1,0,SUMIF($T$6:$T$22,73,$X$6:$X$22))</f>
        <v>0</v>
      </c>
      <c r="CB36" s="13" t="n">
        <f aca="false">IF(CB$32=1,0,SUMIF($T$6:$T$22,74,$X$6:$X$22))</f>
        <v>0</v>
      </c>
      <c r="CC36" s="13" t="n">
        <f aca="false">IF(CC$32=1,0,SUMIF($T$6:$T$22,75,$X$6:$X$22))</f>
        <v>0</v>
      </c>
      <c r="CD36" s="13" t="n">
        <f aca="false">IF(CD$32=1,0,SUMIF($T$6:$T$22,76,$X$6:$X$22))</f>
        <v>0</v>
      </c>
      <c r="CE36" s="13" t="n">
        <f aca="false">IF(CE$32=1,0,SUMIF($T$6:$T$22,77,$X$6:$X$22))</f>
        <v>0</v>
      </c>
      <c r="CF36" s="13" t="n">
        <f aca="false">IF(CF$32=1,0,SUMIF($T$6:$T$22,78,$X$6:$X$22))</f>
        <v>0</v>
      </c>
      <c r="CG36" s="13" t="n">
        <f aca="false">IF(CG$32=1,0,SUMIF($T$6:$T$22,79,$X$6:$X$22))</f>
        <v>0</v>
      </c>
      <c r="CH36" s="13" t="n">
        <f aca="false">IF(CH$32=1,0,SUMIF($T$6:$T$22,80,$X$6:$X$22))</f>
        <v>0</v>
      </c>
      <c r="CI36" s="13" t="n">
        <f aca="false">IF(CI$32=1,0,SUMIF($T$6:$T$22,81,$X$6:$X$22))</f>
        <v>0</v>
      </c>
      <c r="CJ36" s="13" t="n">
        <f aca="false">IF(CJ$32=1,0,SUMIF($T$6:$T$22,82,$X$6:$X$22))</f>
        <v>0</v>
      </c>
      <c r="CK36" s="13" t="n">
        <f aca="false">IF(CK$32=1,0,SUMIF($T$6:$T$22,83,$X$6:$X$22))</f>
        <v>0</v>
      </c>
      <c r="CL36" s="13" t="n">
        <f aca="false">IF(CL$32=1,0,SUMIF($T$6:$T$22,84,$X$6:$X$22))</f>
        <v>0</v>
      </c>
      <c r="CM36" s="13" t="n">
        <f aca="false">IF(CM$32=1,0,SUMIF($T$6:$T$22,85,$X$6:$X$22))</f>
        <v>0</v>
      </c>
      <c r="CN36" s="13" t="n">
        <f aca="false">IF(CN$32=1,0,SUMIF($T$6:$T$22,86,$X$6:$X$22))</f>
        <v>0</v>
      </c>
      <c r="CO36" s="13" t="n">
        <f aca="false">IF(CO$32=1,0,SUMIF($T$6:$T$22,87,$X$6:$X$22))</f>
        <v>0</v>
      </c>
      <c r="CP36" s="13" t="n">
        <f aca="false">IF(CP$32=1,0,SUMIF($T$6:$T$22,88,$X$6:$X$22))</f>
        <v>0</v>
      </c>
      <c r="CQ36" s="13" t="n">
        <f aca="false">IF(CQ$32=1,0,SUMIF($T$6:$T$22,89,$X$6:$X$22))</f>
        <v>0</v>
      </c>
      <c r="CR36" s="13" t="n">
        <f aca="false">IF(CR$32=1,0,SUMIF($T$6:$T$22,90,$X$6:$X$22))</f>
        <v>0</v>
      </c>
      <c r="CS36" s="13" t="n">
        <f aca="false">IF(CS$32=1,0,SUMIF($T$6:$T$22,91,$X$6:$X$22))</f>
        <v>0</v>
      </c>
      <c r="CT36" s="13" t="n">
        <f aca="false">IF(CT$32=1,0,SUMIF($T$6:$T$22,92,$X$6:$X$22))</f>
        <v>0</v>
      </c>
      <c r="CU36" s="13" t="n">
        <f aca="false">IF(CU$32=1,0,SUMIF($T$6:$T$22,93,$X$6:$X$22))</f>
        <v>0</v>
      </c>
      <c r="CV36" s="13" t="n">
        <f aca="false">IF(CV$32=1,0,SUMIF($T$6:$T$22,94,$X$6:$X$22))</f>
        <v>0</v>
      </c>
      <c r="CW36" s="13" t="n">
        <f aca="false">IF(CW$32=1,0,SUMIF($T$6:$T$22,95,$X$6:$X$22))</f>
        <v>0</v>
      </c>
      <c r="CX36" s="13" t="n">
        <f aca="false">IF(CX$32=1,0,SUMIF($T$6:$T$22,96,$X$6:$X$22))</f>
        <v>0</v>
      </c>
      <c r="CY36" s="13" t="n">
        <f aca="false">IF(CY$32=1,0,SUMIF($T$6:$T$22,97,$X$6:$X$22))</f>
        <v>0</v>
      </c>
      <c r="CZ36" s="13" t="n">
        <f aca="false">IF(CZ$32=1,0,SUMIF($T$6:$T$22,98,$X$6:$X$22))</f>
        <v>0</v>
      </c>
      <c r="DA36" s="13" t="n">
        <f aca="false">IF(DA$32=1,0,SUMIF($T$6:$T$22,99,$X$6:$X$22))</f>
        <v>0</v>
      </c>
      <c r="DB36" s="13" t="n">
        <f aca="false">IF(DB$32=1,0,SUMIF($T$6:$T$22,100,$X$6:$X$22))</f>
        <v>0</v>
      </c>
      <c r="DC36" s="13" t="n">
        <f aca="false">IF(DC$32=1,0,SUMIF($T$6:$T$22,101,$X$6:$X$22))</f>
        <v>0</v>
      </c>
      <c r="DD36" s="13" t="n">
        <f aca="false">IF(DD$32=1,0,SUMIF($T$6:$T$22,102,$X$6:$X$22))</f>
        <v>0</v>
      </c>
      <c r="DE36" s="13" t="n">
        <f aca="false">IF(DE$32=1,0,SUMIF($T$6:$T$22,103,$X$6:$X$22))</f>
        <v>0</v>
      </c>
      <c r="DF36" s="13" t="n">
        <f aca="false">IF(DF$32=1,0,SUMIF($T$6:$T$22,104,$X$6:$X$22))</f>
        <v>0</v>
      </c>
      <c r="DG36" s="13" t="n">
        <f aca="false">IF(DG$32=1,0,SUMIF($T$6:$T$22,105,$X$6:$X$22))</f>
        <v>0</v>
      </c>
      <c r="DH36" s="13" t="n">
        <f aca="false">IF(DH$32=1,0,SUMIF($T$6:$T$22,106,$X$6:$X$22))</f>
        <v>0</v>
      </c>
      <c r="DI36" s="13" t="n">
        <f aca="false">IF(DI$32=1,0,SUMIF($T$6:$T$22,107,$X$6:$X$22))</f>
        <v>0</v>
      </c>
      <c r="DJ36" s="13" t="n">
        <f aca="false">IF(DJ$32=1,0,SUMIF($T$6:$T$22,108,$X$6:$X$22))</f>
        <v>0</v>
      </c>
      <c r="DK36" s="13" t="n">
        <f aca="false">IF(DK$32=1,0,SUMIF($T$6:$T$22,109,$X$6:$X$22))</f>
        <v>0</v>
      </c>
      <c r="DL36" s="13" t="n">
        <f aca="false">IF(DL$32=1,0,SUMIF($T$6:$T$22,110,$X$6:$X$22))</f>
        <v>0</v>
      </c>
      <c r="DM36" s="13" t="n">
        <f aca="false">IF(DM$32=1,0,SUMIF($T$6:$T$22,111,$X$6:$X$22))</f>
        <v>0</v>
      </c>
      <c r="DN36" s="13" t="n">
        <f aca="false">IF(DN$32=1,0,SUMIF($T$6:$T$22,112,$X$6:$X$22))</f>
        <v>0</v>
      </c>
      <c r="DO36" s="13" t="n">
        <f aca="false">IF(DO$32=1,0,SUMIF($T$6:$T$22,113,$X$6:$X$22))</f>
        <v>0</v>
      </c>
      <c r="DP36" s="13" t="n">
        <f aca="false">IF(DP$32=1,0,SUMIF($T$6:$T$22,114,$X$6:$X$22))</f>
        <v>0</v>
      </c>
      <c r="DQ36" s="13" t="n">
        <f aca="false">IF(DQ$32=1,0,SUMIF($T$6:$T$22,115,$X$6:$X$22))</f>
        <v>0</v>
      </c>
      <c r="DR36" s="13" t="n">
        <f aca="false">IF(DR$32=1,0,SUMIF($T$6:$T$22,116,$X$6:$X$22))</f>
        <v>0</v>
      </c>
      <c r="DS36" s="13" t="n">
        <f aca="false">IF(DS$32=1,0,SUMIF($T$6:$T$22,117,$X$6:$X$22))</f>
        <v>0</v>
      </c>
      <c r="DT36" s="13" t="n">
        <f aca="false">IF(DT$32=1,0,SUMIF($T$6:$T$22,118,$X$6:$X$22))</f>
        <v>0</v>
      </c>
      <c r="DU36" s="13" t="n">
        <f aca="false">IF(DU$32=1,0,SUMIF($T$6:$T$22,119,$X$6:$X$22))</f>
        <v>0</v>
      </c>
      <c r="DV36" s="13" t="n">
        <f aca="false">IF(DV$32=1,0,SUMIF($T$6:$T$22,120,$X$6:$X$22))</f>
        <v>0</v>
      </c>
      <c r="DW36" s="13" t="n">
        <f aca="false">IF(DW$32=1,0,SUMIF($T$6:$T$22,121,$X$6:$X$22))</f>
        <v>0</v>
      </c>
      <c r="DX36" s="13" t="n">
        <f aca="false">IF(DX$32=1,0,SUMIF($T$6:$T$22,122,$X$6:$X$22))</f>
        <v>0</v>
      </c>
      <c r="DY36" s="13" t="n">
        <f aca="false">IF(DY$32=1,0,SUMIF($T$6:$T$22,123,$X$6:$X$22))</f>
        <v>0</v>
      </c>
      <c r="DZ36" s="13" t="n">
        <f aca="false">IF(DZ$32=1,0,SUMIF($T$6:$T$22,124,$X$6:$X$22))</f>
        <v>0</v>
      </c>
      <c r="EA36" s="13" t="n">
        <f aca="false">IF(EA$32=1,0,SUMIF($T$6:$T$22,125,$X$6:$X$22))</f>
        <v>0</v>
      </c>
      <c r="EB36" s="13" t="n">
        <f aca="false">IF(EB$32=1,0,SUMIF($T$6:$T$22,126,$X$6:$X$22))</f>
        <v>0</v>
      </c>
      <c r="EC36" s="13" t="n">
        <f aca="false">IF(EC$32=1,0,SUMIF($T$6:$T$22,127,$X$6:$X$22))</f>
        <v>0</v>
      </c>
      <c r="ED36" s="13" t="n">
        <f aca="false">IF(ED$32=1,0,SUMIF($T$6:$T$22,128,$X$6:$X$22))</f>
        <v>0</v>
      </c>
      <c r="EE36" s="13" t="n">
        <f aca="false">IF(EE$32=1,0,SUMIF($T$6:$T$22,129,$X$6:$X$22))</f>
        <v>0</v>
      </c>
      <c r="EF36" s="13" t="n">
        <f aca="false">IF(EF$32=1,0,SUMIF($T$6:$T$22,130,$X$6:$X$22))</f>
        <v>0</v>
      </c>
      <c r="EG36" s="13" t="n">
        <f aca="false">IF(EG$32=1,0,SUMIF($T$6:$T$22,131,$X$6:$X$22))</f>
        <v>0</v>
      </c>
      <c r="EH36" s="13" t="n">
        <f aca="false">IF(EH$32=1,0,SUMIF($T$6:$T$22,132,$X$6:$X$22))</f>
        <v>0</v>
      </c>
      <c r="EI36" s="13" t="n">
        <f aca="false">IF(EI$32=1,0,SUMIF($T$6:$T$22,133,$X$6:$X$22))</f>
        <v>0</v>
      </c>
      <c r="EJ36" s="13" t="n">
        <f aca="false">IF(EJ$32=1,0,SUMIF($T$6:$T$22,134,$X$6:$X$22))</f>
        <v>0</v>
      </c>
      <c r="EK36" s="13" t="n">
        <f aca="false">IF(EK$32=1,0,SUMIF($T$6:$T$22,135,$X$6:$X$22))</f>
        <v>0</v>
      </c>
      <c r="EL36" s="13" t="n">
        <f aca="false">IF(EL$32=1,0,SUMIF($T$6:$T$22,136,$X$6:$X$22))</f>
        <v>0</v>
      </c>
      <c r="EM36" s="13" t="n">
        <f aca="false">IF(EM$32=1,0,SUMIF($T$6:$T$22,137,$X$6:$X$22))</f>
        <v>0</v>
      </c>
      <c r="EN36" s="13" t="n">
        <f aca="false">IF(EN$32=1,0,SUMIF($T$6:$T$22,138,$X$6:$X$22))</f>
        <v>0</v>
      </c>
      <c r="EO36" s="13" t="n">
        <f aca="false">IF(EO$32=1,0,SUMIF($T$6:$T$22,139,$X$6:$X$22))</f>
        <v>0</v>
      </c>
      <c r="EP36" s="13" t="n">
        <f aca="false">IF(EP$32=1,0,SUMIF($T$6:$T$22,140,$X$6:$X$22))</f>
        <v>0</v>
      </c>
      <c r="EQ36" s="13" t="n">
        <f aca="false">IF(EQ$32=1,0,SUMIF($T$6:$T$22,141,$X$6:$X$22))</f>
        <v>0</v>
      </c>
      <c r="ER36" s="13" t="n">
        <f aca="false">IF(ER$32=1,0,SUMIF($T$6:$T$22,142,$X$6:$X$22))</f>
        <v>0</v>
      </c>
      <c r="ES36" s="13" t="n">
        <f aca="false">IF(ES$32=1,0,SUMIF($T$6:$T$22,143,$X$6:$X$22))</f>
        <v>0</v>
      </c>
      <c r="ET36" s="13" t="n">
        <f aca="false">IF(ET$32=1,0,SUMIF($T$6:$T$22,144,$X$6:$X$22))</f>
        <v>0</v>
      </c>
      <c r="EU36" s="13" t="n">
        <f aca="false">IF(EU$32=1,0,SUMIF($T$6:$T$22,145,$X$6:$X$22))</f>
        <v>0</v>
      </c>
      <c r="EV36" s="13" t="n">
        <f aca="false">IF(EV$32=1,0,SUMIF($T$6:$T$22,146,$X$6:$X$22))</f>
        <v>0</v>
      </c>
      <c r="EW36" s="13" t="n">
        <f aca="false">IF(EW$32=1,0,SUMIF($T$6:$T$22,147,$X$6:$X$22))</f>
        <v>0</v>
      </c>
      <c r="EX36" s="13" t="n">
        <f aca="false">IF(EX$32=1,0,SUMIF($T$6:$T$22,148,$X$6:$X$22))</f>
        <v>0</v>
      </c>
      <c r="EY36" s="13" t="n">
        <f aca="false">IF(EY$32=1,0,SUMIF($T$6:$T$22,149,$X$6:$X$22))</f>
        <v>0</v>
      </c>
      <c r="EZ36" s="13" t="n">
        <f aca="false">IF(EZ$32=1,0,SUMIF($T$6:$T$22,150,$X$6:$X$22))</f>
        <v>0</v>
      </c>
      <c r="FA36" s="13" t="n">
        <f aca="false">IF(FA$32=1,0,SUMIF($T$6:$T$22,151,$X$6:$X$22))</f>
        <v>0</v>
      </c>
      <c r="FB36" s="13" t="n">
        <f aca="false">IF(FB$32=1,0,SUMIF($T$6:$T$22,152,$X$6:$X$22))</f>
        <v>0</v>
      </c>
      <c r="FC36" s="13" t="n">
        <f aca="false">IF(FC$32=1,0,SUMIF($T$6:$T$22,153,$X$6:$X$22))</f>
        <v>0</v>
      </c>
      <c r="FD36" s="13" t="n">
        <f aca="false">IF(FD$32=1,0,SUMIF($T$6:$T$22,154,$X$6:$X$22))</f>
        <v>0</v>
      </c>
      <c r="FE36" s="13" t="n">
        <f aca="false">IF(FE$32=1,0,SUMIF($T$6:$T$22,155,$X$6:$X$22))</f>
        <v>0</v>
      </c>
      <c r="FF36" s="13" t="n">
        <f aca="false">IF(FF$32=1,0,SUMIF($T$6:$T$22,156,$X$6:$X$22))</f>
        <v>0</v>
      </c>
    </row>
    <row r="37" customFormat="false" ht="15" hidden="false" customHeight="false" outlineLevel="0" collapsed="false">
      <c r="A37" s="2" t="s">
        <v>1223</v>
      </c>
      <c r="B37" s="8" t="s">
        <v>1224</v>
      </c>
      <c r="C37" s="8" t="s">
        <v>255</v>
      </c>
      <c r="E37" s="65" t="n">
        <f aca="false">SUM($F37:$FF37)</f>
        <v>755044.1</v>
      </c>
      <c r="F37" s="13" t="n">
        <f aca="false">IF(F$32=1,0,SUMIF($T$6:$T$22,0,$Y$6:$Y$22))</f>
        <v>655044.1</v>
      </c>
      <c r="G37" s="13" t="n">
        <f aca="false">IF(G$32=1,0,SUMIF($T$6:$T$22,1,$Y$6:$Y$22))</f>
        <v>0</v>
      </c>
      <c r="H37" s="13" t="n">
        <f aca="false">IF(H$32=1,0,SUMIF($T$6:$T$22,2,$Y$6:$Y$22))</f>
        <v>0</v>
      </c>
      <c r="I37" s="13" t="n">
        <f aca="false">IF(I$32=1,0,SUMIF($T$6:$T$22,3,$Y$6:$Y$22))</f>
        <v>0</v>
      </c>
      <c r="J37" s="13" t="n">
        <f aca="false">IF(J$32=1,0,SUMIF($T$6:$T$22,4,$Y$6:$Y$22))</f>
        <v>0</v>
      </c>
      <c r="K37" s="13" t="n">
        <f aca="false">IF(K$32=1,0,SUMIF($T$6:$T$22,5,$Y$6:$Y$22))</f>
        <v>0</v>
      </c>
      <c r="L37" s="13" t="n">
        <f aca="false">IF(L$32=1,0,SUMIF($T$6:$T$22,6,$Y$6:$Y$22))</f>
        <v>0</v>
      </c>
      <c r="M37" s="13" t="n">
        <f aca="false">IF(M$32=1,0,SUMIF($T$6:$T$22,7,$Y$6:$Y$22))</f>
        <v>0</v>
      </c>
      <c r="N37" s="13" t="n">
        <f aca="false">IF(N$32=1,0,SUMIF($T$6:$T$22,8,$Y$6:$Y$22))</f>
        <v>0</v>
      </c>
      <c r="O37" s="13" t="n">
        <f aca="false">IF(O$32=1,0,SUMIF($T$6:$T$22,9,$Y$6:$Y$22))</f>
        <v>0</v>
      </c>
      <c r="P37" s="13" t="n">
        <f aca="false">IF(P$32=1,0,SUMIF($T$6:$T$22,10,$Y$6:$Y$22))</f>
        <v>0</v>
      </c>
      <c r="Q37" s="13" t="n">
        <f aca="false">IF(Q$32=1,0,SUMIF($T$6:$T$22,11,$Y$6:$Y$22))</f>
        <v>0</v>
      </c>
      <c r="R37" s="13" t="n">
        <f aca="false">IF(R$32=1,0,SUMIF($T$6:$T$22,12,$Y$6:$Y$22))</f>
        <v>0</v>
      </c>
      <c r="S37" s="13" t="n">
        <f aca="false">IF(S$32=1,0,SUMIF($T$6:$T$22,13,$Y$6:$Y$22))</f>
        <v>100000</v>
      </c>
      <c r="T37" s="13" t="n">
        <f aca="false">IF(T$32=1,0,SUMIF($T$6:$T$22,14,$Y$6:$Y$22))</f>
        <v>0</v>
      </c>
      <c r="U37" s="13" t="n">
        <f aca="false">IF(U$32=1,0,SUMIF($T$6:$T$22,15,$Y$6:$Y$22))</f>
        <v>0</v>
      </c>
      <c r="V37" s="13" t="n">
        <f aca="false">IF(V$32=1,0,SUMIF($T$6:$T$22,16,$Y$6:$Y$22))</f>
        <v>0</v>
      </c>
      <c r="W37" s="13" t="n">
        <f aca="false">IF(W$32=1,0,SUMIF($T$6:$T$22,17,$Y$6:$Y$22))</f>
        <v>0</v>
      </c>
      <c r="X37" s="13" t="n">
        <f aca="false">IF(X$32=1,0,SUMIF($T$6:$T$22,18,$Y$6:$Y$22))</f>
        <v>0</v>
      </c>
      <c r="Y37" s="13" t="n">
        <f aca="false">IF(Y$32=1,0,SUMIF($T$6:$T$22,19,$Y$6:$Y$22))</f>
        <v>0</v>
      </c>
      <c r="Z37" s="13" t="n">
        <f aca="false">IF(Z$32=1,0,SUMIF($T$6:$T$22,20,$Y$6:$Y$22))</f>
        <v>0</v>
      </c>
      <c r="AA37" s="13" t="n">
        <f aca="false">IF(AA$32=1,0,SUMIF($T$6:$T$22,21,$Y$6:$Y$22))</f>
        <v>0</v>
      </c>
      <c r="AB37" s="13" t="n">
        <f aca="false">IF(AB$32=1,0,SUMIF($T$6:$T$22,22,$Y$6:$Y$22))</f>
        <v>0</v>
      </c>
      <c r="AC37" s="13" t="n">
        <f aca="false">IF(AC$32=1,0,SUMIF($T$6:$T$22,23,$Y$6:$Y$22))</f>
        <v>0</v>
      </c>
      <c r="AD37" s="13" t="n">
        <f aca="false">IF(AD$32=1,0,SUMIF($T$6:$T$22,24,$Y$6:$Y$22))</f>
        <v>0</v>
      </c>
      <c r="AE37" s="13" t="n">
        <f aca="false">IF(AE$32=1,0,SUMIF($T$6:$T$22,25,$Y$6:$Y$22))</f>
        <v>0</v>
      </c>
      <c r="AF37" s="13" t="n">
        <f aca="false">IF(AF$32=1,0,SUMIF($T$6:$T$22,26,$Y$6:$Y$22))</f>
        <v>0</v>
      </c>
      <c r="AG37" s="13" t="n">
        <f aca="false">IF(AG$32=1,0,SUMIF($T$6:$T$22,27,$Y$6:$Y$22))</f>
        <v>0</v>
      </c>
      <c r="AH37" s="13" t="n">
        <f aca="false">IF(AH$32=1,0,SUMIF($T$6:$T$22,28,$Y$6:$Y$22))</f>
        <v>0</v>
      </c>
      <c r="AI37" s="13" t="n">
        <f aca="false">IF(AI$32=1,0,SUMIF($T$6:$T$22,29,$Y$6:$Y$22))</f>
        <v>0</v>
      </c>
      <c r="AJ37" s="13" t="n">
        <f aca="false">IF(AJ$32=1,0,SUMIF($T$6:$T$22,30,$Y$6:$Y$22))</f>
        <v>0</v>
      </c>
      <c r="AK37" s="13" t="n">
        <f aca="false">IF(AK$32=1,0,SUMIF($T$6:$T$22,31,$Y$6:$Y$22))</f>
        <v>0</v>
      </c>
      <c r="AL37" s="13" t="n">
        <f aca="false">IF(AL$32=1,0,SUMIF($T$6:$T$22,32,$Y$6:$Y$22))</f>
        <v>0</v>
      </c>
      <c r="AM37" s="13" t="n">
        <f aca="false">IF(AM$32=1,0,SUMIF($T$6:$T$22,33,$Y$6:$Y$22))</f>
        <v>0</v>
      </c>
      <c r="AN37" s="13" t="n">
        <f aca="false">IF(AN$32=1,0,SUMIF($T$6:$T$22,34,$Y$6:$Y$22))</f>
        <v>0</v>
      </c>
      <c r="AO37" s="13" t="n">
        <f aca="false">IF(AO$32=1,0,SUMIF($T$6:$T$22,35,$Y$6:$Y$22))</f>
        <v>0</v>
      </c>
      <c r="AP37" s="13" t="n">
        <f aca="false">IF(AP$32=1,0,SUMIF($T$6:$T$22,36,$Y$6:$Y$22))</f>
        <v>0</v>
      </c>
      <c r="AQ37" s="13" t="n">
        <f aca="false">IF(AQ$32=1,0,SUMIF($T$6:$T$22,37,$Y$6:$Y$22))</f>
        <v>0</v>
      </c>
      <c r="AR37" s="13" t="n">
        <f aca="false">IF(AR$32=1,0,SUMIF($T$6:$T$22,38,$Y$6:$Y$22))</f>
        <v>0</v>
      </c>
      <c r="AS37" s="13" t="n">
        <f aca="false">IF(AS$32=1,0,SUMIF($T$6:$T$22,39,$Y$6:$Y$22))</f>
        <v>0</v>
      </c>
      <c r="AT37" s="13" t="n">
        <f aca="false">IF(AT$32=1,0,SUMIF($T$6:$T$22,40,$Y$6:$Y$22))</f>
        <v>0</v>
      </c>
      <c r="AU37" s="13" t="n">
        <f aca="false">IF(AU$32=1,0,SUMIF($T$6:$T$22,41,$Y$6:$Y$22))</f>
        <v>0</v>
      </c>
      <c r="AV37" s="13" t="n">
        <f aca="false">IF(AV$32=1,0,SUMIF($T$6:$T$22,42,$Y$6:$Y$22))</f>
        <v>0</v>
      </c>
      <c r="AW37" s="13" t="n">
        <f aca="false">IF(AW$32=1,0,SUMIF($T$6:$T$22,43,$Y$6:$Y$22))</f>
        <v>0</v>
      </c>
      <c r="AX37" s="13" t="n">
        <f aca="false">IF(AX$32=1,0,SUMIF($T$6:$T$22,44,$Y$6:$Y$22))</f>
        <v>0</v>
      </c>
      <c r="AY37" s="13" t="n">
        <f aca="false">IF(AY$32=1,0,SUMIF($T$6:$T$22,45,$Y$6:$Y$22))</f>
        <v>0</v>
      </c>
      <c r="AZ37" s="13" t="n">
        <f aca="false">IF(AZ$32=1,0,SUMIF($T$6:$T$22,46,$Y$6:$Y$22))</f>
        <v>0</v>
      </c>
      <c r="BA37" s="13" t="n">
        <f aca="false">IF(BA$32=1,0,SUMIF($T$6:$T$22,47,$Y$6:$Y$22))</f>
        <v>0</v>
      </c>
      <c r="BB37" s="13" t="n">
        <f aca="false">IF(BB$32=1,0,SUMIF($T$6:$T$22,48,$Y$6:$Y$22))</f>
        <v>0</v>
      </c>
      <c r="BC37" s="13" t="n">
        <f aca="false">IF(BC$32=1,0,SUMIF($T$6:$T$22,49,$Y$6:$Y$22))</f>
        <v>0</v>
      </c>
      <c r="BD37" s="13" t="n">
        <f aca="false">IF(BD$32=1,0,SUMIF($T$6:$T$22,50,$Y$6:$Y$22))</f>
        <v>0</v>
      </c>
      <c r="BE37" s="13" t="n">
        <f aca="false">IF(BE$32=1,0,SUMIF($T$6:$T$22,51,$Y$6:$Y$22))</f>
        <v>0</v>
      </c>
      <c r="BF37" s="13" t="n">
        <f aca="false">IF(BF$32=1,0,SUMIF($T$6:$T$22,52,$Y$6:$Y$22))</f>
        <v>0</v>
      </c>
      <c r="BG37" s="13" t="n">
        <f aca="false">IF(BG$32=1,0,SUMIF($T$6:$T$22,53,$Y$6:$Y$22))</f>
        <v>0</v>
      </c>
      <c r="BH37" s="13" t="n">
        <f aca="false">IF(BH$32=1,0,SUMIF($T$6:$T$22,54,$Y$6:$Y$22))</f>
        <v>0</v>
      </c>
      <c r="BI37" s="13" t="n">
        <f aca="false">IF(BI$32=1,0,SUMIF($T$6:$T$22,55,$Y$6:$Y$22))</f>
        <v>0</v>
      </c>
      <c r="BJ37" s="13" t="n">
        <f aca="false">IF(BJ$32=1,0,SUMIF($T$6:$T$22,56,$Y$6:$Y$22))</f>
        <v>0</v>
      </c>
      <c r="BK37" s="13" t="n">
        <f aca="false">IF(BK$32=1,0,SUMIF($T$6:$T$22,57,$Y$6:$Y$22))</f>
        <v>0</v>
      </c>
      <c r="BL37" s="13" t="n">
        <f aca="false">IF(BL$32=1,0,SUMIF($T$6:$T$22,58,$Y$6:$Y$22))</f>
        <v>0</v>
      </c>
      <c r="BM37" s="13" t="n">
        <f aca="false">IF(BM$32=1,0,SUMIF($T$6:$T$22,59,$Y$6:$Y$22))</f>
        <v>0</v>
      </c>
      <c r="BN37" s="13" t="n">
        <f aca="false">IF(BN$32=1,0,SUMIF($T$6:$T$22,60,$Y$6:$Y$22))</f>
        <v>0</v>
      </c>
      <c r="BO37" s="13" t="n">
        <f aca="false">IF(BO$32=1,0,SUMIF($T$6:$T$22,61,$Y$6:$Y$22))</f>
        <v>0</v>
      </c>
      <c r="BP37" s="13" t="n">
        <f aca="false">IF(BP$32=1,0,SUMIF($T$6:$T$22,62,$Y$6:$Y$22))</f>
        <v>0</v>
      </c>
      <c r="BQ37" s="13" t="n">
        <f aca="false">IF(BQ$32=1,0,SUMIF($T$6:$T$22,63,$Y$6:$Y$22))</f>
        <v>0</v>
      </c>
      <c r="BR37" s="13" t="n">
        <f aca="false">IF(BR$32=1,0,SUMIF($T$6:$T$22,64,$Y$6:$Y$22))</f>
        <v>0</v>
      </c>
      <c r="BS37" s="13" t="n">
        <f aca="false">IF(BS$32=1,0,SUMIF($T$6:$T$22,65,$Y$6:$Y$22))</f>
        <v>0</v>
      </c>
      <c r="BT37" s="13" t="n">
        <f aca="false">IF(BT$32=1,0,SUMIF($T$6:$T$22,66,$Y$6:$Y$22))</f>
        <v>0</v>
      </c>
      <c r="BU37" s="13" t="n">
        <f aca="false">IF(BU$32=1,0,SUMIF($T$6:$T$22,67,$Y$6:$Y$22))</f>
        <v>0</v>
      </c>
      <c r="BV37" s="13" t="n">
        <f aca="false">IF(BV$32=1,0,SUMIF($T$6:$T$22,68,$Y$6:$Y$22))</f>
        <v>0</v>
      </c>
      <c r="BW37" s="13" t="n">
        <f aca="false">IF(BW$32=1,0,SUMIF($T$6:$T$22,69,$Y$6:$Y$22))</f>
        <v>0</v>
      </c>
      <c r="BX37" s="13" t="n">
        <f aca="false">IF(BX$32=1,0,SUMIF($T$6:$T$22,70,$Y$6:$Y$22))</f>
        <v>0</v>
      </c>
      <c r="BY37" s="13" t="n">
        <f aca="false">IF(BY$32=1,0,SUMIF($T$6:$T$22,71,$Y$6:$Y$22))</f>
        <v>0</v>
      </c>
      <c r="BZ37" s="13" t="n">
        <f aca="false">IF(BZ$32=1,0,SUMIF($T$6:$T$22,72,$Y$6:$Y$22))</f>
        <v>0</v>
      </c>
      <c r="CA37" s="13" t="n">
        <f aca="false">IF(CA$32=1,0,SUMIF($T$6:$T$22,73,$Y$6:$Y$22))</f>
        <v>0</v>
      </c>
      <c r="CB37" s="13" t="n">
        <f aca="false">IF(CB$32=1,0,SUMIF($T$6:$T$22,74,$Y$6:$Y$22))</f>
        <v>0</v>
      </c>
      <c r="CC37" s="13" t="n">
        <f aca="false">IF(CC$32=1,0,SUMIF($T$6:$T$22,75,$Y$6:$Y$22))</f>
        <v>0</v>
      </c>
      <c r="CD37" s="13" t="n">
        <f aca="false">IF(CD$32=1,0,SUMIF($T$6:$T$22,76,$Y$6:$Y$22))</f>
        <v>0</v>
      </c>
      <c r="CE37" s="13" t="n">
        <f aca="false">IF(CE$32=1,0,SUMIF($T$6:$T$22,77,$Y$6:$Y$22))</f>
        <v>0</v>
      </c>
      <c r="CF37" s="13" t="n">
        <f aca="false">IF(CF$32=1,0,SUMIF($T$6:$T$22,78,$Y$6:$Y$22))</f>
        <v>0</v>
      </c>
      <c r="CG37" s="13" t="n">
        <f aca="false">IF(CG$32=1,0,SUMIF($T$6:$T$22,79,$Y$6:$Y$22))</f>
        <v>0</v>
      </c>
      <c r="CH37" s="13" t="n">
        <f aca="false">IF(CH$32=1,0,SUMIF($T$6:$T$22,80,$Y$6:$Y$22))</f>
        <v>0</v>
      </c>
      <c r="CI37" s="13" t="n">
        <f aca="false">IF(CI$32=1,0,SUMIF($T$6:$T$22,81,$Y$6:$Y$22))</f>
        <v>0</v>
      </c>
      <c r="CJ37" s="13" t="n">
        <f aca="false">IF(CJ$32=1,0,SUMIF($T$6:$T$22,82,$Y$6:$Y$22))</f>
        <v>0</v>
      </c>
      <c r="CK37" s="13" t="n">
        <f aca="false">IF(CK$32=1,0,SUMIF($T$6:$T$22,83,$Y$6:$Y$22))</f>
        <v>0</v>
      </c>
      <c r="CL37" s="13" t="n">
        <f aca="false">IF(CL$32=1,0,SUMIF($T$6:$T$22,84,$Y$6:$Y$22))</f>
        <v>0</v>
      </c>
      <c r="CM37" s="13" t="n">
        <f aca="false">IF(CM$32=1,0,SUMIF($T$6:$T$22,85,$Y$6:$Y$22))</f>
        <v>0</v>
      </c>
      <c r="CN37" s="13" t="n">
        <f aca="false">IF(CN$32=1,0,SUMIF($T$6:$T$22,86,$Y$6:$Y$22))</f>
        <v>0</v>
      </c>
      <c r="CO37" s="13" t="n">
        <f aca="false">IF(CO$32=1,0,SUMIF($T$6:$T$22,87,$Y$6:$Y$22))</f>
        <v>0</v>
      </c>
      <c r="CP37" s="13" t="n">
        <f aca="false">IF(CP$32=1,0,SUMIF($T$6:$T$22,88,$Y$6:$Y$22))</f>
        <v>0</v>
      </c>
      <c r="CQ37" s="13" t="n">
        <f aca="false">IF(CQ$32=1,0,SUMIF($T$6:$T$22,89,$Y$6:$Y$22))</f>
        <v>0</v>
      </c>
      <c r="CR37" s="13" t="n">
        <f aca="false">IF(CR$32=1,0,SUMIF($T$6:$T$22,90,$Y$6:$Y$22))</f>
        <v>0</v>
      </c>
      <c r="CS37" s="13" t="n">
        <f aca="false">IF(CS$32=1,0,SUMIF($T$6:$T$22,91,$Y$6:$Y$22))</f>
        <v>0</v>
      </c>
      <c r="CT37" s="13" t="n">
        <f aca="false">IF(CT$32=1,0,SUMIF($T$6:$T$22,92,$Y$6:$Y$22))</f>
        <v>0</v>
      </c>
      <c r="CU37" s="13" t="n">
        <f aca="false">IF(CU$32=1,0,SUMIF($T$6:$T$22,93,$Y$6:$Y$22))</f>
        <v>0</v>
      </c>
      <c r="CV37" s="13" t="n">
        <f aca="false">IF(CV$32=1,0,SUMIF($T$6:$T$22,94,$Y$6:$Y$22))</f>
        <v>0</v>
      </c>
      <c r="CW37" s="13" t="n">
        <f aca="false">IF(CW$32=1,0,SUMIF($T$6:$T$22,95,$Y$6:$Y$22))</f>
        <v>0</v>
      </c>
      <c r="CX37" s="13" t="n">
        <f aca="false">IF(CX$32=1,0,SUMIF($T$6:$T$22,96,$Y$6:$Y$22))</f>
        <v>0</v>
      </c>
      <c r="CY37" s="13" t="n">
        <f aca="false">IF(CY$32=1,0,SUMIF($T$6:$T$22,97,$Y$6:$Y$22))</f>
        <v>0</v>
      </c>
      <c r="CZ37" s="13" t="n">
        <f aca="false">IF(CZ$32=1,0,SUMIF($T$6:$T$22,98,$Y$6:$Y$22))</f>
        <v>0</v>
      </c>
      <c r="DA37" s="13" t="n">
        <f aca="false">IF(DA$32=1,0,SUMIF($T$6:$T$22,99,$Y$6:$Y$22))</f>
        <v>0</v>
      </c>
      <c r="DB37" s="13" t="n">
        <f aca="false">IF(DB$32=1,0,SUMIF($T$6:$T$22,100,$Y$6:$Y$22))</f>
        <v>0</v>
      </c>
      <c r="DC37" s="13" t="n">
        <f aca="false">IF(DC$32=1,0,SUMIF($T$6:$T$22,101,$Y$6:$Y$22))</f>
        <v>0</v>
      </c>
      <c r="DD37" s="13" t="n">
        <f aca="false">IF(DD$32=1,0,SUMIF($T$6:$T$22,102,$Y$6:$Y$22))</f>
        <v>0</v>
      </c>
      <c r="DE37" s="13" t="n">
        <f aca="false">IF(DE$32=1,0,SUMIF($T$6:$T$22,103,$Y$6:$Y$22))</f>
        <v>0</v>
      </c>
      <c r="DF37" s="13" t="n">
        <f aca="false">IF(DF$32=1,0,SUMIF($T$6:$T$22,104,$Y$6:$Y$22))</f>
        <v>0</v>
      </c>
      <c r="DG37" s="13" t="n">
        <f aca="false">IF(DG$32=1,0,SUMIF($T$6:$T$22,105,$Y$6:$Y$22))</f>
        <v>0</v>
      </c>
      <c r="DH37" s="13" t="n">
        <f aca="false">IF(DH$32=1,0,SUMIF($T$6:$T$22,106,$Y$6:$Y$22))</f>
        <v>0</v>
      </c>
      <c r="DI37" s="13" t="n">
        <f aca="false">IF(DI$32=1,0,SUMIF($T$6:$T$22,107,$Y$6:$Y$22))</f>
        <v>0</v>
      </c>
      <c r="DJ37" s="13" t="n">
        <f aca="false">IF(DJ$32=1,0,SUMIF($T$6:$T$22,108,$Y$6:$Y$22))</f>
        <v>0</v>
      </c>
      <c r="DK37" s="13" t="n">
        <f aca="false">IF(DK$32=1,0,SUMIF($T$6:$T$22,109,$Y$6:$Y$22))</f>
        <v>0</v>
      </c>
      <c r="DL37" s="13" t="n">
        <f aca="false">IF(DL$32=1,0,SUMIF($T$6:$T$22,110,$Y$6:$Y$22))</f>
        <v>0</v>
      </c>
      <c r="DM37" s="13" t="n">
        <f aca="false">IF(DM$32=1,0,SUMIF($T$6:$T$22,111,$Y$6:$Y$22))</f>
        <v>0</v>
      </c>
      <c r="DN37" s="13" t="n">
        <f aca="false">IF(DN$32=1,0,SUMIF($T$6:$T$22,112,$Y$6:$Y$22))</f>
        <v>0</v>
      </c>
      <c r="DO37" s="13" t="n">
        <f aca="false">IF(DO$32=1,0,SUMIF($T$6:$T$22,113,$Y$6:$Y$22))</f>
        <v>0</v>
      </c>
      <c r="DP37" s="13" t="n">
        <f aca="false">IF(DP$32=1,0,SUMIF($T$6:$T$22,114,$Y$6:$Y$22))</f>
        <v>0</v>
      </c>
      <c r="DQ37" s="13" t="n">
        <f aca="false">IF(DQ$32=1,0,SUMIF($T$6:$T$22,115,$Y$6:$Y$22))</f>
        <v>0</v>
      </c>
      <c r="DR37" s="13" t="n">
        <f aca="false">IF(DR$32=1,0,SUMIF($T$6:$T$22,116,$Y$6:$Y$22))</f>
        <v>0</v>
      </c>
      <c r="DS37" s="13" t="n">
        <f aca="false">IF(DS$32=1,0,SUMIF($T$6:$T$22,117,$Y$6:$Y$22))</f>
        <v>0</v>
      </c>
      <c r="DT37" s="13" t="n">
        <f aca="false">IF(DT$32=1,0,SUMIF($T$6:$T$22,118,$Y$6:$Y$22))</f>
        <v>0</v>
      </c>
      <c r="DU37" s="13" t="n">
        <f aca="false">IF(DU$32=1,0,SUMIF($T$6:$T$22,119,$Y$6:$Y$22))</f>
        <v>0</v>
      </c>
      <c r="DV37" s="13" t="n">
        <f aca="false">IF(DV$32=1,0,SUMIF($T$6:$T$22,120,$Y$6:$Y$22))</f>
        <v>0</v>
      </c>
      <c r="DW37" s="13" t="n">
        <f aca="false">IF(DW$32=1,0,SUMIF($T$6:$T$22,121,$Y$6:$Y$22))</f>
        <v>0</v>
      </c>
      <c r="DX37" s="13" t="n">
        <f aca="false">IF(DX$32=1,0,SUMIF($T$6:$T$22,122,$Y$6:$Y$22))</f>
        <v>0</v>
      </c>
      <c r="DY37" s="13" t="n">
        <f aca="false">IF(DY$32=1,0,SUMIF($T$6:$T$22,123,$Y$6:$Y$22))</f>
        <v>0</v>
      </c>
      <c r="DZ37" s="13" t="n">
        <f aca="false">IF(DZ$32=1,0,SUMIF($T$6:$T$22,124,$Y$6:$Y$22))</f>
        <v>0</v>
      </c>
      <c r="EA37" s="13" t="n">
        <f aca="false">IF(EA$32=1,0,SUMIF($T$6:$T$22,125,$Y$6:$Y$22))</f>
        <v>0</v>
      </c>
      <c r="EB37" s="13" t="n">
        <f aca="false">IF(EB$32=1,0,SUMIF($T$6:$T$22,126,$Y$6:$Y$22))</f>
        <v>0</v>
      </c>
      <c r="EC37" s="13" t="n">
        <f aca="false">IF(EC$32=1,0,SUMIF($T$6:$T$22,127,$Y$6:$Y$22))</f>
        <v>0</v>
      </c>
      <c r="ED37" s="13" t="n">
        <f aca="false">IF(ED$32=1,0,SUMIF($T$6:$T$22,128,$Y$6:$Y$22))</f>
        <v>0</v>
      </c>
      <c r="EE37" s="13" t="n">
        <f aca="false">IF(EE$32=1,0,SUMIF($T$6:$T$22,129,$Y$6:$Y$22))</f>
        <v>0</v>
      </c>
      <c r="EF37" s="13" t="n">
        <f aca="false">IF(EF$32=1,0,SUMIF($T$6:$T$22,130,$Y$6:$Y$22))</f>
        <v>0</v>
      </c>
      <c r="EG37" s="13" t="n">
        <f aca="false">IF(EG$32=1,0,SUMIF($T$6:$T$22,131,$Y$6:$Y$22))</f>
        <v>0</v>
      </c>
      <c r="EH37" s="13" t="n">
        <f aca="false">IF(EH$32=1,0,SUMIF($T$6:$T$22,132,$Y$6:$Y$22))</f>
        <v>0</v>
      </c>
      <c r="EI37" s="13" t="n">
        <f aca="false">IF(EI$32=1,0,SUMIF($T$6:$T$22,133,$Y$6:$Y$22))</f>
        <v>0</v>
      </c>
      <c r="EJ37" s="13" t="n">
        <f aca="false">IF(EJ$32=1,0,SUMIF($T$6:$T$22,134,$Y$6:$Y$22))</f>
        <v>0</v>
      </c>
      <c r="EK37" s="13" t="n">
        <f aca="false">IF(EK$32=1,0,SUMIF($T$6:$T$22,135,$Y$6:$Y$22))</f>
        <v>0</v>
      </c>
      <c r="EL37" s="13" t="n">
        <f aca="false">IF(EL$32=1,0,SUMIF($T$6:$T$22,136,$Y$6:$Y$22))</f>
        <v>0</v>
      </c>
      <c r="EM37" s="13" t="n">
        <f aca="false">IF(EM$32=1,0,SUMIF($T$6:$T$22,137,$Y$6:$Y$22))</f>
        <v>0</v>
      </c>
      <c r="EN37" s="13" t="n">
        <f aca="false">IF(EN$32=1,0,SUMIF($T$6:$T$22,138,$Y$6:$Y$22))</f>
        <v>0</v>
      </c>
      <c r="EO37" s="13" t="n">
        <f aca="false">IF(EO$32=1,0,SUMIF($T$6:$T$22,139,$Y$6:$Y$22))</f>
        <v>0</v>
      </c>
      <c r="EP37" s="13" t="n">
        <f aca="false">IF(EP$32=1,0,SUMIF($T$6:$T$22,140,$Y$6:$Y$22))</f>
        <v>0</v>
      </c>
      <c r="EQ37" s="13" t="n">
        <f aca="false">IF(EQ$32=1,0,SUMIF($T$6:$T$22,141,$Y$6:$Y$22))</f>
        <v>0</v>
      </c>
      <c r="ER37" s="13" t="n">
        <f aca="false">IF(ER$32=1,0,SUMIF($T$6:$T$22,142,$Y$6:$Y$22))</f>
        <v>0</v>
      </c>
      <c r="ES37" s="13" t="n">
        <f aca="false">IF(ES$32=1,0,SUMIF($T$6:$T$22,143,$Y$6:$Y$22))</f>
        <v>0</v>
      </c>
      <c r="ET37" s="13" t="n">
        <f aca="false">IF(ET$32=1,0,SUMIF($T$6:$T$22,144,$Y$6:$Y$22))</f>
        <v>0</v>
      </c>
      <c r="EU37" s="13" t="n">
        <f aca="false">IF(EU$32=1,0,SUMIF($T$6:$T$22,145,$Y$6:$Y$22))</f>
        <v>0</v>
      </c>
      <c r="EV37" s="13" t="n">
        <f aca="false">IF(EV$32=1,0,SUMIF($T$6:$T$22,146,$Y$6:$Y$22))</f>
        <v>0</v>
      </c>
      <c r="EW37" s="13" t="n">
        <f aca="false">IF(EW$32=1,0,SUMIF($T$6:$T$22,147,$Y$6:$Y$22))</f>
        <v>0</v>
      </c>
      <c r="EX37" s="13" t="n">
        <f aca="false">IF(EX$32=1,0,SUMIF($T$6:$T$22,148,$Y$6:$Y$22))</f>
        <v>0</v>
      </c>
      <c r="EY37" s="13" t="n">
        <f aca="false">IF(EY$32=1,0,SUMIF($T$6:$T$22,149,$Y$6:$Y$22))</f>
        <v>0</v>
      </c>
      <c r="EZ37" s="13" t="n">
        <f aca="false">IF(EZ$32=1,0,SUMIF($T$6:$T$22,150,$Y$6:$Y$22))</f>
        <v>0</v>
      </c>
      <c r="FA37" s="13" t="n">
        <f aca="false">IF(FA$32=1,0,SUMIF($T$6:$T$22,151,$Y$6:$Y$22))</f>
        <v>0</v>
      </c>
      <c r="FB37" s="13" t="n">
        <f aca="false">IF(FB$32=1,0,SUMIF($T$6:$T$22,152,$Y$6:$Y$22))</f>
        <v>0</v>
      </c>
      <c r="FC37" s="13" t="n">
        <f aca="false">IF(FC$32=1,0,SUMIF($T$6:$T$22,153,$Y$6:$Y$22))</f>
        <v>0</v>
      </c>
      <c r="FD37" s="13" t="n">
        <f aca="false">IF(FD$32=1,0,SUMIF($T$6:$T$22,154,$Y$6:$Y$22))</f>
        <v>0</v>
      </c>
      <c r="FE37" s="13" t="n">
        <f aca="false">IF(FE$32=1,0,SUMIF($T$6:$T$22,155,$Y$6:$Y$22))</f>
        <v>0</v>
      </c>
      <c r="FF37" s="13" t="n">
        <f aca="false">IF(FF$32=1,0,SUMIF($T$6:$T$22,156,$Y$6:$Y$22))</f>
        <v>0</v>
      </c>
    </row>
    <row r="38" customFormat="false" ht="15" hidden="false" customHeight="false" outlineLevel="0" collapsed="false">
      <c r="A38" s="2" t="s">
        <v>1225</v>
      </c>
      <c r="B38" s="66" t="s">
        <v>1226</v>
      </c>
      <c r="C38" s="8" t="s">
        <v>255</v>
      </c>
      <c r="E38" s="67" t="n">
        <f aca="false">SUM($F38:$FF38)</f>
        <v>755044.1</v>
      </c>
      <c r="F38" s="12" t="n">
        <f aca="false">F$34+F$36</f>
        <v>655044.1</v>
      </c>
      <c r="G38" s="12" t="n">
        <f aca="false">G$34+G$36</f>
        <v>0</v>
      </c>
      <c r="H38" s="12" t="n">
        <f aca="false">H$34+H$36</f>
        <v>0</v>
      </c>
      <c r="I38" s="12" t="n">
        <f aca="false">I$34+I$36</f>
        <v>0</v>
      </c>
      <c r="J38" s="12" t="n">
        <f aca="false">J$34+J$36</f>
        <v>0</v>
      </c>
      <c r="K38" s="12" t="n">
        <f aca="false">K$34+K$36</f>
        <v>0</v>
      </c>
      <c r="L38" s="12" t="n">
        <f aca="false">L$34+L$36</f>
        <v>0</v>
      </c>
      <c r="M38" s="12" t="n">
        <f aca="false">M$34+M$36</f>
        <v>0</v>
      </c>
      <c r="N38" s="12" t="n">
        <f aca="false">N$34+N$36</f>
        <v>0</v>
      </c>
      <c r="O38" s="12" t="n">
        <f aca="false">O$34+O$36</f>
        <v>0</v>
      </c>
      <c r="P38" s="12" t="n">
        <f aca="false">P$34+P$36</f>
        <v>0</v>
      </c>
      <c r="Q38" s="12" t="n">
        <f aca="false">Q$34+Q$36</f>
        <v>0</v>
      </c>
      <c r="R38" s="12" t="n">
        <f aca="false">R$34+R$36</f>
        <v>0</v>
      </c>
      <c r="S38" s="12" t="n">
        <f aca="false">S$34+S$36</f>
        <v>100000</v>
      </c>
      <c r="T38" s="12" t="n">
        <f aca="false">T$34+T$36</f>
        <v>0</v>
      </c>
      <c r="U38" s="12" t="n">
        <f aca="false">U$34+U$36</f>
        <v>0</v>
      </c>
      <c r="V38" s="12" t="n">
        <f aca="false">V$34+V$36</f>
        <v>0</v>
      </c>
      <c r="W38" s="12" t="n">
        <f aca="false">W$34+W$36</f>
        <v>0</v>
      </c>
      <c r="X38" s="12" t="n">
        <f aca="false">X$34+X$36</f>
        <v>0</v>
      </c>
      <c r="Y38" s="12" t="n">
        <f aca="false">Y$34+Y$36</f>
        <v>0</v>
      </c>
      <c r="Z38" s="12" t="n">
        <f aca="false">Z$34+Z$36</f>
        <v>0</v>
      </c>
      <c r="AA38" s="12" t="n">
        <f aca="false">AA$34+AA$36</f>
        <v>0</v>
      </c>
      <c r="AB38" s="12" t="n">
        <f aca="false">AB$34+AB$36</f>
        <v>0</v>
      </c>
      <c r="AC38" s="12" t="n">
        <f aca="false">AC$34+AC$36</f>
        <v>0</v>
      </c>
      <c r="AD38" s="12" t="n">
        <f aca="false">AD$34+AD$36</f>
        <v>0</v>
      </c>
      <c r="AE38" s="12" t="n">
        <f aca="false">AE$34+AE$36</f>
        <v>0</v>
      </c>
      <c r="AF38" s="12" t="n">
        <f aca="false">AF$34+AF$36</f>
        <v>0</v>
      </c>
      <c r="AG38" s="12" t="n">
        <f aca="false">AG$34+AG$36</f>
        <v>0</v>
      </c>
      <c r="AH38" s="12" t="n">
        <f aca="false">AH$34+AH$36</f>
        <v>0</v>
      </c>
      <c r="AI38" s="12" t="n">
        <f aca="false">AI$34+AI$36</f>
        <v>0</v>
      </c>
      <c r="AJ38" s="12" t="n">
        <f aca="false">AJ$34+AJ$36</f>
        <v>0</v>
      </c>
      <c r="AK38" s="12" t="n">
        <f aca="false">AK$34+AK$36</f>
        <v>0</v>
      </c>
      <c r="AL38" s="12" t="n">
        <f aca="false">AL$34+AL$36</f>
        <v>0</v>
      </c>
      <c r="AM38" s="12" t="n">
        <f aca="false">AM$34+AM$36</f>
        <v>0</v>
      </c>
      <c r="AN38" s="12" t="n">
        <f aca="false">AN$34+AN$36</f>
        <v>0</v>
      </c>
      <c r="AO38" s="12" t="n">
        <f aca="false">AO$34+AO$36</f>
        <v>0</v>
      </c>
      <c r="AP38" s="12" t="n">
        <f aca="false">AP$34+AP$36</f>
        <v>0</v>
      </c>
      <c r="AQ38" s="12" t="n">
        <f aca="false">AQ$34+AQ$36</f>
        <v>0</v>
      </c>
      <c r="AR38" s="12" t="n">
        <f aca="false">AR$34+AR$36</f>
        <v>0</v>
      </c>
      <c r="AS38" s="12" t="n">
        <f aca="false">AS$34+AS$36</f>
        <v>0</v>
      </c>
      <c r="AT38" s="12" t="n">
        <f aca="false">AT$34+AT$36</f>
        <v>0</v>
      </c>
      <c r="AU38" s="12" t="n">
        <f aca="false">AU$34+AU$36</f>
        <v>0</v>
      </c>
      <c r="AV38" s="12" t="n">
        <f aca="false">AV$34+AV$36</f>
        <v>0</v>
      </c>
      <c r="AW38" s="12" t="n">
        <f aca="false">AW$34+AW$36</f>
        <v>0</v>
      </c>
      <c r="AX38" s="12" t="n">
        <f aca="false">AX$34+AX$36</f>
        <v>0</v>
      </c>
      <c r="AY38" s="12" t="n">
        <f aca="false">AY$34+AY$36</f>
        <v>0</v>
      </c>
      <c r="AZ38" s="12" t="n">
        <f aca="false">AZ$34+AZ$36</f>
        <v>0</v>
      </c>
      <c r="BA38" s="12" t="n">
        <f aca="false">BA$34+BA$36</f>
        <v>0</v>
      </c>
      <c r="BB38" s="12" t="n">
        <f aca="false">BB$34+BB$36</f>
        <v>0</v>
      </c>
      <c r="BC38" s="12" t="n">
        <f aca="false">BC$34+BC$36</f>
        <v>0</v>
      </c>
      <c r="BD38" s="12" t="n">
        <f aca="false">BD$34+BD$36</f>
        <v>0</v>
      </c>
      <c r="BE38" s="12" t="n">
        <f aca="false">BE$34+BE$36</f>
        <v>0</v>
      </c>
      <c r="BF38" s="12" t="n">
        <f aca="false">BF$34+BF$36</f>
        <v>0</v>
      </c>
      <c r="BG38" s="12" t="n">
        <f aca="false">BG$34+BG$36</f>
        <v>0</v>
      </c>
      <c r="BH38" s="12" t="n">
        <f aca="false">BH$34+BH$36</f>
        <v>0</v>
      </c>
      <c r="BI38" s="12" t="n">
        <f aca="false">BI$34+BI$36</f>
        <v>0</v>
      </c>
      <c r="BJ38" s="12" t="n">
        <f aca="false">BJ$34+BJ$36</f>
        <v>0</v>
      </c>
      <c r="BK38" s="12" t="n">
        <f aca="false">BK$34+BK$36</f>
        <v>0</v>
      </c>
      <c r="BL38" s="12" t="n">
        <f aca="false">BL$34+BL$36</f>
        <v>0</v>
      </c>
      <c r="BM38" s="12" t="n">
        <f aca="false">BM$34+BM$36</f>
        <v>0</v>
      </c>
      <c r="BN38" s="12" t="n">
        <f aca="false">BN$34+BN$36</f>
        <v>0</v>
      </c>
      <c r="BO38" s="12" t="n">
        <f aca="false">BO$34+BO$36</f>
        <v>0</v>
      </c>
      <c r="BP38" s="12" t="n">
        <f aca="false">BP$34+BP$36</f>
        <v>0</v>
      </c>
      <c r="BQ38" s="12" t="n">
        <f aca="false">BQ$34+BQ$36</f>
        <v>0</v>
      </c>
      <c r="BR38" s="12" t="n">
        <f aca="false">BR$34+BR$36</f>
        <v>0</v>
      </c>
      <c r="BS38" s="12" t="n">
        <f aca="false">BS$34+BS$36</f>
        <v>0</v>
      </c>
      <c r="BT38" s="12" t="n">
        <f aca="false">BT$34+BT$36</f>
        <v>0</v>
      </c>
      <c r="BU38" s="12" t="n">
        <f aca="false">BU$34+BU$36</f>
        <v>0</v>
      </c>
      <c r="BV38" s="12" t="n">
        <f aca="false">BV$34+BV$36</f>
        <v>0</v>
      </c>
      <c r="BW38" s="12" t="n">
        <f aca="false">BW$34+BW$36</f>
        <v>0</v>
      </c>
      <c r="BX38" s="12" t="n">
        <f aca="false">BX$34+BX$36</f>
        <v>0</v>
      </c>
      <c r="BY38" s="12" t="n">
        <f aca="false">BY$34+BY$36</f>
        <v>0</v>
      </c>
      <c r="BZ38" s="12" t="n">
        <f aca="false">BZ$34+BZ$36</f>
        <v>0</v>
      </c>
      <c r="CA38" s="12" t="n">
        <f aca="false">CA$34+CA$36</f>
        <v>0</v>
      </c>
      <c r="CB38" s="12" t="n">
        <f aca="false">CB$34+CB$36</f>
        <v>0</v>
      </c>
      <c r="CC38" s="12" t="n">
        <f aca="false">CC$34+CC$36</f>
        <v>0</v>
      </c>
      <c r="CD38" s="12" t="n">
        <f aca="false">CD$34+CD$36</f>
        <v>0</v>
      </c>
      <c r="CE38" s="12" t="n">
        <f aca="false">CE$34+CE$36</f>
        <v>0</v>
      </c>
      <c r="CF38" s="12" t="n">
        <f aca="false">CF$34+CF$36</f>
        <v>0</v>
      </c>
      <c r="CG38" s="12" t="n">
        <f aca="false">CG$34+CG$36</f>
        <v>0</v>
      </c>
      <c r="CH38" s="12" t="n">
        <f aca="false">CH$34+CH$36</f>
        <v>0</v>
      </c>
      <c r="CI38" s="12" t="n">
        <f aca="false">CI$34+CI$36</f>
        <v>0</v>
      </c>
      <c r="CJ38" s="12" t="n">
        <f aca="false">CJ$34+CJ$36</f>
        <v>0</v>
      </c>
      <c r="CK38" s="12" t="n">
        <f aca="false">CK$34+CK$36</f>
        <v>0</v>
      </c>
      <c r="CL38" s="12" t="n">
        <f aca="false">CL$34+CL$36</f>
        <v>0</v>
      </c>
      <c r="CM38" s="12" t="n">
        <f aca="false">CM$34+CM$36</f>
        <v>0</v>
      </c>
      <c r="CN38" s="12" t="n">
        <f aca="false">CN$34+CN$36</f>
        <v>0</v>
      </c>
      <c r="CO38" s="12" t="n">
        <f aca="false">CO$34+CO$36</f>
        <v>0</v>
      </c>
      <c r="CP38" s="12" t="n">
        <f aca="false">CP$34+CP$36</f>
        <v>0</v>
      </c>
      <c r="CQ38" s="12" t="n">
        <f aca="false">CQ$34+CQ$36</f>
        <v>0</v>
      </c>
      <c r="CR38" s="12" t="n">
        <f aca="false">CR$34+CR$36</f>
        <v>0</v>
      </c>
      <c r="CS38" s="12" t="n">
        <f aca="false">CS$34+CS$36</f>
        <v>0</v>
      </c>
      <c r="CT38" s="12" t="n">
        <f aca="false">CT$34+CT$36</f>
        <v>0</v>
      </c>
      <c r="CU38" s="12" t="n">
        <f aca="false">CU$34+CU$36</f>
        <v>0</v>
      </c>
      <c r="CV38" s="12" t="n">
        <f aca="false">CV$34+CV$36</f>
        <v>0</v>
      </c>
      <c r="CW38" s="12" t="n">
        <f aca="false">CW$34+CW$36</f>
        <v>0</v>
      </c>
      <c r="CX38" s="12" t="n">
        <f aca="false">CX$34+CX$36</f>
        <v>0</v>
      </c>
      <c r="CY38" s="12" t="n">
        <f aca="false">CY$34+CY$36</f>
        <v>0</v>
      </c>
      <c r="CZ38" s="12" t="n">
        <f aca="false">CZ$34+CZ$36</f>
        <v>0</v>
      </c>
      <c r="DA38" s="12" t="n">
        <f aca="false">DA$34+DA$36</f>
        <v>0</v>
      </c>
      <c r="DB38" s="12" t="n">
        <f aca="false">DB$34+DB$36</f>
        <v>0</v>
      </c>
      <c r="DC38" s="12" t="n">
        <f aca="false">DC$34+DC$36</f>
        <v>0</v>
      </c>
      <c r="DD38" s="12" t="n">
        <f aca="false">DD$34+DD$36</f>
        <v>0</v>
      </c>
      <c r="DE38" s="12" t="n">
        <f aca="false">DE$34+DE$36</f>
        <v>0</v>
      </c>
      <c r="DF38" s="12" t="n">
        <f aca="false">DF$34+DF$36</f>
        <v>0</v>
      </c>
      <c r="DG38" s="12" t="n">
        <f aca="false">DG$34+DG$36</f>
        <v>0</v>
      </c>
      <c r="DH38" s="12" t="n">
        <f aca="false">DH$34+DH$36</f>
        <v>0</v>
      </c>
      <c r="DI38" s="12" t="n">
        <f aca="false">DI$34+DI$36</f>
        <v>0</v>
      </c>
      <c r="DJ38" s="12" t="n">
        <f aca="false">DJ$34+DJ$36</f>
        <v>0</v>
      </c>
      <c r="DK38" s="12" t="n">
        <f aca="false">DK$34+DK$36</f>
        <v>0</v>
      </c>
      <c r="DL38" s="12" t="n">
        <f aca="false">DL$34+DL$36</f>
        <v>0</v>
      </c>
      <c r="DM38" s="12" t="n">
        <f aca="false">DM$34+DM$36</f>
        <v>0</v>
      </c>
      <c r="DN38" s="12" t="n">
        <f aca="false">DN$34+DN$36</f>
        <v>0</v>
      </c>
      <c r="DO38" s="12" t="n">
        <f aca="false">DO$34+DO$36</f>
        <v>0</v>
      </c>
      <c r="DP38" s="12" t="n">
        <f aca="false">DP$34+DP$36</f>
        <v>0</v>
      </c>
      <c r="DQ38" s="12" t="n">
        <f aca="false">DQ$34+DQ$36</f>
        <v>0</v>
      </c>
      <c r="DR38" s="12" t="n">
        <f aca="false">DR$34+DR$36</f>
        <v>0</v>
      </c>
      <c r="DS38" s="12" t="n">
        <f aca="false">DS$34+DS$36</f>
        <v>0</v>
      </c>
      <c r="DT38" s="12" t="n">
        <f aca="false">DT$34+DT$36</f>
        <v>0</v>
      </c>
      <c r="DU38" s="12" t="n">
        <f aca="false">DU$34+DU$36</f>
        <v>0</v>
      </c>
      <c r="DV38" s="12" t="n">
        <f aca="false">DV$34+DV$36</f>
        <v>0</v>
      </c>
      <c r="DW38" s="12" t="n">
        <f aca="false">DW$34+DW$36</f>
        <v>0</v>
      </c>
      <c r="DX38" s="12" t="n">
        <f aca="false">DX$34+DX$36</f>
        <v>0</v>
      </c>
      <c r="DY38" s="12" t="n">
        <f aca="false">DY$34+DY$36</f>
        <v>0</v>
      </c>
      <c r="DZ38" s="12" t="n">
        <f aca="false">DZ$34+DZ$36</f>
        <v>0</v>
      </c>
      <c r="EA38" s="12" t="n">
        <f aca="false">EA$34+EA$36</f>
        <v>0</v>
      </c>
      <c r="EB38" s="12" t="n">
        <f aca="false">EB$34+EB$36</f>
        <v>0</v>
      </c>
      <c r="EC38" s="12" t="n">
        <f aca="false">EC$34+EC$36</f>
        <v>0</v>
      </c>
      <c r="ED38" s="12" t="n">
        <f aca="false">ED$34+ED$36</f>
        <v>0</v>
      </c>
      <c r="EE38" s="12" t="n">
        <f aca="false">EE$34+EE$36</f>
        <v>0</v>
      </c>
      <c r="EF38" s="12" t="n">
        <f aca="false">EF$34+EF$36</f>
        <v>0</v>
      </c>
      <c r="EG38" s="12" t="n">
        <f aca="false">EG$34+EG$36</f>
        <v>0</v>
      </c>
      <c r="EH38" s="12" t="n">
        <f aca="false">EH$34+EH$36</f>
        <v>0</v>
      </c>
      <c r="EI38" s="12" t="n">
        <f aca="false">EI$34+EI$36</f>
        <v>0</v>
      </c>
      <c r="EJ38" s="12" t="n">
        <f aca="false">EJ$34+EJ$36</f>
        <v>0</v>
      </c>
      <c r="EK38" s="12" t="n">
        <f aca="false">EK$34+EK$36</f>
        <v>0</v>
      </c>
      <c r="EL38" s="12" t="n">
        <f aca="false">EL$34+EL$36</f>
        <v>0</v>
      </c>
      <c r="EM38" s="12" t="n">
        <f aca="false">EM$34+EM$36</f>
        <v>0</v>
      </c>
      <c r="EN38" s="12" t="n">
        <f aca="false">EN$34+EN$36</f>
        <v>0</v>
      </c>
      <c r="EO38" s="12" t="n">
        <f aca="false">EO$34+EO$36</f>
        <v>0</v>
      </c>
      <c r="EP38" s="12" t="n">
        <f aca="false">EP$34+EP$36</f>
        <v>0</v>
      </c>
      <c r="EQ38" s="12" t="n">
        <f aca="false">EQ$34+EQ$36</f>
        <v>0</v>
      </c>
      <c r="ER38" s="12" t="n">
        <f aca="false">ER$34+ER$36</f>
        <v>0</v>
      </c>
      <c r="ES38" s="12" t="n">
        <f aca="false">ES$34+ES$36</f>
        <v>0</v>
      </c>
      <c r="ET38" s="12" t="n">
        <f aca="false">ET$34+ET$36</f>
        <v>0</v>
      </c>
      <c r="EU38" s="12" t="n">
        <f aca="false">EU$34+EU$36</f>
        <v>0</v>
      </c>
      <c r="EV38" s="12" t="n">
        <f aca="false">EV$34+EV$36</f>
        <v>0</v>
      </c>
      <c r="EW38" s="12" t="n">
        <f aca="false">EW$34+EW$36</f>
        <v>0</v>
      </c>
      <c r="EX38" s="12" t="n">
        <f aca="false">EX$34+EX$36</f>
        <v>0</v>
      </c>
      <c r="EY38" s="12" t="n">
        <f aca="false">EY$34+EY$36</f>
        <v>0</v>
      </c>
      <c r="EZ38" s="12" t="n">
        <f aca="false">EZ$34+EZ$36</f>
        <v>0</v>
      </c>
      <c r="FA38" s="12" t="n">
        <f aca="false">FA$34+FA$36</f>
        <v>0</v>
      </c>
      <c r="FB38" s="12" t="n">
        <f aca="false">FB$34+FB$36</f>
        <v>0</v>
      </c>
      <c r="FC38" s="12" t="n">
        <f aca="false">FC$34+FC$36</f>
        <v>0</v>
      </c>
      <c r="FD38" s="12" t="n">
        <f aca="false">FD$34+FD$36</f>
        <v>0</v>
      </c>
      <c r="FE38" s="12" t="n">
        <f aca="false">FE$34+FE$36</f>
        <v>0</v>
      </c>
      <c r="FF38" s="12" t="n">
        <f aca="false">FF$34+FF$36</f>
        <v>0</v>
      </c>
    </row>
    <row r="39" customFormat="false" ht="15" hidden="false" customHeight="false" outlineLevel="0" collapsed="false">
      <c r="A39" s="2" t="s">
        <v>1227</v>
      </c>
      <c r="B39" s="66" t="s">
        <v>1228</v>
      </c>
      <c r="C39" s="8" t="s">
        <v>255</v>
      </c>
      <c r="E39" s="67" t="n">
        <f aca="false">SUM($F39:$FF39)</f>
        <v>755044.1</v>
      </c>
      <c r="F39" s="12" t="n">
        <f aca="false">F$35+F$37</f>
        <v>655044.1</v>
      </c>
      <c r="G39" s="12" t="n">
        <f aca="false">G$35+G$37</f>
        <v>0</v>
      </c>
      <c r="H39" s="12" t="n">
        <f aca="false">H$35+H$37</f>
        <v>0</v>
      </c>
      <c r="I39" s="12" t="n">
        <f aca="false">I$35+I$37</f>
        <v>0</v>
      </c>
      <c r="J39" s="12" t="n">
        <f aca="false">J$35+J$37</f>
        <v>0</v>
      </c>
      <c r="K39" s="12" t="n">
        <f aca="false">K$35+K$37</f>
        <v>0</v>
      </c>
      <c r="L39" s="12" t="n">
        <f aca="false">L$35+L$37</f>
        <v>0</v>
      </c>
      <c r="M39" s="12" t="n">
        <f aca="false">M$35+M$37</f>
        <v>0</v>
      </c>
      <c r="N39" s="12" t="n">
        <f aca="false">N$35+N$37</f>
        <v>0</v>
      </c>
      <c r="O39" s="12" t="n">
        <f aca="false">O$35+O$37</f>
        <v>0</v>
      </c>
      <c r="P39" s="12" t="n">
        <f aca="false">P$35+P$37</f>
        <v>0</v>
      </c>
      <c r="Q39" s="12" t="n">
        <f aca="false">Q$35+Q$37</f>
        <v>0</v>
      </c>
      <c r="R39" s="12" t="n">
        <f aca="false">R$35+R$37</f>
        <v>0</v>
      </c>
      <c r="S39" s="12" t="n">
        <f aca="false">S$35+S$37</f>
        <v>100000</v>
      </c>
      <c r="T39" s="12" t="n">
        <f aca="false">T$35+T$37</f>
        <v>0</v>
      </c>
      <c r="U39" s="12" t="n">
        <f aca="false">U$35+U$37</f>
        <v>0</v>
      </c>
      <c r="V39" s="12" t="n">
        <f aca="false">V$35+V$37</f>
        <v>0</v>
      </c>
      <c r="W39" s="12" t="n">
        <f aca="false">W$35+W$37</f>
        <v>0</v>
      </c>
      <c r="X39" s="12" t="n">
        <f aca="false">X$35+X$37</f>
        <v>0</v>
      </c>
      <c r="Y39" s="12" t="n">
        <f aca="false">Y$35+Y$37</f>
        <v>0</v>
      </c>
      <c r="Z39" s="12" t="n">
        <f aca="false">Z$35+Z$37</f>
        <v>0</v>
      </c>
      <c r="AA39" s="12" t="n">
        <f aca="false">AA$35+AA$37</f>
        <v>0</v>
      </c>
      <c r="AB39" s="12" t="n">
        <f aca="false">AB$35+AB$37</f>
        <v>0</v>
      </c>
      <c r="AC39" s="12" t="n">
        <f aca="false">AC$35+AC$37</f>
        <v>0</v>
      </c>
      <c r="AD39" s="12" t="n">
        <f aca="false">AD$35+AD$37</f>
        <v>0</v>
      </c>
      <c r="AE39" s="12" t="n">
        <f aca="false">AE$35+AE$37</f>
        <v>0</v>
      </c>
      <c r="AF39" s="12" t="n">
        <f aca="false">AF$35+AF$37</f>
        <v>0</v>
      </c>
      <c r="AG39" s="12" t="n">
        <f aca="false">AG$35+AG$37</f>
        <v>0</v>
      </c>
      <c r="AH39" s="12" t="n">
        <f aca="false">AH$35+AH$37</f>
        <v>0</v>
      </c>
      <c r="AI39" s="12" t="n">
        <f aca="false">AI$35+AI$37</f>
        <v>0</v>
      </c>
      <c r="AJ39" s="12" t="n">
        <f aca="false">AJ$35+AJ$37</f>
        <v>0</v>
      </c>
      <c r="AK39" s="12" t="n">
        <f aca="false">AK$35+AK$37</f>
        <v>0</v>
      </c>
      <c r="AL39" s="12" t="n">
        <f aca="false">AL$35+AL$37</f>
        <v>0</v>
      </c>
      <c r="AM39" s="12" t="n">
        <f aca="false">AM$35+AM$37</f>
        <v>0</v>
      </c>
      <c r="AN39" s="12" t="n">
        <f aca="false">AN$35+AN$37</f>
        <v>0</v>
      </c>
      <c r="AO39" s="12" t="n">
        <f aca="false">AO$35+AO$37</f>
        <v>0</v>
      </c>
      <c r="AP39" s="12" t="n">
        <f aca="false">AP$35+AP$37</f>
        <v>0</v>
      </c>
      <c r="AQ39" s="12" t="n">
        <f aca="false">AQ$35+AQ$37</f>
        <v>0</v>
      </c>
      <c r="AR39" s="12" t="n">
        <f aca="false">AR$35+AR$37</f>
        <v>0</v>
      </c>
      <c r="AS39" s="12" t="n">
        <f aca="false">AS$35+AS$37</f>
        <v>0</v>
      </c>
      <c r="AT39" s="12" t="n">
        <f aca="false">AT$35+AT$37</f>
        <v>0</v>
      </c>
      <c r="AU39" s="12" t="n">
        <f aca="false">AU$35+AU$37</f>
        <v>0</v>
      </c>
      <c r="AV39" s="12" t="n">
        <f aca="false">AV$35+AV$37</f>
        <v>0</v>
      </c>
      <c r="AW39" s="12" t="n">
        <f aca="false">AW$35+AW$37</f>
        <v>0</v>
      </c>
      <c r="AX39" s="12" t="n">
        <f aca="false">AX$35+AX$37</f>
        <v>0</v>
      </c>
      <c r="AY39" s="12" t="n">
        <f aca="false">AY$35+AY$37</f>
        <v>0</v>
      </c>
      <c r="AZ39" s="12" t="n">
        <f aca="false">AZ$35+AZ$37</f>
        <v>0</v>
      </c>
      <c r="BA39" s="12" t="n">
        <f aca="false">BA$35+BA$37</f>
        <v>0</v>
      </c>
      <c r="BB39" s="12" t="n">
        <f aca="false">BB$35+BB$37</f>
        <v>0</v>
      </c>
      <c r="BC39" s="12" t="n">
        <f aca="false">BC$35+BC$37</f>
        <v>0</v>
      </c>
      <c r="BD39" s="12" t="n">
        <f aca="false">BD$35+BD$37</f>
        <v>0</v>
      </c>
      <c r="BE39" s="12" t="n">
        <f aca="false">BE$35+BE$37</f>
        <v>0</v>
      </c>
      <c r="BF39" s="12" t="n">
        <f aca="false">BF$35+BF$37</f>
        <v>0</v>
      </c>
      <c r="BG39" s="12" t="n">
        <f aca="false">BG$35+BG$37</f>
        <v>0</v>
      </c>
      <c r="BH39" s="12" t="n">
        <f aca="false">BH$35+BH$37</f>
        <v>0</v>
      </c>
      <c r="BI39" s="12" t="n">
        <f aca="false">BI$35+BI$37</f>
        <v>0</v>
      </c>
      <c r="BJ39" s="12" t="n">
        <f aca="false">BJ$35+BJ$37</f>
        <v>0</v>
      </c>
      <c r="BK39" s="12" t="n">
        <f aca="false">BK$35+BK$37</f>
        <v>0</v>
      </c>
      <c r="BL39" s="12" t="n">
        <f aca="false">BL$35+BL$37</f>
        <v>0</v>
      </c>
      <c r="BM39" s="12" t="n">
        <f aca="false">BM$35+BM$37</f>
        <v>0</v>
      </c>
      <c r="BN39" s="12" t="n">
        <f aca="false">BN$35+BN$37</f>
        <v>0</v>
      </c>
      <c r="BO39" s="12" t="n">
        <f aca="false">BO$35+BO$37</f>
        <v>0</v>
      </c>
      <c r="BP39" s="12" t="n">
        <f aca="false">BP$35+BP$37</f>
        <v>0</v>
      </c>
      <c r="BQ39" s="12" t="n">
        <f aca="false">BQ$35+BQ$37</f>
        <v>0</v>
      </c>
      <c r="BR39" s="12" t="n">
        <f aca="false">BR$35+BR$37</f>
        <v>0</v>
      </c>
      <c r="BS39" s="12" t="n">
        <f aca="false">BS$35+BS$37</f>
        <v>0</v>
      </c>
      <c r="BT39" s="12" t="n">
        <f aca="false">BT$35+BT$37</f>
        <v>0</v>
      </c>
      <c r="BU39" s="12" t="n">
        <f aca="false">BU$35+BU$37</f>
        <v>0</v>
      </c>
      <c r="BV39" s="12" t="n">
        <f aca="false">BV$35+BV$37</f>
        <v>0</v>
      </c>
      <c r="BW39" s="12" t="n">
        <f aca="false">BW$35+BW$37</f>
        <v>0</v>
      </c>
      <c r="BX39" s="12" t="n">
        <f aca="false">BX$35+BX$37</f>
        <v>0</v>
      </c>
      <c r="BY39" s="12" t="n">
        <f aca="false">BY$35+BY$37</f>
        <v>0</v>
      </c>
      <c r="BZ39" s="12" t="n">
        <f aca="false">BZ$35+BZ$37</f>
        <v>0</v>
      </c>
      <c r="CA39" s="12" t="n">
        <f aca="false">CA$35+CA$37</f>
        <v>0</v>
      </c>
      <c r="CB39" s="12" t="n">
        <f aca="false">CB$35+CB$37</f>
        <v>0</v>
      </c>
      <c r="CC39" s="12" t="n">
        <f aca="false">CC$35+CC$37</f>
        <v>0</v>
      </c>
      <c r="CD39" s="12" t="n">
        <f aca="false">CD$35+CD$37</f>
        <v>0</v>
      </c>
      <c r="CE39" s="12" t="n">
        <f aca="false">CE$35+CE$37</f>
        <v>0</v>
      </c>
      <c r="CF39" s="12" t="n">
        <f aca="false">CF$35+CF$37</f>
        <v>0</v>
      </c>
      <c r="CG39" s="12" t="n">
        <f aca="false">CG$35+CG$37</f>
        <v>0</v>
      </c>
      <c r="CH39" s="12" t="n">
        <f aca="false">CH$35+CH$37</f>
        <v>0</v>
      </c>
      <c r="CI39" s="12" t="n">
        <f aca="false">CI$35+CI$37</f>
        <v>0</v>
      </c>
      <c r="CJ39" s="12" t="n">
        <f aca="false">CJ$35+CJ$37</f>
        <v>0</v>
      </c>
      <c r="CK39" s="12" t="n">
        <f aca="false">CK$35+CK$37</f>
        <v>0</v>
      </c>
      <c r="CL39" s="12" t="n">
        <f aca="false">CL$35+CL$37</f>
        <v>0</v>
      </c>
      <c r="CM39" s="12" t="n">
        <f aca="false">CM$35+CM$37</f>
        <v>0</v>
      </c>
      <c r="CN39" s="12" t="n">
        <f aca="false">CN$35+CN$37</f>
        <v>0</v>
      </c>
      <c r="CO39" s="12" t="n">
        <f aca="false">CO$35+CO$37</f>
        <v>0</v>
      </c>
      <c r="CP39" s="12" t="n">
        <f aca="false">CP$35+CP$37</f>
        <v>0</v>
      </c>
      <c r="CQ39" s="12" t="n">
        <f aca="false">CQ$35+CQ$37</f>
        <v>0</v>
      </c>
      <c r="CR39" s="12" t="n">
        <f aca="false">CR$35+CR$37</f>
        <v>0</v>
      </c>
      <c r="CS39" s="12" t="n">
        <f aca="false">CS$35+CS$37</f>
        <v>0</v>
      </c>
      <c r="CT39" s="12" t="n">
        <f aca="false">CT$35+CT$37</f>
        <v>0</v>
      </c>
      <c r="CU39" s="12" t="n">
        <f aca="false">CU$35+CU$37</f>
        <v>0</v>
      </c>
      <c r="CV39" s="12" t="n">
        <f aca="false">CV$35+CV$37</f>
        <v>0</v>
      </c>
      <c r="CW39" s="12" t="n">
        <f aca="false">CW$35+CW$37</f>
        <v>0</v>
      </c>
      <c r="CX39" s="12" t="n">
        <f aca="false">CX$35+CX$37</f>
        <v>0</v>
      </c>
      <c r="CY39" s="12" t="n">
        <f aca="false">CY$35+CY$37</f>
        <v>0</v>
      </c>
      <c r="CZ39" s="12" t="n">
        <f aca="false">CZ$35+CZ$37</f>
        <v>0</v>
      </c>
      <c r="DA39" s="12" t="n">
        <f aca="false">DA$35+DA$37</f>
        <v>0</v>
      </c>
      <c r="DB39" s="12" t="n">
        <f aca="false">DB$35+DB$37</f>
        <v>0</v>
      </c>
      <c r="DC39" s="12" t="n">
        <f aca="false">DC$35+DC$37</f>
        <v>0</v>
      </c>
      <c r="DD39" s="12" t="n">
        <f aca="false">DD$35+DD$37</f>
        <v>0</v>
      </c>
      <c r="DE39" s="12" t="n">
        <f aca="false">DE$35+DE$37</f>
        <v>0</v>
      </c>
      <c r="DF39" s="12" t="n">
        <f aca="false">DF$35+DF$37</f>
        <v>0</v>
      </c>
      <c r="DG39" s="12" t="n">
        <f aca="false">DG$35+DG$37</f>
        <v>0</v>
      </c>
      <c r="DH39" s="12" t="n">
        <f aca="false">DH$35+DH$37</f>
        <v>0</v>
      </c>
      <c r="DI39" s="12" t="n">
        <f aca="false">DI$35+DI$37</f>
        <v>0</v>
      </c>
      <c r="DJ39" s="12" t="n">
        <f aca="false">DJ$35+DJ$37</f>
        <v>0</v>
      </c>
      <c r="DK39" s="12" t="n">
        <f aca="false">DK$35+DK$37</f>
        <v>0</v>
      </c>
      <c r="DL39" s="12" t="n">
        <f aca="false">DL$35+DL$37</f>
        <v>0</v>
      </c>
      <c r="DM39" s="12" t="n">
        <f aca="false">DM$35+DM$37</f>
        <v>0</v>
      </c>
      <c r="DN39" s="12" t="n">
        <f aca="false">DN$35+DN$37</f>
        <v>0</v>
      </c>
      <c r="DO39" s="12" t="n">
        <f aca="false">DO$35+DO$37</f>
        <v>0</v>
      </c>
      <c r="DP39" s="12" t="n">
        <f aca="false">DP$35+DP$37</f>
        <v>0</v>
      </c>
      <c r="DQ39" s="12" t="n">
        <f aca="false">DQ$35+DQ$37</f>
        <v>0</v>
      </c>
      <c r="DR39" s="12" t="n">
        <f aca="false">DR$35+DR$37</f>
        <v>0</v>
      </c>
      <c r="DS39" s="12" t="n">
        <f aca="false">DS$35+DS$37</f>
        <v>0</v>
      </c>
      <c r="DT39" s="12" t="n">
        <f aca="false">DT$35+DT$37</f>
        <v>0</v>
      </c>
      <c r="DU39" s="12" t="n">
        <f aca="false">DU$35+DU$37</f>
        <v>0</v>
      </c>
      <c r="DV39" s="12" t="n">
        <f aca="false">DV$35+DV$37</f>
        <v>0</v>
      </c>
      <c r="DW39" s="12" t="n">
        <f aca="false">DW$35+DW$37</f>
        <v>0</v>
      </c>
      <c r="DX39" s="12" t="n">
        <f aca="false">DX$35+DX$37</f>
        <v>0</v>
      </c>
      <c r="DY39" s="12" t="n">
        <f aca="false">DY$35+DY$37</f>
        <v>0</v>
      </c>
      <c r="DZ39" s="12" t="n">
        <f aca="false">DZ$35+DZ$37</f>
        <v>0</v>
      </c>
      <c r="EA39" s="12" t="n">
        <f aca="false">EA$35+EA$37</f>
        <v>0</v>
      </c>
      <c r="EB39" s="12" t="n">
        <f aca="false">EB$35+EB$37</f>
        <v>0</v>
      </c>
      <c r="EC39" s="12" t="n">
        <f aca="false">EC$35+EC$37</f>
        <v>0</v>
      </c>
      <c r="ED39" s="12" t="n">
        <f aca="false">ED$35+ED$37</f>
        <v>0</v>
      </c>
      <c r="EE39" s="12" t="n">
        <f aca="false">EE$35+EE$37</f>
        <v>0</v>
      </c>
      <c r="EF39" s="12" t="n">
        <f aca="false">EF$35+EF$37</f>
        <v>0</v>
      </c>
      <c r="EG39" s="12" t="n">
        <f aca="false">EG$35+EG$37</f>
        <v>0</v>
      </c>
      <c r="EH39" s="12" t="n">
        <f aca="false">EH$35+EH$37</f>
        <v>0</v>
      </c>
      <c r="EI39" s="12" t="n">
        <f aca="false">EI$35+EI$37</f>
        <v>0</v>
      </c>
      <c r="EJ39" s="12" t="n">
        <f aca="false">EJ$35+EJ$37</f>
        <v>0</v>
      </c>
      <c r="EK39" s="12" t="n">
        <f aca="false">EK$35+EK$37</f>
        <v>0</v>
      </c>
      <c r="EL39" s="12" t="n">
        <f aca="false">EL$35+EL$37</f>
        <v>0</v>
      </c>
      <c r="EM39" s="12" t="n">
        <f aca="false">EM$35+EM$37</f>
        <v>0</v>
      </c>
      <c r="EN39" s="12" t="n">
        <f aca="false">EN$35+EN$37</f>
        <v>0</v>
      </c>
      <c r="EO39" s="12" t="n">
        <f aca="false">EO$35+EO$37</f>
        <v>0</v>
      </c>
      <c r="EP39" s="12" t="n">
        <f aca="false">EP$35+EP$37</f>
        <v>0</v>
      </c>
      <c r="EQ39" s="12" t="n">
        <f aca="false">EQ$35+EQ$37</f>
        <v>0</v>
      </c>
      <c r="ER39" s="12" t="n">
        <f aca="false">ER$35+ER$37</f>
        <v>0</v>
      </c>
      <c r="ES39" s="12" t="n">
        <f aca="false">ES$35+ES$37</f>
        <v>0</v>
      </c>
      <c r="ET39" s="12" t="n">
        <f aca="false">ET$35+ET$37</f>
        <v>0</v>
      </c>
      <c r="EU39" s="12" t="n">
        <f aca="false">EU$35+EU$37</f>
        <v>0</v>
      </c>
      <c r="EV39" s="12" t="n">
        <f aca="false">EV$35+EV$37</f>
        <v>0</v>
      </c>
      <c r="EW39" s="12" t="n">
        <f aca="false">EW$35+EW$37</f>
        <v>0</v>
      </c>
      <c r="EX39" s="12" t="n">
        <f aca="false">EX$35+EX$37</f>
        <v>0</v>
      </c>
      <c r="EY39" s="12" t="n">
        <f aca="false">EY$35+EY$37</f>
        <v>0</v>
      </c>
      <c r="EZ39" s="12" t="n">
        <f aca="false">EZ$35+EZ$37</f>
        <v>0</v>
      </c>
      <c r="FA39" s="12" t="n">
        <f aca="false">FA$35+FA$37</f>
        <v>0</v>
      </c>
      <c r="FB39" s="12" t="n">
        <f aca="false">FB$35+FB$37</f>
        <v>0</v>
      </c>
      <c r="FC39" s="12" t="n">
        <f aca="false">FC$35+FC$37</f>
        <v>0</v>
      </c>
      <c r="FD39" s="12" t="n">
        <f aca="false">FD$35+FD$37</f>
        <v>0</v>
      </c>
      <c r="FE39" s="12" t="n">
        <f aca="false">FE$35+FE$37</f>
        <v>0</v>
      </c>
      <c r="FF39" s="12" t="n">
        <f aca="false">FF$35+FF$37</f>
        <v>0</v>
      </c>
    </row>
    <row r="40" customFormat="false" ht="15" hidden="false" customHeight="false" outlineLevel="0" collapsed="false">
      <c r="A40" s="2" t="s">
        <v>1229</v>
      </c>
      <c r="B40" s="8" t="s">
        <v>1230</v>
      </c>
      <c r="C40" s="8" t="s">
        <v>255</v>
      </c>
      <c r="E40" s="65" t="n">
        <f aca="false">SUM($F40:$FF40)</f>
        <v>0</v>
      </c>
      <c r="F40" s="13" t="n">
        <f aca="false">IF(F$32=1,0,SUMIFS($X$6:$X$22,$T$6:$T$22,0,$D$6:$D$22,"Mantenimiento/Reposición"))</f>
        <v>0</v>
      </c>
      <c r="G40" s="13" t="n">
        <f aca="false">IF(G$32=1,0,SUMIFS($X$6:$X$22,$T$6:$T$22,1,$D$6:$D$22,"Mantenimiento/Reposición"))</f>
        <v>0</v>
      </c>
      <c r="H40" s="13" t="n">
        <f aca="false">IF(H$32=1,0,SUMIFS($X$6:$X$22,$T$6:$T$22,2,$D$6:$D$22,"Mantenimiento/Reposición"))</f>
        <v>0</v>
      </c>
      <c r="I40" s="13" t="n">
        <f aca="false">IF(I$32=1,0,SUMIFS($X$6:$X$22,$T$6:$T$22,3,$D$6:$D$22,"Mantenimiento/Reposición"))</f>
        <v>0</v>
      </c>
      <c r="J40" s="13" t="n">
        <f aca="false">IF(J$32=1,0,SUMIFS($X$6:$X$22,$T$6:$T$22,4,$D$6:$D$22,"Mantenimiento/Reposición"))</f>
        <v>0</v>
      </c>
      <c r="K40" s="13" t="n">
        <f aca="false">IF(K$32=1,0,SUMIFS($X$6:$X$22,$T$6:$T$22,5,$D$6:$D$22,"Mantenimiento/Reposición"))</f>
        <v>0</v>
      </c>
      <c r="L40" s="13" t="n">
        <f aca="false">IF(L$32=1,0,SUMIFS($X$6:$X$22,$T$6:$T$22,6,$D$6:$D$22,"Mantenimiento/Reposición"))</f>
        <v>0</v>
      </c>
      <c r="M40" s="13" t="n">
        <f aca="false">IF(M$32=1,0,SUMIFS($X$6:$X$22,$T$6:$T$22,7,$D$6:$D$22,"Mantenimiento/Reposición"))</f>
        <v>0</v>
      </c>
      <c r="N40" s="13" t="n">
        <f aca="false">IF(N$32=1,0,SUMIFS($X$6:$X$22,$T$6:$T$22,8,$D$6:$D$22,"Mantenimiento/Reposición"))</f>
        <v>0</v>
      </c>
      <c r="O40" s="13" t="n">
        <f aca="false">IF(O$32=1,0,SUMIFS($X$6:$X$22,$T$6:$T$22,9,$D$6:$D$22,"Mantenimiento/Reposición"))</f>
        <v>0</v>
      </c>
      <c r="P40" s="13" t="n">
        <f aca="false">IF(P$32=1,0,SUMIFS($X$6:$X$22,$T$6:$T$22,10,$D$6:$D$22,"Mantenimiento/Reposición"))</f>
        <v>0</v>
      </c>
      <c r="Q40" s="13" t="n">
        <f aca="false">IF(Q$32=1,0,SUMIFS($X$6:$X$22,$T$6:$T$22,11,$D$6:$D$22,"Mantenimiento/Reposición"))</f>
        <v>0</v>
      </c>
      <c r="R40" s="13" t="n">
        <f aca="false">IF(R$32=1,0,SUMIFS($X$6:$X$22,$T$6:$T$22,12,$D$6:$D$22,"Mantenimiento/Reposición"))</f>
        <v>0</v>
      </c>
      <c r="S40" s="13" t="n">
        <f aca="false">IF(S$32=1,0,SUMIFS($X$6:$X$22,$T$6:$T$22,13,$D$6:$D$22,"Mantenimiento/Reposición"))</f>
        <v>0</v>
      </c>
      <c r="T40" s="13" t="n">
        <f aca="false">IF(T$32=1,0,SUMIFS($X$6:$X$22,$T$6:$T$22,14,$D$6:$D$22,"Mantenimiento/Reposición"))</f>
        <v>0</v>
      </c>
      <c r="U40" s="13" t="n">
        <f aca="false">IF(U$32=1,0,SUMIFS($X$6:$X$22,$T$6:$T$22,15,$D$6:$D$22,"Mantenimiento/Reposición"))</f>
        <v>0</v>
      </c>
      <c r="V40" s="13" t="n">
        <f aca="false">IF(V$32=1,0,SUMIFS($X$6:$X$22,$T$6:$T$22,16,$D$6:$D$22,"Mantenimiento/Reposición"))</f>
        <v>0</v>
      </c>
      <c r="W40" s="13" t="n">
        <f aca="false">IF(W$32=1,0,SUMIFS($X$6:$X$22,$T$6:$T$22,17,$D$6:$D$22,"Mantenimiento/Reposición"))</f>
        <v>0</v>
      </c>
      <c r="X40" s="13" t="n">
        <f aca="false">IF(X$32=1,0,SUMIFS($X$6:$X$22,$T$6:$T$22,18,$D$6:$D$22,"Mantenimiento/Reposición"))</f>
        <v>0</v>
      </c>
      <c r="Y40" s="13" t="n">
        <f aca="false">IF(Y$32=1,0,SUMIFS($X$6:$X$22,$T$6:$T$22,19,$D$6:$D$22,"Mantenimiento/Reposición"))</f>
        <v>0</v>
      </c>
      <c r="Z40" s="13" t="n">
        <f aca="false">IF(Z$32=1,0,SUMIFS($X$6:$X$22,$T$6:$T$22,20,$D$6:$D$22,"Mantenimiento/Reposición"))</f>
        <v>0</v>
      </c>
      <c r="AA40" s="13" t="n">
        <f aca="false">IF(AA$32=1,0,SUMIFS($X$6:$X$22,$T$6:$T$22,21,$D$6:$D$22,"Mantenimiento/Reposición"))</f>
        <v>0</v>
      </c>
      <c r="AB40" s="13" t="n">
        <f aca="false">IF(AB$32=1,0,SUMIFS($X$6:$X$22,$T$6:$T$22,22,$D$6:$D$22,"Mantenimiento/Reposición"))</f>
        <v>0</v>
      </c>
      <c r="AC40" s="13" t="n">
        <f aca="false">IF(AC$32=1,0,SUMIFS($X$6:$X$22,$T$6:$T$22,23,$D$6:$D$22,"Mantenimiento/Reposición"))</f>
        <v>0</v>
      </c>
      <c r="AD40" s="13" t="n">
        <f aca="false">IF(AD$32=1,0,SUMIFS($X$6:$X$22,$T$6:$T$22,24,$D$6:$D$22,"Mantenimiento/Reposición"))</f>
        <v>0</v>
      </c>
      <c r="AE40" s="13" t="n">
        <f aca="false">IF(AE$32=1,0,SUMIFS($X$6:$X$22,$T$6:$T$22,25,$D$6:$D$22,"Mantenimiento/Reposición"))</f>
        <v>0</v>
      </c>
      <c r="AF40" s="13" t="n">
        <f aca="false">IF(AF$32=1,0,SUMIFS($X$6:$X$22,$T$6:$T$22,26,$D$6:$D$22,"Mantenimiento/Reposición"))</f>
        <v>0</v>
      </c>
      <c r="AG40" s="13" t="n">
        <f aca="false">IF(AG$32=1,0,SUMIFS($X$6:$X$22,$T$6:$T$22,27,$D$6:$D$22,"Mantenimiento/Reposición"))</f>
        <v>0</v>
      </c>
      <c r="AH40" s="13" t="n">
        <f aca="false">IF(AH$32=1,0,SUMIFS($X$6:$X$22,$T$6:$T$22,28,$D$6:$D$22,"Mantenimiento/Reposición"))</f>
        <v>0</v>
      </c>
      <c r="AI40" s="13" t="n">
        <f aca="false">IF(AI$32=1,0,SUMIFS($X$6:$X$22,$T$6:$T$22,29,$D$6:$D$22,"Mantenimiento/Reposición"))</f>
        <v>0</v>
      </c>
      <c r="AJ40" s="13" t="n">
        <f aca="false">IF(AJ$32=1,0,SUMIFS($X$6:$X$22,$T$6:$T$22,30,$D$6:$D$22,"Mantenimiento/Reposición"))</f>
        <v>0</v>
      </c>
      <c r="AK40" s="13" t="n">
        <f aca="false">IF(AK$32=1,0,SUMIFS($X$6:$X$22,$T$6:$T$22,31,$D$6:$D$22,"Mantenimiento/Reposición"))</f>
        <v>0</v>
      </c>
      <c r="AL40" s="13" t="n">
        <f aca="false">IF(AL$32=1,0,SUMIFS($X$6:$X$22,$T$6:$T$22,32,$D$6:$D$22,"Mantenimiento/Reposición"))</f>
        <v>0</v>
      </c>
      <c r="AM40" s="13" t="n">
        <f aca="false">IF(AM$32=1,0,SUMIFS($X$6:$X$22,$T$6:$T$22,33,$D$6:$D$22,"Mantenimiento/Reposición"))</f>
        <v>0</v>
      </c>
      <c r="AN40" s="13" t="n">
        <f aca="false">IF(AN$32=1,0,SUMIFS($X$6:$X$22,$T$6:$T$22,34,$D$6:$D$22,"Mantenimiento/Reposición"))</f>
        <v>0</v>
      </c>
      <c r="AO40" s="13" t="n">
        <f aca="false">IF(AO$32=1,0,SUMIFS($X$6:$X$22,$T$6:$T$22,35,$D$6:$D$22,"Mantenimiento/Reposición"))</f>
        <v>0</v>
      </c>
      <c r="AP40" s="13" t="n">
        <f aca="false">IF(AP$32=1,0,SUMIFS($X$6:$X$22,$T$6:$T$22,36,$D$6:$D$22,"Mantenimiento/Reposición"))</f>
        <v>0</v>
      </c>
      <c r="AQ40" s="13" t="n">
        <f aca="false">IF(AQ$32=1,0,SUMIFS($X$6:$X$22,$T$6:$T$22,37,$D$6:$D$22,"Mantenimiento/Reposición"))</f>
        <v>0</v>
      </c>
      <c r="AR40" s="13" t="n">
        <f aca="false">IF(AR$32=1,0,SUMIFS($X$6:$X$22,$T$6:$T$22,38,$D$6:$D$22,"Mantenimiento/Reposición"))</f>
        <v>0</v>
      </c>
      <c r="AS40" s="13" t="n">
        <f aca="false">IF(AS$32=1,0,SUMIFS($X$6:$X$22,$T$6:$T$22,39,$D$6:$D$22,"Mantenimiento/Reposición"))</f>
        <v>0</v>
      </c>
      <c r="AT40" s="13" t="n">
        <f aca="false">IF(AT$32=1,0,SUMIFS($X$6:$X$22,$T$6:$T$22,40,$D$6:$D$22,"Mantenimiento/Reposición"))</f>
        <v>0</v>
      </c>
      <c r="AU40" s="13" t="n">
        <f aca="false">IF(AU$32=1,0,SUMIFS($X$6:$X$22,$T$6:$T$22,41,$D$6:$D$22,"Mantenimiento/Reposición"))</f>
        <v>0</v>
      </c>
      <c r="AV40" s="13" t="n">
        <f aca="false">IF(AV$32=1,0,SUMIFS($X$6:$X$22,$T$6:$T$22,42,$D$6:$D$22,"Mantenimiento/Reposición"))</f>
        <v>0</v>
      </c>
      <c r="AW40" s="13" t="n">
        <f aca="false">IF(AW$32=1,0,SUMIFS($X$6:$X$22,$T$6:$T$22,43,$D$6:$D$22,"Mantenimiento/Reposición"))</f>
        <v>0</v>
      </c>
      <c r="AX40" s="13" t="n">
        <f aca="false">IF(AX$32=1,0,SUMIFS($X$6:$X$22,$T$6:$T$22,44,$D$6:$D$22,"Mantenimiento/Reposición"))</f>
        <v>0</v>
      </c>
      <c r="AY40" s="13" t="n">
        <f aca="false">IF(AY$32=1,0,SUMIFS($X$6:$X$22,$T$6:$T$22,45,$D$6:$D$22,"Mantenimiento/Reposición"))</f>
        <v>0</v>
      </c>
      <c r="AZ40" s="13" t="n">
        <f aca="false">IF(AZ$32=1,0,SUMIFS($X$6:$X$22,$T$6:$T$22,46,$D$6:$D$22,"Mantenimiento/Reposición"))</f>
        <v>0</v>
      </c>
      <c r="BA40" s="13" t="n">
        <f aca="false">IF(BA$32=1,0,SUMIFS($X$6:$X$22,$T$6:$T$22,47,$D$6:$D$22,"Mantenimiento/Reposición"))</f>
        <v>0</v>
      </c>
      <c r="BB40" s="13" t="n">
        <f aca="false">IF(BB$32=1,0,SUMIFS($X$6:$X$22,$T$6:$T$22,48,$D$6:$D$22,"Mantenimiento/Reposición"))</f>
        <v>0</v>
      </c>
      <c r="BC40" s="13" t="n">
        <f aca="false">IF(BC$32=1,0,SUMIFS($X$6:$X$22,$T$6:$T$22,49,$D$6:$D$22,"Mantenimiento/Reposición"))</f>
        <v>0</v>
      </c>
      <c r="BD40" s="13" t="n">
        <f aca="false">IF(BD$32=1,0,SUMIFS($X$6:$X$22,$T$6:$T$22,50,$D$6:$D$22,"Mantenimiento/Reposición"))</f>
        <v>0</v>
      </c>
      <c r="BE40" s="13" t="n">
        <f aca="false">IF(BE$32=1,0,SUMIFS($X$6:$X$22,$T$6:$T$22,51,$D$6:$D$22,"Mantenimiento/Reposición"))</f>
        <v>0</v>
      </c>
      <c r="BF40" s="13" t="n">
        <f aca="false">IF(BF$32=1,0,SUMIFS($X$6:$X$22,$T$6:$T$22,52,$D$6:$D$22,"Mantenimiento/Reposición"))</f>
        <v>0</v>
      </c>
      <c r="BG40" s="13" t="n">
        <f aca="false">IF(BG$32=1,0,SUMIFS($X$6:$X$22,$T$6:$T$22,53,$D$6:$D$22,"Mantenimiento/Reposición"))</f>
        <v>0</v>
      </c>
      <c r="BH40" s="13" t="n">
        <f aca="false">IF(BH$32=1,0,SUMIFS($X$6:$X$22,$T$6:$T$22,54,$D$6:$D$22,"Mantenimiento/Reposición"))</f>
        <v>0</v>
      </c>
      <c r="BI40" s="13" t="n">
        <f aca="false">IF(BI$32=1,0,SUMIFS($X$6:$X$22,$T$6:$T$22,55,$D$6:$D$22,"Mantenimiento/Reposición"))</f>
        <v>0</v>
      </c>
      <c r="BJ40" s="13" t="n">
        <f aca="false">IF(BJ$32=1,0,SUMIFS($X$6:$X$22,$T$6:$T$22,56,$D$6:$D$22,"Mantenimiento/Reposición"))</f>
        <v>0</v>
      </c>
      <c r="BK40" s="13" t="n">
        <f aca="false">IF(BK$32=1,0,SUMIFS($X$6:$X$22,$T$6:$T$22,57,$D$6:$D$22,"Mantenimiento/Reposición"))</f>
        <v>0</v>
      </c>
      <c r="BL40" s="13" t="n">
        <f aca="false">IF(BL$32=1,0,SUMIFS($X$6:$X$22,$T$6:$T$22,58,$D$6:$D$22,"Mantenimiento/Reposición"))</f>
        <v>0</v>
      </c>
      <c r="BM40" s="13" t="n">
        <f aca="false">IF(BM$32=1,0,SUMIFS($X$6:$X$22,$T$6:$T$22,59,$D$6:$D$22,"Mantenimiento/Reposición"))</f>
        <v>0</v>
      </c>
      <c r="BN40" s="13" t="n">
        <f aca="false">IF(BN$32=1,0,SUMIFS($X$6:$X$22,$T$6:$T$22,60,$D$6:$D$22,"Mantenimiento/Reposición"))</f>
        <v>0</v>
      </c>
      <c r="BO40" s="13" t="n">
        <f aca="false">IF(BO$32=1,0,SUMIFS($X$6:$X$22,$T$6:$T$22,61,$D$6:$D$22,"Mantenimiento/Reposición"))</f>
        <v>0</v>
      </c>
      <c r="BP40" s="13" t="n">
        <f aca="false">IF(BP$32=1,0,SUMIFS($X$6:$X$22,$T$6:$T$22,62,$D$6:$D$22,"Mantenimiento/Reposición"))</f>
        <v>0</v>
      </c>
      <c r="BQ40" s="13" t="n">
        <f aca="false">IF(BQ$32=1,0,SUMIFS($X$6:$X$22,$T$6:$T$22,63,$D$6:$D$22,"Mantenimiento/Reposición"))</f>
        <v>0</v>
      </c>
      <c r="BR40" s="13" t="n">
        <f aca="false">IF(BR$32=1,0,SUMIFS($X$6:$X$22,$T$6:$T$22,64,$D$6:$D$22,"Mantenimiento/Reposición"))</f>
        <v>0</v>
      </c>
      <c r="BS40" s="13" t="n">
        <f aca="false">IF(BS$32=1,0,SUMIFS($X$6:$X$22,$T$6:$T$22,65,$D$6:$D$22,"Mantenimiento/Reposición"))</f>
        <v>0</v>
      </c>
      <c r="BT40" s="13" t="n">
        <f aca="false">IF(BT$32=1,0,SUMIFS($X$6:$X$22,$T$6:$T$22,66,$D$6:$D$22,"Mantenimiento/Reposición"))</f>
        <v>0</v>
      </c>
      <c r="BU40" s="13" t="n">
        <f aca="false">IF(BU$32=1,0,SUMIFS($X$6:$X$22,$T$6:$T$22,67,$D$6:$D$22,"Mantenimiento/Reposición"))</f>
        <v>0</v>
      </c>
      <c r="BV40" s="13" t="n">
        <f aca="false">IF(BV$32=1,0,SUMIFS($X$6:$X$22,$T$6:$T$22,68,$D$6:$D$22,"Mantenimiento/Reposición"))</f>
        <v>0</v>
      </c>
      <c r="BW40" s="13" t="n">
        <f aca="false">IF(BW$32=1,0,SUMIFS($X$6:$X$22,$T$6:$T$22,69,$D$6:$D$22,"Mantenimiento/Reposición"))</f>
        <v>0</v>
      </c>
      <c r="BX40" s="13" t="n">
        <f aca="false">IF(BX$32=1,0,SUMIFS($X$6:$X$22,$T$6:$T$22,70,$D$6:$D$22,"Mantenimiento/Reposición"))</f>
        <v>0</v>
      </c>
      <c r="BY40" s="13" t="n">
        <f aca="false">IF(BY$32=1,0,SUMIFS($X$6:$X$22,$T$6:$T$22,71,$D$6:$D$22,"Mantenimiento/Reposición"))</f>
        <v>0</v>
      </c>
      <c r="BZ40" s="13" t="n">
        <f aca="false">IF(BZ$32=1,0,SUMIFS($X$6:$X$22,$T$6:$T$22,72,$D$6:$D$22,"Mantenimiento/Reposición"))</f>
        <v>0</v>
      </c>
      <c r="CA40" s="13" t="n">
        <f aca="false">IF(CA$32=1,0,SUMIFS($X$6:$X$22,$T$6:$T$22,73,$D$6:$D$22,"Mantenimiento/Reposición"))</f>
        <v>0</v>
      </c>
      <c r="CB40" s="13" t="n">
        <f aca="false">IF(CB$32=1,0,SUMIFS($X$6:$X$22,$T$6:$T$22,74,$D$6:$D$22,"Mantenimiento/Reposición"))</f>
        <v>0</v>
      </c>
      <c r="CC40" s="13" t="n">
        <f aca="false">IF(CC$32=1,0,SUMIFS($X$6:$X$22,$T$6:$T$22,75,$D$6:$D$22,"Mantenimiento/Reposición"))</f>
        <v>0</v>
      </c>
      <c r="CD40" s="13" t="n">
        <f aca="false">IF(CD$32=1,0,SUMIFS($X$6:$X$22,$T$6:$T$22,76,$D$6:$D$22,"Mantenimiento/Reposición"))</f>
        <v>0</v>
      </c>
      <c r="CE40" s="13" t="n">
        <f aca="false">IF(CE$32=1,0,SUMIFS($X$6:$X$22,$T$6:$T$22,77,$D$6:$D$22,"Mantenimiento/Reposición"))</f>
        <v>0</v>
      </c>
      <c r="CF40" s="13" t="n">
        <f aca="false">IF(CF$32=1,0,SUMIFS($X$6:$X$22,$T$6:$T$22,78,$D$6:$D$22,"Mantenimiento/Reposición"))</f>
        <v>0</v>
      </c>
      <c r="CG40" s="13" t="n">
        <f aca="false">IF(CG$32=1,0,SUMIFS($X$6:$X$22,$T$6:$T$22,79,$D$6:$D$22,"Mantenimiento/Reposición"))</f>
        <v>0</v>
      </c>
      <c r="CH40" s="13" t="n">
        <f aca="false">IF(CH$32=1,0,SUMIFS($X$6:$X$22,$T$6:$T$22,80,$D$6:$D$22,"Mantenimiento/Reposición"))</f>
        <v>0</v>
      </c>
      <c r="CI40" s="13" t="n">
        <f aca="false">IF(CI$32=1,0,SUMIFS($X$6:$X$22,$T$6:$T$22,81,$D$6:$D$22,"Mantenimiento/Reposición"))</f>
        <v>0</v>
      </c>
      <c r="CJ40" s="13" t="n">
        <f aca="false">IF(CJ$32=1,0,SUMIFS($X$6:$X$22,$T$6:$T$22,82,$D$6:$D$22,"Mantenimiento/Reposición"))</f>
        <v>0</v>
      </c>
      <c r="CK40" s="13" t="n">
        <f aca="false">IF(CK$32=1,0,SUMIFS($X$6:$X$22,$T$6:$T$22,83,$D$6:$D$22,"Mantenimiento/Reposición"))</f>
        <v>0</v>
      </c>
      <c r="CL40" s="13" t="n">
        <f aca="false">IF(CL$32=1,0,SUMIFS($X$6:$X$22,$T$6:$T$22,84,$D$6:$D$22,"Mantenimiento/Reposición"))</f>
        <v>0</v>
      </c>
      <c r="CM40" s="13" t="n">
        <f aca="false">IF(CM$32=1,0,SUMIFS($X$6:$X$22,$T$6:$T$22,85,$D$6:$D$22,"Mantenimiento/Reposición"))</f>
        <v>0</v>
      </c>
      <c r="CN40" s="13" t="n">
        <f aca="false">IF(CN$32=1,0,SUMIFS($X$6:$X$22,$T$6:$T$22,86,$D$6:$D$22,"Mantenimiento/Reposición"))</f>
        <v>0</v>
      </c>
      <c r="CO40" s="13" t="n">
        <f aca="false">IF(CO$32=1,0,SUMIFS($X$6:$X$22,$T$6:$T$22,87,$D$6:$D$22,"Mantenimiento/Reposición"))</f>
        <v>0</v>
      </c>
      <c r="CP40" s="13" t="n">
        <f aca="false">IF(CP$32=1,0,SUMIFS($X$6:$X$22,$T$6:$T$22,88,$D$6:$D$22,"Mantenimiento/Reposición"))</f>
        <v>0</v>
      </c>
      <c r="CQ40" s="13" t="n">
        <f aca="false">IF(CQ$32=1,0,SUMIFS($X$6:$X$22,$T$6:$T$22,89,$D$6:$D$22,"Mantenimiento/Reposición"))</f>
        <v>0</v>
      </c>
      <c r="CR40" s="13" t="n">
        <f aca="false">IF(CR$32=1,0,SUMIFS($X$6:$X$22,$T$6:$T$22,90,$D$6:$D$22,"Mantenimiento/Reposición"))</f>
        <v>0</v>
      </c>
      <c r="CS40" s="13" t="n">
        <f aca="false">IF(CS$32=1,0,SUMIFS($X$6:$X$22,$T$6:$T$22,91,$D$6:$D$22,"Mantenimiento/Reposición"))</f>
        <v>0</v>
      </c>
      <c r="CT40" s="13" t="n">
        <f aca="false">IF(CT$32=1,0,SUMIFS($X$6:$X$22,$T$6:$T$22,92,$D$6:$D$22,"Mantenimiento/Reposición"))</f>
        <v>0</v>
      </c>
      <c r="CU40" s="13" t="n">
        <f aca="false">IF(CU$32=1,0,SUMIFS($X$6:$X$22,$T$6:$T$22,93,$D$6:$D$22,"Mantenimiento/Reposición"))</f>
        <v>0</v>
      </c>
      <c r="CV40" s="13" t="n">
        <f aca="false">IF(CV$32=1,0,SUMIFS($X$6:$X$22,$T$6:$T$22,94,$D$6:$D$22,"Mantenimiento/Reposición"))</f>
        <v>0</v>
      </c>
      <c r="CW40" s="13" t="n">
        <f aca="false">IF(CW$32=1,0,SUMIFS($X$6:$X$22,$T$6:$T$22,95,$D$6:$D$22,"Mantenimiento/Reposición"))</f>
        <v>0</v>
      </c>
      <c r="CX40" s="13" t="n">
        <f aca="false">IF(CX$32=1,0,SUMIFS($X$6:$X$22,$T$6:$T$22,96,$D$6:$D$22,"Mantenimiento/Reposición"))</f>
        <v>0</v>
      </c>
      <c r="CY40" s="13" t="n">
        <f aca="false">IF(CY$32=1,0,SUMIFS($X$6:$X$22,$T$6:$T$22,97,$D$6:$D$22,"Mantenimiento/Reposición"))</f>
        <v>0</v>
      </c>
      <c r="CZ40" s="13" t="n">
        <f aca="false">IF(CZ$32=1,0,SUMIFS($X$6:$X$22,$T$6:$T$22,98,$D$6:$D$22,"Mantenimiento/Reposición"))</f>
        <v>0</v>
      </c>
      <c r="DA40" s="13" t="n">
        <f aca="false">IF(DA$32=1,0,SUMIFS($X$6:$X$22,$T$6:$T$22,99,$D$6:$D$22,"Mantenimiento/Reposición"))</f>
        <v>0</v>
      </c>
      <c r="DB40" s="13" t="n">
        <f aca="false">IF(DB$32=1,0,SUMIFS($X$6:$X$22,$T$6:$T$22,100,$D$6:$D$22,"Mantenimiento/Reposición"))</f>
        <v>0</v>
      </c>
      <c r="DC40" s="13" t="n">
        <f aca="false">IF(DC$32=1,0,SUMIFS($X$6:$X$22,$T$6:$T$22,101,$D$6:$D$22,"Mantenimiento/Reposición"))</f>
        <v>0</v>
      </c>
      <c r="DD40" s="13" t="n">
        <f aca="false">IF(DD$32=1,0,SUMIFS($X$6:$X$22,$T$6:$T$22,102,$D$6:$D$22,"Mantenimiento/Reposición"))</f>
        <v>0</v>
      </c>
      <c r="DE40" s="13" t="n">
        <f aca="false">IF(DE$32=1,0,SUMIFS($X$6:$X$22,$T$6:$T$22,103,$D$6:$D$22,"Mantenimiento/Reposición"))</f>
        <v>0</v>
      </c>
      <c r="DF40" s="13" t="n">
        <f aca="false">IF(DF$32=1,0,SUMIFS($X$6:$X$22,$T$6:$T$22,104,$D$6:$D$22,"Mantenimiento/Reposición"))</f>
        <v>0</v>
      </c>
      <c r="DG40" s="13" t="n">
        <f aca="false">IF(DG$32=1,0,SUMIFS($X$6:$X$22,$T$6:$T$22,105,$D$6:$D$22,"Mantenimiento/Reposición"))</f>
        <v>0</v>
      </c>
      <c r="DH40" s="13" t="n">
        <f aca="false">IF(DH$32=1,0,SUMIFS($X$6:$X$22,$T$6:$T$22,106,$D$6:$D$22,"Mantenimiento/Reposición"))</f>
        <v>0</v>
      </c>
      <c r="DI40" s="13" t="n">
        <f aca="false">IF(DI$32=1,0,SUMIFS($X$6:$X$22,$T$6:$T$22,107,$D$6:$D$22,"Mantenimiento/Reposición"))</f>
        <v>0</v>
      </c>
      <c r="DJ40" s="13" t="n">
        <f aca="false">IF(DJ$32=1,0,SUMIFS($X$6:$X$22,$T$6:$T$22,108,$D$6:$D$22,"Mantenimiento/Reposición"))</f>
        <v>0</v>
      </c>
      <c r="DK40" s="13" t="n">
        <f aca="false">IF(DK$32=1,0,SUMIFS($X$6:$X$22,$T$6:$T$22,109,$D$6:$D$22,"Mantenimiento/Reposición"))</f>
        <v>0</v>
      </c>
      <c r="DL40" s="13" t="n">
        <f aca="false">IF(DL$32=1,0,SUMIFS($X$6:$X$22,$T$6:$T$22,110,$D$6:$D$22,"Mantenimiento/Reposición"))</f>
        <v>0</v>
      </c>
      <c r="DM40" s="13" t="n">
        <f aca="false">IF(DM$32=1,0,SUMIFS($X$6:$X$22,$T$6:$T$22,111,$D$6:$D$22,"Mantenimiento/Reposición"))</f>
        <v>0</v>
      </c>
      <c r="DN40" s="13" t="n">
        <f aca="false">IF(DN$32=1,0,SUMIFS($X$6:$X$22,$T$6:$T$22,112,$D$6:$D$22,"Mantenimiento/Reposición"))</f>
        <v>0</v>
      </c>
      <c r="DO40" s="13" t="n">
        <f aca="false">IF(DO$32=1,0,SUMIFS($X$6:$X$22,$T$6:$T$22,113,$D$6:$D$22,"Mantenimiento/Reposición"))</f>
        <v>0</v>
      </c>
      <c r="DP40" s="13" t="n">
        <f aca="false">IF(DP$32=1,0,SUMIFS($X$6:$X$22,$T$6:$T$22,114,$D$6:$D$22,"Mantenimiento/Reposición"))</f>
        <v>0</v>
      </c>
      <c r="DQ40" s="13" t="n">
        <f aca="false">IF(DQ$32=1,0,SUMIFS($X$6:$X$22,$T$6:$T$22,115,$D$6:$D$22,"Mantenimiento/Reposición"))</f>
        <v>0</v>
      </c>
      <c r="DR40" s="13" t="n">
        <f aca="false">IF(DR$32=1,0,SUMIFS($X$6:$X$22,$T$6:$T$22,116,$D$6:$D$22,"Mantenimiento/Reposición"))</f>
        <v>0</v>
      </c>
      <c r="DS40" s="13" t="n">
        <f aca="false">IF(DS$32=1,0,SUMIFS($X$6:$X$22,$T$6:$T$22,117,$D$6:$D$22,"Mantenimiento/Reposición"))</f>
        <v>0</v>
      </c>
      <c r="DT40" s="13" t="n">
        <f aca="false">IF(DT$32=1,0,SUMIFS($X$6:$X$22,$T$6:$T$22,118,$D$6:$D$22,"Mantenimiento/Reposición"))</f>
        <v>0</v>
      </c>
      <c r="DU40" s="13" t="n">
        <f aca="false">IF(DU$32=1,0,SUMIFS($X$6:$X$22,$T$6:$T$22,119,$D$6:$D$22,"Mantenimiento/Reposición"))</f>
        <v>0</v>
      </c>
      <c r="DV40" s="13" t="n">
        <f aca="false">IF(DV$32=1,0,SUMIFS($X$6:$X$22,$T$6:$T$22,120,$D$6:$D$22,"Mantenimiento/Reposición"))</f>
        <v>0</v>
      </c>
      <c r="DW40" s="13" t="n">
        <f aca="false">IF(DW$32=1,0,SUMIFS($X$6:$X$22,$T$6:$T$22,121,$D$6:$D$22,"Mantenimiento/Reposición"))</f>
        <v>0</v>
      </c>
      <c r="DX40" s="13" t="n">
        <f aca="false">IF(DX$32=1,0,SUMIFS($X$6:$X$22,$T$6:$T$22,122,$D$6:$D$22,"Mantenimiento/Reposición"))</f>
        <v>0</v>
      </c>
      <c r="DY40" s="13" t="n">
        <f aca="false">IF(DY$32=1,0,SUMIFS($X$6:$X$22,$T$6:$T$22,123,$D$6:$D$22,"Mantenimiento/Reposición"))</f>
        <v>0</v>
      </c>
      <c r="DZ40" s="13" t="n">
        <f aca="false">IF(DZ$32=1,0,SUMIFS($X$6:$X$22,$T$6:$T$22,124,$D$6:$D$22,"Mantenimiento/Reposición"))</f>
        <v>0</v>
      </c>
      <c r="EA40" s="13" t="n">
        <f aca="false">IF(EA$32=1,0,SUMIFS($X$6:$X$22,$T$6:$T$22,125,$D$6:$D$22,"Mantenimiento/Reposición"))</f>
        <v>0</v>
      </c>
      <c r="EB40" s="13" t="n">
        <f aca="false">IF(EB$32=1,0,SUMIFS($X$6:$X$22,$T$6:$T$22,126,$D$6:$D$22,"Mantenimiento/Reposición"))</f>
        <v>0</v>
      </c>
      <c r="EC40" s="13" t="n">
        <f aca="false">IF(EC$32=1,0,SUMIFS($X$6:$X$22,$T$6:$T$22,127,$D$6:$D$22,"Mantenimiento/Reposición"))</f>
        <v>0</v>
      </c>
      <c r="ED40" s="13" t="n">
        <f aca="false">IF(ED$32=1,0,SUMIFS($X$6:$X$22,$T$6:$T$22,128,$D$6:$D$22,"Mantenimiento/Reposición"))</f>
        <v>0</v>
      </c>
      <c r="EE40" s="13" t="n">
        <f aca="false">IF(EE$32=1,0,SUMIFS($X$6:$X$22,$T$6:$T$22,129,$D$6:$D$22,"Mantenimiento/Reposición"))</f>
        <v>0</v>
      </c>
      <c r="EF40" s="13" t="n">
        <f aca="false">IF(EF$32=1,0,SUMIFS($X$6:$X$22,$T$6:$T$22,130,$D$6:$D$22,"Mantenimiento/Reposición"))</f>
        <v>0</v>
      </c>
      <c r="EG40" s="13" t="n">
        <f aca="false">IF(EG$32=1,0,SUMIFS($X$6:$X$22,$T$6:$T$22,131,$D$6:$D$22,"Mantenimiento/Reposición"))</f>
        <v>0</v>
      </c>
      <c r="EH40" s="13" t="n">
        <f aca="false">IF(EH$32=1,0,SUMIFS($X$6:$X$22,$T$6:$T$22,132,$D$6:$D$22,"Mantenimiento/Reposición"))</f>
        <v>0</v>
      </c>
      <c r="EI40" s="13" t="n">
        <f aca="false">IF(EI$32=1,0,SUMIFS($X$6:$X$22,$T$6:$T$22,133,$D$6:$D$22,"Mantenimiento/Reposición"))</f>
        <v>0</v>
      </c>
      <c r="EJ40" s="13" t="n">
        <f aca="false">IF(EJ$32=1,0,SUMIFS($X$6:$X$22,$T$6:$T$22,134,$D$6:$D$22,"Mantenimiento/Reposición"))</f>
        <v>0</v>
      </c>
      <c r="EK40" s="13" t="n">
        <f aca="false">IF(EK$32=1,0,SUMIFS($X$6:$X$22,$T$6:$T$22,135,$D$6:$D$22,"Mantenimiento/Reposición"))</f>
        <v>0</v>
      </c>
      <c r="EL40" s="13" t="n">
        <f aca="false">IF(EL$32=1,0,SUMIFS($X$6:$X$22,$T$6:$T$22,136,$D$6:$D$22,"Mantenimiento/Reposición"))</f>
        <v>0</v>
      </c>
      <c r="EM40" s="13" t="n">
        <f aca="false">IF(EM$32=1,0,SUMIFS($X$6:$X$22,$T$6:$T$22,137,$D$6:$D$22,"Mantenimiento/Reposición"))</f>
        <v>0</v>
      </c>
      <c r="EN40" s="13" t="n">
        <f aca="false">IF(EN$32=1,0,SUMIFS($X$6:$X$22,$T$6:$T$22,138,$D$6:$D$22,"Mantenimiento/Reposición"))</f>
        <v>0</v>
      </c>
      <c r="EO40" s="13" t="n">
        <f aca="false">IF(EO$32=1,0,SUMIFS($X$6:$X$22,$T$6:$T$22,139,$D$6:$D$22,"Mantenimiento/Reposición"))</f>
        <v>0</v>
      </c>
      <c r="EP40" s="13" t="n">
        <f aca="false">IF(EP$32=1,0,SUMIFS($X$6:$X$22,$T$6:$T$22,140,$D$6:$D$22,"Mantenimiento/Reposición"))</f>
        <v>0</v>
      </c>
      <c r="EQ40" s="13" t="n">
        <f aca="false">IF(EQ$32=1,0,SUMIFS($X$6:$X$22,$T$6:$T$22,141,$D$6:$D$22,"Mantenimiento/Reposición"))</f>
        <v>0</v>
      </c>
      <c r="ER40" s="13" t="n">
        <f aca="false">IF(ER$32=1,0,SUMIFS($X$6:$X$22,$T$6:$T$22,142,$D$6:$D$22,"Mantenimiento/Reposición"))</f>
        <v>0</v>
      </c>
      <c r="ES40" s="13" t="n">
        <f aca="false">IF(ES$32=1,0,SUMIFS($X$6:$X$22,$T$6:$T$22,143,$D$6:$D$22,"Mantenimiento/Reposición"))</f>
        <v>0</v>
      </c>
      <c r="ET40" s="13" t="n">
        <f aca="false">IF(ET$32=1,0,SUMIFS($X$6:$X$22,$T$6:$T$22,144,$D$6:$D$22,"Mantenimiento/Reposición"))</f>
        <v>0</v>
      </c>
      <c r="EU40" s="13" t="n">
        <f aca="false">IF(EU$32=1,0,SUMIFS($X$6:$X$22,$T$6:$T$22,145,$D$6:$D$22,"Mantenimiento/Reposición"))</f>
        <v>0</v>
      </c>
      <c r="EV40" s="13" t="n">
        <f aca="false">IF(EV$32=1,0,SUMIFS($X$6:$X$22,$T$6:$T$22,146,$D$6:$D$22,"Mantenimiento/Reposición"))</f>
        <v>0</v>
      </c>
      <c r="EW40" s="13" t="n">
        <f aca="false">IF(EW$32=1,0,SUMIFS($X$6:$X$22,$T$6:$T$22,147,$D$6:$D$22,"Mantenimiento/Reposición"))</f>
        <v>0</v>
      </c>
      <c r="EX40" s="13" t="n">
        <f aca="false">IF(EX$32=1,0,SUMIFS($X$6:$X$22,$T$6:$T$22,148,$D$6:$D$22,"Mantenimiento/Reposición"))</f>
        <v>0</v>
      </c>
      <c r="EY40" s="13" t="n">
        <f aca="false">IF(EY$32=1,0,SUMIFS($X$6:$X$22,$T$6:$T$22,149,$D$6:$D$22,"Mantenimiento/Reposición"))</f>
        <v>0</v>
      </c>
      <c r="EZ40" s="13" t="n">
        <f aca="false">IF(EZ$32=1,0,SUMIFS($X$6:$X$22,$T$6:$T$22,150,$D$6:$D$22,"Mantenimiento/Reposición"))</f>
        <v>0</v>
      </c>
      <c r="FA40" s="13" t="n">
        <f aca="false">IF(FA$32=1,0,SUMIFS($X$6:$X$22,$T$6:$T$22,151,$D$6:$D$22,"Mantenimiento/Reposición"))</f>
        <v>0</v>
      </c>
      <c r="FB40" s="13" t="n">
        <f aca="false">IF(FB$32=1,0,SUMIFS($X$6:$X$22,$T$6:$T$22,152,$D$6:$D$22,"Mantenimiento/Reposición"))</f>
        <v>0</v>
      </c>
      <c r="FC40" s="13" t="n">
        <f aca="false">IF(FC$32=1,0,SUMIFS($X$6:$X$22,$T$6:$T$22,153,$D$6:$D$22,"Mantenimiento/Reposición"))</f>
        <v>0</v>
      </c>
      <c r="FD40" s="13" t="n">
        <f aca="false">IF(FD$32=1,0,SUMIFS($X$6:$X$22,$T$6:$T$22,154,$D$6:$D$22,"Mantenimiento/Reposición"))</f>
        <v>0</v>
      </c>
      <c r="FE40" s="13" t="n">
        <f aca="false">IF(FE$32=1,0,SUMIFS($X$6:$X$22,$T$6:$T$22,155,$D$6:$D$22,"Mantenimiento/Reposición"))</f>
        <v>0</v>
      </c>
      <c r="FF40" s="13" t="n">
        <f aca="false">IF(FF$32=1,0,SUMIFS($X$6:$X$22,$T$6:$T$22,156,$D$6:$D$22,"Mantenimiento/Reposición"))</f>
        <v>0</v>
      </c>
    </row>
    <row r="41" customFormat="false" ht="15" hidden="false" customHeight="false" outlineLevel="0" collapsed="false">
      <c r="A41" s="2" t="s">
        <v>1231</v>
      </c>
      <c r="B41" s="8" t="s">
        <v>1232</v>
      </c>
      <c r="C41" s="8" t="s">
        <v>255</v>
      </c>
      <c r="E41" s="65" t="n">
        <f aca="false">INDEX($F41:$FF41,1,p_MesFin+1)</f>
        <v>755044.1</v>
      </c>
      <c r="F41" s="13" t="n">
        <f aca="false">0+F$39</f>
        <v>655044.1</v>
      </c>
      <c r="G41" s="13" t="n">
        <f aca="false">F$41+G$39</f>
        <v>655044.1</v>
      </c>
      <c r="H41" s="13" t="n">
        <f aca="false">G$41+H$39</f>
        <v>655044.1</v>
      </c>
      <c r="I41" s="13" t="n">
        <f aca="false">H$41+I$39</f>
        <v>655044.1</v>
      </c>
      <c r="J41" s="13" t="n">
        <f aca="false">I$41+J$39</f>
        <v>655044.1</v>
      </c>
      <c r="K41" s="13" t="n">
        <f aca="false">J$41+K$39</f>
        <v>655044.1</v>
      </c>
      <c r="L41" s="13" t="n">
        <f aca="false">K$41+L$39</f>
        <v>655044.1</v>
      </c>
      <c r="M41" s="13" t="n">
        <f aca="false">L$41+M$39</f>
        <v>655044.1</v>
      </c>
      <c r="N41" s="13" t="n">
        <f aca="false">M$41+N$39</f>
        <v>655044.1</v>
      </c>
      <c r="O41" s="13" t="n">
        <f aca="false">N$41+O$39</f>
        <v>655044.1</v>
      </c>
      <c r="P41" s="13" t="n">
        <f aca="false">O$41+P$39</f>
        <v>655044.1</v>
      </c>
      <c r="Q41" s="13" t="n">
        <f aca="false">P$41+Q$39</f>
        <v>655044.1</v>
      </c>
      <c r="R41" s="13" t="n">
        <f aca="false">Q$41+R$39</f>
        <v>655044.1</v>
      </c>
      <c r="S41" s="13" t="n">
        <f aca="false">R$41+S$39</f>
        <v>755044.1</v>
      </c>
      <c r="T41" s="13" t="n">
        <f aca="false">S$41+T$39</f>
        <v>755044.1</v>
      </c>
      <c r="U41" s="13" t="n">
        <f aca="false">T$41+U$39</f>
        <v>755044.1</v>
      </c>
      <c r="V41" s="13" t="n">
        <f aca="false">U$41+V$39</f>
        <v>755044.1</v>
      </c>
      <c r="W41" s="13" t="n">
        <f aca="false">V$41+W$39</f>
        <v>755044.1</v>
      </c>
      <c r="X41" s="13" t="n">
        <f aca="false">W$41+X$39</f>
        <v>755044.1</v>
      </c>
      <c r="Y41" s="13" t="n">
        <f aca="false">X$41+Y$39</f>
        <v>755044.1</v>
      </c>
      <c r="Z41" s="13" t="n">
        <f aca="false">Y$41+Z$39</f>
        <v>755044.1</v>
      </c>
      <c r="AA41" s="13" t="n">
        <f aca="false">Z$41+AA$39</f>
        <v>755044.1</v>
      </c>
      <c r="AB41" s="13" t="n">
        <f aca="false">AA$41+AB$39</f>
        <v>755044.1</v>
      </c>
      <c r="AC41" s="13" t="n">
        <f aca="false">AB$41+AC$39</f>
        <v>755044.1</v>
      </c>
      <c r="AD41" s="13" t="n">
        <f aca="false">AC$41+AD$39</f>
        <v>755044.1</v>
      </c>
      <c r="AE41" s="13" t="n">
        <f aca="false">AD$41+AE$39</f>
        <v>755044.1</v>
      </c>
      <c r="AF41" s="13" t="n">
        <f aca="false">AE$41+AF$39</f>
        <v>755044.1</v>
      </c>
      <c r="AG41" s="13" t="n">
        <f aca="false">AF$41+AG$39</f>
        <v>755044.1</v>
      </c>
      <c r="AH41" s="13" t="n">
        <f aca="false">AG$41+AH$39</f>
        <v>755044.1</v>
      </c>
      <c r="AI41" s="13" t="n">
        <f aca="false">AH$41+AI$39</f>
        <v>755044.1</v>
      </c>
      <c r="AJ41" s="13" t="n">
        <f aca="false">AI$41+AJ$39</f>
        <v>755044.1</v>
      </c>
      <c r="AK41" s="13" t="n">
        <f aca="false">AJ$41+AK$39</f>
        <v>755044.1</v>
      </c>
      <c r="AL41" s="13" t="n">
        <f aca="false">AK$41+AL$39</f>
        <v>755044.1</v>
      </c>
      <c r="AM41" s="13" t="n">
        <f aca="false">AL$41+AM$39</f>
        <v>755044.1</v>
      </c>
      <c r="AN41" s="13" t="n">
        <f aca="false">AM$41+AN$39</f>
        <v>755044.1</v>
      </c>
      <c r="AO41" s="13" t="n">
        <f aca="false">AN$41+AO$39</f>
        <v>755044.1</v>
      </c>
      <c r="AP41" s="13" t="n">
        <f aca="false">AO$41+AP$39</f>
        <v>755044.1</v>
      </c>
      <c r="AQ41" s="13" t="n">
        <f aca="false">AP$41+AQ$39</f>
        <v>755044.1</v>
      </c>
      <c r="AR41" s="13" t="n">
        <f aca="false">AQ$41+AR$39</f>
        <v>755044.1</v>
      </c>
      <c r="AS41" s="13" t="n">
        <f aca="false">AR$41+AS$39</f>
        <v>755044.1</v>
      </c>
      <c r="AT41" s="13" t="n">
        <f aca="false">AS$41+AT$39</f>
        <v>755044.1</v>
      </c>
      <c r="AU41" s="13" t="n">
        <f aca="false">AT$41+AU$39</f>
        <v>755044.1</v>
      </c>
      <c r="AV41" s="13" t="n">
        <f aca="false">AU$41+AV$39</f>
        <v>755044.1</v>
      </c>
      <c r="AW41" s="13" t="n">
        <f aca="false">AV$41+AW$39</f>
        <v>755044.1</v>
      </c>
      <c r="AX41" s="13" t="n">
        <f aca="false">AW$41+AX$39</f>
        <v>755044.1</v>
      </c>
      <c r="AY41" s="13" t="n">
        <f aca="false">AX$41+AY$39</f>
        <v>755044.1</v>
      </c>
      <c r="AZ41" s="13" t="n">
        <f aca="false">AY$41+AZ$39</f>
        <v>755044.1</v>
      </c>
      <c r="BA41" s="13" t="n">
        <f aca="false">AZ$41+BA$39</f>
        <v>755044.1</v>
      </c>
      <c r="BB41" s="13" t="n">
        <f aca="false">BA$41+BB$39</f>
        <v>755044.1</v>
      </c>
      <c r="BC41" s="13" t="n">
        <f aca="false">BB$41+BC$39</f>
        <v>755044.1</v>
      </c>
      <c r="BD41" s="13" t="n">
        <f aca="false">BC$41+BD$39</f>
        <v>755044.1</v>
      </c>
      <c r="BE41" s="13" t="n">
        <f aca="false">BD$41+BE$39</f>
        <v>755044.1</v>
      </c>
      <c r="BF41" s="13" t="n">
        <f aca="false">BE$41+BF$39</f>
        <v>755044.1</v>
      </c>
      <c r="BG41" s="13" t="n">
        <f aca="false">BF$41+BG$39</f>
        <v>755044.1</v>
      </c>
      <c r="BH41" s="13" t="n">
        <f aca="false">BG$41+BH$39</f>
        <v>755044.1</v>
      </c>
      <c r="BI41" s="13" t="n">
        <f aca="false">BH$41+BI$39</f>
        <v>755044.1</v>
      </c>
      <c r="BJ41" s="13" t="n">
        <f aca="false">BI$41+BJ$39</f>
        <v>755044.1</v>
      </c>
      <c r="BK41" s="13" t="n">
        <f aca="false">BJ$41+BK$39</f>
        <v>755044.1</v>
      </c>
      <c r="BL41" s="13" t="n">
        <f aca="false">BK$41+BL$39</f>
        <v>755044.1</v>
      </c>
      <c r="BM41" s="13" t="n">
        <f aca="false">BL$41+BM$39</f>
        <v>755044.1</v>
      </c>
      <c r="BN41" s="13" t="n">
        <f aca="false">BM$41+BN$39</f>
        <v>755044.1</v>
      </c>
      <c r="BO41" s="13" t="n">
        <f aca="false">BN$41+BO$39</f>
        <v>755044.1</v>
      </c>
      <c r="BP41" s="13" t="n">
        <f aca="false">BO$41+BP$39</f>
        <v>755044.1</v>
      </c>
      <c r="BQ41" s="13" t="n">
        <f aca="false">BP$41+BQ$39</f>
        <v>755044.1</v>
      </c>
      <c r="BR41" s="13" t="n">
        <f aca="false">BQ$41+BR$39</f>
        <v>755044.1</v>
      </c>
      <c r="BS41" s="13" t="n">
        <f aca="false">BR$41+BS$39</f>
        <v>755044.1</v>
      </c>
      <c r="BT41" s="13" t="n">
        <f aca="false">BS$41+BT$39</f>
        <v>755044.1</v>
      </c>
      <c r="BU41" s="13" t="n">
        <f aca="false">BT$41+BU$39</f>
        <v>755044.1</v>
      </c>
      <c r="BV41" s="13" t="n">
        <f aca="false">BU$41+BV$39</f>
        <v>755044.1</v>
      </c>
      <c r="BW41" s="13" t="n">
        <f aca="false">BV$41+BW$39</f>
        <v>755044.1</v>
      </c>
      <c r="BX41" s="13" t="n">
        <f aca="false">BW$41+BX$39</f>
        <v>755044.1</v>
      </c>
      <c r="BY41" s="13" t="n">
        <f aca="false">BX$41+BY$39</f>
        <v>755044.1</v>
      </c>
      <c r="BZ41" s="13" t="n">
        <f aca="false">BY$41+BZ$39</f>
        <v>755044.1</v>
      </c>
      <c r="CA41" s="13" t="n">
        <f aca="false">BZ$41+CA$39</f>
        <v>755044.1</v>
      </c>
      <c r="CB41" s="13" t="n">
        <f aca="false">CA$41+CB$39</f>
        <v>755044.1</v>
      </c>
      <c r="CC41" s="13" t="n">
        <f aca="false">CB$41+CC$39</f>
        <v>755044.1</v>
      </c>
      <c r="CD41" s="13" t="n">
        <f aca="false">CC$41+CD$39</f>
        <v>755044.1</v>
      </c>
      <c r="CE41" s="13" t="n">
        <f aca="false">CD$41+CE$39</f>
        <v>755044.1</v>
      </c>
      <c r="CF41" s="13" t="n">
        <f aca="false">CE$41+CF$39</f>
        <v>755044.1</v>
      </c>
      <c r="CG41" s="13" t="n">
        <f aca="false">CF$41+CG$39</f>
        <v>755044.1</v>
      </c>
      <c r="CH41" s="13" t="n">
        <f aca="false">CG$41+CH$39</f>
        <v>755044.1</v>
      </c>
      <c r="CI41" s="13" t="n">
        <f aca="false">CH$41+CI$39</f>
        <v>755044.1</v>
      </c>
      <c r="CJ41" s="13" t="n">
        <f aca="false">CI$41+CJ$39</f>
        <v>755044.1</v>
      </c>
      <c r="CK41" s="13" t="n">
        <f aca="false">CJ$41+CK$39</f>
        <v>755044.1</v>
      </c>
      <c r="CL41" s="13" t="n">
        <f aca="false">CK$41+CL$39</f>
        <v>755044.1</v>
      </c>
      <c r="CM41" s="13" t="n">
        <f aca="false">CL$41+CM$39</f>
        <v>755044.1</v>
      </c>
      <c r="CN41" s="13" t="n">
        <f aca="false">CM$41+CN$39</f>
        <v>755044.1</v>
      </c>
      <c r="CO41" s="13" t="n">
        <f aca="false">CN$41+CO$39</f>
        <v>755044.1</v>
      </c>
      <c r="CP41" s="13" t="n">
        <f aca="false">CO$41+CP$39</f>
        <v>755044.1</v>
      </c>
      <c r="CQ41" s="13" t="n">
        <f aca="false">CP$41+CQ$39</f>
        <v>755044.1</v>
      </c>
      <c r="CR41" s="13" t="n">
        <f aca="false">CQ$41+CR$39</f>
        <v>755044.1</v>
      </c>
      <c r="CS41" s="13" t="n">
        <f aca="false">CR$41+CS$39</f>
        <v>755044.1</v>
      </c>
      <c r="CT41" s="13" t="n">
        <f aca="false">CS$41+CT$39</f>
        <v>755044.1</v>
      </c>
      <c r="CU41" s="13" t="n">
        <f aca="false">CT$41+CU$39</f>
        <v>755044.1</v>
      </c>
      <c r="CV41" s="13" t="n">
        <f aca="false">CU$41+CV$39</f>
        <v>755044.1</v>
      </c>
      <c r="CW41" s="13" t="n">
        <f aca="false">CV$41+CW$39</f>
        <v>755044.1</v>
      </c>
      <c r="CX41" s="13" t="n">
        <f aca="false">CW$41+CX$39</f>
        <v>755044.1</v>
      </c>
      <c r="CY41" s="13" t="n">
        <f aca="false">CX$41+CY$39</f>
        <v>755044.1</v>
      </c>
      <c r="CZ41" s="13" t="n">
        <f aca="false">CY$41+CZ$39</f>
        <v>755044.1</v>
      </c>
      <c r="DA41" s="13" t="n">
        <f aca="false">CZ$41+DA$39</f>
        <v>755044.1</v>
      </c>
      <c r="DB41" s="13" t="n">
        <f aca="false">DA$41+DB$39</f>
        <v>755044.1</v>
      </c>
      <c r="DC41" s="13" t="n">
        <f aca="false">DB$41+DC$39</f>
        <v>755044.1</v>
      </c>
      <c r="DD41" s="13" t="n">
        <f aca="false">DC$41+DD$39</f>
        <v>755044.1</v>
      </c>
      <c r="DE41" s="13" t="n">
        <f aca="false">DD$41+DE$39</f>
        <v>755044.1</v>
      </c>
      <c r="DF41" s="13" t="n">
        <f aca="false">DE$41+DF$39</f>
        <v>755044.1</v>
      </c>
      <c r="DG41" s="13" t="n">
        <f aca="false">DF$41+DG$39</f>
        <v>755044.1</v>
      </c>
      <c r="DH41" s="13" t="n">
        <f aca="false">DG$41+DH$39</f>
        <v>755044.1</v>
      </c>
      <c r="DI41" s="13" t="n">
        <f aca="false">DH$41+DI$39</f>
        <v>755044.1</v>
      </c>
      <c r="DJ41" s="13" t="n">
        <f aca="false">DI$41+DJ$39</f>
        <v>755044.1</v>
      </c>
      <c r="DK41" s="13" t="n">
        <f aca="false">DJ$41+DK$39</f>
        <v>755044.1</v>
      </c>
      <c r="DL41" s="13" t="n">
        <f aca="false">DK$41+DL$39</f>
        <v>755044.1</v>
      </c>
      <c r="DM41" s="13" t="n">
        <f aca="false">DL$41+DM$39</f>
        <v>755044.1</v>
      </c>
      <c r="DN41" s="13" t="n">
        <f aca="false">DM$41+DN$39</f>
        <v>755044.1</v>
      </c>
      <c r="DO41" s="13" t="n">
        <f aca="false">DN$41+DO$39</f>
        <v>755044.1</v>
      </c>
      <c r="DP41" s="13" t="n">
        <f aca="false">DO$41+DP$39</f>
        <v>755044.1</v>
      </c>
      <c r="DQ41" s="13" t="n">
        <f aca="false">DP$41+DQ$39</f>
        <v>755044.1</v>
      </c>
      <c r="DR41" s="13" t="n">
        <f aca="false">DQ$41+DR$39</f>
        <v>755044.1</v>
      </c>
      <c r="DS41" s="13" t="n">
        <f aca="false">DR$41+DS$39</f>
        <v>755044.1</v>
      </c>
      <c r="DT41" s="13" t="n">
        <f aca="false">DS$41+DT$39</f>
        <v>755044.1</v>
      </c>
      <c r="DU41" s="13" t="n">
        <f aca="false">DT$41+DU$39</f>
        <v>755044.1</v>
      </c>
      <c r="DV41" s="13" t="n">
        <f aca="false">DU$41+DV$39</f>
        <v>755044.1</v>
      </c>
      <c r="DW41" s="13" t="n">
        <f aca="false">DV$41+DW$39</f>
        <v>755044.1</v>
      </c>
      <c r="DX41" s="13" t="n">
        <f aca="false">DW$41+DX$39</f>
        <v>755044.1</v>
      </c>
      <c r="DY41" s="13" t="n">
        <f aca="false">DX$41+DY$39</f>
        <v>755044.1</v>
      </c>
      <c r="DZ41" s="13" t="n">
        <f aca="false">DY$41+DZ$39</f>
        <v>755044.1</v>
      </c>
      <c r="EA41" s="13" t="n">
        <f aca="false">DZ$41+EA$39</f>
        <v>755044.1</v>
      </c>
      <c r="EB41" s="13" t="n">
        <f aca="false">EA$41+EB$39</f>
        <v>755044.1</v>
      </c>
      <c r="EC41" s="13" t="n">
        <f aca="false">EB$41+EC$39</f>
        <v>755044.1</v>
      </c>
      <c r="ED41" s="13" t="n">
        <f aca="false">EC$41+ED$39</f>
        <v>755044.1</v>
      </c>
      <c r="EE41" s="13" t="n">
        <f aca="false">ED$41+EE$39</f>
        <v>755044.1</v>
      </c>
      <c r="EF41" s="13" t="n">
        <f aca="false">EE$41+EF$39</f>
        <v>755044.1</v>
      </c>
      <c r="EG41" s="13" t="n">
        <f aca="false">EF$41+EG$39</f>
        <v>755044.1</v>
      </c>
      <c r="EH41" s="13" t="n">
        <f aca="false">EG$41+EH$39</f>
        <v>755044.1</v>
      </c>
      <c r="EI41" s="13" t="n">
        <f aca="false">EH$41+EI$39</f>
        <v>755044.1</v>
      </c>
      <c r="EJ41" s="13" t="n">
        <f aca="false">EI$41+EJ$39</f>
        <v>755044.1</v>
      </c>
      <c r="EK41" s="13" t="n">
        <f aca="false">EJ$41+EK$39</f>
        <v>755044.1</v>
      </c>
      <c r="EL41" s="13" t="n">
        <f aca="false">EK$41+EL$39</f>
        <v>755044.1</v>
      </c>
      <c r="EM41" s="13" t="n">
        <f aca="false">EL$41+EM$39</f>
        <v>755044.1</v>
      </c>
      <c r="EN41" s="13" t="n">
        <f aca="false">EM$41+EN$39</f>
        <v>755044.1</v>
      </c>
      <c r="EO41" s="13" t="n">
        <f aca="false">EN$41+EO$39</f>
        <v>755044.1</v>
      </c>
      <c r="EP41" s="13" t="n">
        <f aca="false">EO$41+EP$39</f>
        <v>755044.1</v>
      </c>
      <c r="EQ41" s="13" t="n">
        <f aca="false">EP$41+EQ$39</f>
        <v>755044.1</v>
      </c>
      <c r="ER41" s="13" t="n">
        <f aca="false">EQ$41+ER$39</f>
        <v>755044.1</v>
      </c>
      <c r="ES41" s="13" t="n">
        <f aca="false">ER$41+ES$39</f>
        <v>755044.1</v>
      </c>
      <c r="ET41" s="13" t="n">
        <f aca="false">ES$41+ET$39</f>
        <v>755044.1</v>
      </c>
      <c r="EU41" s="13" t="n">
        <f aca="false">ET$41+EU$39</f>
        <v>755044.1</v>
      </c>
      <c r="EV41" s="13" t="n">
        <f aca="false">EU$41+EV$39</f>
        <v>755044.1</v>
      </c>
      <c r="EW41" s="13" t="n">
        <f aca="false">EV$41+EW$39</f>
        <v>755044.1</v>
      </c>
      <c r="EX41" s="13" t="n">
        <f aca="false">EW$41+EX$39</f>
        <v>755044.1</v>
      </c>
      <c r="EY41" s="13" t="n">
        <f aca="false">EX$41+EY$39</f>
        <v>755044.1</v>
      </c>
      <c r="EZ41" s="13" t="n">
        <f aca="false">EY$41+EZ$39</f>
        <v>755044.1</v>
      </c>
      <c r="FA41" s="13" t="n">
        <f aca="false">EZ$41+FA$39</f>
        <v>755044.1</v>
      </c>
      <c r="FB41" s="13" t="n">
        <f aca="false">FA$41+FB$39</f>
        <v>755044.1</v>
      </c>
      <c r="FC41" s="13" t="n">
        <f aca="false">FB$41+FC$39</f>
        <v>755044.1</v>
      </c>
      <c r="FD41" s="13" t="n">
        <f aca="false">FC$41+FD$39</f>
        <v>755044.1</v>
      </c>
      <c r="FE41" s="13" t="n">
        <f aca="false">FD$41+FE$39</f>
        <v>755044.1</v>
      </c>
      <c r="FF41" s="13" t="n">
        <f aca="false">FE$41+FF$39</f>
        <v>755044.1</v>
      </c>
    </row>
    <row r="42" customFormat="false" ht="15" hidden="false" customHeight="false" outlineLevel="0" collapsed="false">
      <c r="A42" s="2" t="s">
        <v>1233</v>
      </c>
      <c r="B42" s="8" t="s">
        <v>1234</v>
      </c>
      <c r="C42" s="8" t="s">
        <v>255</v>
      </c>
      <c r="E42" s="65" t="n">
        <f aca="false">INDEX($F42:$FF42,1,p_MesFin+1)</f>
        <v>755044.1</v>
      </c>
      <c r="F42" s="13" t="n">
        <f aca="false">0+F$38</f>
        <v>655044.1</v>
      </c>
      <c r="G42" s="13" t="n">
        <f aca="false">F$42+G$38</f>
        <v>655044.1</v>
      </c>
      <c r="H42" s="13" t="n">
        <f aca="false">G$42+H$38</f>
        <v>655044.1</v>
      </c>
      <c r="I42" s="13" t="n">
        <f aca="false">H$42+I$38</f>
        <v>655044.1</v>
      </c>
      <c r="J42" s="13" t="n">
        <f aca="false">I$42+J$38</f>
        <v>655044.1</v>
      </c>
      <c r="K42" s="13" t="n">
        <f aca="false">J$42+K$38</f>
        <v>655044.1</v>
      </c>
      <c r="L42" s="13" t="n">
        <f aca="false">K$42+L$38</f>
        <v>655044.1</v>
      </c>
      <c r="M42" s="13" t="n">
        <f aca="false">L$42+M$38</f>
        <v>655044.1</v>
      </c>
      <c r="N42" s="13" t="n">
        <f aca="false">M$42+N$38</f>
        <v>655044.1</v>
      </c>
      <c r="O42" s="13" t="n">
        <f aca="false">N$42+O$38</f>
        <v>655044.1</v>
      </c>
      <c r="P42" s="13" t="n">
        <f aca="false">O$42+P$38</f>
        <v>655044.1</v>
      </c>
      <c r="Q42" s="13" t="n">
        <f aca="false">P$42+Q$38</f>
        <v>655044.1</v>
      </c>
      <c r="R42" s="13" t="n">
        <f aca="false">Q$42+R$38</f>
        <v>655044.1</v>
      </c>
      <c r="S42" s="13" t="n">
        <f aca="false">R$42+S$38</f>
        <v>755044.1</v>
      </c>
      <c r="T42" s="13" t="n">
        <f aca="false">S$42+T$38</f>
        <v>755044.1</v>
      </c>
      <c r="U42" s="13" t="n">
        <f aca="false">T$42+U$38</f>
        <v>755044.1</v>
      </c>
      <c r="V42" s="13" t="n">
        <f aca="false">U$42+V$38</f>
        <v>755044.1</v>
      </c>
      <c r="W42" s="13" t="n">
        <f aca="false">V$42+W$38</f>
        <v>755044.1</v>
      </c>
      <c r="X42" s="13" t="n">
        <f aca="false">W$42+X$38</f>
        <v>755044.1</v>
      </c>
      <c r="Y42" s="13" t="n">
        <f aca="false">X$42+Y$38</f>
        <v>755044.1</v>
      </c>
      <c r="Z42" s="13" t="n">
        <f aca="false">Y$42+Z$38</f>
        <v>755044.1</v>
      </c>
      <c r="AA42" s="13" t="n">
        <f aca="false">Z$42+AA$38</f>
        <v>755044.1</v>
      </c>
      <c r="AB42" s="13" t="n">
        <f aca="false">AA$42+AB$38</f>
        <v>755044.1</v>
      </c>
      <c r="AC42" s="13" t="n">
        <f aca="false">AB$42+AC$38</f>
        <v>755044.1</v>
      </c>
      <c r="AD42" s="13" t="n">
        <f aca="false">AC$42+AD$38</f>
        <v>755044.1</v>
      </c>
      <c r="AE42" s="13" t="n">
        <f aca="false">AD$42+AE$38</f>
        <v>755044.1</v>
      </c>
      <c r="AF42" s="13" t="n">
        <f aca="false">AE$42+AF$38</f>
        <v>755044.1</v>
      </c>
      <c r="AG42" s="13" t="n">
        <f aca="false">AF$42+AG$38</f>
        <v>755044.1</v>
      </c>
      <c r="AH42" s="13" t="n">
        <f aca="false">AG$42+AH$38</f>
        <v>755044.1</v>
      </c>
      <c r="AI42" s="13" t="n">
        <f aca="false">AH$42+AI$38</f>
        <v>755044.1</v>
      </c>
      <c r="AJ42" s="13" t="n">
        <f aca="false">AI$42+AJ$38</f>
        <v>755044.1</v>
      </c>
      <c r="AK42" s="13" t="n">
        <f aca="false">AJ$42+AK$38</f>
        <v>755044.1</v>
      </c>
      <c r="AL42" s="13" t="n">
        <f aca="false">AK$42+AL$38</f>
        <v>755044.1</v>
      </c>
      <c r="AM42" s="13" t="n">
        <f aca="false">AL$42+AM$38</f>
        <v>755044.1</v>
      </c>
      <c r="AN42" s="13" t="n">
        <f aca="false">AM$42+AN$38</f>
        <v>755044.1</v>
      </c>
      <c r="AO42" s="13" t="n">
        <f aca="false">AN$42+AO$38</f>
        <v>755044.1</v>
      </c>
      <c r="AP42" s="13" t="n">
        <f aca="false">AO$42+AP$38</f>
        <v>755044.1</v>
      </c>
      <c r="AQ42" s="13" t="n">
        <f aca="false">AP$42+AQ$38</f>
        <v>755044.1</v>
      </c>
      <c r="AR42" s="13" t="n">
        <f aca="false">AQ$42+AR$38</f>
        <v>755044.1</v>
      </c>
      <c r="AS42" s="13" t="n">
        <f aca="false">AR$42+AS$38</f>
        <v>755044.1</v>
      </c>
      <c r="AT42" s="13" t="n">
        <f aca="false">AS$42+AT$38</f>
        <v>755044.1</v>
      </c>
      <c r="AU42" s="13" t="n">
        <f aca="false">AT$42+AU$38</f>
        <v>755044.1</v>
      </c>
      <c r="AV42" s="13" t="n">
        <f aca="false">AU$42+AV$38</f>
        <v>755044.1</v>
      </c>
      <c r="AW42" s="13" t="n">
        <f aca="false">AV$42+AW$38</f>
        <v>755044.1</v>
      </c>
      <c r="AX42" s="13" t="n">
        <f aca="false">AW$42+AX$38</f>
        <v>755044.1</v>
      </c>
      <c r="AY42" s="13" t="n">
        <f aca="false">AX$42+AY$38</f>
        <v>755044.1</v>
      </c>
      <c r="AZ42" s="13" t="n">
        <f aca="false">AY$42+AZ$38</f>
        <v>755044.1</v>
      </c>
      <c r="BA42" s="13" t="n">
        <f aca="false">AZ$42+BA$38</f>
        <v>755044.1</v>
      </c>
      <c r="BB42" s="13" t="n">
        <f aca="false">BA$42+BB$38</f>
        <v>755044.1</v>
      </c>
      <c r="BC42" s="13" t="n">
        <f aca="false">BB$42+BC$38</f>
        <v>755044.1</v>
      </c>
      <c r="BD42" s="13" t="n">
        <f aca="false">BC$42+BD$38</f>
        <v>755044.1</v>
      </c>
      <c r="BE42" s="13" t="n">
        <f aca="false">BD$42+BE$38</f>
        <v>755044.1</v>
      </c>
      <c r="BF42" s="13" t="n">
        <f aca="false">BE$42+BF$38</f>
        <v>755044.1</v>
      </c>
      <c r="BG42" s="13" t="n">
        <f aca="false">BF$42+BG$38</f>
        <v>755044.1</v>
      </c>
      <c r="BH42" s="13" t="n">
        <f aca="false">BG$42+BH$38</f>
        <v>755044.1</v>
      </c>
      <c r="BI42" s="13" t="n">
        <f aca="false">BH$42+BI$38</f>
        <v>755044.1</v>
      </c>
      <c r="BJ42" s="13" t="n">
        <f aca="false">BI$42+BJ$38</f>
        <v>755044.1</v>
      </c>
      <c r="BK42" s="13" t="n">
        <f aca="false">BJ$42+BK$38</f>
        <v>755044.1</v>
      </c>
      <c r="BL42" s="13" t="n">
        <f aca="false">BK$42+BL$38</f>
        <v>755044.1</v>
      </c>
      <c r="BM42" s="13" t="n">
        <f aca="false">BL$42+BM$38</f>
        <v>755044.1</v>
      </c>
      <c r="BN42" s="13" t="n">
        <f aca="false">BM$42+BN$38</f>
        <v>755044.1</v>
      </c>
      <c r="BO42" s="13" t="n">
        <f aca="false">BN$42+BO$38</f>
        <v>755044.1</v>
      </c>
      <c r="BP42" s="13" t="n">
        <f aca="false">BO$42+BP$38</f>
        <v>755044.1</v>
      </c>
      <c r="BQ42" s="13" t="n">
        <f aca="false">BP$42+BQ$38</f>
        <v>755044.1</v>
      </c>
      <c r="BR42" s="13" t="n">
        <f aca="false">BQ$42+BR$38</f>
        <v>755044.1</v>
      </c>
      <c r="BS42" s="13" t="n">
        <f aca="false">BR$42+BS$38</f>
        <v>755044.1</v>
      </c>
      <c r="BT42" s="13" t="n">
        <f aca="false">BS$42+BT$38</f>
        <v>755044.1</v>
      </c>
      <c r="BU42" s="13" t="n">
        <f aca="false">BT$42+BU$38</f>
        <v>755044.1</v>
      </c>
      <c r="BV42" s="13" t="n">
        <f aca="false">BU$42+BV$38</f>
        <v>755044.1</v>
      </c>
      <c r="BW42" s="13" t="n">
        <f aca="false">BV$42+BW$38</f>
        <v>755044.1</v>
      </c>
      <c r="BX42" s="13" t="n">
        <f aca="false">BW$42+BX$38</f>
        <v>755044.1</v>
      </c>
      <c r="BY42" s="13" t="n">
        <f aca="false">BX$42+BY$38</f>
        <v>755044.1</v>
      </c>
      <c r="BZ42" s="13" t="n">
        <f aca="false">BY$42+BZ$38</f>
        <v>755044.1</v>
      </c>
      <c r="CA42" s="13" t="n">
        <f aca="false">BZ$42+CA$38</f>
        <v>755044.1</v>
      </c>
      <c r="CB42" s="13" t="n">
        <f aca="false">CA$42+CB$38</f>
        <v>755044.1</v>
      </c>
      <c r="CC42" s="13" t="n">
        <f aca="false">CB$42+CC$38</f>
        <v>755044.1</v>
      </c>
      <c r="CD42" s="13" t="n">
        <f aca="false">CC$42+CD$38</f>
        <v>755044.1</v>
      </c>
      <c r="CE42" s="13" t="n">
        <f aca="false">CD$42+CE$38</f>
        <v>755044.1</v>
      </c>
      <c r="CF42" s="13" t="n">
        <f aca="false">CE$42+CF$38</f>
        <v>755044.1</v>
      </c>
      <c r="CG42" s="13" t="n">
        <f aca="false">CF$42+CG$38</f>
        <v>755044.1</v>
      </c>
      <c r="CH42" s="13" t="n">
        <f aca="false">CG$42+CH$38</f>
        <v>755044.1</v>
      </c>
      <c r="CI42" s="13" t="n">
        <f aca="false">CH$42+CI$38</f>
        <v>755044.1</v>
      </c>
      <c r="CJ42" s="13" t="n">
        <f aca="false">CI$42+CJ$38</f>
        <v>755044.1</v>
      </c>
      <c r="CK42" s="13" t="n">
        <f aca="false">CJ$42+CK$38</f>
        <v>755044.1</v>
      </c>
      <c r="CL42" s="13" t="n">
        <f aca="false">CK$42+CL$38</f>
        <v>755044.1</v>
      </c>
      <c r="CM42" s="13" t="n">
        <f aca="false">CL$42+CM$38</f>
        <v>755044.1</v>
      </c>
      <c r="CN42" s="13" t="n">
        <f aca="false">CM$42+CN$38</f>
        <v>755044.1</v>
      </c>
      <c r="CO42" s="13" t="n">
        <f aca="false">CN$42+CO$38</f>
        <v>755044.1</v>
      </c>
      <c r="CP42" s="13" t="n">
        <f aca="false">CO$42+CP$38</f>
        <v>755044.1</v>
      </c>
      <c r="CQ42" s="13" t="n">
        <f aca="false">CP$42+CQ$38</f>
        <v>755044.1</v>
      </c>
      <c r="CR42" s="13" t="n">
        <f aca="false">CQ$42+CR$38</f>
        <v>755044.1</v>
      </c>
      <c r="CS42" s="13" t="n">
        <f aca="false">CR$42+CS$38</f>
        <v>755044.1</v>
      </c>
      <c r="CT42" s="13" t="n">
        <f aca="false">CS$42+CT$38</f>
        <v>755044.1</v>
      </c>
      <c r="CU42" s="13" t="n">
        <f aca="false">CT$42+CU$38</f>
        <v>755044.1</v>
      </c>
      <c r="CV42" s="13" t="n">
        <f aca="false">CU$42+CV$38</f>
        <v>755044.1</v>
      </c>
      <c r="CW42" s="13" t="n">
        <f aca="false">CV$42+CW$38</f>
        <v>755044.1</v>
      </c>
      <c r="CX42" s="13" t="n">
        <f aca="false">CW$42+CX$38</f>
        <v>755044.1</v>
      </c>
      <c r="CY42" s="13" t="n">
        <f aca="false">CX$42+CY$38</f>
        <v>755044.1</v>
      </c>
      <c r="CZ42" s="13" t="n">
        <f aca="false">CY$42+CZ$38</f>
        <v>755044.1</v>
      </c>
      <c r="DA42" s="13" t="n">
        <f aca="false">CZ$42+DA$38</f>
        <v>755044.1</v>
      </c>
      <c r="DB42" s="13" t="n">
        <f aca="false">DA$42+DB$38</f>
        <v>755044.1</v>
      </c>
      <c r="DC42" s="13" t="n">
        <f aca="false">DB$42+DC$38</f>
        <v>755044.1</v>
      </c>
      <c r="DD42" s="13" t="n">
        <f aca="false">DC$42+DD$38</f>
        <v>755044.1</v>
      </c>
      <c r="DE42" s="13" t="n">
        <f aca="false">DD$42+DE$38</f>
        <v>755044.1</v>
      </c>
      <c r="DF42" s="13" t="n">
        <f aca="false">DE$42+DF$38</f>
        <v>755044.1</v>
      </c>
      <c r="DG42" s="13" t="n">
        <f aca="false">DF$42+DG$38</f>
        <v>755044.1</v>
      </c>
      <c r="DH42" s="13" t="n">
        <f aca="false">DG$42+DH$38</f>
        <v>755044.1</v>
      </c>
      <c r="DI42" s="13" t="n">
        <f aca="false">DH$42+DI$38</f>
        <v>755044.1</v>
      </c>
      <c r="DJ42" s="13" t="n">
        <f aca="false">DI$42+DJ$38</f>
        <v>755044.1</v>
      </c>
      <c r="DK42" s="13" t="n">
        <f aca="false">DJ$42+DK$38</f>
        <v>755044.1</v>
      </c>
      <c r="DL42" s="13" t="n">
        <f aca="false">DK$42+DL$38</f>
        <v>755044.1</v>
      </c>
      <c r="DM42" s="13" t="n">
        <f aca="false">DL$42+DM$38</f>
        <v>755044.1</v>
      </c>
      <c r="DN42" s="13" t="n">
        <f aca="false">DM$42+DN$38</f>
        <v>755044.1</v>
      </c>
      <c r="DO42" s="13" t="n">
        <f aca="false">DN$42+DO$38</f>
        <v>755044.1</v>
      </c>
      <c r="DP42" s="13" t="n">
        <f aca="false">DO$42+DP$38</f>
        <v>755044.1</v>
      </c>
      <c r="DQ42" s="13" t="n">
        <f aca="false">DP$42+DQ$38</f>
        <v>755044.1</v>
      </c>
      <c r="DR42" s="13" t="n">
        <f aca="false">DQ$42+DR$38</f>
        <v>755044.1</v>
      </c>
      <c r="DS42" s="13" t="n">
        <f aca="false">DR$42+DS$38</f>
        <v>755044.1</v>
      </c>
      <c r="DT42" s="13" t="n">
        <f aca="false">DS$42+DT$38</f>
        <v>755044.1</v>
      </c>
      <c r="DU42" s="13" t="n">
        <f aca="false">DT$42+DU$38</f>
        <v>755044.1</v>
      </c>
      <c r="DV42" s="13" t="n">
        <f aca="false">DU$42+DV$38</f>
        <v>755044.1</v>
      </c>
      <c r="DW42" s="13" t="n">
        <f aca="false">DV$42+DW$38</f>
        <v>755044.1</v>
      </c>
      <c r="DX42" s="13" t="n">
        <f aca="false">DW$42+DX$38</f>
        <v>755044.1</v>
      </c>
      <c r="DY42" s="13" t="n">
        <f aca="false">DX$42+DY$38</f>
        <v>755044.1</v>
      </c>
      <c r="DZ42" s="13" t="n">
        <f aca="false">DY$42+DZ$38</f>
        <v>755044.1</v>
      </c>
      <c r="EA42" s="13" t="n">
        <f aca="false">DZ$42+EA$38</f>
        <v>755044.1</v>
      </c>
      <c r="EB42" s="13" t="n">
        <f aca="false">EA$42+EB$38</f>
        <v>755044.1</v>
      </c>
      <c r="EC42" s="13" t="n">
        <f aca="false">EB$42+EC$38</f>
        <v>755044.1</v>
      </c>
      <c r="ED42" s="13" t="n">
        <f aca="false">EC$42+ED$38</f>
        <v>755044.1</v>
      </c>
      <c r="EE42" s="13" t="n">
        <f aca="false">ED$42+EE$38</f>
        <v>755044.1</v>
      </c>
      <c r="EF42" s="13" t="n">
        <f aca="false">EE$42+EF$38</f>
        <v>755044.1</v>
      </c>
      <c r="EG42" s="13" t="n">
        <f aca="false">EF$42+EG$38</f>
        <v>755044.1</v>
      </c>
      <c r="EH42" s="13" t="n">
        <f aca="false">EG$42+EH$38</f>
        <v>755044.1</v>
      </c>
      <c r="EI42" s="13" t="n">
        <f aca="false">EH$42+EI$38</f>
        <v>755044.1</v>
      </c>
      <c r="EJ42" s="13" t="n">
        <f aca="false">EI$42+EJ$38</f>
        <v>755044.1</v>
      </c>
      <c r="EK42" s="13" t="n">
        <f aca="false">EJ$42+EK$38</f>
        <v>755044.1</v>
      </c>
      <c r="EL42" s="13" t="n">
        <f aca="false">EK$42+EL$38</f>
        <v>755044.1</v>
      </c>
      <c r="EM42" s="13" t="n">
        <f aca="false">EL$42+EM$38</f>
        <v>755044.1</v>
      </c>
      <c r="EN42" s="13" t="n">
        <f aca="false">EM$42+EN$38</f>
        <v>755044.1</v>
      </c>
      <c r="EO42" s="13" t="n">
        <f aca="false">EN$42+EO$38</f>
        <v>755044.1</v>
      </c>
      <c r="EP42" s="13" t="n">
        <f aca="false">EO$42+EP$38</f>
        <v>755044.1</v>
      </c>
      <c r="EQ42" s="13" t="n">
        <f aca="false">EP$42+EQ$38</f>
        <v>755044.1</v>
      </c>
      <c r="ER42" s="13" t="n">
        <f aca="false">EQ$42+ER$38</f>
        <v>755044.1</v>
      </c>
      <c r="ES42" s="13" t="n">
        <f aca="false">ER$42+ES$38</f>
        <v>755044.1</v>
      </c>
      <c r="ET42" s="13" t="n">
        <f aca="false">ES$42+ET$38</f>
        <v>755044.1</v>
      </c>
      <c r="EU42" s="13" t="n">
        <f aca="false">ET$42+EU$38</f>
        <v>755044.1</v>
      </c>
      <c r="EV42" s="13" t="n">
        <f aca="false">EU$42+EV$38</f>
        <v>755044.1</v>
      </c>
      <c r="EW42" s="13" t="n">
        <f aca="false">EV$42+EW$38</f>
        <v>755044.1</v>
      </c>
      <c r="EX42" s="13" t="n">
        <f aca="false">EW$42+EX$38</f>
        <v>755044.1</v>
      </c>
      <c r="EY42" s="13" t="n">
        <f aca="false">EX$42+EY$38</f>
        <v>755044.1</v>
      </c>
      <c r="EZ42" s="13" t="n">
        <f aca="false">EY$42+EZ$38</f>
        <v>755044.1</v>
      </c>
      <c r="FA42" s="13" t="n">
        <f aca="false">EZ$42+FA$38</f>
        <v>755044.1</v>
      </c>
      <c r="FB42" s="13" t="n">
        <f aca="false">FA$42+FB$38</f>
        <v>755044.1</v>
      </c>
      <c r="FC42" s="13" t="n">
        <f aca="false">FB$42+FC$38</f>
        <v>755044.1</v>
      </c>
      <c r="FD42" s="13" t="n">
        <f aca="false">FC$42+FD$38</f>
        <v>755044.1</v>
      </c>
      <c r="FE42" s="13" t="n">
        <f aca="false">FD$42+FE$38</f>
        <v>755044.1</v>
      </c>
      <c r="FF42" s="13" t="n">
        <f aca="false">FE$42+FF$38</f>
        <v>755044.1</v>
      </c>
    </row>
    <row r="43" customFormat="false" ht="15" hidden="false" customHeight="false" outlineLevel="0" collapsed="false">
      <c r="A43" s="2" t="s">
        <v>1235</v>
      </c>
      <c r="B43" s="8" t="s">
        <v>1236</v>
      </c>
      <c r="C43" s="8" t="s">
        <v>255</v>
      </c>
      <c r="E43" s="65" t="n">
        <f aca="false">INDEX($F43:$FF43,1,p_MesFin+1)</f>
        <v>0</v>
      </c>
      <c r="F43" s="13" t="n">
        <f aca="false">F$41-F$42</f>
        <v>0</v>
      </c>
      <c r="G43" s="13" t="n">
        <f aca="false">G$41-G$42</f>
        <v>0</v>
      </c>
      <c r="H43" s="13" t="n">
        <f aca="false">H$41-H$42</f>
        <v>0</v>
      </c>
      <c r="I43" s="13" t="n">
        <f aca="false">I$41-I$42</f>
        <v>0</v>
      </c>
      <c r="J43" s="13" t="n">
        <f aca="false">J$41-J$42</f>
        <v>0</v>
      </c>
      <c r="K43" s="13" t="n">
        <f aca="false">K$41-K$42</f>
        <v>0</v>
      </c>
      <c r="L43" s="13" t="n">
        <f aca="false">L$41-L$42</f>
        <v>0</v>
      </c>
      <c r="M43" s="13" t="n">
        <f aca="false">M$41-M$42</f>
        <v>0</v>
      </c>
      <c r="N43" s="13" t="n">
        <f aca="false">N$41-N$42</f>
        <v>0</v>
      </c>
      <c r="O43" s="13" t="n">
        <f aca="false">O$41-O$42</f>
        <v>0</v>
      </c>
      <c r="P43" s="13" t="n">
        <f aca="false">P$41-P$42</f>
        <v>0</v>
      </c>
      <c r="Q43" s="13" t="n">
        <f aca="false">Q$41-Q$42</f>
        <v>0</v>
      </c>
      <c r="R43" s="13" t="n">
        <f aca="false">R$41-R$42</f>
        <v>0</v>
      </c>
      <c r="S43" s="13" t="n">
        <f aca="false">S$41-S$42</f>
        <v>0</v>
      </c>
      <c r="T43" s="13" t="n">
        <f aca="false">T$41-T$42</f>
        <v>0</v>
      </c>
      <c r="U43" s="13" t="n">
        <f aca="false">U$41-U$42</f>
        <v>0</v>
      </c>
      <c r="V43" s="13" t="n">
        <f aca="false">V$41-V$42</f>
        <v>0</v>
      </c>
      <c r="W43" s="13" t="n">
        <f aca="false">W$41-W$42</f>
        <v>0</v>
      </c>
      <c r="X43" s="13" t="n">
        <f aca="false">X$41-X$42</f>
        <v>0</v>
      </c>
      <c r="Y43" s="13" t="n">
        <f aca="false">Y$41-Y$42</f>
        <v>0</v>
      </c>
      <c r="Z43" s="13" t="n">
        <f aca="false">Z$41-Z$42</f>
        <v>0</v>
      </c>
      <c r="AA43" s="13" t="n">
        <f aca="false">AA$41-AA$42</f>
        <v>0</v>
      </c>
      <c r="AB43" s="13" t="n">
        <f aca="false">AB$41-AB$42</f>
        <v>0</v>
      </c>
      <c r="AC43" s="13" t="n">
        <f aca="false">AC$41-AC$42</f>
        <v>0</v>
      </c>
      <c r="AD43" s="13" t="n">
        <f aca="false">AD$41-AD$42</f>
        <v>0</v>
      </c>
      <c r="AE43" s="13" t="n">
        <f aca="false">AE$41-AE$42</f>
        <v>0</v>
      </c>
      <c r="AF43" s="13" t="n">
        <f aca="false">AF$41-AF$42</f>
        <v>0</v>
      </c>
      <c r="AG43" s="13" t="n">
        <f aca="false">AG$41-AG$42</f>
        <v>0</v>
      </c>
      <c r="AH43" s="13" t="n">
        <f aca="false">AH$41-AH$42</f>
        <v>0</v>
      </c>
      <c r="AI43" s="13" t="n">
        <f aca="false">AI$41-AI$42</f>
        <v>0</v>
      </c>
      <c r="AJ43" s="13" t="n">
        <f aca="false">AJ$41-AJ$42</f>
        <v>0</v>
      </c>
      <c r="AK43" s="13" t="n">
        <f aca="false">AK$41-AK$42</f>
        <v>0</v>
      </c>
      <c r="AL43" s="13" t="n">
        <f aca="false">AL$41-AL$42</f>
        <v>0</v>
      </c>
      <c r="AM43" s="13" t="n">
        <f aca="false">AM$41-AM$42</f>
        <v>0</v>
      </c>
      <c r="AN43" s="13" t="n">
        <f aca="false">AN$41-AN$42</f>
        <v>0</v>
      </c>
      <c r="AO43" s="13" t="n">
        <f aca="false">AO$41-AO$42</f>
        <v>0</v>
      </c>
      <c r="AP43" s="13" t="n">
        <f aca="false">AP$41-AP$42</f>
        <v>0</v>
      </c>
      <c r="AQ43" s="13" t="n">
        <f aca="false">AQ$41-AQ$42</f>
        <v>0</v>
      </c>
      <c r="AR43" s="13" t="n">
        <f aca="false">AR$41-AR$42</f>
        <v>0</v>
      </c>
      <c r="AS43" s="13" t="n">
        <f aca="false">AS$41-AS$42</f>
        <v>0</v>
      </c>
      <c r="AT43" s="13" t="n">
        <f aca="false">AT$41-AT$42</f>
        <v>0</v>
      </c>
      <c r="AU43" s="13" t="n">
        <f aca="false">AU$41-AU$42</f>
        <v>0</v>
      </c>
      <c r="AV43" s="13" t="n">
        <f aca="false">AV$41-AV$42</f>
        <v>0</v>
      </c>
      <c r="AW43" s="13" t="n">
        <f aca="false">AW$41-AW$42</f>
        <v>0</v>
      </c>
      <c r="AX43" s="13" t="n">
        <f aca="false">AX$41-AX$42</f>
        <v>0</v>
      </c>
      <c r="AY43" s="13" t="n">
        <f aca="false">AY$41-AY$42</f>
        <v>0</v>
      </c>
      <c r="AZ43" s="13" t="n">
        <f aca="false">AZ$41-AZ$42</f>
        <v>0</v>
      </c>
      <c r="BA43" s="13" t="n">
        <f aca="false">BA$41-BA$42</f>
        <v>0</v>
      </c>
      <c r="BB43" s="13" t="n">
        <f aca="false">BB$41-BB$42</f>
        <v>0</v>
      </c>
      <c r="BC43" s="13" t="n">
        <f aca="false">BC$41-BC$42</f>
        <v>0</v>
      </c>
      <c r="BD43" s="13" t="n">
        <f aca="false">BD$41-BD$42</f>
        <v>0</v>
      </c>
      <c r="BE43" s="13" t="n">
        <f aca="false">BE$41-BE$42</f>
        <v>0</v>
      </c>
      <c r="BF43" s="13" t="n">
        <f aca="false">BF$41-BF$42</f>
        <v>0</v>
      </c>
      <c r="BG43" s="13" t="n">
        <f aca="false">BG$41-BG$42</f>
        <v>0</v>
      </c>
      <c r="BH43" s="13" t="n">
        <f aca="false">BH$41-BH$42</f>
        <v>0</v>
      </c>
      <c r="BI43" s="13" t="n">
        <f aca="false">BI$41-BI$42</f>
        <v>0</v>
      </c>
      <c r="BJ43" s="13" t="n">
        <f aca="false">BJ$41-BJ$42</f>
        <v>0</v>
      </c>
      <c r="BK43" s="13" t="n">
        <f aca="false">BK$41-BK$42</f>
        <v>0</v>
      </c>
      <c r="BL43" s="13" t="n">
        <f aca="false">BL$41-BL$42</f>
        <v>0</v>
      </c>
      <c r="BM43" s="13" t="n">
        <f aca="false">BM$41-BM$42</f>
        <v>0</v>
      </c>
      <c r="BN43" s="13" t="n">
        <f aca="false">BN$41-BN$42</f>
        <v>0</v>
      </c>
      <c r="BO43" s="13" t="n">
        <f aca="false">BO$41-BO$42</f>
        <v>0</v>
      </c>
      <c r="BP43" s="13" t="n">
        <f aca="false">BP$41-BP$42</f>
        <v>0</v>
      </c>
      <c r="BQ43" s="13" t="n">
        <f aca="false">BQ$41-BQ$42</f>
        <v>0</v>
      </c>
      <c r="BR43" s="13" t="n">
        <f aca="false">BR$41-BR$42</f>
        <v>0</v>
      </c>
      <c r="BS43" s="13" t="n">
        <f aca="false">BS$41-BS$42</f>
        <v>0</v>
      </c>
      <c r="BT43" s="13" t="n">
        <f aca="false">BT$41-BT$42</f>
        <v>0</v>
      </c>
      <c r="BU43" s="13" t="n">
        <f aca="false">BU$41-BU$42</f>
        <v>0</v>
      </c>
      <c r="BV43" s="13" t="n">
        <f aca="false">BV$41-BV$42</f>
        <v>0</v>
      </c>
      <c r="BW43" s="13" t="n">
        <f aca="false">BW$41-BW$42</f>
        <v>0</v>
      </c>
      <c r="BX43" s="13" t="n">
        <f aca="false">BX$41-BX$42</f>
        <v>0</v>
      </c>
      <c r="BY43" s="13" t="n">
        <f aca="false">BY$41-BY$42</f>
        <v>0</v>
      </c>
      <c r="BZ43" s="13" t="n">
        <f aca="false">BZ$41-BZ$42</f>
        <v>0</v>
      </c>
      <c r="CA43" s="13" t="n">
        <f aca="false">CA$41-CA$42</f>
        <v>0</v>
      </c>
      <c r="CB43" s="13" t="n">
        <f aca="false">CB$41-CB$42</f>
        <v>0</v>
      </c>
      <c r="CC43" s="13" t="n">
        <f aca="false">CC$41-CC$42</f>
        <v>0</v>
      </c>
      <c r="CD43" s="13" t="n">
        <f aca="false">CD$41-CD$42</f>
        <v>0</v>
      </c>
      <c r="CE43" s="13" t="n">
        <f aca="false">CE$41-CE$42</f>
        <v>0</v>
      </c>
      <c r="CF43" s="13" t="n">
        <f aca="false">CF$41-CF$42</f>
        <v>0</v>
      </c>
      <c r="CG43" s="13" t="n">
        <f aca="false">CG$41-CG$42</f>
        <v>0</v>
      </c>
      <c r="CH43" s="13" t="n">
        <f aca="false">CH$41-CH$42</f>
        <v>0</v>
      </c>
      <c r="CI43" s="13" t="n">
        <f aca="false">CI$41-CI$42</f>
        <v>0</v>
      </c>
      <c r="CJ43" s="13" t="n">
        <f aca="false">CJ$41-CJ$42</f>
        <v>0</v>
      </c>
      <c r="CK43" s="13" t="n">
        <f aca="false">CK$41-CK$42</f>
        <v>0</v>
      </c>
      <c r="CL43" s="13" t="n">
        <f aca="false">CL$41-CL$42</f>
        <v>0</v>
      </c>
      <c r="CM43" s="13" t="n">
        <f aca="false">CM$41-CM$42</f>
        <v>0</v>
      </c>
      <c r="CN43" s="13" t="n">
        <f aca="false">CN$41-CN$42</f>
        <v>0</v>
      </c>
      <c r="CO43" s="13" t="n">
        <f aca="false">CO$41-CO$42</f>
        <v>0</v>
      </c>
      <c r="CP43" s="13" t="n">
        <f aca="false">CP$41-CP$42</f>
        <v>0</v>
      </c>
      <c r="CQ43" s="13" t="n">
        <f aca="false">CQ$41-CQ$42</f>
        <v>0</v>
      </c>
      <c r="CR43" s="13" t="n">
        <f aca="false">CR$41-CR$42</f>
        <v>0</v>
      </c>
      <c r="CS43" s="13" t="n">
        <f aca="false">CS$41-CS$42</f>
        <v>0</v>
      </c>
      <c r="CT43" s="13" t="n">
        <f aca="false">CT$41-CT$42</f>
        <v>0</v>
      </c>
      <c r="CU43" s="13" t="n">
        <f aca="false">CU$41-CU$42</f>
        <v>0</v>
      </c>
      <c r="CV43" s="13" t="n">
        <f aca="false">CV$41-CV$42</f>
        <v>0</v>
      </c>
      <c r="CW43" s="13" t="n">
        <f aca="false">CW$41-CW$42</f>
        <v>0</v>
      </c>
      <c r="CX43" s="13" t="n">
        <f aca="false">CX$41-CX$42</f>
        <v>0</v>
      </c>
      <c r="CY43" s="13" t="n">
        <f aca="false">CY$41-CY$42</f>
        <v>0</v>
      </c>
      <c r="CZ43" s="13" t="n">
        <f aca="false">CZ$41-CZ$42</f>
        <v>0</v>
      </c>
      <c r="DA43" s="13" t="n">
        <f aca="false">DA$41-DA$42</f>
        <v>0</v>
      </c>
      <c r="DB43" s="13" t="n">
        <f aca="false">DB$41-DB$42</f>
        <v>0</v>
      </c>
      <c r="DC43" s="13" t="n">
        <f aca="false">DC$41-DC$42</f>
        <v>0</v>
      </c>
      <c r="DD43" s="13" t="n">
        <f aca="false">DD$41-DD$42</f>
        <v>0</v>
      </c>
      <c r="DE43" s="13" t="n">
        <f aca="false">DE$41-DE$42</f>
        <v>0</v>
      </c>
      <c r="DF43" s="13" t="n">
        <f aca="false">DF$41-DF$42</f>
        <v>0</v>
      </c>
      <c r="DG43" s="13" t="n">
        <f aca="false">DG$41-DG$42</f>
        <v>0</v>
      </c>
      <c r="DH43" s="13" t="n">
        <f aca="false">DH$41-DH$42</f>
        <v>0</v>
      </c>
      <c r="DI43" s="13" t="n">
        <f aca="false">DI$41-DI$42</f>
        <v>0</v>
      </c>
      <c r="DJ43" s="13" t="n">
        <f aca="false">DJ$41-DJ$42</f>
        <v>0</v>
      </c>
      <c r="DK43" s="13" t="n">
        <f aca="false">DK$41-DK$42</f>
        <v>0</v>
      </c>
      <c r="DL43" s="13" t="n">
        <f aca="false">DL$41-DL$42</f>
        <v>0</v>
      </c>
      <c r="DM43" s="13" t="n">
        <f aca="false">DM$41-DM$42</f>
        <v>0</v>
      </c>
      <c r="DN43" s="13" t="n">
        <f aca="false">DN$41-DN$42</f>
        <v>0</v>
      </c>
      <c r="DO43" s="13" t="n">
        <f aca="false">DO$41-DO$42</f>
        <v>0</v>
      </c>
      <c r="DP43" s="13" t="n">
        <f aca="false">DP$41-DP$42</f>
        <v>0</v>
      </c>
      <c r="DQ43" s="13" t="n">
        <f aca="false">DQ$41-DQ$42</f>
        <v>0</v>
      </c>
      <c r="DR43" s="13" t="n">
        <f aca="false">DR$41-DR$42</f>
        <v>0</v>
      </c>
      <c r="DS43" s="13" t="n">
        <f aca="false">DS$41-DS$42</f>
        <v>0</v>
      </c>
      <c r="DT43" s="13" t="n">
        <f aca="false">DT$41-DT$42</f>
        <v>0</v>
      </c>
      <c r="DU43" s="13" t="n">
        <f aca="false">DU$41-DU$42</f>
        <v>0</v>
      </c>
      <c r="DV43" s="13" t="n">
        <f aca="false">DV$41-DV$42</f>
        <v>0</v>
      </c>
      <c r="DW43" s="13" t="n">
        <f aca="false">DW$41-DW$42</f>
        <v>0</v>
      </c>
      <c r="DX43" s="13" t="n">
        <f aca="false">DX$41-DX$42</f>
        <v>0</v>
      </c>
      <c r="DY43" s="13" t="n">
        <f aca="false">DY$41-DY$42</f>
        <v>0</v>
      </c>
      <c r="DZ43" s="13" t="n">
        <f aca="false">DZ$41-DZ$42</f>
        <v>0</v>
      </c>
      <c r="EA43" s="13" t="n">
        <f aca="false">EA$41-EA$42</f>
        <v>0</v>
      </c>
      <c r="EB43" s="13" t="n">
        <f aca="false">EB$41-EB$42</f>
        <v>0</v>
      </c>
      <c r="EC43" s="13" t="n">
        <f aca="false">EC$41-EC$42</f>
        <v>0</v>
      </c>
      <c r="ED43" s="13" t="n">
        <f aca="false">ED$41-ED$42</f>
        <v>0</v>
      </c>
      <c r="EE43" s="13" t="n">
        <f aca="false">EE$41-EE$42</f>
        <v>0</v>
      </c>
      <c r="EF43" s="13" t="n">
        <f aca="false">EF$41-EF$42</f>
        <v>0</v>
      </c>
      <c r="EG43" s="13" t="n">
        <f aca="false">EG$41-EG$42</f>
        <v>0</v>
      </c>
      <c r="EH43" s="13" t="n">
        <f aca="false">EH$41-EH$42</f>
        <v>0</v>
      </c>
      <c r="EI43" s="13" t="n">
        <f aca="false">EI$41-EI$42</f>
        <v>0</v>
      </c>
      <c r="EJ43" s="13" t="n">
        <f aca="false">EJ$41-EJ$42</f>
        <v>0</v>
      </c>
      <c r="EK43" s="13" t="n">
        <f aca="false">EK$41-EK$42</f>
        <v>0</v>
      </c>
      <c r="EL43" s="13" t="n">
        <f aca="false">EL$41-EL$42</f>
        <v>0</v>
      </c>
      <c r="EM43" s="13" t="n">
        <f aca="false">EM$41-EM$42</f>
        <v>0</v>
      </c>
      <c r="EN43" s="13" t="n">
        <f aca="false">EN$41-EN$42</f>
        <v>0</v>
      </c>
      <c r="EO43" s="13" t="n">
        <f aca="false">EO$41-EO$42</f>
        <v>0</v>
      </c>
      <c r="EP43" s="13" t="n">
        <f aca="false">EP$41-EP$42</f>
        <v>0</v>
      </c>
      <c r="EQ43" s="13" t="n">
        <f aca="false">EQ$41-EQ$42</f>
        <v>0</v>
      </c>
      <c r="ER43" s="13" t="n">
        <f aca="false">ER$41-ER$42</f>
        <v>0</v>
      </c>
      <c r="ES43" s="13" t="n">
        <f aca="false">ES$41-ES$42</f>
        <v>0</v>
      </c>
      <c r="ET43" s="13" t="n">
        <f aca="false">ET$41-ET$42</f>
        <v>0</v>
      </c>
      <c r="EU43" s="13" t="n">
        <f aca="false">EU$41-EU$42</f>
        <v>0</v>
      </c>
      <c r="EV43" s="13" t="n">
        <f aca="false">EV$41-EV$42</f>
        <v>0</v>
      </c>
      <c r="EW43" s="13" t="n">
        <f aca="false">EW$41-EW$42</f>
        <v>0</v>
      </c>
      <c r="EX43" s="13" t="n">
        <f aca="false">EX$41-EX$42</f>
        <v>0</v>
      </c>
      <c r="EY43" s="13" t="n">
        <f aca="false">EY$41-EY$42</f>
        <v>0</v>
      </c>
      <c r="EZ43" s="13" t="n">
        <f aca="false">EZ$41-EZ$42</f>
        <v>0</v>
      </c>
      <c r="FA43" s="13" t="n">
        <f aca="false">FA$41-FA$42</f>
        <v>0</v>
      </c>
      <c r="FB43" s="13" t="n">
        <f aca="false">FB$41-FB$42</f>
        <v>0</v>
      </c>
      <c r="FC43" s="13" t="n">
        <f aca="false">FC$41-FC$42</f>
        <v>0</v>
      </c>
      <c r="FD43" s="13" t="n">
        <f aca="false">FD$41-FD$42</f>
        <v>0</v>
      </c>
      <c r="FE43" s="13" t="n">
        <f aca="false">FE$41-FE$42</f>
        <v>0</v>
      </c>
      <c r="FF43" s="13" t="n">
        <f aca="false">FF$41-FF$42</f>
        <v>0</v>
      </c>
    </row>
    <row r="44" customFormat="false" ht="15" hidden="false" customHeight="false" outlineLevel="0" collapsed="false">
      <c r="A44" s="4"/>
      <c r="B44" s="3" t="s">
        <v>1237</v>
      </c>
      <c r="C44" s="4"/>
      <c r="D44" s="4"/>
      <c r="E44" s="4"/>
    </row>
    <row r="45" customFormat="false" ht="15" hidden="false" customHeight="false" outlineLevel="0" collapsed="false">
      <c r="A45" s="2" t="s">
        <v>1238</v>
      </c>
      <c r="B45" s="8" t="s">
        <v>1239</v>
      </c>
      <c r="C45" s="8" t="s">
        <v>255</v>
      </c>
      <c r="E45" s="65" t="n">
        <f aca="false">SUM($F45:$FF45)</f>
        <v>87000</v>
      </c>
      <c r="F45" s="13" t="n">
        <f aca="false">IF(AND(0&gt;=$U$6,N($V$6)&gt;0,0&lt;$U$6+N($V$6)*12,0&lt;=p_MesFin),$O$6*(1-$W$6)/(N($V$6)*12),0)</f>
        <v>0</v>
      </c>
      <c r="G45" s="13" t="n">
        <f aca="false">IF(AND(1&gt;=$U$6,N($V$6)&gt;0,1&lt;$U$6+N($V$6)*12,1&lt;=p_MesFin),$O$6*(1-$W$6)/(N($V$6)*12),0)</f>
        <v>725</v>
      </c>
      <c r="H45" s="13" t="n">
        <f aca="false">IF(AND(2&gt;=$U$6,N($V$6)&gt;0,2&lt;$U$6+N($V$6)*12,2&lt;=p_MesFin),$O$6*(1-$W$6)/(N($V$6)*12),0)</f>
        <v>725</v>
      </c>
      <c r="I45" s="13" t="n">
        <f aca="false">IF(AND(3&gt;=$U$6,N($V$6)&gt;0,3&lt;$U$6+N($V$6)*12,3&lt;=p_MesFin),$O$6*(1-$W$6)/(N($V$6)*12),0)</f>
        <v>725</v>
      </c>
      <c r="J45" s="13" t="n">
        <f aca="false">IF(AND(4&gt;=$U$6,N($V$6)&gt;0,4&lt;$U$6+N($V$6)*12,4&lt;=p_MesFin),$O$6*(1-$W$6)/(N($V$6)*12),0)</f>
        <v>725</v>
      </c>
      <c r="K45" s="13" t="n">
        <f aca="false">IF(AND(5&gt;=$U$6,N($V$6)&gt;0,5&lt;$U$6+N($V$6)*12,5&lt;=p_MesFin),$O$6*(1-$W$6)/(N($V$6)*12),0)</f>
        <v>725</v>
      </c>
      <c r="L45" s="13" t="n">
        <f aca="false">IF(AND(6&gt;=$U$6,N($V$6)&gt;0,6&lt;$U$6+N($V$6)*12,6&lt;=p_MesFin),$O$6*(1-$W$6)/(N($V$6)*12),0)</f>
        <v>725</v>
      </c>
      <c r="M45" s="13" t="n">
        <f aca="false">IF(AND(7&gt;=$U$6,N($V$6)&gt;0,7&lt;$U$6+N($V$6)*12,7&lt;=p_MesFin),$O$6*(1-$W$6)/(N($V$6)*12),0)</f>
        <v>725</v>
      </c>
      <c r="N45" s="13" t="n">
        <f aca="false">IF(AND(8&gt;=$U$6,N($V$6)&gt;0,8&lt;$U$6+N($V$6)*12,8&lt;=p_MesFin),$O$6*(1-$W$6)/(N($V$6)*12),0)</f>
        <v>725</v>
      </c>
      <c r="O45" s="13" t="n">
        <f aca="false">IF(AND(9&gt;=$U$6,N($V$6)&gt;0,9&lt;$U$6+N($V$6)*12,9&lt;=p_MesFin),$O$6*(1-$W$6)/(N($V$6)*12),0)</f>
        <v>725</v>
      </c>
      <c r="P45" s="13" t="n">
        <f aca="false">IF(AND(10&gt;=$U$6,N($V$6)&gt;0,10&lt;$U$6+N($V$6)*12,10&lt;=p_MesFin),$O$6*(1-$W$6)/(N($V$6)*12),0)</f>
        <v>725</v>
      </c>
      <c r="Q45" s="13" t="n">
        <f aca="false">IF(AND(11&gt;=$U$6,N($V$6)&gt;0,11&lt;$U$6+N($V$6)*12,11&lt;=p_MesFin),$O$6*(1-$W$6)/(N($V$6)*12),0)</f>
        <v>725</v>
      </c>
      <c r="R45" s="13" t="n">
        <f aca="false">IF(AND(12&gt;=$U$6,N($V$6)&gt;0,12&lt;$U$6+N($V$6)*12,12&lt;=p_MesFin),$O$6*(1-$W$6)/(N($V$6)*12),0)</f>
        <v>725</v>
      </c>
      <c r="S45" s="13" t="n">
        <f aca="false">IF(AND(13&gt;=$U$6,N($V$6)&gt;0,13&lt;$U$6+N($V$6)*12,13&lt;=p_MesFin),$O$6*(1-$W$6)/(N($V$6)*12),0)</f>
        <v>725</v>
      </c>
      <c r="T45" s="13" t="n">
        <f aca="false">IF(AND(14&gt;=$U$6,N($V$6)&gt;0,14&lt;$U$6+N($V$6)*12,14&lt;=p_MesFin),$O$6*(1-$W$6)/(N($V$6)*12),0)</f>
        <v>725</v>
      </c>
      <c r="U45" s="13" t="n">
        <f aca="false">IF(AND(15&gt;=$U$6,N($V$6)&gt;0,15&lt;$U$6+N($V$6)*12,15&lt;=p_MesFin),$O$6*(1-$W$6)/(N($V$6)*12),0)</f>
        <v>725</v>
      </c>
      <c r="V45" s="13" t="n">
        <f aca="false">IF(AND(16&gt;=$U$6,N($V$6)&gt;0,16&lt;$U$6+N($V$6)*12,16&lt;=p_MesFin),$O$6*(1-$W$6)/(N($V$6)*12),0)</f>
        <v>725</v>
      </c>
      <c r="W45" s="13" t="n">
        <f aca="false">IF(AND(17&gt;=$U$6,N($V$6)&gt;0,17&lt;$U$6+N($V$6)*12,17&lt;=p_MesFin),$O$6*(1-$W$6)/(N($V$6)*12),0)</f>
        <v>725</v>
      </c>
      <c r="X45" s="13" t="n">
        <f aca="false">IF(AND(18&gt;=$U$6,N($V$6)&gt;0,18&lt;$U$6+N($V$6)*12,18&lt;=p_MesFin),$O$6*(1-$W$6)/(N($V$6)*12),0)</f>
        <v>725</v>
      </c>
      <c r="Y45" s="13" t="n">
        <f aca="false">IF(AND(19&gt;=$U$6,N($V$6)&gt;0,19&lt;$U$6+N($V$6)*12,19&lt;=p_MesFin),$O$6*(1-$W$6)/(N($V$6)*12),0)</f>
        <v>725</v>
      </c>
      <c r="Z45" s="13" t="n">
        <f aca="false">IF(AND(20&gt;=$U$6,N($V$6)&gt;0,20&lt;$U$6+N($V$6)*12,20&lt;=p_MesFin),$O$6*(1-$W$6)/(N($V$6)*12),0)</f>
        <v>725</v>
      </c>
      <c r="AA45" s="13" t="n">
        <f aca="false">IF(AND(21&gt;=$U$6,N($V$6)&gt;0,21&lt;$U$6+N($V$6)*12,21&lt;=p_MesFin),$O$6*(1-$W$6)/(N($V$6)*12),0)</f>
        <v>725</v>
      </c>
      <c r="AB45" s="13" t="n">
        <f aca="false">IF(AND(22&gt;=$U$6,N($V$6)&gt;0,22&lt;$U$6+N($V$6)*12,22&lt;=p_MesFin),$O$6*(1-$W$6)/(N($V$6)*12),0)</f>
        <v>725</v>
      </c>
      <c r="AC45" s="13" t="n">
        <f aca="false">IF(AND(23&gt;=$U$6,N($V$6)&gt;0,23&lt;$U$6+N($V$6)*12,23&lt;=p_MesFin),$O$6*(1-$W$6)/(N($V$6)*12),0)</f>
        <v>725</v>
      </c>
      <c r="AD45" s="13" t="n">
        <f aca="false">IF(AND(24&gt;=$U$6,N($V$6)&gt;0,24&lt;$U$6+N($V$6)*12,24&lt;=p_MesFin),$O$6*(1-$W$6)/(N($V$6)*12),0)</f>
        <v>725</v>
      </c>
      <c r="AE45" s="13" t="n">
        <f aca="false">IF(AND(25&gt;=$U$6,N($V$6)&gt;0,25&lt;$U$6+N($V$6)*12,25&lt;=p_MesFin),$O$6*(1-$W$6)/(N($V$6)*12),0)</f>
        <v>725</v>
      </c>
      <c r="AF45" s="13" t="n">
        <f aca="false">IF(AND(26&gt;=$U$6,N($V$6)&gt;0,26&lt;$U$6+N($V$6)*12,26&lt;=p_MesFin),$O$6*(1-$W$6)/(N($V$6)*12),0)</f>
        <v>725</v>
      </c>
      <c r="AG45" s="13" t="n">
        <f aca="false">IF(AND(27&gt;=$U$6,N($V$6)&gt;0,27&lt;$U$6+N($V$6)*12,27&lt;=p_MesFin),$O$6*(1-$W$6)/(N($V$6)*12),0)</f>
        <v>725</v>
      </c>
      <c r="AH45" s="13" t="n">
        <f aca="false">IF(AND(28&gt;=$U$6,N($V$6)&gt;0,28&lt;$U$6+N($V$6)*12,28&lt;=p_MesFin),$O$6*(1-$W$6)/(N($V$6)*12),0)</f>
        <v>725</v>
      </c>
      <c r="AI45" s="13" t="n">
        <f aca="false">IF(AND(29&gt;=$U$6,N($V$6)&gt;0,29&lt;$U$6+N($V$6)*12,29&lt;=p_MesFin),$O$6*(1-$W$6)/(N($V$6)*12),0)</f>
        <v>725</v>
      </c>
      <c r="AJ45" s="13" t="n">
        <f aca="false">IF(AND(30&gt;=$U$6,N($V$6)&gt;0,30&lt;$U$6+N($V$6)*12,30&lt;=p_MesFin),$O$6*(1-$W$6)/(N($V$6)*12),0)</f>
        <v>725</v>
      </c>
      <c r="AK45" s="13" t="n">
        <f aca="false">IF(AND(31&gt;=$U$6,N($V$6)&gt;0,31&lt;$U$6+N($V$6)*12,31&lt;=p_MesFin),$O$6*(1-$W$6)/(N($V$6)*12),0)</f>
        <v>725</v>
      </c>
      <c r="AL45" s="13" t="n">
        <f aca="false">IF(AND(32&gt;=$U$6,N($V$6)&gt;0,32&lt;$U$6+N($V$6)*12,32&lt;=p_MesFin),$O$6*(1-$W$6)/(N($V$6)*12),0)</f>
        <v>725</v>
      </c>
      <c r="AM45" s="13" t="n">
        <f aca="false">IF(AND(33&gt;=$U$6,N($V$6)&gt;0,33&lt;$U$6+N($V$6)*12,33&lt;=p_MesFin),$O$6*(1-$W$6)/(N($V$6)*12),0)</f>
        <v>725</v>
      </c>
      <c r="AN45" s="13" t="n">
        <f aca="false">IF(AND(34&gt;=$U$6,N($V$6)&gt;0,34&lt;$U$6+N($V$6)*12,34&lt;=p_MesFin),$O$6*(1-$W$6)/(N($V$6)*12),0)</f>
        <v>725</v>
      </c>
      <c r="AO45" s="13" t="n">
        <f aca="false">IF(AND(35&gt;=$U$6,N($V$6)&gt;0,35&lt;$U$6+N($V$6)*12,35&lt;=p_MesFin),$O$6*(1-$W$6)/(N($V$6)*12),0)</f>
        <v>725</v>
      </c>
      <c r="AP45" s="13" t="n">
        <f aca="false">IF(AND(36&gt;=$U$6,N($V$6)&gt;0,36&lt;$U$6+N($V$6)*12,36&lt;=p_MesFin),$O$6*(1-$W$6)/(N($V$6)*12),0)</f>
        <v>725</v>
      </c>
      <c r="AQ45" s="13" t="n">
        <f aca="false">IF(AND(37&gt;=$U$6,N($V$6)&gt;0,37&lt;$U$6+N($V$6)*12,37&lt;=p_MesFin),$O$6*(1-$W$6)/(N($V$6)*12),0)</f>
        <v>725</v>
      </c>
      <c r="AR45" s="13" t="n">
        <f aca="false">IF(AND(38&gt;=$U$6,N($V$6)&gt;0,38&lt;$U$6+N($V$6)*12,38&lt;=p_MesFin),$O$6*(1-$W$6)/(N($V$6)*12),0)</f>
        <v>725</v>
      </c>
      <c r="AS45" s="13" t="n">
        <f aca="false">IF(AND(39&gt;=$U$6,N($V$6)&gt;0,39&lt;$U$6+N($V$6)*12,39&lt;=p_MesFin),$O$6*(1-$W$6)/(N($V$6)*12),0)</f>
        <v>725</v>
      </c>
      <c r="AT45" s="13" t="n">
        <f aca="false">IF(AND(40&gt;=$U$6,N($V$6)&gt;0,40&lt;$U$6+N($V$6)*12,40&lt;=p_MesFin),$O$6*(1-$W$6)/(N($V$6)*12),0)</f>
        <v>725</v>
      </c>
      <c r="AU45" s="13" t="n">
        <f aca="false">IF(AND(41&gt;=$U$6,N($V$6)&gt;0,41&lt;$U$6+N($V$6)*12,41&lt;=p_MesFin),$O$6*(1-$W$6)/(N($V$6)*12),0)</f>
        <v>725</v>
      </c>
      <c r="AV45" s="13" t="n">
        <f aca="false">IF(AND(42&gt;=$U$6,N($V$6)&gt;0,42&lt;$U$6+N($V$6)*12,42&lt;=p_MesFin),$O$6*(1-$W$6)/(N($V$6)*12),0)</f>
        <v>725</v>
      </c>
      <c r="AW45" s="13" t="n">
        <f aca="false">IF(AND(43&gt;=$U$6,N($V$6)&gt;0,43&lt;$U$6+N($V$6)*12,43&lt;=p_MesFin),$O$6*(1-$W$6)/(N($V$6)*12),0)</f>
        <v>725</v>
      </c>
      <c r="AX45" s="13" t="n">
        <f aca="false">IF(AND(44&gt;=$U$6,N($V$6)&gt;0,44&lt;$U$6+N($V$6)*12,44&lt;=p_MesFin),$O$6*(1-$W$6)/(N($V$6)*12),0)</f>
        <v>725</v>
      </c>
      <c r="AY45" s="13" t="n">
        <f aca="false">IF(AND(45&gt;=$U$6,N($V$6)&gt;0,45&lt;$U$6+N($V$6)*12,45&lt;=p_MesFin),$O$6*(1-$W$6)/(N($V$6)*12),0)</f>
        <v>725</v>
      </c>
      <c r="AZ45" s="13" t="n">
        <f aca="false">IF(AND(46&gt;=$U$6,N($V$6)&gt;0,46&lt;$U$6+N($V$6)*12,46&lt;=p_MesFin),$O$6*(1-$W$6)/(N($V$6)*12),0)</f>
        <v>725</v>
      </c>
      <c r="BA45" s="13" t="n">
        <f aca="false">IF(AND(47&gt;=$U$6,N($V$6)&gt;0,47&lt;$U$6+N($V$6)*12,47&lt;=p_MesFin),$O$6*(1-$W$6)/(N($V$6)*12),0)</f>
        <v>725</v>
      </c>
      <c r="BB45" s="13" t="n">
        <f aca="false">IF(AND(48&gt;=$U$6,N($V$6)&gt;0,48&lt;$U$6+N($V$6)*12,48&lt;=p_MesFin),$O$6*(1-$W$6)/(N($V$6)*12),0)</f>
        <v>725</v>
      </c>
      <c r="BC45" s="13" t="n">
        <f aca="false">IF(AND(49&gt;=$U$6,N($V$6)&gt;0,49&lt;$U$6+N($V$6)*12,49&lt;=p_MesFin),$O$6*(1-$W$6)/(N($V$6)*12),0)</f>
        <v>725</v>
      </c>
      <c r="BD45" s="13" t="n">
        <f aca="false">IF(AND(50&gt;=$U$6,N($V$6)&gt;0,50&lt;$U$6+N($V$6)*12,50&lt;=p_MesFin),$O$6*(1-$W$6)/(N($V$6)*12),0)</f>
        <v>725</v>
      </c>
      <c r="BE45" s="13" t="n">
        <f aca="false">IF(AND(51&gt;=$U$6,N($V$6)&gt;0,51&lt;$U$6+N($V$6)*12,51&lt;=p_MesFin),$O$6*(1-$W$6)/(N($V$6)*12),0)</f>
        <v>725</v>
      </c>
      <c r="BF45" s="13" t="n">
        <f aca="false">IF(AND(52&gt;=$U$6,N($V$6)&gt;0,52&lt;$U$6+N($V$6)*12,52&lt;=p_MesFin),$O$6*(1-$W$6)/(N($V$6)*12),0)</f>
        <v>725</v>
      </c>
      <c r="BG45" s="13" t="n">
        <f aca="false">IF(AND(53&gt;=$U$6,N($V$6)&gt;0,53&lt;$U$6+N($V$6)*12,53&lt;=p_MesFin),$O$6*(1-$W$6)/(N($V$6)*12),0)</f>
        <v>725</v>
      </c>
      <c r="BH45" s="13" t="n">
        <f aca="false">IF(AND(54&gt;=$U$6,N($V$6)&gt;0,54&lt;$U$6+N($V$6)*12,54&lt;=p_MesFin),$O$6*(1-$W$6)/(N($V$6)*12),0)</f>
        <v>725</v>
      </c>
      <c r="BI45" s="13" t="n">
        <f aca="false">IF(AND(55&gt;=$U$6,N($V$6)&gt;0,55&lt;$U$6+N($V$6)*12,55&lt;=p_MesFin),$O$6*(1-$W$6)/(N($V$6)*12),0)</f>
        <v>725</v>
      </c>
      <c r="BJ45" s="13" t="n">
        <f aca="false">IF(AND(56&gt;=$U$6,N($V$6)&gt;0,56&lt;$U$6+N($V$6)*12,56&lt;=p_MesFin),$O$6*(1-$W$6)/(N($V$6)*12),0)</f>
        <v>725</v>
      </c>
      <c r="BK45" s="13" t="n">
        <f aca="false">IF(AND(57&gt;=$U$6,N($V$6)&gt;0,57&lt;$U$6+N($V$6)*12,57&lt;=p_MesFin),$O$6*(1-$W$6)/(N($V$6)*12),0)</f>
        <v>725</v>
      </c>
      <c r="BL45" s="13" t="n">
        <f aca="false">IF(AND(58&gt;=$U$6,N($V$6)&gt;0,58&lt;$U$6+N($V$6)*12,58&lt;=p_MesFin),$O$6*(1-$W$6)/(N($V$6)*12),0)</f>
        <v>725</v>
      </c>
      <c r="BM45" s="13" t="n">
        <f aca="false">IF(AND(59&gt;=$U$6,N($V$6)&gt;0,59&lt;$U$6+N($V$6)*12,59&lt;=p_MesFin),$O$6*(1-$W$6)/(N($V$6)*12),0)</f>
        <v>725</v>
      </c>
      <c r="BN45" s="13" t="n">
        <f aca="false">IF(AND(60&gt;=$U$6,N($V$6)&gt;0,60&lt;$U$6+N($V$6)*12,60&lt;=p_MesFin),$O$6*(1-$W$6)/(N($V$6)*12),0)</f>
        <v>725</v>
      </c>
      <c r="BO45" s="13" t="n">
        <f aca="false">IF(AND(61&gt;=$U$6,N($V$6)&gt;0,61&lt;$U$6+N($V$6)*12,61&lt;=p_MesFin),$O$6*(1-$W$6)/(N($V$6)*12),0)</f>
        <v>725</v>
      </c>
      <c r="BP45" s="13" t="n">
        <f aca="false">IF(AND(62&gt;=$U$6,N($V$6)&gt;0,62&lt;$U$6+N($V$6)*12,62&lt;=p_MesFin),$O$6*(1-$W$6)/(N($V$6)*12),0)</f>
        <v>725</v>
      </c>
      <c r="BQ45" s="13" t="n">
        <f aca="false">IF(AND(63&gt;=$U$6,N($V$6)&gt;0,63&lt;$U$6+N($V$6)*12,63&lt;=p_MesFin),$O$6*(1-$W$6)/(N($V$6)*12),0)</f>
        <v>725</v>
      </c>
      <c r="BR45" s="13" t="n">
        <f aca="false">IF(AND(64&gt;=$U$6,N($V$6)&gt;0,64&lt;$U$6+N($V$6)*12,64&lt;=p_MesFin),$O$6*(1-$W$6)/(N($V$6)*12),0)</f>
        <v>725</v>
      </c>
      <c r="BS45" s="13" t="n">
        <f aca="false">IF(AND(65&gt;=$U$6,N($V$6)&gt;0,65&lt;$U$6+N($V$6)*12,65&lt;=p_MesFin),$O$6*(1-$W$6)/(N($V$6)*12),0)</f>
        <v>725</v>
      </c>
      <c r="BT45" s="13" t="n">
        <f aca="false">IF(AND(66&gt;=$U$6,N($V$6)&gt;0,66&lt;$U$6+N($V$6)*12,66&lt;=p_MesFin),$O$6*(1-$W$6)/(N($V$6)*12),0)</f>
        <v>725</v>
      </c>
      <c r="BU45" s="13" t="n">
        <f aca="false">IF(AND(67&gt;=$U$6,N($V$6)&gt;0,67&lt;$U$6+N($V$6)*12,67&lt;=p_MesFin),$O$6*(1-$W$6)/(N($V$6)*12),0)</f>
        <v>725</v>
      </c>
      <c r="BV45" s="13" t="n">
        <f aca="false">IF(AND(68&gt;=$U$6,N($V$6)&gt;0,68&lt;$U$6+N($V$6)*12,68&lt;=p_MesFin),$O$6*(1-$W$6)/(N($V$6)*12),0)</f>
        <v>725</v>
      </c>
      <c r="BW45" s="13" t="n">
        <f aca="false">IF(AND(69&gt;=$U$6,N($V$6)&gt;0,69&lt;$U$6+N($V$6)*12,69&lt;=p_MesFin),$O$6*(1-$W$6)/(N($V$6)*12),0)</f>
        <v>725</v>
      </c>
      <c r="BX45" s="13" t="n">
        <f aca="false">IF(AND(70&gt;=$U$6,N($V$6)&gt;0,70&lt;$U$6+N($V$6)*12,70&lt;=p_MesFin),$O$6*(1-$W$6)/(N($V$6)*12),0)</f>
        <v>725</v>
      </c>
      <c r="BY45" s="13" t="n">
        <f aca="false">IF(AND(71&gt;=$U$6,N($V$6)&gt;0,71&lt;$U$6+N($V$6)*12,71&lt;=p_MesFin),$O$6*(1-$W$6)/(N($V$6)*12),0)</f>
        <v>725</v>
      </c>
      <c r="BZ45" s="13" t="n">
        <f aca="false">IF(AND(72&gt;=$U$6,N($V$6)&gt;0,72&lt;$U$6+N($V$6)*12,72&lt;=p_MesFin),$O$6*(1-$W$6)/(N($V$6)*12),0)</f>
        <v>725</v>
      </c>
      <c r="CA45" s="13" t="n">
        <f aca="false">IF(AND(73&gt;=$U$6,N($V$6)&gt;0,73&lt;$U$6+N($V$6)*12,73&lt;=p_MesFin),$O$6*(1-$W$6)/(N($V$6)*12),0)</f>
        <v>725</v>
      </c>
      <c r="CB45" s="13" t="n">
        <f aca="false">IF(AND(74&gt;=$U$6,N($V$6)&gt;0,74&lt;$U$6+N($V$6)*12,74&lt;=p_MesFin),$O$6*(1-$W$6)/(N($V$6)*12),0)</f>
        <v>725</v>
      </c>
      <c r="CC45" s="13" t="n">
        <f aca="false">IF(AND(75&gt;=$U$6,N($V$6)&gt;0,75&lt;$U$6+N($V$6)*12,75&lt;=p_MesFin),$O$6*(1-$W$6)/(N($V$6)*12),0)</f>
        <v>725</v>
      </c>
      <c r="CD45" s="13" t="n">
        <f aca="false">IF(AND(76&gt;=$U$6,N($V$6)&gt;0,76&lt;$U$6+N($V$6)*12,76&lt;=p_MesFin),$O$6*(1-$W$6)/(N($V$6)*12),0)</f>
        <v>725</v>
      </c>
      <c r="CE45" s="13" t="n">
        <f aca="false">IF(AND(77&gt;=$U$6,N($V$6)&gt;0,77&lt;$U$6+N($V$6)*12,77&lt;=p_MesFin),$O$6*(1-$W$6)/(N($V$6)*12),0)</f>
        <v>725</v>
      </c>
      <c r="CF45" s="13" t="n">
        <f aca="false">IF(AND(78&gt;=$U$6,N($V$6)&gt;0,78&lt;$U$6+N($V$6)*12,78&lt;=p_MesFin),$O$6*(1-$W$6)/(N($V$6)*12),0)</f>
        <v>725</v>
      </c>
      <c r="CG45" s="13" t="n">
        <f aca="false">IF(AND(79&gt;=$U$6,N($V$6)&gt;0,79&lt;$U$6+N($V$6)*12,79&lt;=p_MesFin),$O$6*(1-$W$6)/(N($V$6)*12),0)</f>
        <v>725</v>
      </c>
      <c r="CH45" s="13" t="n">
        <f aca="false">IF(AND(80&gt;=$U$6,N($V$6)&gt;0,80&lt;$U$6+N($V$6)*12,80&lt;=p_MesFin),$O$6*(1-$W$6)/(N($V$6)*12),0)</f>
        <v>725</v>
      </c>
      <c r="CI45" s="13" t="n">
        <f aca="false">IF(AND(81&gt;=$U$6,N($V$6)&gt;0,81&lt;$U$6+N($V$6)*12,81&lt;=p_MesFin),$O$6*(1-$W$6)/(N($V$6)*12),0)</f>
        <v>725</v>
      </c>
      <c r="CJ45" s="13" t="n">
        <f aca="false">IF(AND(82&gt;=$U$6,N($V$6)&gt;0,82&lt;$U$6+N($V$6)*12,82&lt;=p_MesFin),$O$6*(1-$W$6)/(N($V$6)*12),0)</f>
        <v>725</v>
      </c>
      <c r="CK45" s="13" t="n">
        <f aca="false">IF(AND(83&gt;=$U$6,N($V$6)&gt;0,83&lt;$U$6+N($V$6)*12,83&lt;=p_MesFin),$O$6*(1-$W$6)/(N($V$6)*12),0)</f>
        <v>725</v>
      </c>
      <c r="CL45" s="13" t="n">
        <f aca="false">IF(AND(84&gt;=$U$6,N($V$6)&gt;0,84&lt;$U$6+N($V$6)*12,84&lt;=p_MesFin),$O$6*(1-$W$6)/(N($V$6)*12),0)</f>
        <v>725</v>
      </c>
      <c r="CM45" s="13" t="n">
        <f aca="false">IF(AND(85&gt;=$U$6,N($V$6)&gt;0,85&lt;$U$6+N($V$6)*12,85&lt;=p_MesFin),$O$6*(1-$W$6)/(N($V$6)*12),0)</f>
        <v>725</v>
      </c>
      <c r="CN45" s="13" t="n">
        <f aca="false">IF(AND(86&gt;=$U$6,N($V$6)&gt;0,86&lt;$U$6+N($V$6)*12,86&lt;=p_MesFin),$O$6*(1-$W$6)/(N($V$6)*12),0)</f>
        <v>725</v>
      </c>
      <c r="CO45" s="13" t="n">
        <f aca="false">IF(AND(87&gt;=$U$6,N($V$6)&gt;0,87&lt;$U$6+N($V$6)*12,87&lt;=p_MesFin),$O$6*(1-$W$6)/(N($V$6)*12),0)</f>
        <v>725</v>
      </c>
      <c r="CP45" s="13" t="n">
        <f aca="false">IF(AND(88&gt;=$U$6,N($V$6)&gt;0,88&lt;$U$6+N($V$6)*12,88&lt;=p_MesFin),$O$6*(1-$W$6)/(N($V$6)*12),0)</f>
        <v>725</v>
      </c>
      <c r="CQ45" s="13" t="n">
        <f aca="false">IF(AND(89&gt;=$U$6,N($V$6)&gt;0,89&lt;$U$6+N($V$6)*12,89&lt;=p_MesFin),$O$6*(1-$W$6)/(N($V$6)*12),0)</f>
        <v>725</v>
      </c>
      <c r="CR45" s="13" t="n">
        <f aca="false">IF(AND(90&gt;=$U$6,N($V$6)&gt;0,90&lt;$U$6+N($V$6)*12,90&lt;=p_MesFin),$O$6*(1-$W$6)/(N($V$6)*12),0)</f>
        <v>725</v>
      </c>
      <c r="CS45" s="13" t="n">
        <f aca="false">IF(AND(91&gt;=$U$6,N($V$6)&gt;0,91&lt;$U$6+N($V$6)*12,91&lt;=p_MesFin),$O$6*(1-$W$6)/(N($V$6)*12),0)</f>
        <v>725</v>
      </c>
      <c r="CT45" s="13" t="n">
        <f aca="false">IF(AND(92&gt;=$U$6,N($V$6)&gt;0,92&lt;$U$6+N($V$6)*12,92&lt;=p_MesFin),$O$6*(1-$W$6)/(N($V$6)*12),0)</f>
        <v>725</v>
      </c>
      <c r="CU45" s="13" t="n">
        <f aca="false">IF(AND(93&gt;=$U$6,N($V$6)&gt;0,93&lt;$U$6+N($V$6)*12,93&lt;=p_MesFin),$O$6*(1-$W$6)/(N($V$6)*12),0)</f>
        <v>725</v>
      </c>
      <c r="CV45" s="13" t="n">
        <f aca="false">IF(AND(94&gt;=$U$6,N($V$6)&gt;0,94&lt;$U$6+N($V$6)*12,94&lt;=p_MesFin),$O$6*(1-$W$6)/(N($V$6)*12),0)</f>
        <v>725</v>
      </c>
      <c r="CW45" s="13" t="n">
        <f aca="false">IF(AND(95&gt;=$U$6,N($V$6)&gt;0,95&lt;$U$6+N($V$6)*12,95&lt;=p_MesFin),$O$6*(1-$W$6)/(N($V$6)*12),0)</f>
        <v>725</v>
      </c>
      <c r="CX45" s="13" t="n">
        <f aca="false">IF(AND(96&gt;=$U$6,N($V$6)&gt;0,96&lt;$U$6+N($V$6)*12,96&lt;=p_MesFin),$O$6*(1-$W$6)/(N($V$6)*12),0)</f>
        <v>725</v>
      </c>
      <c r="CY45" s="13" t="n">
        <f aca="false">IF(AND(97&gt;=$U$6,N($V$6)&gt;0,97&lt;$U$6+N($V$6)*12,97&lt;=p_MesFin),$O$6*(1-$W$6)/(N($V$6)*12),0)</f>
        <v>725</v>
      </c>
      <c r="CZ45" s="13" t="n">
        <f aca="false">IF(AND(98&gt;=$U$6,N($V$6)&gt;0,98&lt;$U$6+N($V$6)*12,98&lt;=p_MesFin),$O$6*(1-$W$6)/(N($V$6)*12),0)</f>
        <v>725</v>
      </c>
      <c r="DA45" s="13" t="n">
        <f aca="false">IF(AND(99&gt;=$U$6,N($V$6)&gt;0,99&lt;$U$6+N($V$6)*12,99&lt;=p_MesFin),$O$6*(1-$W$6)/(N($V$6)*12),0)</f>
        <v>725</v>
      </c>
      <c r="DB45" s="13" t="n">
        <f aca="false">IF(AND(100&gt;=$U$6,N($V$6)&gt;0,100&lt;$U$6+N($V$6)*12,100&lt;=p_MesFin),$O$6*(1-$W$6)/(N($V$6)*12),0)</f>
        <v>725</v>
      </c>
      <c r="DC45" s="13" t="n">
        <f aca="false">IF(AND(101&gt;=$U$6,N($V$6)&gt;0,101&lt;$U$6+N($V$6)*12,101&lt;=p_MesFin),$O$6*(1-$W$6)/(N($V$6)*12),0)</f>
        <v>725</v>
      </c>
      <c r="DD45" s="13" t="n">
        <f aca="false">IF(AND(102&gt;=$U$6,N($V$6)&gt;0,102&lt;$U$6+N($V$6)*12,102&lt;=p_MesFin),$O$6*(1-$W$6)/(N($V$6)*12),0)</f>
        <v>725</v>
      </c>
      <c r="DE45" s="13" t="n">
        <f aca="false">IF(AND(103&gt;=$U$6,N($V$6)&gt;0,103&lt;$U$6+N($V$6)*12,103&lt;=p_MesFin),$O$6*(1-$W$6)/(N($V$6)*12),0)</f>
        <v>725</v>
      </c>
      <c r="DF45" s="13" t="n">
        <f aca="false">IF(AND(104&gt;=$U$6,N($V$6)&gt;0,104&lt;$U$6+N($V$6)*12,104&lt;=p_MesFin),$O$6*(1-$W$6)/(N($V$6)*12),0)</f>
        <v>725</v>
      </c>
      <c r="DG45" s="13" t="n">
        <f aca="false">IF(AND(105&gt;=$U$6,N($V$6)&gt;0,105&lt;$U$6+N($V$6)*12,105&lt;=p_MesFin),$O$6*(1-$W$6)/(N($V$6)*12),0)</f>
        <v>725</v>
      </c>
      <c r="DH45" s="13" t="n">
        <f aca="false">IF(AND(106&gt;=$U$6,N($V$6)&gt;0,106&lt;$U$6+N($V$6)*12,106&lt;=p_MesFin),$O$6*(1-$W$6)/(N($V$6)*12),0)</f>
        <v>725</v>
      </c>
      <c r="DI45" s="13" t="n">
        <f aca="false">IF(AND(107&gt;=$U$6,N($V$6)&gt;0,107&lt;$U$6+N($V$6)*12,107&lt;=p_MesFin),$O$6*(1-$W$6)/(N($V$6)*12),0)</f>
        <v>725</v>
      </c>
      <c r="DJ45" s="13" t="n">
        <f aca="false">IF(AND(108&gt;=$U$6,N($V$6)&gt;0,108&lt;$U$6+N($V$6)*12,108&lt;=p_MesFin),$O$6*(1-$W$6)/(N($V$6)*12),0)</f>
        <v>725</v>
      </c>
      <c r="DK45" s="13" t="n">
        <f aca="false">IF(AND(109&gt;=$U$6,N($V$6)&gt;0,109&lt;$U$6+N($V$6)*12,109&lt;=p_MesFin),$O$6*(1-$W$6)/(N($V$6)*12),0)</f>
        <v>725</v>
      </c>
      <c r="DL45" s="13" t="n">
        <f aca="false">IF(AND(110&gt;=$U$6,N($V$6)&gt;0,110&lt;$U$6+N($V$6)*12,110&lt;=p_MesFin),$O$6*(1-$W$6)/(N($V$6)*12),0)</f>
        <v>725</v>
      </c>
      <c r="DM45" s="13" t="n">
        <f aca="false">IF(AND(111&gt;=$U$6,N($V$6)&gt;0,111&lt;$U$6+N($V$6)*12,111&lt;=p_MesFin),$O$6*(1-$W$6)/(N($V$6)*12),0)</f>
        <v>725</v>
      </c>
      <c r="DN45" s="13" t="n">
        <f aca="false">IF(AND(112&gt;=$U$6,N($V$6)&gt;0,112&lt;$U$6+N($V$6)*12,112&lt;=p_MesFin),$O$6*(1-$W$6)/(N($V$6)*12),0)</f>
        <v>725</v>
      </c>
      <c r="DO45" s="13" t="n">
        <f aca="false">IF(AND(113&gt;=$U$6,N($V$6)&gt;0,113&lt;$U$6+N($V$6)*12,113&lt;=p_MesFin),$O$6*(1-$W$6)/(N($V$6)*12),0)</f>
        <v>725</v>
      </c>
      <c r="DP45" s="13" t="n">
        <f aca="false">IF(AND(114&gt;=$U$6,N($V$6)&gt;0,114&lt;$U$6+N($V$6)*12,114&lt;=p_MesFin),$O$6*(1-$W$6)/(N($V$6)*12),0)</f>
        <v>725</v>
      </c>
      <c r="DQ45" s="13" t="n">
        <f aca="false">IF(AND(115&gt;=$U$6,N($V$6)&gt;0,115&lt;$U$6+N($V$6)*12,115&lt;=p_MesFin),$O$6*(1-$W$6)/(N($V$6)*12),0)</f>
        <v>725</v>
      </c>
      <c r="DR45" s="13" t="n">
        <f aca="false">IF(AND(116&gt;=$U$6,N($V$6)&gt;0,116&lt;$U$6+N($V$6)*12,116&lt;=p_MesFin),$O$6*(1-$W$6)/(N($V$6)*12),0)</f>
        <v>725</v>
      </c>
      <c r="DS45" s="13" t="n">
        <f aca="false">IF(AND(117&gt;=$U$6,N($V$6)&gt;0,117&lt;$U$6+N($V$6)*12,117&lt;=p_MesFin),$O$6*(1-$W$6)/(N($V$6)*12),0)</f>
        <v>725</v>
      </c>
      <c r="DT45" s="13" t="n">
        <f aca="false">IF(AND(118&gt;=$U$6,N($V$6)&gt;0,118&lt;$U$6+N($V$6)*12,118&lt;=p_MesFin),$O$6*(1-$W$6)/(N($V$6)*12),0)</f>
        <v>725</v>
      </c>
      <c r="DU45" s="13" t="n">
        <f aca="false">IF(AND(119&gt;=$U$6,N($V$6)&gt;0,119&lt;$U$6+N($V$6)*12,119&lt;=p_MesFin),$O$6*(1-$W$6)/(N($V$6)*12),0)</f>
        <v>725</v>
      </c>
      <c r="DV45" s="13" t="n">
        <f aca="false">IF(AND(120&gt;=$U$6,N($V$6)&gt;0,120&lt;$U$6+N($V$6)*12,120&lt;=p_MesFin),$O$6*(1-$W$6)/(N($V$6)*12),0)</f>
        <v>725</v>
      </c>
      <c r="DW45" s="13" t="n">
        <f aca="false">IF(AND(121&gt;=$U$6,N($V$6)&gt;0,121&lt;$U$6+N($V$6)*12,121&lt;=p_MesFin),$O$6*(1-$W$6)/(N($V$6)*12),0)</f>
        <v>0</v>
      </c>
      <c r="DX45" s="13" t="n">
        <f aca="false">IF(AND(122&gt;=$U$6,N($V$6)&gt;0,122&lt;$U$6+N($V$6)*12,122&lt;=p_MesFin),$O$6*(1-$W$6)/(N($V$6)*12),0)</f>
        <v>0</v>
      </c>
      <c r="DY45" s="13" t="n">
        <f aca="false">IF(AND(123&gt;=$U$6,N($V$6)&gt;0,123&lt;$U$6+N($V$6)*12,123&lt;=p_MesFin),$O$6*(1-$W$6)/(N($V$6)*12),0)</f>
        <v>0</v>
      </c>
      <c r="DZ45" s="13" t="n">
        <f aca="false">IF(AND(124&gt;=$U$6,N($V$6)&gt;0,124&lt;$U$6+N($V$6)*12,124&lt;=p_MesFin),$O$6*(1-$W$6)/(N($V$6)*12),0)</f>
        <v>0</v>
      </c>
      <c r="EA45" s="13" t="n">
        <f aca="false">IF(AND(125&gt;=$U$6,N($V$6)&gt;0,125&lt;$U$6+N($V$6)*12,125&lt;=p_MesFin),$O$6*(1-$W$6)/(N($V$6)*12),0)</f>
        <v>0</v>
      </c>
      <c r="EB45" s="13" t="n">
        <f aca="false">IF(AND(126&gt;=$U$6,N($V$6)&gt;0,126&lt;$U$6+N($V$6)*12,126&lt;=p_MesFin),$O$6*(1-$W$6)/(N($V$6)*12),0)</f>
        <v>0</v>
      </c>
      <c r="EC45" s="13" t="n">
        <f aca="false">IF(AND(127&gt;=$U$6,N($V$6)&gt;0,127&lt;$U$6+N($V$6)*12,127&lt;=p_MesFin),$O$6*(1-$W$6)/(N($V$6)*12),0)</f>
        <v>0</v>
      </c>
      <c r="ED45" s="13" t="n">
        <f aca="false">IF(AND(128&gt;=$U$6,N($V$6)&gt;0,128&lt;$U$6+N($V$6)*12,128&lt;=p_MesFin),$O$6*(1-$W$6)/(N($V$6)*12),0)</f>
        <v>0</v>
      </c>
      <c r="EE45" s="13" t="n">
        <f aca="false">IF(AND(129&gt;=$U$6,N($V$6)&gt;0,129&lt;$U$6+N($V$6)*12,129&lt;=p_MesFin),$O$6*(1-$W$6)/(N($V$6)*12),0)</f>
        <v>0</v>
      </c>
      <c r="EF45" s="13" t="n">
        <f aca="false">IF(AND(130&gt;=$U$6,N($V$6)&gt;0,130&lt;$U$6+N($V$6)*12,130&lt;=p_MesFin),$O$6*(1-$W$6)/(N($V$6)*12),0)</f>
        <v>0</v>
      </c>
      <c r="EG45" s="13" t="n">
        <f aca="false">IF(AND(131&gt;=$U$6,N($V$6)&gt;0,131&lt;$U$6+N($V$6)*12,131&lt;=p_MesFin),$O$6*(1-$W$6)/(N($V$6)*12),0)</f>
        <v>0</v>
      </c>
      <c r="EH45" s="13" t="n">
        <f aca="false">IF(AND(132&gt;=$U$6,N($V$6)&gt;0,132&lt;$U$6+N($V$6)*12,132&lt;=p_MesFin),$O$6*(1-$W$6)/(N($V$6)*12),0)</f>
        <v>0</v>
      </c>
      <c r="EI45" s="13" t="n">
        <f aca="false">IF(AND(133&gt;=$U$6,N($V$6)&gt;0,133&lt;$U$6+N($V$6)*12,133&lt;=p_MesFin),$O$6*(1-$W$6)/(N($V$6)*12),0)</f>
        <v>0</v>
      </c>
      <c r="EJ45" s="13" t="n">
        <f aca="false">IF(AND(134&gt;=$U$6,N($V$6)&gt;0,134&lt;$U$6+N($V$6)*12,134&lt;=p_MesFin),$O$6*(1-$W$6)/(N($V$6)*12),0)</f>
        <v>0</v>
      </c>
      <c r="EK45" s="13" t="n">
        <f aca="false">IF(AND(135&gt;=$U$6,N($V$6)&gt;0,135&lt;$U$6+N($V$6)*12,135&lt;=p_MesFin),$O$6*(1-$W$6)/(N($V$6)*12),0)</f>
        <v>0</v>
      </c>
      <c r="EL45" s="13" t="n">
        <f aca="false">IF(AND(136&gt;=$U$6,N($V$6)&gt;0,136&lt;$U$6+N($V$6)*12,136&lt;=p_MesFin),$O$6*(1-$W$6)/(N($V$6)*12),0)</f>
        <v>0</v>
      </c>
      <c r="EM45" s="13" t="n">
        <f aca="false">IF(AND(137&gt;=$U$6,N($V$6)&gt;0,137&lt;$U$6+N($V$6)*12,137&lt;=p_MesFin),$O$6*(1-$W$6)/(N($V$6)*12),0)</f>
        <v>0</v>
      </c>
      <c r="EN45" s="13" t="n">
        <f aca="false">IF(AND(138&gt;=$U$6,N($V$6)&gt;0,138&lt;$U$6+N($V$6)*12,138&lt;=p_MesFin),$O$6*(1-$W$6)/(N($V$6)*12),0)</f>
        <v>0</v>
      </c>
      <c r="EO45" s="13" t="n">
        <f aca="false">IF(AND(139&gt;=$U$6,N($V$6)&gt;0,139&lt;$U$6+N($V$6)*12,139&lt;=p_MesFin),$O$6*(1-$W$6)/(N($V$6)*12),0)</f>
        <v>0</v>
      </c>
      <c r="EP45" s="13" t="n">
        <f aca="false">IF(AND(140&gt;=$U$6,N($V$6)&gt;0,140&lt;$U$6+N($V$6)*12,140&lt;=p_MesFin),$O$6*(1-$W$6)/(N($V$6)*12),0)</f>
        <v>0</v>
      </c>
      <c r="EQ45" s="13" t="n">
        <f aca="false">IF(AND(141&gt;=$U$6,N($V$6)&gt;0,141&lt;$U$6+N($V$6)*12,141&lt;=p_MesFin),$O$6*(1-$W$6)/(N($V$6)*12),0)</f>
        <v>0</v>
      </c>
      <c r="ER45" s="13" t="n">
        <f aca="false">IF(AND(142&gt;=$U$6,N($V$6)&gt;0,142&lt;$U$6+N($V$6)*12,142&lt;=p_MesFin),$O$6*(1-$W$6)/(N($V$6)*12),0)</f>
        <v>0</v>
      </c>
      <c r="ES45" s="13" t="n">
        <f aca="false">IF(AND(143&gt;=$U$6,N($V$6)&gt;0,143&lt;$U$6+N($V$6)*12,143&lt;=p_MesFin),$O$6*(1-$W$6)/(N($V$6)*12),0)</f>
        <v>0</v>
      </c>
      <c r="ET45" s="13" t="n">
        <f aca="false">IF(AND(144&gt;=$U$6,N($V$6)&gt;0,144&lt;$U$6+N($V$6)*12,144&lt;=p_MesFin),$O$6*(1-$W$6)/(N($V$6)*12),0)</f>
        <v>0</v>
      </c>
      <c r="EU45" s="13" t="n">
        <f aca="false">IF(AND(145&gt;=$U$6,N($V$6)&gt;0,145&lt;$U$6+N($V$6)*12,145&lt;=p_MesFin),$O$6*(1-$W$6)/(N($V$6)*12),0)</f>
        <v>0</v>
      </c>
      <c r="EV45" s="13" t="n">
        <f aca="false">IF(AND(146&gt;=$U$6,N($V$6)&gt;0,146&lt;$U$6+N($V$6)*12,146&lt;=p_MesFin),$O$6*(1-$W$6)/(N($V$6)*12),0)</f>
        <v>0</v>
      </c>
      <c r="EW45" s="13" t="n">
        <f aca="false">IF(AND(147&gt;=$U$6,N($V$6)&gt;0,147&lt;$U$6+N($V$6)*12,147&lt;=p_MesFin),$O$6*(1-$W$6)/(N($V$6)*12),0)</f>
        <v>0</v>
      </c>
      <c r="EX45" s="13" t="n">
        <f aca="false">IF(AND(148&gt;=$U$6,N($V$6)&gt;0,148&lt;$U$6+N($V$6)*12,148&lt;=p_MesFin),$O$6*(1-$W$6)/(N($V$6)*12),0)</f>
        <v>0</v>
      </c>
      <c r="EY45" s="13" t="n">
        <f aca="false">IF(AND(149&gt;=$U$6,N($V$6)&gt;0,149&lt;$U$6+N($V$6)*12,149&lt;=p_MesFin),$O$6*(1-$W$6)/(N($V$6)*12),0)</f>
        <v>0</v>
      </c>
      <c r="EZ45" s="13" t="n">
        <f aca="false">IF(AND(150&gt;=$U$6,N($V$6)&gt;0,150&lt;$U$6+N($V$6)*12,150&lt;=p_MesFin),$O$6*(1-$W$6)/(N($V$6)*12),0)</f>
        <v>0</v>
      </c>
      <c r="FA45" s="13" t="n">
        <f aca="false">IF(AND(151&gt;=$U$6,N($V$6)&gt;0,151&lt;$U$6+N($V$6)*12,151&lt;=p_MesFin),$O$6*(1-$W$6)/(N($V$6)*12),0)</f>
        <v>0</v>
      </c>
      <c r="FB45" s="13" t="n">
        <f aca="false">IF(AND(152&gt;=$U$6,N($V$6)&gt;0,152&lt;$U$6+N($V$6)*12,152&lt;=p_MesFin),$O$6*(1-$W$6)/(N($V$6)*12),0)</f>
        <v>0</v>
      </c>
      <c r="FC45" s="13" t="n">
        <f aca="false">IF(AND(153&gt;=$U$6,N($V$6)&gt;0,153&lt;$U$6+N($V$6)*12,153&lt;=p_MesFin),$O$6*(1-$W$6)/(N($V$6)*12),0)</f>
        <v>0</v>
      </c>
      <c r="FD45" s="13" t="n">
        <f aca="false">IF(AND(154&gt;=$U$6,N($V$6)&gt;0,154&lt;$U$6+N($V$6)*12,154&lt;=p_MesFin),$O$6*(1-$W$6)/(N($V$6)*12),0)</f>
        <v>0</v>
      </c>
      <c r="FE45" s="13" t="n">
        <f aca="false">IF(AND(155&gt;=$U$6,N($V$6)&gt;0,155&lt;$U$6+N($V$6)*12,155&lt;=p_MesFin),$O$6*(1-$W$6)/(N($V$6)*12),0)</f>
        <v>0</v>
      </c>
      <c r="FF45" s="13" t="n">
        <f aca="false">IF(AND(156&gt;=$U$6,N($V$6)&gt;0,156&lt;$U$6+N($V$6)*12,156&lt;=p_MesFin),$O$6*(1-$W$6)/(N($V$6)*12),0)</f>
        <v>0</v>
      </c>
    </row>
    <row r="46" customFormat="false" ht="15" hidden="false" customHeight="false" outlineLevel="0" collapsed="false">
      <c r="A46" s="2" t="s">
        <v>1240</v>
      </c>
      <c r="B46" s="8" t="s">
        <v>1241</v>
      </c>
      <c r="C46" s="8" t="s">
        <v>255</v>
      </c>
      <c r="E46" s="65" t="n">
        <f aca="false">SUM($F46:$FF46)</f>
        <v>183073.602892338</v>
      </c>
      <c r="F46" s="13" t="n">
        <f aca="false">IF(AND(0&gt;=$U$7,N($V$7)&gt;0,0&lt;$U$7+N($V$7)*12,0&lt;=p_MesFin),$O$7*(1-$W$7)/(N($V$7)*12),0)</f>
        <v>0</v>
      </c>
      <c r="G46" s="13" t="n">
        <f aca="false">IF(AND(1&gt;=$U$7,N($V$7)&gt;0,1&lt;$U$7+N($V$7)*12,1&lt;=p_MesFin),$O$7*(1-$W$7)/(N($V$7)*12),0)</f>
        <v>1525.61335743615</v>
      </c>
      <c r="H46" s="13" t="n">
        <f aca="false">IF(AND(2&gt;=$U$7,N($V$7)&gt;0,2&lt;$U$7+N($V$7)*12,2&lt;=p_MesFin),$O$7*(1-$W$7)/(N($V$7)*12),0)</f>
        <v>1525.61335743615</v>
      </c>
      <c r="I46" s="13" t="n">
        <f aca="false">IF(AND(3&gt;=$U$7,N($V$7)&gt;0,3&lt;$U$7+N($V$7)*12,3&lt;=p_MesFin),$O$7*(1-$W$7)/(N($V$7)*12),0)</f>
        <v>1525.61335743615</v>
      </c>
      <c r="J46" s="13" t="n">
        <f aca="false">IF(AND(4&gt;=$U$7,N($V$7)&gt;0,4&lt;$U$7+N($V$7)*12,4&lt;=p_MesFin),$O$7*(1-$W$7)/(N($V$7)*12),0)</f>
        <v>1525.61335743615</v>
      </c>
      <c r="K46" s="13" t="n">
        <f aca="false">IF(AND(5&gt;=$U$7,N($V$7)&gt;0,5&lt;$U$7+N($V$7)*12,5&lt;=p_MesFin),$O$7*(1-$W$7)/(N($V$7)*12),0)</f>
        <v>1525.61335743615</v>
      </c>
      <c r="L46" s="13" t="n">
        <f aca="false">IF(AND(6&gt;=$U$7,N($V$7)&gt;0,6&lt;$U$7+N($V$7)*12,6&lt;=p_MesFin),$O$7*(1-$W$7)/(N($V$7)*12),0)</f>
        <v>1525.61335743615</v>
      </c>
      <c r="M46" s="13" t="n">
        <f aca="false">IF(AND(7&gt;=$U$7,N($V$7)&gt;0,7&lt;$U$7+N($V$7)*12,7&lt;=p_MesFin),$O$7*(1-$W$7)/(N($V$7)*12),0)</f>
        <v>1525.61335743615</v>
      </c>
      <c r="N46" s="13" t="n">
        <f aca="false">IF(AND(8&gt;=$U$7,N($V$7)&gt;0,8&lt;$U$7+N($V$7)*12,8&lt;=p_MesFin),$O$7*(1-$W$7)/(N($V$7)*12),0)</f>
        <v>1525.61335743615</v>
      </c>
      <c r="O46" s="13" t="n">
        <f aca="false">IF(AND(9&gt;=$U$7,N($V$7)&gt;0,9&lt;$U$7+N($V$7)*12,9&lt;=p_MesFin),$O$7*(1-$W$7)/(N($V$7)*12),0)</f>
        <v>1525.61335743615</v>
      </c>
      <c r="P46" s="13" t="n">
        <f aca="false">IF(AND(10&gt;=$U$7,N($V$7)&gt;0,10&lt;$U$7+N($V$7)*12,10&lt;=p_MesFin),$O$7*(1-$W$7)/(N($V$7)*12),0)</f>
        <v>1525.61335743615</v>
      </c>
      <c r="Q46" s="13" t="n">
        <f aca="false">IF(AND(11&gt;=$U$7,N($V$7)&gt;0,11&lt;$U$7+N($V$7)*12,11&lt;=p_MesFin),$O$7*(1-$W$7)/(N($V$7)*12),0)</f>
        <v>1525.61335743615</v>
      </c>
      <c r="R46" s="13" t="n">
        <f aca="false">IF(AND(12&gt;=$U$7,N($V$7)&gt;0,12&lt;$U$7+N($V$7)*12,12&lt;=p_MesFin),$O$7*(1-$W$7)/(N($V$7)*12),0)</f>
        <v>1525.61335743615</v>
      </c>
      <c r="S46" s="13" t="n">
        <f aca="false">IF(AND(13&gt;=$U$7,N($V$7)&gt;0,13&lt;$U$7+N($V$7)*12,13&lt;=p_MesFin),$O$7*(1-$W$7)/(N($V$7)*12),0)</f>
        <v>1525.61335743615</v>
      </c>
      <c r="T46" s="13" t="n">
        <f aca="false">IF(AND(14&gt;=$U$7,N($V$7)&gt;0,14&lt;$U$7+N($V$7)*12,14&lt;=p_MesFin),$O$7*(1-$W$7)/(N($V$7)*12),0)</f>
        <v>1525.61335743615</v>
      </c>
      <c r="U46" s="13" t="n">
        <f aca="false">IF(AND(15&gt;=$U$7,N($V$7)&gt;0,15&lt;$U$7+N($V$7)*12,15&lt;=p_MesFin),$O$7*(1-$W$7)/(N($V$7)*12),0)</f>
        <v>1525.61335743615</v>
      </c>
      <c r="V46" s="13" t="n">
        <f aca="false">IF(AND(16&gt;=$U$7,N($V$7)&gt;0,16&lt;$U$7+N($V$7)*12,16&lt;=p_MesFin),$O$7*(1-$W$7)/(N($V$7)*12),0)</f>
        <v>1525.61335743615</v>
      </c>
      <c r="W46" s="13" t="n">
        <f aca="false">IF(AND(17&gt;=$U$7,N($V$7)&gt;0,17&lt;$U$7+N($V$7)*12,17&lt;=p_MesFin),$O$7*(1-$W$7)/(N($V$7)*12),0)</f>
        <v>1525.61335743615</v>
      </c>
      <c r="X46" s="13" t="n">
        <f aca="false">IF(AND(18&gt;=$U$7,N($V$7)&gt;0,18&lt;$U$7+N($V$7)*12,18&lt;=p_MesFin),$O$7*(1-$W$7)/(N($V$7)*12),0)</f>
        <v>1525.61335743615</v>
      </c>
      <c r="Y46" s="13" t="n">
        <f aca="false">IF(AND(19&gt;=$U$7,N($V$7)&gt;0,19&lt;$U$7+N($V$7)*12,19&lt;=p_MesFin),$O$7*(1-$W$7)/(N($V$7)*12),0)</f>
        <v>1525.61335743615</v>
      </c>
      <c r="Z46" s="13" t="n">
        <f aca="false">IF(AND(20&gt;=$U$7,N($V$7)&gt;0,20&lt;$U$7+N($V$7)*12,20&lt;=p_MesFin),$O$7*(1-$W$7)/(N($V$7)*12),0)</f>
        <v>1525.61335743615</v>
      </c>
      <c r="AA46" s="13" t="n">
        <f aca="false">IF(AND(21&gt;=$U$7,N($V$7)&gt;0,21&lt;$U$7+N($V$7)*12,21&lt;=p_MesFin),$O$7*(1-$W$7)/(N($V$7)*12),0)</f>
        <v>1525.61335743615</v>
      </c>
      <c r="AB46" s="13" t="n">
        <f aca="false">IF(AND(22&gt;=$U$7,N($V$7)&gt;0,22&lt;$U$7+N($V$7)*12,22&lt;=p_MesFin),$O$7*(1-$W$7)/(N($V$7)*12),0)</f>
        <v>1525.61335743615</v>
      </c>
      <c r="AC46" s="13" t="n">
        <f aca="false">IF(AND(23&gt;=$U$7,N($V$7)&gt;0,23&lt;$U$7+N($V$7)*12,23&lt;=p_MesFin),$O$7*(1-$W$7)/(N($V$7)*12),0)</f>
        <v>1525.61335743615</v>
      </c>
      <c r="AD46" s="13" t="n">
        <f aca="false">IF(AND(24&gt;=$U$7,N($V$7)&gt;0,24&lt;$U$7+N($V$7)*12,24&lt;=p_MesFin),$O$7*(1-$W$7)/(N($V$7)*12),0)</f>
        <v>1525.61335743615</v>
      </c>
      <c r="AE46" s="13" t="n">
        <f aca="false">IF(AND(25&gt;=$U$7,N($V$7)&gt;0,25&lt;$U$7+N($V$7)*12,25&lt;=p_MesFin),$O$7*(1-$W$7)/(N($V$7)*12),0)</f>
        <v>1525.61335743615</v>
      </c>
      <c r="AF46" s="13" t="n">
        <f aca="false">IF(AND(26&gt;=$U$7,N($V$7)&gt;0,26&lt;$U$7+N($V$7)*12,26&lt;=p_MesFin),$O$7*(1-$W$7)/(N($V$7)*12),0)</f>
        <v>1525.61335743615</v>
      </c>
      <c r="AG46" s="13" t="n">
        <f aca="false">IF(AND(27&gt;=$U$7,N($V$7)&gt;0,27&lt;$U$7+N($V$7)*12,27&lt;=p_MesFin),$O$7*(1-$W$7)/(N($V$7)*12),0)</f>
        <v>1525.61335743615</v>
      </c>
      <c r="AH46" s="13" t="n">
        <f aca="false">IF(AND(28&gt;=$U$7,N($V$7)&gt;0,28&lt;$U$7+N($V$7)*12,28&lt;=p_MesFin),$O$7*(1-$W$7)/(N($V$7)*12),0)</f>
        <v>1525.61335743615</v>
      </c>
      <c r="AI46" s="13" t="n">
        <f aca="false">IF(AND(29&gt;=$U$7,N($V$7)&gt;0,29&lt;$U$7+N($V$7)*12,29&lt;=p_MesFin),$O$7*(1-$W$7)/(N($V$7)*12),0)</f>
        <v>1525.61335743615</v>
      </c>
      <c r="AJ46" s="13" t="n">
        <f aca="false">IF(AND(30&gt;=$U$7,N($V$7)&gt;0,30&lt;$U$7+N($V$7)*12,30&lt;=p_MesFin),$O$7*(1-$W$7)/(N($V$7)*12),0)</f>
        <v>1525.61335743615</v>
      </c>
      <c r="AK46" s="13" t="n">
        <f aca="false">IF(AND(31&gt;=$U$7,N($V$7)&gt;0,31&lt;$U$7+N($V$7)*12,31&lt;=p_MesFin),$O$7*(1-$W$7)/(N($V$7)*12),0)</f>
        <v>1525.61335743615</v>
      </c>
      <c r="AL46" s="13" t="n">
        <f aca="false">IF(AND(32&gt;=$U$7,N($V$7)&gt;0,32&lt;$U$7+N($V$7)*12,32&lt;=p_MesFin),$O$7*(1-$W$7)/(N($V$7)*12),0)</f>
        <v>1525.61335743615</v>
      </c>
      <c r="AM46" s="13" t="n">
        <f aca="false">IF(AND(33&gt;=$U$7,N($V$7)&gt;0,33&lt;$U$7+N($V$7)*12,33&lt;=p_MesFin),$O$7*(1-$W$7)/(N($V$7)*12),0)</f>
        <v>1525.61335743615</v>
      </c>
      <c r="AN46" s="13" t="n">
        <f aca="false">IF(AND(34&gt;=$U$7,N($V$7)&gt;0,34&lt;$U$7+N($V$7)*12,34&lt;=p_MesFin),$O$7*(1-$W$7)/(N($V$7)*12),0)</f>
        <v>1525.61335743615</v>
      </c>
      <c r="AO46" s="13" t="n">
        <f aca="false">IF(AND(35&gt;=$U$7,N($V$7)&gt;0,35&lt;$U$7+N($V$7)*12,35&lt;=p_MesFin),$O$7*(1-$W$7)/(N($V$7)*12),0)</f>
        <v>1525.61335743615</v>
      </c>
      <c r="AP46" s="13" t="n">
        <f aca="false">IF(AND(36&gt;=$U$7,N($V$7)&gt;0,36&lt;$U$7+N($V$7)*12,36&lt;=p_MesFin),$O$7*(1-$W$7)/(N($V$7)*12),0)</f>
        <v>1525.61335743615</v>
      </c>
      <c r="AQ46" s="13" t="n">
        <f aca="false">IF(AND(37&gt;=$U$7,N($V$7)&gt;0,37&lt;$U$7+N($V$7)*12,37&lt;=p_MesFin),$O$7*(1-$W$7)/(N($V$7)*12),0)</f>
        <v>1525.61335743615</v>
      </c>
      <c r="AR46" s="13" t="n">
        <f aca="false">IF(AND(38&gt;=$U$7,N($V$7)&gt;0,38&lt;$U$7+N($V$7)*12,38&lt;=p_MesFin),$O$7*(1-$W$7)/(N($V$7)*12),0)</f>
        <v>1525.61335743615</v>
      </c>
      <c r="AS46" s="13" t="n">
        <f aca="false">IF(AND(39&gt;=$U$7,N($V$7)&gt;0,39&lt;$U$7+N($V$7)*12,39&lt;=p_MesFin),$O$7*(1-$W$7)/(N($V$7)*12),0)</f>
        <v>1525.61335743615</v>
      </c>
      <c r="AT46" s="13" t="n">
        <f aca="false">IF(AND(40&gt;=$U$7,N($V$7)&gt;0,40&lt;$U$7+N($V$7)*12,40&lt;=p_MesFin),$O$7*(1-$W$7)/(N($V$7)*12),0)</f>
        <v>1525.61335743615</v>
      </c>
      <c r="AU46" s="13" t="n">
        <f aca="false">IF(AND(41&gt;=$U$7,N($V$7)&gt;0,41&lt;$U$7+N($V$7)*12,41&lt;=p_MesFin),$O$7*(1-$W$7)/(N($V$7)*12),0)</f>
        <v>1525.61335743615</v>
      </c>
      <c r="AV46" s="13" t="n">
        <f aca="false">IF(AND(42&gt;=$U$7,N($V$7)&gt;0,42&lt;$U$7+N($V$7)*12,42&lt;=p_MesFin),$O$7*(1-$W$7)/(N($V$7)*12),0)</f>
        <v>1525.61335743615</v>
      </c>
      <c r="AW46" s="13" t="n">
        <f aca="false">IF(AND(43&gt;=$U$7,N($V$7)&gt;0,43&lt;$U$7+N($V$7)*12,43&lt;=p_MesFin),$O$7*(1-$W$7)/(N($V$7)*12),0)</f>
        <v>1525.61335743615</v>
      </c>
      <c r="AX46" s="13" t="n">
        <f aca="false">IF(AND(44&gt;=$U$7,N($V$7)&gt;0,44&lt;$U$7+N($V$7)*12,44&lt;=p_MesFin),$O$7*(1-$W$7)/(N($V$7)*12),0)</f>
        <v>1525.61335743615</v>
      </c>
      <c r="AY46" s="13" t="n">
        <f aca="false">IF(AND(45&gt;=$U$7,N($V$7)&gt;0,45&lt;$U$7+N($V$7)*12,45&lt;=p_MesFin),$O$7*(1-$W$7)/(N($V$7)*12),0)</f>
        <v>1525.61335743615</v>
      </c>
      <c r="AZ46" s="13" t="n">
        <f aca="false">IF(AND(46&gt;=$U$7,N($V$7)&gt;0,46&lt;$U$7+N($V$7)*12,46&lt;=p_MesFin),$O$7*(1-$W$7)/(N($V$7)*12),0)</f>
        <v>1525.61335743615</v>
      </c>
      <c r="BA46" s="13" t="n">
        <f aca="false">IF(AND(47&gt;=$U$7,N($V$7)&gt;0,47&lt;$U$7+N($V$7)*12,47&lt;=p_MesFin),$O$7*(1-$W$7)/(N($V$7)*12),0)</f>
        <v>1525.61335743615</v>
      </c>
      <c r="BB46" s="13" t="n">
        <f aca="false">IF(AND(48&gt;=$U$7,N($V$7)&gt;0,48&lt;$U$7+N($V$7)*12,48&lt;=p_MesFin),$O$7*(1-$W$7)/(N($V$7)*12),0)</f>
        <v>1525.61335743615</v>
      </c>
      <c r="BC46" s="13" t="n">
        <f aca="false">IF(AND(49&gt;=$U$7,N($V$7)&gt;0,49&lt;$U$7+N($V$7)*12,49&lt;=p_MesFin),$O$7*(1-$W$7)/(N($V$7)*12),0)</f>
        <v>1525.61335743615</v>
      </c>
      <c r="BD46" s="13" t="n">
        <f aca="false">IF(AND(50&gt;=$U$7,N($V$7)&gt;0,50&lt;$U$7+N($V$7)*12,50&lt;=p_MesFin),$O$7*(1-$W$7)/(N($V$7)*12),0)</f>
        <v>1525.61335743615</v>
      </c>
      <c r="BE46" s="13" t="n">
        <f aca="false">IF(AND(51&gt;=$U$7,N($V$7)&gt;0,51&lt;$U$7+N($V$7)*12,51&lt;=p_MesFin),$O$7*(1-$W$7)/(N($V$7)*12),0)</f>
        <v>1525.61335743615</v>
      </c>
      <c r="BF46" s="13" t="n">
        <f aca="false">IF(AND(52&gt;=$U$7,N($V$7)&gt;0,52&lt;$U$7+N($V$7)*12,52&lt;=p_MesFin),$O$7*(1-$W$7)/(N($V$7)*12),0)</f>
        <v>1525.61335743615</v>
      </c>
      <c r="BG46" s="13" t="n">
        <f aca="false">IF(AND(53&gt;=$U$7,N($V$7)&gt;0,53&lt;$U$7+N($V$7)*12,53&lt;=p_MesFin),$O$7*(1-$W$7)/(N($V$7)*12),0)</f>
        <v>1525.61335743615</v>
      </c>
      <c r="BH46" s="13" t="n">
        <f aca="false">IF(AND(54&gt;=$U$7,N($V$7)&gt;0,54&lt;$U$7+N($V$7)*12,54&lt;=p_MesFin),$O$7*(1-$W$7)/(N($V$7)*12),0)</f>
        <v>1525.61335743615</v>
      </c>
      <c r="BI46" s="13" t="n">
        <f aca="false">IF(AND(55&gt;=$U$7,N($V$7)&gt;0,55&lt;$U$7+N($V$7)*12,55&lt;=p_MesFin),$O$7*(1-$W$7)/(N($V$7)*12),0)</f>
        <v>1525.61335743615</v>
      </c>
      <c r="BJ46" s="13" t="n">
        <f aca="false">IF(AND(56&gt;=$U$7,N($V$7)&gt;0,56&lt;$U$7+N($V$7)*12,56&lt;=p_MesFin),$O$7*(1-$W$7)/(N($V$7)*12),0)</f>
        <v>1525.61335743615</v>
      </c>
      <c r="BK46" s="13" t="n">
        <f aca="false">IF(AND(57&gt;=$U$7,N($V$7)&gt;0,57&lt;$U$7+N($V$7)*12,57&lt;=p_MesFin),$O$7*(1-$W$7)/(N($V$7)*12),0)</f>
        <v>1525.61335743615</v>
      </c>
      <c r="BL46" s="13" t="n">
        <f aca="false">IF(AND(58&gt;=$U$7,N($V$7)&gt;0,58&lt;$U$7+N($V$7)*12,58&lt;=p_MesFin),$O$7*(1-$W$7)/(N($V$7)*12),0)</f>
        <v>1525.61335743615</v>
      </c>
      <c r="BM46" s="13" t="n">
        <f aca="false">IF(AND(59&gt;=$U$7,N($V$7)&gt;0,59&lt;$U$7+N($V$7)*12,59&lt;=p_MesFin),$O$7*(1-$W$7)/(N($V$7)*12),0)</f>
        <v>1525.61335743615</v>
      </c>
      <c r="BN46" s="13" t="n">
        <f aca="false">IF(AND(60&gt;=$U$7,N($V$7)&gt;0,60&lt;$U$7+N($V$7)*12,60&lt;=p_MesFin),$O$7*(1-$W$7)/(N($V$7)*12),0)</f>
        <v>1525.61335743615</v>
      </c>
      <c r="BO46" s="13" t="n">
        <f aca="false">IF(AND(61&gt;=$U$7,N($V$7)&gt;0,61&lt;$U$7+N($V$7)*12,61&lt;=p_MesFin),$O$7*(1-$W$7)/(N($V$7)*12),0)</f>
        <v>1525.61335743615</v>
      </c>
      <c r="BP46" s="13" t="n">
        <f aca="false">IF(AND(62&gt;=$U$7,N($V$7)&gt;0,62&lt;$U$7+N($V$7)*12,62&lt;=p_MesFin),$O$7*(1-$W$7)/(N($V$7)*12),0)</f>
        <v>1525.61335743615</v>
      </c>
      <c r="BQ46" s="13" t="n">
        <f aca="false">IF(AND(63&gt;=$U$7,N($V$7)&gt;0,63&lt;$U$7+N($V$7)*12,63&lt;=p_MesFin),$O$7*(1-$W$7)/(N($V$7)*12),0)</f>
        <v>1525.61335743615</v>
      </c>
      <c r="BR46" s="13" t="n">
        <f aca="false">IF(AND(64&gt;=$U$7,N($V$7)&gt;0,64&lt;$U$7+N($V$7)*12,64&lt;=p_MesFin),$O$7*(1-$W$7)/(N($V$7)*12),0)</f>
        <v>1525.61335743615</v>
      </c>
      <c r="BS46" s="13" t="n">
        <f aca="false">IF(AND(65&gt;=$U$7,N($V$7)&gt;0,65&lt;$U$7+N($V$7)*12,65&lt;=p_MesFin),$O$7*(1-$W$7)/(N($V$7)*12),0)</f>
        <v>1525.61335743615</v>
      </c>
      <c r="BT46" s="13" t="n">
        <f aca="false">IF(AND(66&gt;=$U$7,N($V$7)&gt;0,66&lt;$U$7+N($V$7)*12,66&lt;=p_MesFin),$O$7*(1-$W$7)/(N($V$7)*12),0)</f>
        <v>1525.61335743615</v>
      </c>
      <c r="BU46" s="13" t="n">
        <f aca="false">IF(AND(67&gt;=$U$7,N($V$7)&gt;0,67&lt;$U$7+N($V$7)*12,67&lt;=p_MesFin),$O$7*(1-$W$7)/(N($V$7)*12),0)</f>
        <v>1525.61335743615</v>
      </c>
      <c r="BV46" s="13" t="n">
        <f aca="false">IF(AND(68&gt;=$U$7,N($V$7)&gt;0,68&lt;$U$7+N($V$7)*12,68&lt;=p_MesFin),$O$7*(1-$W$7)/(N($V$7)*12),0)</f>
        <v>1525.61335743615</v>
      </c>
      <c r="BW46" s="13" t="n">
        <f aca="false">IF(AND(69&gt;=$U$7,N($V$7)&gt;0,69&lt;$U$7+N($V$7)*12,69&lt;=p_MesFin),$O$7*(1-$W$7)/(N($V$7)*12),0)</f>
        <v>1525.61335743615</v>
      </c>
      <c r="BX46" s="13" t="n">
        <f aca="false">IF(AND(70&gt;=$U$7,N($V$7)&gt;0,70&lt;$U$7+N($V$7)*12,70&lt;=p_MesFin),$O$7*(1-$W$7)/(N($V$7)*12),0)</f>
        <v>1525.61335743615</v>
      </c>
      <c r="BY46" s="13" t="n">
        <f aca="false">IF(AND(71&gt;=$U$7,N($V$7)&gt;0,71&lt;$U$7+N($V$7)*12,71&lt;=p_MesFin),$O$7*(1-$W$7)/(N($V$7)*12),0)</f>
        <v>1525.61335743615</v>
      </c>
      <c r="BZ46" s="13" t="n">
        <f aca="false">IF(AND(72&gt;=$U$7,N($V$7)&gt;0,72&lt;$U$7+N($V$7)*12,72&lt;=p_MesFin),$O$7*(1-$W$7)/(N($V$7)*12),0)</f>
        <v>1525.61335743615</v>
      </c>
      <c r="CA46" s="13" t="n">
        <f aca="false">IF(AND(73&gt;=$U$7,N($V$7)&gt;0,73&lt;$U$7+N($V$7)*12,73&lt;=p_MesFin),$O$7*(1-$W$7)/(N($V$7)*12),0)</f>
        <v>1525.61335743615</v>
      </c>
      <c r="CB46" s="13" t="n">
        <f aca="false">IF(AND(74&gt;=$U$7,N($V$7)&gt;0,74&lt;$U$7+N($V$7)*12,74&lt;=p_MesFin),$O$7*(1-$W$7)/(N($V$7)*12),0)</f>
        <v>1525.61335743615</v>
      </c>
      <c r="CC46" s="13" t="n">
        <f aca="false">IF(AND(75&gt;=$U$7,N($V$7)&gt;0,75&lt;$U$7+N($V$7)*12,75&lt;=p_MesFin),$O$7*(1-$W$7)/(N($V$7)*12),0)</f>
        <v>1525.61335743615</v>
      </c>
      <c r="CD46" s="13" t="n">
        <f aca="false">IF(AND(76&gt;=$U$7,N($V$7)&gt;0,76&lt;$U$7+N($V$7)*12,76&lt;=p_MesFin),$O$7*(1-$W$7)/(N($V$7)*12),0)</f>
        <v>1525.61335743615</v>
      </c>
      <c r="CE46" s="13" t="n">
        <f aca="false">IF(AND(77&gt;=$U$7,N($V$7)&gt;0,77&lt;$U$7+N($V$7)*12,77&lt;=p_MesFin),$O$7*(1-$W$7)/(N($V$7)*12),0)</f>
        <v>1525.61335743615</v>
      </c>
      <c r="CF46" s="13" t="n">
        <f aca="false">IF(AND(78&gt;=$U$7,N($V$7)&gt;0,78&lt;$U$7+N($V$7)*12,78&lt;=p_MesFin),$O$7*(1-$W$7)/(N($V$7)*12),0)</f>
        <v>1525.61335743615</v>
      </c>
      <c r="CG46" s="13" t="n">
        <f aca="false">IF(AND(79&gt;=$U$7,N($V$7)&gt;0,79&lt;$U$7+N($V$7)*12,79&lt;=p_MesFin),$O$7*(1-$W$7)/(N($V$7)*12),0)</f>
        <v>1525.61335743615</v>
      </c>
      <c r="CH46" s="13" t="n">
        <f aca="false">IF(AND(80&gt;=$U$7,N($V$7)&gt;0,80&lt;$U$7+N($V$7)*12,80&lt;=p_MesFin),$O$7*(1-$W$7)/(N($V$7)*12),0)</f>
        <v>1525.61335743615</v>
      </c>
      <c r="CI46" s="13" t="n">
        <f aca="false">IF(AND(81&gt;=$U$7,N($V$7)&gt;0,81&lt;$U$7+N($V$7)*12,81&lt;=p_MesFin),$O$7*(1-$W$7)/(N($V$7)*12),0)</f>
        <v>1525.61335743615</v>
      </c>
      <c r="CJ46" s="13" t="n">
        <f aca="false">IF(AND(82&gt;=$U$7,N($V$7)&gt;0,82&lt;$U$7+N($V$7)*12,82&lt;=p_MesFin),$O$7*(1-$W$7)/(N($V$7)*12),0)</f>
        <v>1525.61335743615</v>
      </c>
      <c r="CK46" s="13" t="n">
        <f aca="false">IF(AND(83&gt;=$U$7,N($V$7)&gt;0,83&lt;$U$7+N($V$7)*12,83&lt;=p_MesFin),$O$7*(1-$W$7)/(N($V$7)*12),0)</f>
        <v>1525.61335743615</v>
      </c>
      <c r="CL46" s="13" t="n">
        <f aca="false">IF(AND(84&gt;=$U$7,N($V$7)&gt;0,84&lt;$U$7+N($V$7)*12,84&lt;=p_MesFin),$O$7*(1-$W$7)/(N($V$7)*12),0)</f>
        <v>1525.61335743615</v>
      </c>
      <c r="CM46" s="13" t="n">
        <f aca="false">IF(AND(85&gt;=$U$7,N($V$7)&gt;0,85&lt;$U$7+N($V$7)*12,85&lt;=p_MesFin),$O$7*(1-$W$7)/(N($V$7)*12),0)</f>
        <v>1525.61335743615</v>
      </c>
      <c r="CN46" s="13" t="n">
        <f aca="false">IF(AND(86&gt;=$U$7,N($V$7)&gt;0,86&lt;$U$7+N($V$7)*12,86&lt;=p_MesFin),$O$7*(1-$W$7)/(N($V$7)*12),0)</f>
        <v>1525.61335743615</v>
      </c>
      <c r="CO46" s="13" t="n">
        <f aca="false">IF(AND(87&gt;=$U$7,N($V$7)&gt;0,87&lt;$U$7+N($V$7)*12,87&lt;=p_MesFin),$O$7*(1-$W$7)/(N($V$7)*12),0)</f>
        <v>1525.61335743615</v>
      </c>
      <c r="CP46" s="13" t="n">
        <f aca="false">IF(AND(88&gt;=$U$7,N($V$7)&gt;0,88&lt;$U$7+N($V$7)*12,88&lt;=p_MesFin),$O$7*(1-$W$7)/(N($V$7)*12),0)</f>
        <v>1525.61335743615</v>
      </c>
      <c r="CQ46" s="13" t="n">
        <f aca="false">IF(AND(89&gt;=$U$7,N($V$7)&gt;0,89&lt;$U$7+N($V$7)*12,89&lt;=p_MesFin),$O$7*(1-$W$7)/(N($V$7)*12),0)</f>
        <v>1525.61335743615</v>
      </c>
      <c r="CR46" s="13" t="n">
        <f aca="false">IF(AND(90&gt;=$U$7,N($V$7)&gt;0,90&lt;$U$7+N($V$7)*12,90&lt;=p_MesFin),$O$7*(1-$W$7)/(N($V$7)*12),0)</f>
        <v>1525.61335743615</v>
      </c>
      <c r="CS46" s="13" t="n">
        <f aca="false">IF(AND(91&gt;=$U$7,N($V$7)&gt;0,91&lt;$U$7+N($V$7)*12,91&lt;=p_MesFin),$O$7*(1-$W$7)/(N($V$7)*12),0)</f>
        <v>1525.61335743615</v>
      </c>
      <c r="CT46" s="13" t="n">
        <f aca="false">IF(AND(92&gt;=$U$7,N($V$7)&gt;0,92&lt;$U$7+N($V$7)*12,92&lt;=p_MesFin),$O$7*(1-$W$7)/(N($V$7)*12),0)</f>
        <v>1525.61335743615</v>
      </c>
      <c r="CU46" s="13" t="n">
        <f aca="false">IF(AND(93&gt;=$U$7,N($V$7)&gt;0,93&lt;$U$7+N($V$7)*12,93&lt;=p_MesFin),$O$7*(1-$W$7)/(N($V$7)*12),0)</f>
        <v>1525.61335743615</v>
      </c>
      <c r="CV46" s="13" t="n">
        <f aca="false">IF(AND(94&gt;=$U$7,N($V$7)&gt;0,94&lt;$U$7+N($V$7)*12,94&lt;=p_MesFin),$O$7*(1-$W$7)/(N($V$7)*12),0)</f>
        <v>1525.61335743615</v>
      </c>
      <c r="CW46" s="13" t="n">
        <f aca="false">IF(AND(95&gt;=$U$7,N($V$7)&gt;0,95&lt;$U$7+N($V$7)*12,95&lt;=p_MesFin),$O$7*(1-$W$7)/(N($V$7)*12),0)</f>
        <v>1525.61335743615</v>
      </c>
      <c r="CX46" s="13" t="n">
        <f aca="false">IF(AND(96&gt;=$U$7,N($V$7)&gt;0,96&lt;$U$7+N($V$7)*12,96&lt;=p_MesFin),$O$7*(1-$W$7)/(N($V$7)*12),0)</f>
        <v>1525.61335743615</v>
      </c>
      <c r="CY46" s="13" t="n">
        <f aca="false">IF(AND(97&gt;=$U$7,N($V$7)&gt;0,97&lt;$U$7+N($V$7)*12,97&lt;=p_MesFin),$O$7*(1-$W$7)/(N($V$7)*12),0)</f>
        <v>1525.61335743615</v>
      </c>
      <c r="CZ46" s="13" t="n">
        <f aca="false">IF(AND(98&gt;=$U$7,N($V$7)&gt;0,98&lt;$U$7+N($V$7)*12,98&lt;=p_MesFin),$O$7*(1-$W$7)/(N($V$7)*12),0)</f>
        <v>1525.61335743615</v>
      </c>
      <c r="DA46" s="13" t="n">
        <f aca="false">IF(AND(99&gt;=$U$7,N($V$7)&gt;0,99&lt;$U$7+N($V$7)*12,99&lt;=p_MesFin),$O$7*(1-$W$7)/(N($V$7)*12),0)</f>
        <v>1525.61335743615</v>
      </c>
      <c r="DB46" s="13" t="n">
        <f aca="false">IF(AND(100&gt;=$U$7,N($V$7)&gt;0,100&lt;$U$7+N($V$7)*12,100&lt;=p_MesFin),$O$7*(1-$W$7)/(N($V$7)*12),0)</f>
        <v>1525.61335743615</v>
      </c>
      <c r="DC46" s="13" t="n">
        <f aca="false">IF(AND(101&gt;=$U$7,N($V$7)&gt;0,101&lt;$U$7+N($V$7)*12,101&lt;=p_MesFin),$O$7*(1-$W$7)/(N($V$7)*12),0)</f>
        <v>1525.61335743615</v>
      </c>
      <c r="DD46" s="13" t="n">
        <f aca="false">IF(AND(102&gt;=$U$7,N($V$7)&gt;0,102&lt;$U$7+N($V$7)*12,102&lt;=p_MesFin),$O$7*(1-$W$7)/(N($V$7)*12),0)</f>
        <v>1525.61335743615</v>
      </c>
      <c r="DE46" s="13" t="n">
        <f aca="false">IF(AND(103&gt;=$U$7,N($V$7)&gt;0,103&lt;$U$7+N($V$7)*12,103&lt;=p_MesFin),$O$7*(1-$W$7)/(N($V$7)*12),0)</f>
        <v>1525.61335743615</v>
      </c>
      <c r="DF46" s="13" t="n">
        <f aca="false">IF(AND(104&gt;=$U$7,N($V$7)&gt;0,104&lt;$U$7+N($V$7)*12,104&lt;=p_MesFin),$O$7*(1-$W$7)/(N($V$7)*12),0)</f>
        <v>1525.61335743615</v>
      </c>
      <c r="DG46" s="13" t="n">
        <f aca="false">IF(AND(105&gt;=$U$7,N($V$7)&gt;0,105&lt;$U$7+N($V$7)*12,105&lt;=p_MesFin),$O$7*(1-$W$7)/(N($V$7)*12),0)</f>
        <v>1525.61335743615</v>
      </c>
      <c r="DH46" s="13" t="n">
        <f aca="false">IF(AND(106&gt;=$U$7,N($V$7)&gt;0,106&lt;$U$7+N($V$7)*12,106&lt;=p_MesFin),$O$7*(1-$W$7)/(N($V$7)*12),0)</f>
        <v>1525.61335743615</v>
      </c>
      <c r="DI46" s="13" t="n">
        <f aca="false">IF(AND(107&gt;=$U$7,N($V$7)&gt;0,107&lt;$U$7+N($V$7)*12,107&lt;=p_MesFin),$O$7*(1-$W$7)/(N($V$7)*12),0)</f>
        <v>1525.61335743615</v>
      </c>
      <c r="DJ46" s="13" t="n">
        <f aca="false">IF(AND(108&gt;=$U$7,N($V$7)&gt;0,108&lt;$U$7+N($V$7)*12,108&lt;=p_MesFin),$O$7*(1-$W$7)/(N($V$7)*12),0)</f>
        <v>1525.61335743615</v>
      </c>
      <c r="DK46" s="13" t="n">
        <f aca="false">IF(AND(109&gt;=$U$7,N($V$7)&gt;0,109&lt;$U$7+N($V$7)*12,109&lt;=p_MesFin),$O$7*(1-$W$7)/(N($V$7)*12),0)</f>
        <v>1525.61335743615</v>
      </c>
      <c r="DL46" s="13" t="n">
        <f aca="false">IF(AND(110&gt;=$U$7,N($V$7)&gt;0,110&lt;$U$7+N($V$7)*12,110&lt;=p_MesFin),$O$7*(1-$W$7)/(N($V$7)*12),0)</f>
        <v>1525.61335743615</v>
      </c>
      <c r="DM46" s="13" t="n">
        <f aca="false">IF(AND(111&gt;=$U$7,N($V$7)&gt;0,111&lt;$U$7+N($V$7)*12,111&lt;=p_MesFin),$O$7*(1-$W$7)/(N($V$7)*12),0)</f>
        <v>1525.61335743615</v>
      </c>
      <c r="DN46" s="13" t="n">
        <f aca="false">IF(AND(112&gt;=$U$7,N($V$7)&gt;0,112&lt;$U$7+N($V$7)*12,112&lt;=p_MesFin),$O$7*(1-$W$7)/(N($V$7)*12),0)</f>
        <v>1525.61335743615</v>
      </c>
      <c r="DO46" s="13" t="n">
        <f aca="false">IF(AND(113&gt;=$U$7,N($V$7)&gt;0,113&lt;$U$7+N($V$7)*12,113&lt;=p_MesFin),$O$7*(1-$W$7)/(N($V$7)*12),0)</f>
        <v>1525.61335743615</v>
      </c>
      <c r="DP46" s="13" t="n">
        <f aca="false">IF(AND(114&gt;=$U$7,N($V$7)&gt;0,114&lt;$U$7+N($V$7)*12,114&lt;=p_MesFin),$O$7*(1-$W$7)/(N($V$7)*12),0)</f>
        <v>1525.61335743615</v>
      </c>
      <c r="DQ46" s="13" t="n">
        <f aca="false">IF(AND(115&gt;=$U$7,N($V$7)&gt;0,115&lt;$U$7+N($V$7)*12,115&lt;=p_MesFin),$O$7*(1-$W$7)/(N($V$7)*12),0)</f>
        <v>1525.61335743615</v>
      </c>
      <c r="DR46" s="13" t="n">
        <f aca="false">IF(AND(116&gt;=$U$7,N($V$7)&gt;0,116&lt;$U$7+N($V$7)*12,116&lt;=p_MesFin),$O$7*(1-$W$7)/(N($V$7)*12),0)</f>
        <v>1525.61335743615</v>
      </c>
      <c r="DS46" s="13" t="n">
        <f aca="false">IF(AND(117&gt;=$U$7,N($V$7)&gt;0,117&lt;$U$7+N($V$7)*12,117&lt;=p_MesFin),$O$7*(1-$W$7)/(N($V$7)*12),0)</f>
        <v>1525.61335743615</v>
      </c>
      <c r="DT46" s="13" t="n">
        <f aca="false">IF(AND(118&gt;=$U$7,N($V$7)&gt;0,118&lt;$U$7+N($V$7)*12,118&lt;=p_MesFin),$O$7*(1-$W$7)/(N($V$7)*12),0)</f>
        <v>1525.61335743615</v>
      </c>
      <c r="DU46" s="13" t="n">
        <f aca="false">IF(AND(119&gt;=$U$7,N($V$7)&gt;0,119&lt;$U$7+N($V$7)*12,119&lt;=p_MesFin),$O$7*(1-$W$7)/(N($V$7)*12),0)</f>
        <v>1525.61335743615</v>
      </c>
      <c r="DV46" s="13" t="n">
        <f aca="false">IF(AND(120&gt;=$U$7,N($V$7)&gt;0,120&lt;$U$7+N($V$7)*12,120&lt;=p_MesFin),$O$7*(1-$W$7)/(N($V$7)*12),0)</f>
        <v>1525.61335743615</v>
      </c>
      <c r="DW46" s="13" t="n">
        <f aca="false">IF(AND(121&gt;=$U$7,N($V$7)&gt;0,121&lt;$U$7+N($V$7)*12,121&lt;=p_MesFin),$O$7*(1-$W$7)/(N($V$7)*12),0)</f>
        <v>0</v>
      </c>
      <c r="DX46" s="13" t="n">
        <f aca="false">IF(AND(122&gt;=$U$7,N($V$7)&gt;0,122&lt;$U$7+N($V$7)*12,122&lt;=p_MesFin),$O$7*(1-$W$7)/(N($V$7)*12),0)</f>
        <v>0</v>
      </c>
      <c r="DY46" s="13" t="n">
        <f aca="false">IF(AND(123&gt;=$U$7,N($V$7)&gt;0,123&lt;$U$7+N($V$7)*12,123&lt;=p_MesFin),$O$7*(1-$W$7)/(N($V$7)*12),0)</f>
        <v>0</v>
      </c>
      <c r="DZ46" s="13" t="n">
        <f aca="false">IF(AND(124&gt;=$U$7,N($V$7)&gt;0,124&lt;$U$7+N($V$7)*12,124&lt;=p_MesFin),$O$7*(1-$W$7)/(N($V$7)*12),0)</f>
        <v>0</v>
      </c>
      <c r="EA46" s="13" t="n">
        <f aca="false">IF(AND(125&gt;=$U$7,N($V$7)&gt;0,125&lt;$U$7+N($V$7)*12,125&lt;=p_MesFin),$O$7*(1-$W$7)/(N($V$7)*12),0)</f>
        <v>0</v>
      </c>
      <c r="EB46" s="13" t="n">
        <f aca="false">IF(AND(126&gt;=$U$7,N($V$7)&gt;0,126&lt;$U$7+N($V$7)*12,126&lt;=p_MesFin),$O$7*(1-$W$7)/(N($V$7)*12),0)</f>
        <v>0</v>
      </c>
      <c r="EC46" s="13" t="n">
        <f aca="false">IF(AND(127&gt;=$U$7,N($V$7)&gt;0,127&lt;$U$7+N($V$7)*12,127&lt;=p_MesFin),$O$7*(1-$W$7)/(N($V$7)*12),0)</f>
        <v>0</v>
      </c>
      <c r="ED46" s="13" t="n">
        <f aca="false">IF(AND(128&gt;=$U$7,N($V$7)&gt;0,128&lt;$U$7+N($V$7)*12,128&lt;=p_MesFin),$O$7*(1-$W$7)/(N($V$7)*12),0)</f>
        <v>0</v>
      </c>
      <c r="EE46" s="13" t="n">
        <f aca="false">IF(AND(129&gt;=$U$7,N($V$7)&gt;0,129&lt;$U$7+N($V$7)*12,129&lt;=p_MesFin),$O$7*(1-$W$7)/(N($V$7)*12),0)</f>
        <v>0</v>
      </c>
      <c r="EF46" s="13" t="n">
        <f aca="false">IF(AND(130&gt;=$U$7,N($V$7)&gt;0,130&lt;$U$7+N($V$7)*12,130&lt;=p_MesFin),$O$7*(1-$W$7)/(N($V$7)*12),0)</f>
        <v>0</v>
      </c>
      <c r="EG46" s="13" t="n">
        <f aca="false">IF(AND(131&gt;=$U$7,N($V$7)&gt;0,131&lt;$U$7+N($V$7)*12,131&lt;=p_MesFin),$O$7*(1-$W$7)/(N($V$7)*12),0)</f>
        <v>0</v>
      </c>
      <c r="EH46" s="13" t="n">
        <f aca="false">IF(AND(132&gt;=$U$7,N($V$7)&gt;0,132&lt;$U$7+N($V$7)*12,132&lt;=p_MesFin),$O$7*(1-$W$7)/(N($V$7)*12),0)</f>
        <v>0</v>
      </c>
      <c r="EI46" s="13" t="n">
        <f aca="false">IF(AND(133&gt;=$U$7,N($V$7)&gt;0,133&lt;$U$7+N($V$7)*12,133&lt;=p_MesFin),$O$7*(1-$W$7)/(N($V$7)*12),0)</f>
        <v>0</v>
      </c>
      <c r="EJ46" s="13" t="n">
        <f aca="false">IF(AND(134&gt;=$U$7,N($V$7)&gt;0,134&lt;$U$7+N($V$7)*12,134&lt;=p_MesFin),$O$7*(1-$W$7)/(N($V$7)*12),0)</f>
        <v>0</v>
      </c>
      <c r="EK46" s="13" t="n">
        <f aca="false">IF(AND(135&gt;=$U$7,N($V$7)&gt;0,135&lt;$U$7+N($V$7)*12,135&lt;=p_MesFin),$O$7*(1-$W$7)/(N($V$7)*12),0)</f>
        <v>0</v>
      </c>
      <c r="EL46" s="13" t="n">
        <f aca="false">IF(AND(136&gt;=$U$7,N($V$7)&gt;0,136&lt;$U$7+N($V$7)*12,136&lt;=p_MesFin),$O$7*(1-$W$7)/(N($V$7)*12),0)</f>
        <v>0</v>
      </c>
      <c r="EM46" s="13" t="n">
        <f aca="false">IF(AND(137&gt;=$U$7,N($V$7)&gt;0,137&lt;$U$7+N($V$7)*12,137&lt;=p_MesFin),$O$7*(1-$W$7)/(N($V$7)*12),0)</f>
        <v>0</v>
      </c>
      <c r="EN46" s="13" t="n">
        <f aca="false">IF(AND(138&gt;=$U$7,N($V$7)&gt;0,138&lt;$U$7+N($V$7)*12,138&lt;=p_MesFin),$O$7*(1-$W$7)/(N($V$7)*12),0)</f>
        <v>0</v>
      </c>
      <c r="EO46" s="13" t="n">
        <f aca="false">IF(AND(139&gt;=$U$7,N($V$7)&gt;0,139&lt;$U$7+N($V$7)*12,139&lt;=p_MesFin),$O$7*(1-$W$7)/(N($V$7)*12),0)</f>
        <v>0</v>
      </c>
      <c r="EP46" s="13" t="n">
        <f aca="false">IF(AND(140&gt;=$U$7,N($V$7)&gt;0,140&lt;$U$7+N($V$7)*12,140&lt;=p_MesFin),$O$7*(1-$W$7)/(N($V$7)*12),0)</f>
        <v>0</v>
      </c>
      <c r="EQ46" s="13" t="n">
        <f aca="false">IF(AND(141&gt;=$U$7,N($V$7)&gt;0,141&lt;$U$7+N($V$7)*12,141&lt;=p_MesFin),$O$7*(1-$W$7)/(N($V$7)*12),0)</f>
        <v>0</v>
      </c>
      <c r="ER46" s="13" t="n">
        <f aca="false">IF(AND(142&gt;=$U$7,N($V$7)&gt;0,142&lt;$U$7+N($V$7)*12,142&lt;=p_MesFin),$O$7*(1-$W$7)/(N($V$7)*12),0)</f>
        <v>0</v>
      </c>
      <c r="ES46" s="13" t="n">
        <f aca="false">IF(AND(143&gt;=$U$7,N($V$7)&gt;0,143&lt;$U$7+N($V$7)*12,143&lt;=p_MesFin),$O$7*(1-$W$7)/(N($V$7)*12),0)</f>
        <v>0</v>
      </c>
      <c r="ET46" s="13" t="n">
        <f aca="false">IF(AND(144&gt;=$U$7,N($V$7)&gt;0,144&lt;$U$7+N($V$7)*12,144&lt;=p_MesFin),$O$7*(1-$W$7)/(N($V$7)*12),0)</f>
        <v>0</v>
      </c>
      <c r="EU46" s="13" t="n">
        <f aca="false">IF(AND(145&gt;=$U$7,N($V$7)&gt;0,145&lt;$U$7+N($V$7)*12,145&lt;=p_MesFin),$O$7*(1-$W$7)/(N($V$7)*12),0)</f>
        <v>0</v>
      </c>
      <c r="EV46" s="13" t="n">
        <f aca="false">IF(AND(146&gt;=$U$7,N($V$7)&gt;0,146&lt;$U$7+N($V$7)*12,146&lt;=p_MesFin),$O$7*(1-$W$7)/(N($V$7)*12),0)</f>
        <v>0</v>
      </c>
      <c r="EW46" s="13" t="n">
        <f aca="false">IF(AND(147&gt;=$U$7,N($V$7)&gt;0,147&lt;$U$7+N($V$7)*12,147&lt;=p_MesFin),$O$7*(1-$W$7)/(N($V$7)*12),0)</f>
        <v>0</v>
      </c>
      <c r="EX46" s="13" t="n">
        <f aca="false">IF(AND(148&gt;=$U$7,N($V$7)&gt;0,148&lt;$U$7+N($V$7)*12,148&lt;=p_MesFin),$O$7*(1-$W$7)/(N($V$7)*12),0)</f>
        <v>0</v>
      </c>
      <c r="EY46" s="13" t="n">
        <f aca="false">IF(AND(149&gt;=$U$7,N($V$7)&gt;0,149&lt;$U$7+N($V$7)*12,149&lt;=p_MesFin),$O$7*(1-$W$7)/(N($V$7)*12),0)</f>
        <v>0</v>
      </c>
      <c r="EZ46" s="13" t="n">
        <f aca="false">IF(AND(150&gt;=$U$7,N($V$7)&gt;0,150&lt;$U$7+N($V$7)*12,150&lt;=p_MesFin),$O$7*(1-$W$7)/(N($V$7)*12),0)</f>
        <v>0</v>
      </c>
      <c r="FA46" s="13" t="n">
        <f aca="false">IF(AND(151&gt;=$U$7,N($V$7)&gt;0,151&lt;$U$7+N($V$7)*12,151&lt;=p_MesFin),$O$7*(1-$W$7)/(N($V$7)*12),0)</f>
        <v>0</v>
      </c>
      <c r="FB46" s="13" t="n">
        <f aca="false">IF(AND(152&gt;=$U$7,N($V$7)&gt;0,152&lt;$U$7+N($V$7)*12,152&lt;=p_MesFin),$O$7*(1-$W$7)/(N($V$7)*12),0)</f>
        <v>0</v>
      </c>
      <c r="FC46" s="13" t="n">
        <f aca="false">IF(AND(153&gt;=$U$7,N($V$7)&gt;0,153&lt;$U$7+N($V$7)*12,153&lt;=p_MesFin),$O$7*(1-$W$7)/(N($V$7)*12),0)</f>
        <v>0</v>
      </c>
      <c r="FD46" s="13" t="n">
        <f aca="false">IF(AND(154&gt;=$U$7,N($V$7)&gt;0,154&lt;$U$7+N($V$7)*12,154&lt;=p_MesFin),$O$7*(1-$W$7)/(N($V$7)*12),0)</f>
        <v>0</v>
      </c>
      <c r="FE46" s="13" t="n">
        <f aca="false">IF(AND(155&gt;=$U$7,N($V$7)&gt;0,155&lt;$U$7+N($V$7)*12,155&lt;=p_MesFin),$O$7*(1-$W$7)/(N($V$7)*12),0)</f>
        <v>0</v>
      </c>
      <c r="FF46" s="13" t="n">
        <f aca="false">IF(AND(156&gt;=$U$7,N($V$7)&gt;0,156&lt;$U$7+N($V$7)*12,156&lt;=p_MesFin),$O$7*(1-$W$7)/(N($V$7)*12),0)</f>
        <v>0</v>
      </c>
    </row>
    <row r="47" customFormat="false" ht="15" hidden="false" customHeight="false" outlineLevel="0" collapsed="false">
      <c r="A47" s="2" t="s">
        <v>1242</v>
      </c>
      <c r="B47" s="8" t="s">
        <v>1243</v>
      </c>
      <c r="C47" s="8" t="s">
        <v>255</v>
      </c>
      <c r="E47" s="65" t="n">
        <f aca="false">SUM($F47:$FF47)</f>
        <v>84295.229418874</v>
      </c>
      <c r="F47" s="13" t="n">
        <f aca="false">IF(AND(0&gt;=$U$8,N($V$8)&gt;0,0&lt;$U$8+N($V$8)*12,0&lt;=p_MesFin),$O$8*(1-$W$8)/(N($V$8)*12),0)</f>
        <v>0</v>
      </c>
      <c r="G47" s="13" t="n">
        <f aca="false">IF(AND(1&gt;=$U$8,N($V$8)&gt;0,1&lt;$U$8+N($V$8)*12,1&lt;=p_MesFin),$O$8*(1-$W$8)/(N($V$8)*12),0)</f>
        <v>702.460245157284</v>
      </c>
      <c r="H47" s="13" t="n">
        <f aca="false">IF(AND(2&gt;=$U$8,N($V$8)&gt;0,2&lt;$U$8+N($V$8)*12,2&lt;=p_MesFin),$O$8*(1-$W$8)/(N($V$8)*12),0)</f>
        <v>702.460245157284</v>
      </c>
      <c r="I47" s="13" t="n">
        <f aca="false">IF(AND(3&gt;=$U$8,N($V$8)&gt;0,3&lt;$U$8+N($V$8)*12,3&lt;=p_MesFin),$O$8*(1-$W$8)/(N($V$8)*12),0)</f>
        <v>702.460245157284</v>
      </c>
      <c r="J47" s="13" t="n">
        <f aca="false">IF(AND(4&gt;=$U$8,N($V$8)&gt;0,4&lt;$U$8+N($V$8)*12,4&lt;=p_MesFin),$O$8*(1-$W$8)/(N($V$8)*12),0)</f>
        <v>702.460245157284</v>
      </c>
      <c r="K47" s="13" t="n">
        <f aca="false">IF(AND(5&gt;=$U$8,N($V$8)&gt;0,5&lt;$U$8+N($V$8)*12,5&lt;=p_MesFin),$O$8*(1-$W$8)/(N($V$8)*12),0)</f>
        <v>702.460245157284</v>
      </c>
      <c r="L47" s="13" t="n">
        <f aca="false">IF(AND(6&gt;=$U$8,N($V$8)&gt;0,6&lt;$U$8+N($V$8)*12,6&lt;=p_MesFin),$O$8*(1-$W$8)/(N($V$8)*12),0)</f>
        <v>702.460245157284</v>
      </c>
      <c r="M47" s="13" t="n">
        <f aca="false">IF(AND(7&gt;=$U$8,N($V$8)&gt;0,7&lt;$U$8+N($V$8)*12,7&lt;=p_MesFin),$O$8*(1-$W$8)/(N($V$8)*12),0)</f>
        <v>702.460245157284</v>
      </c>
      <c r="N47" s="13" t="n">
        <f aca="false">IF(AND(8&gt;=$U$8,N($V$8)&gt;0,8&lt;$U$8+N($V$8)*12,8&lt;=p_MesFin),$O$8*(1-$W$8)/(N($V$8)*12),0)</f>
        <v>702.460245157284</v>
      </c>
      <c r="O47" s="13" t="n">
        <f aca="false">IF(AND(9&gt;=$U$8,N($V$8)&gt;0,9&lt;$U$8+N($V$8)*12,9&lt;=p_MesFin),$O$8*(1-$W$8)/(N($V$8)*12),0)</f>
        <v>702.460245157284</v>
      </c>
      <c r="P47" s="13" t="n">
        <f aca="false">IF(AND(10&gt;=$U$8,N($V$8)&gt;0,10&lt;$U$8+N($V$8)*12,10&lt;=p_MesFin),$O$8*(1-$W$8)/(N($V$8)*12),0)</f>
        <v>702.460245157284</v>
      </c>
      <c r="Q47" s="13" t="n">
        <f aca="false">IF(AND(11&gt;=$U$8,N($V$8)&gt;0,11&lt;$U$8+N($V$8)*12,11&lt;=p_MesFin),$O$8*(1-$W$8)/(N($V$8)*12),0)</f>
        <v>702.460245157284</v>
      </c>
      <c r="R47" s="13" t="n">
        <f aca="false">IF(AND(12&gt;=$U$8,N($V$8)&gt;0,12&lt;$U$8+N($V$8)*12,12&lt;=p_MesFin),$O$8*(1-$W$8)/(N($V$8)*12),0)</f>
        <v>702.460245157284</v>
      </c>
      <c r="S47" s="13" t="n">
        <f aca="false">IF(AND(13&gt;=$U$8,N($V$8)&gt;0,13&lt;$U$8+N($V$8)*12,13&lt;=p_MesFin),$O$8*(1-$W$8)/(N($V$8)*12),0)</f>
        <v>702.460245157284</v>
      </c>
      <c r="T47" s="13" t="n">
        <f aca="false">IF(AND(14&gt;=$U$8,N($V$8)&gt;0,14&lt;$U$8+N($V$8)*12,14&lt;=p_MesFin),$O$8*(1-$W$8)/(N($V$8)*12),0)</f>
        <v>702.460245157284</v>
      </c>
      <c r="U47" s="13" t="n">
        <f aca="false">IF(AND(15&gt;=$U$8,N($V$8)&gt;0,15&lt;$U$8+N($V$8)*12,15&lt;=p_MesFin),$O$8*(1-$W$8)/(N($V$8)*12),0)</f>
        <v>702.460245157284</v>
      </c>
      <c r="V47" s="13" t="n">
        <f aca="false">IF(AND(16&gt;=$U$8,N($V$8)&gt;0,16&lt;$U$8+N($V$8)*12,16&lt;=p_MesFin),$O$8*(1-$W$8)/(N($V$8)*12),0)</f>
        <v>702.460245157284</v>
      </c>
      <c r="W47" s="13" t="n">
        <f aca="false">IF(AND(17&gt;=$U$8,N($V$8)&gt;0,17&lt;$U$8+N($V$8)*12,17&lt;=p_MesFin),$O$8*(1-$W$8)/(N($V$8)*12),0)</f>
        <v>702.460245157284</v>
      </c>
      <c r="X47" s="13" t="n">
        <f aca="false">IF(AND(18&gt;=$U$8,N($V$8)&gt;0,18&lt;$U$8+N($V$8)*12,18&lt;=p_MesFin),$O$8*(1-$W$8)/(N($V$8)*12),0)</f>
        <v>702.460245157284</v>
      </c>
      <c r="Y47" s="13" t="n">
        <f aca="false">IF(AND(19&gt;=$U$8,N($V$8)&gt;0,19&lt;$U$8+N($V$8)*12,19&lt;=p_MesFin),$O$8*(1-$W$8)/(N($V$8)*12),0)</f>
        <v>702.460245157284</v>
      </c>
      <c r="Z47" s="13" t="n">
        <f aca="false">IF(AND(20&gt;=$U$8,N($V$8)&gt;0,20&lt;$U$8+N($V$8)*12,20&lt;=p_MesFin),$O$8*(1-$W$8)/(N($V$8)*12),0)</f>
        <v>702.460245157284</v>
      </c>
      <c r="AA47" s="13" t="n">
        <f aca="false">IF(AND(21&gt;=$U$8,N($V$8)&gt;0,21&lt;$U$8+N($V$8)*12,21&lt;=p_MesFin),$O$8*(1-$W$8)/(N($V$8)*12),0)</f>
        <v>702.460245157284</v>
      </c>
      <c r="AB47" s="13" t="n">
        <f aca="false">IF(AND(22&gt;=$U$8,N($V$8)&gt;0,22&lt;$U$8+N($V$8)*12,22&lt;=p_MesFin),$O$8*(1-$W$8)/(N($V$8)*12),0)</f>
        <v>702.460245157284</v>
      </c>
      <c r="AC47" s="13" t="n">
        <f aca="false">IF(AND(23&gt;=$U$8,N($V$8)&gt;0,23&lt;$U$8+N($V$8)*12,23&lt;=p_MesFin),$O$8*(1-$W$8)/(N($V$8)*12),0)</f>
        <v>702.460245157284</v>
      </c>
      <c r="AD47" s="13" t="n">
        <f aca="false">IF(AND(24&gt;=$U$8,N($V$8)&gt;0,24&lt;$U$8+N($V$8)*12,24&lt;=p_MesFin),$O$8*(1-$W$8)/(N($V$8)*12),0)</f>
        <v>702.460245157284</v>
      </c>
      <c r="AE47" s="13" t="n">
        <f aca="false">IF(AND(25&gt;=$U$8,N($V$8)&gt;0,25&lt;$U$8+N($V$8)*12,25&lt;=p_MesFin),$O$8*(1-$W$8)/(N($V$8)*12),0)</f>
        <v>702.460245157284</v>
      </c>
      <c r="AF47" s="13" t="n">
        <f aca="false">IF(AND(26&gt;=$U$8,N($V$8)&gt;0,26&lt;$U$8+N($V$8)*12,26&lt;=p_MesFin),$O$8*(1-$W$8)/(N($V$8)*12),0)</f>
        <v>702.460245157284</v>
      </c>
      <c r="AG47" s="13" t="n">
        <f aca="false">IF(AND(27&gt;=$U$8,N($V$8)&gt;0,27&lt;$U$8+N($V$8)*12,27&lt;=p_MesFin),$O$8*(1-$W$8)/(N($V$8)*12),0)</f>
        <v>702.460245157284</v>
      </c>
      <c r="AH47" s="13" t="n">
        <f aca="false">IF(AND(28&gt;=$U$8,N($V$8)&gt;0,28&lt;$U$8+N($V$8)*12,28&lt;=p_MesFin),$O$8*(1-$W$8)/(N($V$8)*12),0)</f>
        <v>702.460245157284</v>
      </c>
      <c r="AI47" s="13" t="n">
        <f aca="false">IF(AND(29&gt;=$U$8,N($V$8)&gt;0,29&lt;$U$8+N($V$8)*12,29&lt;=p_MesFin),$O$8*(1-$W$8)/(N($V$8)*12),0)</f>
        <v>702.460245157284</v>
      </c>
      <c r="AJ47" s="13" t="n">
        <f aca="false">IF(AND(30&gt;=$U$8,N($V$8)&gt;0,30&lt;$U$8+N($V$8)*12,30&lt;=p_MesFin),$O$8*(1-$W$8)/(N($V$8)*12),0)</f>
        <v>702.460245157284</v>
      </c>
      <c r="AK47" s="13" t="n">
        <f aca="false">IF(AND(31&gt;=$U$8,N($V$8)&gt;0,31&lt;$U$8+N($V$8)*12,31&lt;=p_MesFin),$O$8*(1-$W$8)/(N($V$8)*12),0)</f>
        <v>702.460245157284</v>
      </c>
      <c r="AL47" s="13" t="n">
        <f aca="false">IF(AND(32&gt;=$U$8,N($V$8)&gt;0,32&lt;$U$8+N($V$8)*12,32&lt;=p_MesFin),$O$8*(1-$W$8)/(N($V$8)*12),0)</f>
        <v>702.460245157284</v>
      </c>
      <c r="AM47" s="13" t="n">
        <f aca="false">IF(AND(33&gt;=$U$8,N($V$8)&gt;0,33&lt;$U$8+N($V$8)*12,33&lt;=p_MesFin),$O$8*(1-$W$8)/(N($V$8)*12),0)</f>
        <v>702.460245157284</v>
      </c>
      <c r="AN47" s="13" t="n">
        <f aca="false">IF(AND(34&gt;=$U$8,N($V$8)&gt;0,34&lt;$U$8+N($V$8)*12,34&lt;=p_MesFin),$O$8*(1-$W$8)/(N($V$8)*12),0)</f>
        <v>702.460245157284</v>
      </c>
      <c r="AO47" s="13" t="n">
        <f aca="false">IF(AND(35&gt;=$U$8,N($V$8)&gt;0,35&lt;$U$8+N($V$8)*12,35&lt;=p_MesFin),$O$8*(1-$W$8)/(N($V$8)*12),0)</f>
        <v>702.460245157284</v>
      </c>
      <c r="AP47" s="13" t="n">
        <f aca="false">IF(AND(36&gt;=$U$8,N($V$8)&gt;0,36&lt;$U$8+N($V$8)*12,36&lt;=p_MesFin),$O$8*(1-$W$8)/(N($V$8)*12),0)</f>
        <v>702.460245157284</v>
      </c>
      <c r="AQ47" s="13" t="n">
        <f aca="false">IF(AND(37&gt;=$U$8,N($V$8)&gt;0,37&lt;$U$8+N($V$8)*12,37&lt;=p_MesFin),$O$8*(1-$W$8)/(N($V$8)*12),0)</f>
        <v>702.460245157284</v>
      </c>
      <c r="AR47" s="13" t="n">
        <f aca="false">IF(AND(38&gt;=$U$8,N($V$8)&gt;0,38&lt;$U$8+N($V$8)*12,38&lt;=p_MesFin),$O$8*(1-$W$8)/(N($V$8)*12),0)</f>
        <v>702.460245157284</v>
      </c>
      <c r="AS47" s="13" t="n">
        <f aca="false">IF(AND(39&gt;=$U$8,N($V$8)&gt;0,39&lt;$U$8+N($V$8)*12,39&lt;=p_MesFin),$O$8*(1-$W$8)/(N($V$8)*12),0)</f>
        <v>702.460245157284</v>
      </c>
      <c r="AT47" s="13" t="n">
        <f aca="false">IF(AND(40&gt;=$U$8,N($V$8)&gt;0,40&lt;$U$8+N($V$8)*12,40&lt;=p_MesFin),$O$8*(1-$W$8)/(N($V$8)*12),0)</f>
        <v>702.460245157284</v>
      </c>
      <c r="AU47" s="13" t="n">
        <f aca="false">IF(AND(41&gt;=$U$8,N($V$8)&gt;0,41&lt;$U$8+N($V$8)*12,41&lt;=p_MesFin),$O$8*(1-$W$8)/(N($V$8)*12),0)</f>
        <v>702.460245157284</v>
      </c>
      <c r="AV47" s="13" t="n">
        <f aca="false">IF(AND(42&gt;=$U$8,N($V$8)&gt;0,42&lt;$U$8+N($V$8)*12,42&lt;=p_MesFin),$O$8*(1-$W$8)/(N($V$8)*12),0)</f>
        <v>702.460245157284</v>
      </c>
      <c r="AW47" s="13" t="n">
        <f aca="false">IF(AND(43&gt;=$U$8,N($V$8)&gt;0,43&lt;$U$8+N($V$8)*12,43&lt;=p_MesFin),$O$8*(1-$W$8)/(N($V$8)*12),0)</f>
        <v>702.460245157284</v>
      </c>
      <c r="AX47" s="13" t="n">
        <f aca="false">IF(AND(44&gt;=$U$8,N($V$8)&gt;0,44&lt;$U$8+N($V$8)*12,44&lt;=p_MesFin),$O$8*(1-$W$8)/(N($V$8)*12),0)</f>
        <v>702.460245157284</v>
      </c>
      <c r="AY47" s="13" t="n">
        <f aca="false">IF(AND(45&gt;=$U$8,N($V$8)&gt;0,45&lt;$U$8+N($V$8)*12,45&lt;=p_MesFin),$O$8*(1-$W$8)/(N($V$8)*12),0)</f>
        <v>702.460245157284</v>
      </c>
      <c r="AZ47" s="13" t="n">
        <f aca="false">IF(AND(46&gt;=$U$8,N($V$8)&gt;0,46&lt;$U$8+N($V$8)*12,46&lt;=p_MesFin),$O$8*(1-$W$8)/(N($V$8)*12),0)</f>
        <v>702.460245157284</v>
      </c>
      <c r="BA47" s="13" t="n">
        <f aca="false">IF(AND(47&gt;=$U$8,N($V$8)&gt;0,47&lt;$U$8+N($V$8)*12,47&lt;=p_MesFin),$O$8*(1-$W$8)/(N($V$8)*12),0)</f>
        <v>702.460245157284</v>
      </c>
      <c r="BB47" s="13" t="n">
        <f aca="false">IF(AND(48&gt;=$U$8,N($V$8)&gt;0,48&lt;$U$8+N($V$8)*12,48&lt;=p_MesFin),$O$8*(1-$W$8)/(N($V$8)*12),0)</f>
        <v>702.460245157284</v>
      </c>
      <c r="BC47" s="13" t="n">
        <f aca="false">IF(AND(49&gt;=$U$8,N($V$8)&gt;0,49&lt;$U$8+N($V$8)*12,49&lt;=p_MesFin),$O$8*(1-$W$8)/(N($V$8)*12),0)</f>
        <v>702.460245157284</v>
      </c>
      <c r="BD47" s="13" t="n">
        <f aca="false">IF(AND(50&gt;=$U$8,N($V$8)&gt;0,50&lt;$U$8+N($V$8)*12,50&lt;=p_MesFin),$O$8*(1-$W$8)/(N($V$8)*12),0)</f>
        <v>702.460245157284</v>
      </c>
      <c r="BE47" s="13" t="n">
        <f aca="false">IF(AND(51&gt;=$U$8,N($V$8)&gt;0,51&lt;$U$8+N($V$8)*12,51&lt;=p_MesFin),$O$8*(1-$W$8)/(N($V$8)*12),0)</f>
        <v>702.460245157284</v>
      </c>
      <c r="BF47" s="13" t="n">
        <f aca="false">IF(AND(52&gt;=$U$8,N($V$8)&gt;0,52&lt;$U$8+N($V$8)*12,52&lt;=p_MesFin),$O$8*(1-$W$8)/(N($V$8)*12),0)</f>
        <v>702.460245157284</v>
      </c>
      <c r="BG47" s="13" t="n">
        <f aca="false">IF(AND(53&gt;=$U$8,N($V$8)&gt;0,53&lt;$U$8+N($V$8)*12,53&lt;=p_MesFin),$O$8*(1-$W$8)/(N($V$8)*12),0)</f>
        <v>702.460245157284</v>
      </c>
      <c r="BH47" s="13" t="n">
        <f aca="false">IF(AND(54&gt;=$U$8,N($V$8)&gt;0,54&lt;$U$8+N($V$8)*12,54&lt;=p_MesFin),$O$8*(1-$W$8)/(N($V$8)*12),0)</f>
        <v>702.460245157284</v>
      </c>
      <c r="BI47" s="13" t="n">
        <f aca="false">IF(AND(55&gt;=$U$8,N($V$8)&gt;0,55&lt;$U$8+N($V$8)*12,55&lt;=p_MesFin),$O$8*(1-$W$8)/(N($V$8)*12),0)</f>
        <v>702.460245157284</v>
      </c>
      <c r="BJ47" s="13" t="n">
        <f aca="false">IF(AND(56&gt;=$U$8,N($V$8)&gt;0,56&lt;$U$8+N($V$8)*12,56&lt;=p_MesFin),$O$8*(1-$W$8)/(N($V$8)*12),0)</f>
        <v>702.460245157284</v>
      </c>
      <c r="BK47" s="13" t="n">
        <f aca="false">IF(AND(57&gt;=$U$8,N($V$8)&gt;0,57&lt;$U$8+N($V$8)*12,57&lt;=p_MesFin),$O$8*(1-$W$8)/(N($V$8)*12),0)</f>
        <v>702.460245157284</v>
      </c>
      <c r="BL47" s="13" t="n">
        <f aca="false">IF(AND(58&gt;=$U$8,N($V$8)&gt;0,58&lt;$U$8+N($V$8)*12,58&lt;=p_MesFin),$O$8*(1-$W$8)/(N($V$8)*12),0)</f>
        <v>702.460245157284</v>
      </c>
      <c r="BM47" s="13" t="n">
        <f aca="false">IF(AND(59&gt;=$U$8,N($V$8)&gt;0,59&lt;$U$8+N($V$8)*12,59&lt;=p_MesFin),$O$8*(1-$W$8)/(N($V$8)*12),0)</f>
        <v>702.460245157284</v>
      </c>
      <c r="BN47" s="13" t="n">
        <f aca="false">IF(AND(60&gt;=$U$8,N($V$8)&gt;0,60&lt;$U$8+N($V$8)*12,60&lt;=p_MesFin),$O$8*(1-$W$8)/(N($V$8)*12),0)</f>
        <v>702.460245157284</v>
      </c>
      <c r="BO47" s="13" t="n">
        <f aca="false">IF(AND(61&gt;=$U$8,N($V$8)&gt;0,61&lt;$U$8+N($V$8)*12,61&lt;=p_MesFin),$O$8*(1-$W$8)/(N($V$8)*12),0)</f>
        <v>702.460245157284</v>
      </c>
      <c r="BP47" s="13" t="n">
        <f aca="false">IF(AND(62&gt;=$U$8,N($V$8)&gt;0,62&lt;$U$8+N($V$8)*12,62&lt;=p_MesFin),$O$8*(1-$W$8)/(N($V$8)*12),0)</f>
        <v>702.460245157284</v>
      </c>
      <c r="BQ47" s="13" t="n">
        <f aca="false">IF(AND(63&gt;=$U$8,N($V$8)&gt;0,63&lt;$U$8+N($V$8)*12,63&lt;=p_MesFin),$O$8*(1-$W$8)/(N($V$8)*12),0)</f>
        <v>702.460245157284</v>
      </c>
      <c r="BR47" s="13" t="n">
        <f aca="false">IF(AND(64&gt;=$U$8,N($V$8)&gt;0,64&lt;$U$8+N($V$8)*12,64&lt;=p_MesFin),$O$8*(1-$W$8)/(N($V$8)*12),0)</f>
        <v>702.460245157284</v>
      </c>
      <c r="BS47" s="13" t="n">
        <f aca="false">IF(AND(65&gt;=$U$8,N($V$8)&gt;0,65&lt;$U$8+N($V$8)*12,65&lt;=p_MesFin),$O$8*(1-$W$8)/(N($V$8)*12),0)</f>
        <v>702.460245157284</v>
      </c>
      <c r="BT47" s="13" t="n">
        <f aca="false">IF(AND(66&gt;=$U$8,N($V$8)&gt;0,66&lt;$U$8+N($V$8)*12,66&lt;=p_MesFin),$O$8*(1-$W$8)/(N($V$8)*12),0)</f>
        <v>702.460245157284</v>
      </c>
      <c r="BU47" s="13" t="n">
        <f aca="false">IF(AND(67&gt;=$U$8,N($V$8)&gt;0,67&lt;$U$8+N($V$8)*12,67&lt;=p_MesFin),$O$8*(1-$W$8)/(N($V$8)*12),0)</f>
        <v>702.460245157284</v>
      </c>
      <c r="BV47" s="13" t="n">
        <f aca="false">IF(AND(68&gt;=$U$8,N($V$8)&gt;0,68&lt;$U$8+N($V$8)*12,68&lt;=p_MesFin),$O$8*(1-$W$8)/(N($V$8)*12),0)</f>
        <v>702.460245157284</v>
      </c>
      <c r="BW47" s="13" t="n">
        <f aca="false">IF(AND(69&gt;=$U$8,N($V$8)&gt;0,69&lt;$U$8+N($V$8)*12,69&lt;=p_MesFin),$O$8*(1-$W$8)/(N($V$8)*12),0)</f>
        <v>702.460245157284</v>
      </c>
      <c r="BX47" s="13" t="n">
        <f aca="false">IF(AND(70&gt;=$U$8,N($V$8)&gt;0,70&lt;$U$8+N($V$8)*12,70&lt;=p_MesFin),$O$8*(1-$W$8)/(N($V$8)*12),0)</f>
        <v>702.460245157284</v>
      </c>
      <c r="BY47" s="13" t="n">
        <f aca="false">IF(AND(71&gt;=$U$8,N($V$8)&gt;0,71&lt;$U$8+N($V$8)*12,71&lt;=p_MesFin),$O$8*(1-$W$8)/(N($V$8)*12),0)</f>
        <v>702.460245157284</v>
      </c>
      <c r="BZ47" s="13" t="n">
        <f aca="false">IF(AND(72&gt;=$U$8,N($V$8)&gt;0,72&lt;$U$8+N($V$8)*12,72&lt;=p_MesFin),$O$8*(1-$W$8)/(N($V$8)*12),0)</f>
        <v>702.460245157284</v>
      </c>
      <c r="CA47" s="13" t="n">
        <f aca="false">IF(AND(73&gt;=$U$8,N($V$8)&gt;0,73&lt;$U$8+N($V$8)*12,73&lt;=p_MesFin),$O$8*(1-$W$8)/(N($V$8)*12),0)</f>
        <v>702.460245157284</v>
      </c>
      <c r="CB47" s="13" t="n">
        <f aca="false">IF(AND(74&gt;=$U$8,N($V$8)&gt;0,74&lt;$U$8+N($V$8)*12,74&lt;=p_MesFin),$O$8*(1-$W$8)/(N($V$8)*12),0)</f>
        <v>702.460245157284</v>
      </c>
      <c r="CC47" s="13" t="n">
        <f aca="false">IF(AND(75&gt;=$U$8,N($V$8)&gt;0,75&lt;$U$8+N($V$8)*12,75&lt;=p_MesFin),$O$8*(1-$W$8)/(N($V$8)*12),0)</f>
        <v>702.460245157284</v>
      </c>
      <c r="CD47" s="13" t="n">
        <f aca="false">IF(AND(76&gt;=$U$8,N($V$8)&gt;0,76&lt;$U$8+N($V$8)*12,76&lt;=p_MesFin),$O$8*(1-$W$8)/(N($V$8)*12),0)</f>
        <v>702.460245157284</v>
      </c>
      <c r="CE47" s="13" t="n">
        <f aca="false">IF(AND(77&gt;=$U$8,N($V$8)&gt;0,77&lt;$U$8+N($V$8)*12,77&lt;=p_MesFin),$O$8*(1-$W$8)/(N($V$8)*12),0)</f>
        <v>702.460245157284</v>
      </c>
      <c r="CF47" s="13" t="n">
        <f aca="false">IF(AND(78&gt;=$U$8,N($V$8)&gt;0,78&lt;$U$8+N($V$8)*12,78&lt;=p_MesFin),$O$8*(1-$W$8)/(N($V$8)*12),0)</f>
        <v>702.460245157284</v>
      </c>
      <c r="CG47" s="13" t="n">
        <f aca="false">IF(AND(79&gt;=$U$8,N($V$8)&gt;0,79&lt;$U$8+N($V$8)*12,79&lt;=p_MesFin),$O$8*(1-$W$8)/(N($V$8)*12),0)</f>
        <v>702.460245157284</v>
      </c>
      <c r="CH47" s="13" t="n">
        <f aca="false">IF(AND(80&gt;=$U$8,N($V$8)&gt;0,80&lt;$U$8+N($V$8)*12,80&lt;=p_MesFin),$O$8*(1-$W$8)/(N($V$8)*12),0)</f>
        <v>702.460245157284</v>
      </c>
      <c r="CI47" s="13" t="n">
        <f aca="false">IF(AND(81&gt;=$U$8,N($V$8)&gt;0,81&lt;$U$8+N($V$8)*12,81&lt;=p_MesFin),$O$8*(1-$W$8)/(N($V$8)*12),0)</f>
        <v>702.460245157284</v>
      </c>
      <c r="CJ47" s="13" t="n">
        <f aca="false">IF(AND(82&gt;=$U$8,N($V$8)&gt;0,82&lt;$U$8+N($V$8)*12,82&lt;=p_MesFin),$O$8*(1-$W$8)/(N($V$8)*12),0)</f>
        <v>702.460245157284</v>
      </c>
      <c r="CK47" s="13" t="n">
        <f aca="false">IF(AND(83&gt;=$U$8,N($V$8)&gt;0,83&lt;$U$8+N($V$8)*12,83&lt;=p_MesFin),$O$8*(1-$W$8)/(N($V$8)*12),0)</f>
        <v>702.460245157284</v>
      </c>
      <c r="CL47" s="13" t="n">
        <f aca="false">IF(AND(84&gt;=$U$8,N($V$8)&gt;0,84&lt;$U$8+N($V$8)*12,84&lt;=p_MesFin),$O$8*(1-$W$8)/(N($V$8)*12),0)</f>
        <v>702.460245157284</v>
      </c>
      <c r="CM47" s="13" t="n">
        <f aca="false">IF(AND(85&gt;=$U$8,N($V$8)&gt;0,85&lt;$U$8+N($V$8)*12,85&lt;=p_MesFin),$O$8*(1-$W$8)/(N($V$8)*12),0)</f>
        <v>702.460245157284</v>
      </c>
      <c r="CN47" s="13" t="n">
        <f aca="false">IF(AND(86&gt;=$U$8,N($V$8)&gt;0,86&lt;$U$8+N($V$8)*12,86&lt;=p_MesFin),$O$8*(1-$W$8)/(N($V$8)*12),0)</f>
        <v>702.460245157284</v>
      </c>
      <c r="CO47" s="13" t="n">
        <f aca="false">IF(AND(87&gt;=$U$8,N($V$8)&gt;0,87&lt;$U$8+N($V$8)*12,87&lt;=p_MesFin),$O$8*(1-$W$8)/(N($V$8)*12),0)</f>
        <v>702.460245157284</v>
      </c>
      <c r="CP47" s="13" t="n">
        <f aca="false">IF(AND(88&gt;=$U$8,N($V$8)&gt;0,88&lt;$U$8+N($V$8)*12,88&lt;=p_MesFin),$O$8*(1-$W$8)/(N($V$8)*12),0)</f>
        <v>702.460245157284</v>
      </c>
      <c r="CQ47" s="13" t="n">
        <f aca="false">IF(AND(89&gt;=$U$8,N($V$8)&gt;0,89&lt;$U$8+N($V$8)*12,89&lt;=p_MesFin),$O$8*(1-$W$8)/(N($V$8)*12),0)</f>
        <v>702.460245157284</v>
      </c>
      <c r="CR47" s="13" t="n">
        <f aca="false">IF(AND(90&gt;=$U$8,N($V$8)&gt;0,90&lt;$U$8+N($V$8)*12,90&lt;=p_MesFin),$O$8*(1-$W$8)/(N($V$8)*12),0)</f>
        <v>702.460245157284</v>
      </c>
      <c r="CS47" s="13" t="n">
        <f aca="false">IF(AND(91&gt;=$U$8,N($V$8)&gt;0,91&lt;$U$8+N($V$8)*12,91&lt;=p_MesFin),$O$8*(1-$W$8)/(N($V$8)*12),0)</f>
        <v>702.460245157284</v>
      </c>
      <c r="CT47" s="13" t="n">
        <f aca="false">IF(AND(92&gt;=$U$8,N($V$8)&gt;0,92&lt;$U$8+N($V$8)*12,92&lt;=p_MesFin),$O$8*(1-$W$8)/(N($V$8)*12),0)</f>
        <v>702.460245157284</v>
      </c>
      <c r="CU47" s="13" t="n">
        <f aca="false">IF(AND(93&gt;=$U$8,N($V$8)&gt;0,93&lt;$U$8+N($V$8)*12,93&lt;=p_MesFin),$O$8*(1-$W$8)/(N($V$8)*12),0)</f>
        <v>702.460245157284</v>
      </c>
      <c r="CV47" s="13" t="n">
        <f aca="false">IF(AND(94&gt;=$U$8,N($V$8)&gt;0,94&lt;$U$8+N($V$8)*12,94&lt;=p_MesFin),$O$8*(1-$W$8)/(N($V$8)*12),0)</f>
        <v>702.460245157284</v>
      </c>
      <c r="CW47" s="13" t="n">
        <f aca="false">IF(AND(95&gt;=$U$8,N($V$8)&gt;0,95&lt;$U$8+N($V$8)*12,95&lt;=p_MesFin),$O$8*(1-$W$8)/(N($V$8)*12),0)</f>
        <v>702.460245157284</v>
      </c>
      <c r="CX47" s="13" t="n">
        <f aca="false">IF(AND(96&gt;=$U$8,N($V$8)&gt;0,96&lt;$U$8+N($V$8)*12,96&lt;=p_MesFin),$O$8*(1-$W$8)/(N($V$8)*12),0)</f>
        <v>702.460245157284</v>
      </c>
      <c r="CY47" s="13" t="n">
        <f aca="false">IF(AND(97&gt;=$U$8,N($V$8)&gt;0,97&lt;$U$8+N($V$8)*12,97&lt;=p_MesFin),$O$8*(1-$W$8)/(N($V$8)*12),0)</f>
        <v>702.460245157284</v>
      </c>
      <c r="CZ47" s="13" t="n">
        <f aca="false">IF(AND(98&gt;=$U$8,N($V$8)&gt;0,98&lt;$U$8+N($V$8)*12,98&lt;=p_MesFin),$O$8*(1-$W$8)/(N($V$8)*12),0)</f>
        <v>702.460245157284</v>
      </c>
      <c r="DA47" s="13" t="n">
        <f aca="false">IF(AND(99&gt;=$U$8,N($V$8)&gt;0,99&lt;$U$8+N($V$8)*12,99&lt;=p_MesFin),$O$8*(1-$W$8)/(N($V$8)*12),0)</f>
        <v>702.460245157284</v>
      </c>
      <c r="DB47" s="13" t="n">
        <f aca="false">IF(AND(100&gt;=$U$8,N($V$8)&gt;0,100&lt;$U$8+N($V$8)*12,100&lt;=p_MesFin),$O$8*(1-$W$8)/(N($V$8)*12),0)</f>
        <v>702.460245157284</v>
      </c>
      <c r="DC47" s="13" t="n">
        <f aca="false">IF(AND(101&gt;=$U$8,N($V$8)&gt;0,101&lt;$U$8+N($V$8)*12,101&lt;=p_MesFin),$O$8*(1-$W$8)/(N($V$8)*12),0)</f>
        <v>702.460245157284</v>
      </c>
      <c r="DD47" s="13" t="n">
        <f aca="false">IF(AND(102&gt;=$U$8,N($V$8)&gt;0,102&lt;$U$8+N($V$8)*12,102&lt;=p_MesFin),$O$8*(1-$W$8)/(N($V$8)*12),0)</f>
        <v>702.460245157284</v>
      </c>
      <c r="DE47" s="13" t="n">
        <f aca="false">IF(AND(103&gt;=$U$8,N($V$8)&gt;0,103&lt;$U$8+N($V$8)*12,103&lt;=p_MesFin),$O$8*(1-$W$8)/(N($V$8)*12),0)</f>
        <v>702.460245157284</v>
      </c>
      <c r="DF47" s="13" t="n">
        <f aca="false">IF(AND(104&gt;=$U$8,N($V$8)&gt;0,104&lt;$U$8+N($V$8)*12,104&lt;=p_MesFin),$O$8*(1-$W$8)/(N($V$8)*12),0)</f>
        <v>702.460245157284</v>
      </c>
      <c r="DG47" s="13" t="n">
        <f aca="false">IF(AND(105&gt;=$U$8,N($V$8)&gt;0,105&lt;$U$8+N($V$8)*12,105&lt;=p_MesFin),$O$8*(1-$W$8)/(N($V$8)*12),0)</f>
        <v>702.460245157284</v>
      </c>
      <c r="DH47" s="13" t="n">
        <f aca="false">IF(AND(106&gt;=$U$8,N($V$8)&gt;0,106&lt;$U$8+N($V$8)*12,106&lt;=p_MesFin),$O$8*(1-$W$8)/(N($V$8)*12),0)</f>
        <v>702.460245157284</v>
      </c>
      <c r="DI47" s="13" t="n">
        <f aca="false">IF(AND(107&gt;=$U$8,N($V$8)&gt;0,107&lt;$U$8+N($V$8)*12,107&lt;=p_MesFin),$O$8*(1-$W$8)/(N($V$8)*12),0)</f>
        <v>702.460245157284</v>
      </c>
      <c r="DJ47" s="13" t="n">
        <f aca="false">IF(AND(108&gt;=$U$8,N($V$8)&gt;0,108&lt;$U$8+N($V$8)*12,108&lt;=p_MesFin),$O$8*(1-$W$8)/(N($V$8)*12),0)</f>
        <v>702.460245157284</v>
      </c>
      <c r="DK47" s="13" t="n">
        <f aca="false">IF(AND(109&gt;=$U$8,N($V$8)&gt;0,109&lt;$U$8+N($V$8)*12,109&lt;=p_MesFin),$O$8*(1-$W$8)/(N($V$8)*12),0)</f>
        <v>702.460245157284</v>
      </c>
      <c r="DL47" s="13" t="n">
        <f aca="false">IF(AND(110&gt;=$U$8,N($V$8)&gt;0,110&lt;$U$8+N($V$8)*12,110&lt;=p_MesFin),$O$8*(1-$W$8)/(N($V$8)*12),0)</f>
        <v>702.460245157284</v>
      </c>
      <c r="DM47" s="13" t="n">
        <f aca="false">IF(AND(111&gt;=$U$8,N($V$8)&gt;0,111&lt;$U$8+N($V$8)*12,111&lt;=p_MesFin),$O$8*(1-$W$8)/(N($V$8)*12),0)</f>
        <v>702.460245157284</v>
      </c>
      <c r="DN47" s="13" t="n">
        <f aca="false">IF(AND(112&gt;=$U$8,N($V$8)&gt;0,112&lt;$U$8+N($V$8)*12,112&lt;=p_MesFin),$O$8*(1-$W$8)/(N($V$8)*12),0)</f>
        <v>702.460245157284</v>
      </c>
      <c r="DO47" s="13" t="n">
        <f aca="false">IF(AND(113&gt;=$U$8,N($V$8)&gt;0,113&lt;$U$8+N($V$8)*12,113&lt;=p_MesFin),$O$8*(1-$W$8)/(N($V$8)*12),0)</f>
        <v>702.460245157284</v>
      </c>
      <c r="DP47" s="13" t="n">
        <f aca="false">IF(AND(114&gt;=$U$8,N($V$8)&gt;0,114&lt;$U$8+N($V$8)*12,114&lt;=p_MesFin),$O$8*(1-$W$8)/(N($V$8)*12),0)</f>
        <v>702.460245157284</v>
      </c>
      <c r="DQ47" s="13" t="n">
        <f aca="false">IF(AND(115&gt;=$U$8,N($V$8)&gt;0,115&lt;$U$8+N($V$8)*12,115&lt;=p_MesFin),$O$8*(1-$W$8)/(N($V$8)*12),0)</f>
        <v>702.460245157284</v>
      </c>
      <c r="DR47" s="13" t="n">
        <f aca="false">IF(AND(116&gt;=$U$8,N($V$8)&gt;0,116&lt;$U$8+N($V$8)*12,116&lt;=p_MesFin),$O$8*(1-$W$8)/(N($V$8)*12),0)</f>
        <v>702.460245157284</v>
      </c>
      <c r="DS47" s="13" t="n">
        <f aca="false">IF(AND(117&gt;=$U$8,N($V$8)&gt;0,117&lt;$U$8+N($V$8)*12,117&lt;=p_MesFin),$O$8*(1-$W$8)/(N($V$8)*12),0)</f>
        <v>702.460245157284</v>
      </c>
      <c r="DT47" s="13" t="n">
        <f aca="false">IF(AND(118&gt;=$U$8,N($V$8)&gt;0,118&lt;$U$8+N($V$8)*12,118&lt;=p_MesFin),$O$8*(1-$W$8)/(N($V$8)*12),0)</f>
        <v>702.460245157284</v>
      </c>
      <c r="DU47" s="13" t="n">
        <f aca="false">IF(AND(119&gt;=$U$8,N($V$8)&gt;0,119&lt;$U$8+N($V$8)*12,119&lt;=p_MesFin),$O$8*(1-$W$8)/(N($V$8)*12),0)</f>
        <v>702.460245157284</v>
      </c>
      <c r="DV47" s="13" t="n">
        <f aca="false">IF(AND(120&gt;=$U$8,N($V$8)&gt;0,120&lt;$U$8+N($V$8)*12,120&lt;=p_MesFin),$O$8*(1-$W$8)/(N($V$8)*12),0)</f>
        <v>702.460245157284</v>
      </c>
      <c r="DW47" s="13" t="n">
        <f aca="false">IF(AND(121&gt;=$U$8,N($V$8)&gt;0,121&lt;$U$8+N($V$8)*12,121&lt;=p_MesFin),$O$8*(1-$W$8)/(N($V$8)*12),0)</f>
        <v>0</v>
      </c>
      <c r="DX47" s="13" t="n">
        <f aca="false">IF(AND(122&gt;=$U$8,N($V$8)&gt;0,122&lt;$U$8+N($V$8)*12,122&lt;=p_MesFin),$O$8*(1-$W$8)/(N($V$8)*12),0)</f>
        <v>0</v>
      </c>
      <c r="DY47" s="13" t="n">
        <f aca="false">IF(AND(123&gt;=$U$8,N($V$8)&gt;0,123&lt;$U$8+N($V$8)*12,123&lt;=p_MesFin),$O$8*(1-$W$8)/(N($V$8)*12),0)</f>
        <v>0</v>
      </c>
      <c r="DZ47" s="13" t="n">
        <f aca="false">IF(AND(124&gt;=$U$8,N($V$8)&gt;0,124&lt;$U$8+N($V$8)*12,124&lt;=p_MesFin),$O$8*(1-$W$8)/(N($V$8)*12),0)</f>
        <v>0</v>
      </c>
      <c r="EA47" s="13" t="n">
        <f aca="false">IF(AND(125&gt;=$U$8,N($V$8)&gt;0,125&lt;$U$8+N($V$8)*12,125&lt;=p_MesFin),$O$8*(1-$W$8)/(N($V$8)*12),0)</f>
        <v>0</v>
      </c>
      <c r="EB47" s="13" t="n">
        <f aca="false">IF(AND(126&gt;=$U$8,N($V$8)&gt;0,126&lt;$U$8+N($V$8)*12,126&lt;=p_MesFin),$O$8*(1-$W$8)/(N($V$8)*12),0)</f>
        <v>0</v>
      </c>
      <c r="EC47" s="13" t="n">
        <f aca="false">IF(AND(127&gt;=$U$8,N($V$8)&gt;0,127&lt;$U$8+N($V$8)*12,127&lt;=p_MesFin),$O$8*(1-$W$8)/(N($V$8)*12),0)</f>
        <v>0</v>
      </c>
      <c r="ED47" s="13" t="n">
        <f aca="false">IF(AND(128&gt;=$U$8,N($V$8)&gt;0,128&lt;$U$8+N($V$8)*12,128&lt;=p_MesFin),$O$8*(1-$W$8)/(N($V$8)*12),0)</f>
        <v>0</v>
      </c>
      <c r="EE47" s="13" t="n">
        <f aca="false">IF(AND(129&gt;=$U$8,N($V$8)&gt;0,129&lt;$U$8+N($V$8)*12,129&lt;=p_MesFin),$O$8*(1-$W$8)/(N($V$8)*12),0)</f>
        <v>0</v>
      </c>
      <c r="EF47" s="13" t="n">
        <f aca="false">IF(AND(130&gt;=$U$8,N($V$8)&gt;0,130&lt;$U$8+N($V$8)*12,130&lt;=p_MesFin),$O$8*(1-$W$8)/(N($V$8)*12),0)</f>
        <v>0</v>
      </c>
      <c r="EG47" s="13" t="n">
        <f aca="false">IF(AND(131&gt;=$U$8,N($V$8)&gt;0,131&lt;$U$8+N($V$8)*12,131&lt;=p_MesFin),$O$8*(1-$W$8)/(N($V$8)*12),0)</f>
        <v>0</v>
      </c>
      <c r="EH47" s="13" t="n">
        <f aca="false">IF(AND(132&gt;=$U$8,N($V$8)&gt;0,132&lt;$U$8+N($V$8)*12,132&lt;=p_MesFin),$O$8*(1-$W$8)/(N($V$8)*12),0)</f>
        <v>0</v>
      </c>
      <c r="EI47" s="13" t="n">
        <f aca="false">IF(AND(133&gt;=$U$8,N($V$8)&gt;0,133&lt;$U$8+N($V$8)*12,133&lt;=p_MesFin),$O$8*(1-$W$8)/(N($V$8)*12),0)</f>
        <v>0</v>
      </c>
      <c r="EJ47" s="13" t="n">
        <f aca="false">IF(AND(134&gt;=$U$8,N($V$8)&gt;0,134&lt;$U$8+N($V$8)*12,134&lt;=p_MesFin),$O$8*(1-$W$8)/(N($V$8)*12),0)</f>
        <v>0</v>
      </c>
      <c r="EK47" s="13" t="n">
        <f aca="false">IF(AND(135&gt;=$U$8,N($V$8)&gt;0,135&lt;$U$8+N($V$8)*12,135&lt;=p_MesFin),$O$8*(1-$W$8)/(N($V$8)*12),0)</f>
        <v>0</v>
      </c>
      <c r="EL47" s="13" t="n">
        <f aca="false">IF(AND(136&gt;=$U$8,N($V$8)&gt;0,136&lt;$U$8+N($V$8)*12,136&lt;=p_MesFin),$O$8*(1-$W$8)/(N($V$8)*12),0)</f>
        <v>0</v>
      </c>
      <c r="EM47" s="13" t="n">
        <f aca="false">IF(AND(137&gt;=$U$8,N($V$8)&gt;0,137&lt;$U$8+N($V$8)*12,137&lt;=p_MesFin),$O$8*(1-$W$8)/(N($V$8)*12),0)</f>
        <v>0</v>
      </c>
      <c r="EN47" s="13" t="n">
        <f aca="false">IF(AND(138&gt;=$U$8,N($V$8)&gt;0,138&lt;$U$8+N($V$8)*12,138&lt;=p_MesFin),$O$8*(1-$W$8)/(N($V$8)*12),0)</f>
        <v>0</v>
      </c>
      <c r="EO47" s="13" t="n">
        <f aca="false">IF(AND(139&gt;=$U$8,N($V$8)&gt;0,139&lt;$U$8+N($V$8)*12,139&lt;=p_MesFin),$O$8*(1-$W$8)/(N($V$8)*12),0)</f>
        <v>0</v>
      </c>
      <c r="EP47" s="13" t="n">
        <f aca="false">IF(AND(140&gt;=$U$8,N($V$8)&gt;0,140&lt;$U$8+N($V$8)*12,140&lt;=p_MesFin),$O$8*(1-$W$8)/(N($V$8)*12),0)</f>
        <v>0</v>
      </c>
      <c r="EQ47" s="13" t="n">
        <f aca="false">IF(AND(141&gt;=$U$8,N($V$8)&gt;0,141&lt;$U$8+N($V$8)*12,141&lt;=p_MesFin),$O$8*(1-$W$8)/(N($V$8)*12),0)</f>
        <v>0</v>
      </c>
      <c r="ER47" s="13" t="n">
        <f aca="false">IF(AND(142&gt;=$U$8,N($V$8)&gt;0,142&lt;$U$8+N($V$8)*12,142&lt;=p_MesFin),$O$8*(1-$W$8)/(N($V$8)*12),0)</f>
        <v>0</v>
      </c>
      <c r="ES47" s="13" t="n">
        <f aca="false">IF(AND(143&gt;=$U$8,N($V$8)&gt;0,143&lt;$U$8+N($V$8)*12,143&lt;=p_MesFin),$O$8*(1-$W$8)/(N($V$8)*12),0)</f>
        <v>0</v>
      </c>
      <c r="ET47" s="13" t="n">
        <f aca="false">IF(AND(144&gt;=$U$8,N($V$8)&gt;0,144&lt;$U$8+N($V$8)*12,144&lt;=p_MesFin),$O$8*(1-$W$8)/(N($V$8)*12),0)</f>
        <v>0</v>
      </c>
      <c r="EU47" s="13" t="n">
        <f aca="false">IF(AND(145&gt;=$U$8,N($V$8)&gt;0,145&lt;$U$8+N($V$8)*12,145&lt;=p_MesFin),$O$8*(1-$W$8)/(N($V$8)*12),0)</f>
        <v>0</v>
      </c>
      <c r="EV47" s="13" t="n">
        <f aca="false">IF(AND(146&gt;=$U$8,N($V$8)&gt;0,146&lt;$U$8+N($V$8)*12,146&lt;=p_MesFin),$O$8*(1-$W$8)/(N($V$8)*12),0)</f>
        <v>0</v>
      </c>
      <c r="EW47" s="13" t="n">
        <f aca="false">IF(AND(147&gt;=$U$8,N($V$8)&gt;0,147&lt;$U$8+N($V$8)*12,147&lt;=p_MesFin),$O$8*(1-$W$8)/(N($V$8)*12),0)</f>
        <v>0</v>
      </c>
      <c r="EX47" s="13" t="n">
        <f aca="false">IF(AND(148&gt;=$U$8,N($V$8)&gt;0,148&lt;$U$8+N($V$8)*12,148&lt;=p_MesFin),$O$8*(1-$W$8)/(N($V$8)*12),0)</f>
        <v>0</v>
      </c>
      <c r="EY47" s="13" t="n">
        <f aca="false">IF(AND(149&gt;=$U$8,N($V$8)&gt;0,149&lt;$U$8+N($V$8)*12,149&lt;=p_MesFin),$O$8*(1-$W$8)/(N($V$8)*12),0)</f>
        <v>0</v>
      </c>
      <c r="EZ47" s="13" t="n">
        <f aca="false">IF(AND(150&gt;=$U$8,N($V$8)&gt;0,150&lt;$U$8+N($V$8)*12,150&lt;=p_MesFin),$O$8*(1-$W$8)/(N($V$8)*12),0)</f>
        <v>0</v>
      </c>
      <c r="FA47" s="13" t="n">
        <f aca="false">IF(AND(151&gt;=$U$8,N($V$8)&gt;0,151&lt;$U$8+N($V$8)*12,151&lt;=p_MesFin),$O$8*(1-$W$8)/(N($V$8)*12),0)</f>
        <v>0</v>
      </c>
      <c r="FB47" s="13" t="n">
        <f aca="false">IF(AND(152&gt;=$U$8,N($V$8)&gt;0,152&lt;$U$8+N($V$8)*12,152&lt;=p_MesFin),$O$8*(1-$W$8)/(N($V$8)*12),0)</f>
        <v>0</v>
      </c>
      <c r="FC47" s="13" t="n">
        <f aca="false">IF(AND(153&gt;=$U$8,N($V$8)&gt;0,153&lt;$U$8+N($V$8)*12,153&lt;=p_MesFin),$O$8*(1-$W$8)/(N($V$8)*12),0)</f>
        <v>0</v>
      </c>
      <c r="FD47" s="13" t="n">
        <f aca="false">IF(AND(154&gt;=$U$8,N($V$8)&gt;0,154&lt;$U$8+N($V$8)*12,154&lt;=p_MesFin),$O$8*(1-$W$8)/(N($V$8)*12),0)</f>
        <v>0</v>
      </c>
      <c r="FE47" s="13" t="n">
        <f aca="false">IF(AND(155&gt;=$U$8,N($V$8)&gt;0,155&lt;$U$8+N($V$8)*12,155&lt;=p_MesFin),$O$8*(1-$W$8)/(N($V$8)*12),0)</f>
        <v>0</v>
      </c>
      <c r="FF47" s="13" t="n">
        <f aca="false">IF(AND(156&gt;=$U$8,N($V$8)&gt;0,156&lt;$U$8+N($V$8)*12,156&lt;=p_MesFin),$O$8*(1-$W$8)/(N($V$8)*12),0)</f>
        <v>0</v>
      </c>
    </row>
    <row r="48" customFormat="false" ht="15" hidden="false" customHeight="false" outlineLevel="0" collapsed="false">
      <c r="A48" s="2" t="s">
        <v>1244</v>
      </c>
      <c r="B48" s="8" t="s">
        <v>1245</v>
      </c>
      <c r="C48" s="8" t="s">
        <v>255</v>
      </c>
      <c r="E48" s="65" t="n">
        <f aca="false">SUM($F48:$FF48)</f>
        <v>10197.0035587348</v>
      </c>
      <c r="F48" s="13" t="n">
        <f aca="false">IF(AND(0&gt;=$U$9,N($V$9)&gt;0,0&lt;$U$9+N($V$9)*12,0&lt;=p_MesFin),$O$9*(1-$W$9)/(N($V$9)*12),0)</f>
        <v>0</v>
      </c>
      <c r="G48" s="13" t="n">
        <f aca="false">IF(AND(1&gt;=$U$9,N($V$9)&gt;0,1&lt;$U$9+N($V$9)*12,1&lt;=p_MesFin),$O$9*(1-$W$9)/(N($V$9)*12),0)</f>
        <v>84.975029656123</v>
      </c>
      <c r="H48" s="13" t="n">
        <f aca="false">IF(AND(2&gt;=$U$9,N($V$9)&gt;0,2&lt;$U$9+N($V$9)*12,2&lt;=p_MesFin),$O$9*(1-$W$9)/(N($V$9)*12),0)</f>
        <v>84.975029656123</v>
      </c>
      <c r="I48" s="13" t="n">
        <f aca="false">IF(AND(3&gt;=$U$9,N($V$9)&gt;0,3&lt;$U$9+N($V$9)*12,3&lt;=p_MesFin),$O$9*(1-$W$9)/(N($V$9)*12),0)</f>
        <v>84.975029656123</v>
      </c>
      <c r="J48" s="13" t="n">
        <f aca="false">IF(AND(4&gt;=$U$9,N($V$9)&gt;0,4&lt;$U$9+N($V$9)*12,4&lt;=p_MesFin),$O$9*(1-$W$9)/(N($V$9)*12),0)</f>
        <v>84.975029656123</v>
      </c>
      <c r="K48" s="13" t="n">
        <f aca="false">IF(AND(5&gt;=$U$9,N($V$9)&gt;0,5&lt;$U$9+N($V$9)*12,5&lt;=p_MesFin),$O$9*(1-$W$9)/(N($V$9)*12),0)</f>
        <v>84.975029656123</v>
      </c>
      <c r="L48" s="13" t="n">
        <f aca="false">IF(AND(6&gt;=$U$9,N($V$9)&gt;0,6&lt;$U$9+N($V$9)*12,6&lt;=p_MesFin),$O$9*(1-$W$9)/(N($V$9)*12),0)</f>
        <v>84.975029656123</v>
      </c>
      <c r="M48" s="13" t="n">
        <f aca="false">IF(AND(7&gt;=$U$9,N($V$9)&gt;0,7&lt;$U$9+N($V$9)*12,7&lt;=p_MesFin),$O$9*(1-$W$9)/(N($V$9)*12),0)</f>
        <v>84.975029656123</v>
      </c>
      <c r="N48" s="13" t="n">
        <f aca="false">IF(AND(8&gt;=$U$9,N($V$9)&gt;0,8&lt;$U$9+N($V$9)*12,8&lt;=p_MesFin),$O$9*(1-$W$9)/(N($V$9)*12),0)</f>
        <v>84.975029656123</v>
      </c>
      <c r="O48" s="13" t="n">
        <f aca="false">IF(AND(9&gt;=$U$9,N($V$9)&gt;0,9&lt;$U$9+N($V$9)*12,9&lt;=p_MesFin),$O$9*(1-$W$9)/(N($V$9)*12),0)</f>
        <v>84.975029656123</v>
      </c>
      <c r="P48" s="13" t="n">
        <f aca="false">IF(AND(10&gt;=$U$9,N($V$9)&gt;0,10&lt;$U$9+N($V$9)*12,10&lt;=p_MesFin),$O$9*(1-$W$9)/(N($V$9)*12),0)</f>
        <v>84.975029656123</v>
      </c>
      <c r="Q48" s="13" t="n">
        <f aca="false">IF(AND(11&gt;=$U$9,N($V$9)&gt;0,11&lt;$U$9+N($V$9)*12,11&lt;=p_MesFin),$O$9*(1-$W$9)/(N($V$9)*12),0)</f>
        <v>84.975029656123</v>
      </c>
      <c r="R48" s="13" t="n">
        <f aca="false">IF(AND(12&gt;=$U$9,N($V$9)&gt;0,12&lt;$U$9+N($V$9)*12,12&lt;=p_MesFin),$O$9*(1-$W$9)/(N($V$9)*12),0)</f>
        <v>84.975029656123</v>
      </c>
      <c r="S48" s="13" t="n">
        <f aca="false">IF(AND(13&gt;=$U$9,N($V$9)&gt;0,13&lt;$U$9+N($V$9)*12,13&lt;=p_MesFin),$O$9*(1-$W$9)/(N($V$9)*12),0)</f>
        <v>84.975029656123</v>
      </c>
      <c r="T48" s="13" t="n">
        <f aca="false">IF(AND(14&gt;=$U$9,N($V$9)&gt;0,14&lt;$U$9+N($V$9)*12,14&lt;=p_MesFin),$O$9*(1-$W$9)/(N($V$9)*12),0)</f>
        <v>84.975029656123</v>
      </c>
      <c r="U48" s="13" t="n">
        <f aca="false">IF(AND(15&gt;=$U$9,N($V$9)&gt;0,15&lt;$U$9+N($V$9)*12,15&lt;=p_MesFin),$O$9*(1-$W$9)/(N($V$9)*12),0)</f>
        <v>84.975029656123</v>
      </c>
      <c r="V48" s="13" t="n">
        <f aca="false">IF(AND(16&gt;=$U$9,N($V$9)&gt;0,16&lt;$U$9+N($V$9)*12,16&lt;=p_MesFin),$O$9*(1-$W$9)/(N($V$9)*12),0)</f>
        <v>84.975029656123</v>
      </c>
      <c r="W48" s="13" t="n">
        <f aca="false">IF(AND(17&gt;=$U$9,N($V$9)&gt;0,17&lt;$U$9+N($V$9)*12,17&lt;=p_MesFin),$O$9*(1-$W$9)/(N($V$9)*12),0)</f>
        <v>84.975029656123</v>
      </c>
      <c r="X48" s="13" t="n">
        <f aca="false">IF(AND(18&gt;=$U$9,N($V$9)&gt;0,18&lt;$U$9+N($V$9)*12,18&lt;=p_MesFin),$O$9*(1-$W$9)/(N($V$9)*12),0)</f>
        <v>84.975029656123</v>
      </c>
      <c r="Y48" s="13" t="n">
        <f aca="false">IF(AND(19&gt;=$U$9,N($V$9)&gt;0,19&lt;$U$9+N($V$9)*12,19&lt;=p_MesFin),$O$9*(1-$W$9)/(N($V$9)*12),0)</f>
        <v>84.975029656123</v>
      </c>
      <c r="Z48" s="13" t="n">
        <f aca="false">IF(AND(20&gt;=$U$9,N($V$9)&gt;0,20&lt;$U$9+N($V$9)*12,20&lt;=p_MesFin),$O$9*(1-$W$9)/(N($V$9)*12),0)</f>
        <v>84.975029656123</v>
      </c>
      <c r="AA48" s="13" t="n">
        <f aca="false">IF(AND(21&gt;=$U$9,N($V$9)&gt;0,21&lt;$U$9+N($V$9)*12,21&lt;=p_MesFin),$O$9*(1-$W$9)/(N($V$9)*12),0)</f>
        <v>84.975029656123</v>
      </c>
      <c r="AB48" s="13" t="n">
        <f aca="false">IF(AND(22&gt;=$U$9,N($V$9)&gt;0,22&lt;$U$9+N($V$9)*12,22&lt;=p_MesFin),$O$9*(1-$W$9)/(N($V$9)*12),0)</f>
        <v>84.975029656123</v>
      </c>
      <c r="AC48" s="13" t="n">
        <f aca="false">IF(AND(23&gt;=$U$9,N($V$9)&gt;0,23&lt;$U$9+N($V$9)*12,23&lt;=p_MesFin),$O$9*(1-$W$9)/(N($V$9)*12),0)</f>
        <v>84.975029656123</v>
      </c>
      <c r="AD48" s="13" t="n">
        <f aca="false">IF(AND(24&gt;=$U$9,N($V$9)&gt;0,24&lt;$U$9+N($V$9)*12,24&lt;=p_MesFin),$O$9*(1-$W$9)/(N($V$9)*12),0)</f>
        <v>84.975029656123</v>
      </c>
      <c r="AE48" s="13" t="n">
        <f aca="false">IF(AND(25&gt;=$U$9,N($V$9)&gt;0,25&lt;$U$9+N($V$9)*12,25&lt;=p_MesFin),$O$9*(1-$W$9)/(N($V$9)*12),0)</f>
        <v>84.975029656123</v>
      </c>
      <c r="AF48" s="13" t="n">
        <f aca="false">IF(AND(26&gt;=$U$9,N($V$9)&gt;0,26&lt;$U$9+N($V$9)*12,26&lt;=p_MesFin),$O$9*(1-$W$9)/(N($V$9)*12),0)</f>
        <v>84.975029656123</v>
      </c>
      <c r="AG48" s="13" t="n">
        <f aca="false">IF(AND(27&gt;=$U$9,N($V$9)&gt;0,27&lt;$U$9+N($V$9)*12,27&lt;=p_MesFin),$O$9*(1-$W$9)/(N($V$9)*12),0)</f>
        <v>84.975029656123</v>
      </c>
      <c r="AH48" s="13" t="n">
        <f aca="false">IF(AND(28&gt;=$U$9,N($V$9)&gt;0,28&lt;$U$9+N($V$9)*12,28&lt;=p_MesFin),$O$9*(1-$W$9)/(N($V$9)*12),0)</f>
        <v>84.975029656123</v>
      </c>
      <c r="AI48" s="13" t="n">
        <f aca="false">IF(AND(29&gt;=$U$9,N($V$9)&gt;0,29&lt;$U$9+N($V$9)*12,29&lt;=p_MesFin),$O$9*(1-$W$9)/(N($V$9)*12),0)</f>
        <v>84.975029656123</v>
      </c>
      <c r="AJ48" s="13" t="n">
        <f aca="false">IF(AND(30&gt;=$U$9,N($V$9)&gt;0,30&lt;$U$9+N($V$9)*12,30&lt;=p_MesFin),$O$9*(1-$W$9)/(N($V$9)*12),0)</f>
        <v>84.975029656123</v>
      </c>
      <c r="AK48" s="13" t="n">
        <f aca="false">IF(AND(31&gt;=$U$9,N($V$9)&gt;0,31&lt;$U$9+N($V$9)*12,31&lt;=p_MesFin),$O$9*(1-$W$9)/(N($V$9)*12),0)</f>
        <v>84.975029656123</v>
      </c>
      <c r="AL48" s="13" t="n">
        <f aca="false">IF(AND(32&gt;=$U$9,N($V$9)&gt;0,32&lt;$U$9+N($V$9)*12,32&lt;=p_MesFin),$O$9*(1-$W$9)/(N($V$9)*12),0)</f>
        <v>84.975029656123</v>
      </c>
      <c r="AM48" s="13" t="n">
        <f aca="false">IF(AND(33&gt;=$U$9,N($V$9)&gt;0,33&lt;$U$9+N($V$9)*12,33&lt;=p_MesFin),$O$9*(1-$W$9)/(N($V$9)*12),0)</f>
        <v>84.975029656123</v>
      </c>
      <c r="AN48" s="13" t="n">
        <f aca="false">IF(AND(34&gt;=$U$9,N($V$9)&gt;0,34&lt;$U$9+N($V$9)*12,34&lt;=p_MesFin),$O$9*(1-$W$9)/(N($V$9)*12),0)</f>
        <v>84.975029656123</v>
      </c>
      <c r="AO48" s="13" t="n">
        <f aca="false">IF(AND(35&gt;=$U$9,N($V$9)&gt;0,35&lt;$U$9+N($V$9)*12,35&lt;=p_MesFin),$O$9*(1-$W$9)/(N($V$9)*12),0)</f>
        <v>84.975029656123</v>
      </c>
      <c r="AP48" s="13" t="n">
        <f aca="false">IF(AND(36&gt;=$U$9,N($V$9)&gt;0,36&lt;$U$9+N($V$9)*12,36&lt;=p_MesFin),$O$9*(1-$W$9)/(N($V$9)*12),0)</f>
        <v>84.975029656123</v>
      </c>
      <c r="AQ48" s="13" t="n">
        <f aca="false">IF(AND(37&gt;=$U$9,N($V$9)&gt;0,37&lt;$U$9+N($V$9)*12,37&lt;=p_MesFin),$O$9*(1-$W$9)/(N($V$9)*12),0)</f>
        <v>84.975029656123</v>
      </c>
      <c r="AR48" s="13" t="n">
        <f aca="false">IF(AND(38&gt;=$U$9,N($V$9)&gt;0,38&lt;$U$9+N($V$9)*12,38&lt;=p_MesFin),$O$9*(1-$W$9)/(N($V$9)*12),0)</f>
        <v>84.975029656123</v>
      </c>
      <c r="AS48" s="13" t="n">
        <f aca="false">IF(AND(39&gt;=$U$9,N($V$9)&gt;0,39&lt;$U$9+N($V$9)*12,39&lt;=p_MesFin),$O$9*(1-$W$9)/(N($V$9)*12),0)</f>
        <v>84.975029656123</v>
      </c>
      <c r="AT48" s="13" t="n">
        <f aca="false">IF(AND(40&gt;=$U$9,N($V$9)&gt;0,40&lt;$U$9+N($V$9)*12,40&lt;=p_MesFin),$O$9*(1-$W$9)/(N($V$9)*12),0)</f>
        <v>84.975029656123</v>
      </c>
      <c r="AU48" s="13" t="n">
        <f aca="false">IF(AND(41&gt;=$U$9,N($V$9)&gt;0,41&lt;$U$9+N($V$9)*12,41&lt;=p_MesFin),$O$9*(1-$W$9)/(N($V$9)*12),0)</f>
        <v>84.975029656123</v>
      </c>
      <c r="AV48" s="13" t="n">
        <f aca="false">IF(AND(42&gt;=$U$9,N($V$9)&gt;0,42&lt;$U$9+N($V$9)*12,42&lt;=p_MesFin),$O$9*(1-$W$9)/(N($V$9)*12),0)</f>
        <v>84.975029656123</v>
      </c>
      <c r="AW48" s="13" t="n">
        <f aca="false">IF(AND(43&gt;=$U$9,N($V$9)&gt;0,43&lt;$U$9+N($V$9)*12,43&lt;=p_MesFin),$O$9*(1-$W$9)/(N($V$9)*12),0)</f>
        <v>84.975029656123</v>
      </c>
      <c r="AX48" s="13" t="n">
        <f aca="false">IF(AND(44&gt;=$U$9,N($V$9)&gt;0,44&lt;$U$9+N($V$9)*12,44&lt;=p_MesFin),$O$9*(1-$W$9)/(N($V$9)*12),0)</f>
        <v>84.975029656123</v>
      </c>
      <c r="AY48" s="13" t="n">
        <f aca="false">IF(AND(45&gt;=$U$9,N($V$9)&gt;0,45&lt;$U$9+N($V$9)*12,45&lt;=p_MesFin),$O$9*(1-$W$9)/(N($V$9)*12),0)</f>
        <v>84.975029656123</v>
      </c>
      <c r="AZ48" s="13" t="n">
        <f aca="false">IF(AND(46&gt;=$U$9,N($V$9)&gt;0,46&lt;$U$9+N($V$9)*12,46&lt;=p_MesFin),$O$9*(1-$W$9)/(N($V$9)*12),0)</f>
        <v>84.975029656123</v>
      </c>
      <c r="BA48" s="13" t="n">
        <f aca="false">IF(AND(47&gt;=$U$9,N($V$9)&gt;0,47&lt;$U$9+N($V$9)*12,47&lt;=p_MesFin),$O$9*(1-$W$9)/(N($V$9)*12),0)</f>
        <v>84.975029656123</v>
      </c>
      <c r="BB48" s="13" t="n">
        <f aca="false">IF(AND(48&gt;=$U$9,N($V$9)&gt;0,48&lt;$U$9+N($V$9)*12,48&lt;=p_MesFin),$O$9*(1-$W$9)/(N($V$9)*12),0)</f>
        <v>84.975029656123</v>
      </c>
      <c r="BC48" s="13" t="n">
        <f aca="false">IF(AND(49&gt;=$U$9,N($V$9)&gt;0,49&lt;$U$9+N($V$9)*12,49&lt;=p_MesFin),$O$9*(1-$W$9)/(N($V$9)*12),0)</f>
        <v>84.975029656123</v>
      </c>
      <c r="BD48" s="13" t="n">
        <f aca="false">IF(AND(50&gt;=$U$9,N($V$9)&gt;0,50&lt;$U$9+N($V$9)*12,50&lt;=p_MesFin),$O$9*(1-$W$9)/(N($V$9)*12),0)</f>
        <v>84.975029656123</v>
      </c>
      <c r="BE48" s="13" t="n">
        <f aca="false">IF(AND(51&gt;=$U$9,N($V$9)&gt;0,51&lt;$U$9+N($V$9)*12,51&lt;=p_MesFin),$O$9*(1-$W$9)/(N($V$9)*12),0)</f>
        <v>84.975029656123</v>
      </c>
      <c r="BF48" s="13" t="n">
        <f aca="false">IF(AND(52&gt;=$U$9,N($V$9)&gt;0,52&lt;$U$9+N($V$9)*12,52&lt;=p_MesFin),$O$9*(1-$W$9)/(N($V$9)*12),0)</f>
        <v>84.975029656123</v>
      </c>
      <c r="BG48" s="13" t="n">
        <f aca="false">IF(AND(53&gt;=$U$9,N($V$9)&gt;0,53&lt;$U$9+N($V$9)*12,53&lt;=p_MesFin),$O$9*(1-$W$9)/(N($V$9)*12),0)</f>
        <v>84.975029656123</v>
      </c>
      <c r="BH48" s="13" t="n">
        <f aca="false">IF(AND(54&gt;=$U$9,N($V$9)&gt;0,54&lt;$U$9+N($V$9)*12,54&lt;=p_MesFin),$O$9*(1-$W$9)/(N($V$9)*12),0)</f>
        <v>84.975029656123</v>
      </c>
      <c r="BI48" s="13" t="n">
        <f aca="false">IF(AND(55&gt;=$U$9,N($V$9)&gt;0,55&lt;$U$9+N($V$9)*12,55&lt;=p_MesFin),$O$9*(1-$W$9)/(N($V$9)*12),0)</f>
        <v>84.975029656123</v>
      </c>
      <c r="BJ48" s="13" t="n">
        <f aca="false">IF(AND(56&gt;=$U$9,N($V$9)&gt;0,56&lt;$U$9+N($V$9)*12,56&lt;=p_MesFin),$O$9*(1-$W$9)/(N($V$9)*12),0)</f>
        <v>84.975029656123</v>
      </c>
      <c r="BK48" s="13" t="n">
        <f aca="false">IF(AND(57&gt;=$U$9,N($V$9)&gt;0,57&lt;$U$9+N($V$9)*12,57&lt;=p_MesFin),$O$9*(1-$W$9)/(N($V$9)*12),0)</f>
        <v>84.975029656123</v>
      </c>
      <c r="BL48" s="13" t="n">
        <f aca="false">IF(AND(58&gt;=$U$9,N($V$9)&gt;0,58&lt;$U$9+N($V$9)*12,58&lt;=p_MesFin),$O$9*(1-$W$9)/(N($V$9)*12),0)</f>
        <v>84.975029656123</v>
      </c>
      <c r="BM48" s="13" t="n">
        <f aca="false">IF(AND(59&gt;=$U$9,N($V$9)&gt;0,59&lt;$U$9+N($V$9)*12,59&lt;=p_MesFin),$O$9*(1-$W$9)/(N($V$9)*12),0)</f>
        <v>84.975029656123</v>
      </c>
      <c r="BN48" s="13" t="n">
        <f aca="false">IF(AND(60&gt;=$U$9,N($V$9)&gt;0,60&lt;$U$9+N($V$9)*12,60&lt;=p_MesFin),$O$9*(1-$W$9)/(N($V$9)*12),0)</f>
        <v>84.975029656123</v>
      </c>
      <c r="BO48" s="13" t="n">
        <f aca="false">IF(AND(61&gt;=$U$9,N($V$9)&gt;0,61&lt;$U$9+N($V$9)*12,61&lt;=p_MesFin),$O$9*(1-$W$9)/(N($V$9)*12),0)</f>
        <v>84.975029656123</v>
      </c>
      <c r="BP48" s="13" t="n">
        <f aca="false">IF(AND(62&gt;=$U$9,N($V$9)&gt;0,62&lt;$U$9+N($V$9)*12,62&lt;=p_MesFin),$O$9*(1-$W$9)/(N($V$9)*12),0)</f>
        <v>84.975029656123</v>
      </c>
      <c r="BQ48" s="13" t="n">
        <f aca="false">IF(AND(63&gt;=$U$9,N($V$9)&gt;0,63&lt;$U$9+N($V$9)*12,63&lt;=p_MesFin),$O$9*(1-$W$9)/(N($V$9)*12),0)</f>
        <v>84.975029656123</v>
      </c>
      <c r="BR48" s="13" t="n">
        <f aca="false">IF(AND(64&gt;=$U$9,N($V$9)&gt;0,64&lt;$U$9+N($V$9)*12,64&lt;=p_MesFin),$O$9*(1-$W$9)/(N($V$9)*12),0)</f>
        <v>84.975029656123</v>
      </c>
      <c r="BS48" s="13" t="n">
        <f aca="false">IF(AND(65&gt;=$U$9,N($V$9)&gt;0,65&lt;$U$9+N($V$9)*12,65&lt;=p_MesFin),$O$9*(1-$W$9)/(N($V$9)*12),0)</f>
        <v>84.975029656123</v>
      </c>
      <c r="BT48" s="13" t="n">
        <f aca="false">IF(AND(66&gt;=$U$9,N($V$9)&gt;0,66&lt;$U$9+N($V$9)*12,66&lt;=p_MesFin),$O$9*(1-$W$9)/(N($V$9)*12),0)</f>
        <v>84.975029656123</v>
      </c>
      <c r="BU48" s="13" t="n">
        <f aca="false">IF(AND(67&gt;=$U$9,N($V$9)&gt;0,67&lt;$U$9+N($V$9)*12,67&lt;=p_MesFin),$O$9*(1-$W$9)/(N($V$9)*12),0)</f>
        <v>84.975029656123</v>
      </c>
      <c r="BV48" s="13" t="n">
        <f aca="false">IF(AND(68&gt;=$U$9,N($V$9)&gt;0,68&lt;$U$9+N($V$9)*12,68&lt;=p_MesFin),$O$9*(1-$W$9)/(N($V$9)*12),0)</f>
        <v>84.975029656123</v>
      </c>
      <c r="BW48" s="13" t="n">
        <f aca="false">IF(AND(69&gt;=$U$9,N($V$9)&gt;0,69&lt;$U$9+N($V$9)*12,69&lt;=p_MesFin),$O$9*(1-$W$9)/(N($V$9)*12),0)</f>
        <v>84.975029656123</v>
      </c>
      <c r="BX48" s="13" t="n">
        <f aca="false">IF(AND(70&gt;=$U$9,N($V$9)&gt;0,70&lt;$U$9+N($V$9)*12,70&lt;=p_MesFin),$O$9*(1-$W$9)/(N($V$9)*12),0)</f>
        <v>84.975029656123</v>
      </c>
      <c r="BY48" s="13" t="n">
        <f aca="false">IF(AND(71&gt;=$U$9,N($V$9)&gt;0,71&lt;$U$9+N($V$9)*12,71&lt;=p_MesFin),$O$9*(1-$W$9)/(N($V$9)*12),0)</f>
        <v>84.975029656123</v>
      </c>
      <c r="BZ48" s="13" t="n">
        <f aca="false">IF(AND(72&gt;=$U$9,N($V$9)&gt;0,72&lt;$U$9+N($V$9)*12,72&lt;=p_MesFin),$O$9*(1-$W$9)/(N($V$9)*12),0)</f>
        <v>84.975029656123</v>
      </c>
      <c r="CA48" s="13" t="n">
        <f aca="false">IF(AND(73&gt;=$U$9,N($V$9)&gt;0,73&lt;$U$9+N($V$9)*12,73&lt;=p_MesFin),$O$9*(1-$W$9)/(N($V$9)*12),0)</f>
        <v>84.975029656123</v>
      </c>
      <c r="CB48" s="13" t="n">
        <f aca="false">IF(AND(74&gt;=$U$9,N($V$9)&gt;0,74&lt;$U$9+N($V$9)*12,74&lt;=p_MesFin),$O$9*(1-$W$9)/(N($V$9)*12),0)</f>
        <v>84.975029656123</v>
      </c>
      <c r="CC48" s="13" t="n">
        <f aca="false">IF(AND(75&gt;=$U$9,N($V$9)&gt;0,75&lt;$U$9+N($V$9)*12,75&lt;=p_MesFin),$O$9*(1-$W$9)/(N($V$9)*12),0)</f>
        <v>84.975029656123</v>
      </c>
      <c r="CD48" s="13" t="n">
        <f aca="false">IF(AND(76&gt;=$U$9,N($V$9)&gt;0,76&lt;$U$9+N($V$9)*12,76&lt;=p_MesFin),$O$9*(1-$W$9)/(N($V$9)*12),0)</f>
        <v>84.975029656123</v>
      </c>
      <c r="CE48" s="13" t="n">
        <f aca="false">IF(AND(77&gt;=$U$9,N($V$9)&gt;0,77&lt;$U$9+N($V$9)*12,77&lt;=p_MesFin),$O$9*(1-$W$9)/(N($V$9)*12),0)</f>
        <v>84.975029656123</v>
      </c>
      <c r="CF48" s="13" t="n">
        <f aca="false">IF(AND(78&gt;=$U$9,N($V$9)&gt;0,78&lt;$U$9+N($V$9)*12,78&lt;=p_MesFin),$O$9*(1-$W$9)/(N($V$9)*12),0)</f>
        <v>84.975029656123</v>
      </c>
      <c r="CG48" s="13" t="n">
        <f aca="false">IF(AND(79&gt;=$U$9,N($V$9)&gt;0,79&lt;$U$9+N($V$9)*12,79&lt;=p_MesFin),$O$9*(1-$W$9)/(N($V$9)*12),0)</f>
        <v>84.975029656123</v>
      </c>
      <c r="CH48" s="13" t="n">
        <f aca="false">IF(AND(80&gt;=$U$9,N($V$9)&gt;0,80&lt;$U$9+N($V$9)*12,80&lt;=p_MesFin),$O$9*(1-$W$9)/(N($V$9)*12),0)</f>
        <v>84.975029656123</v>
      </c>
      <c r="CI48" s="13" t="n">
        <f aca="false">IF(AND(81&gt;=$U$9,N($V$9)&gt;0,81&lt;$U$9+N($V$9)*12,81&lt;=p_MesFin),$O$9*(1-$W$9)/(N($V$9)*12),0)</f>
        <v>84.975029656123</v>
      </c>
      <c r="CJ48" s="13" t="n">
        <f aca="false">IF(AND(82&gt;=$U$9,N($V$9)&gt;0,82&lt;$U$9+N($V$9)*12,82&lt;=p_MesFin),$O$9*(1-$W$9)/(N($V$9)*12),0)</f>
        <v>84.975029656123</v>
      </c>
      <c r="CK48" s="13" t="n">
        <f aca="false">IF(AND(83&gt;=$U$9,N($V$9)&gt;0,83&lt;$U$9+N($V$9)*12,83&lt;=p_MesFin),$O$9*(1-$W$9)/(N($V$9)*12),0)</f>
        <v>84.975029656123</v>
      </c>
      <c r="CL48" s="13" t="n">
        <f aca="false">IF(AND(84&gt;=$U$9,N($V$9)&gt;0,84&lt;$U$9+N($V$9)*12,84&lt;=p_MesFin),$O$9*(1-$W$9)/(N($V$9)*12),0)</f>
        <v>84.975029656123</v>
      </c>
      <c r="CM48" s="13" t="n">
        <f aca="false">IF(AND(85&gt;=$U$9,N($V$9)&gt;0,85&lt;$U$9+N($V$9)*12,85&lt;=p_MesFin),$O$9*(1-$W$9)/(N($V$9)*12),0)</f>
        <v>84.975029656123</v>
      </c>
      <c r="CN48" s="13" t="n">
        <f aca="false">IF(AND(86&gt;=$U$9,N($V$9)&gt;0,86&lt;$U$9+N($V$9)*12,86&lt;=p_MesFin),$O$9*(1-$W$9)/(N($V$9)*12),0)</f>
        <v>84.975029656123</v>
      </c>
      <c r="CO48" s="13" t="n">
        <f aca="false">IF(AND(87&gt;=$U$9,N($V$9)&gt;0,87&lt;$U$9+N($V$9)*12,87&lt;=p_MesFin),$O$9*(1-$W$9)/(N($V$9)*12),0)</f>
        <v>84.975029656123</v>
      </c>
      <c r="CP48" s="13" t="n">
        <f aca="false">IF(AND(88&gt;=$U$9,N($V$9)&gt;0,88&lt;$U$9+N($V$9)*12,88&lt;=p_MesFin),$O$9*(1-$W$9)/(N($V$9)*12),0)</f>
        <v>84.975029656123</v>
      </c>
      <c r="CQ48" s="13" t="n">
        <f aca="false">IF(AND(89&gt;=$U$9,N($V$9)&gt;0,89&lt;$U$9+N($V$9)*12,89&lt;=p_MesFin),$O$9*(1-$W$9)/(N($V$9)*12),0)</f>
        <v>84.975029656123</v>
      </c>
      <c r="CR48" s="13" t="n">
        <f aca="false">IF(AND(90&gt;=$U$9,N($V$9)&gt;0,90&lt;$U$9+N($V$9)*12,90&lt;=p_MesFin),$O$9*(1-$W$9)/(N($V$9)*12),0)</f>
        <v>84.975029656123</v>
      </c>
      <c r="CS48" s="13" t="n">
        <f aca="false">IF(AND(91&gt;=$U$9,N($V$9)&gt;0,91&lt;$U$9+N($V$9)*12,91&lt;=p_MesFin),$O$9*(1-$W$9)/(N($V$9)*12),0)</f>
        <v>84.975029656123</v>
      </c>
      <c r="CT48" s="13" t="n">
        <f aca="false">IF(AND(92&gt;=$U$9,N($V$9)&gt;0,92&lt;$U$9+N($V$9)*12,92&lt;=p_MesFin),$O$9*(1-$W$9)/(N($V$9)*12),0)</f>
        <v>84.975029656123</v>
      </c>
      <c r="CU48" s="13" t="n">
        <f aca="false">IF(AND(93&gt;=$U$9,N($V$9)&gt;0,93&lt;$U$9+N($V$9)*12,93&lt;=p_MesFin),$O$9*(1-$W$9)/(N($V$9)*12),0)</f>
        <v>84.975029656123</v>
      </c>
      <c r="CV48" s="13" t="n">
        <f aca="false">IF(AND(94&gt;=$U$9,N($V$9)&gt;0,94&lt;$U$9+N($V$9)*12,94&lt;=p_MesFin),$O$9*(1-$W$9)/(N($V$9)*12),0)</f>
        <v>84.975029656123</v>
      </c>
      <c r="CW48" s="13" t="n">
        <f aca="false">IF(AND(95&gt;=$U$9,N($V$9)&gt;0,95&lt;$U$9+N($V$9)*12,95&lt;=p_MesFin),$O$9*(1-$W$9)/(N($V$9)*12),0)</f>
        <v>84.975029656123</v>
      </c>
      <c r="CX48" s="13" t="n">
        <f aca="false">IF(AND(96&gt;=$U$9,N($V$9)&gt;0,96&lt;$U$9+N($V$9)*12,96&lt;=p_MesFin),$O$9*(1-$W$9)/(N($V$9)*12),0)</f>
        <v>84.975029656123</v>
      </c>
      <c r="CY48" s="13" t="n">
        <f aca="false">IF(AND(97&gt;=$U$9,N($V$9)&gt;0,97&lt;$U$9+N($V$9)*12,97&lt;=p_MesFin),$O$9*(1-$W$9)/(N($V$9)*12),0)</f>
        <v>84.975029656123</v>
      </c>
      <c r="CZ48" s="13" t="n">
        <f aca="false">IF(AND(98&gt;=$U$9,N($V$9)&gt;0,98&lt;$U$9+N($V$9)*12,98&lt;=p_MesFin),$O$9*(1-$W$9)/(N($V$9)*12),0)</f>
        <v>84.975029656123</v>
      </c>
      <c r="DA48" s="13" t="n">
        <f aca="false">IF(AND(99&gt;=$U$9,N($V$9)&gt;0,99&lt;$U$9+N($V$9)*12,99&lt;=p_MesFin),$O$9*(1-$W$9)/(N($V$9)*12),0)</f>
        <v>84.975029656123</v>
      </c>
      <c r="DB48" s="13" t="n">
        <f aca="false">IF(AND(100&gt;=$U$9,N($V$9)&gt;0,100&lt;$U$9+N($V$9)*12,100&lt;=p_MesFin),$O$9*(1-$W$9)/(N($V$9)*12),0)</f>
        <v>84.975029656123</v>
      </c>
      <c r="DC48" s="13" t="n">
        <f aca="false">IF(AND(101&gt;=$U$9,N($V$9)&gt;0,101&lt;$U$9+N($V$9)*12,101&lt;=p_MesFin),$O$9*(1-$W$9)/(N($V$9)*12),0)</f>
        <v>84.975029656123</v>
      </c>
      <c r="DD48" s="13" t="n">
        <f aca="false">IF(AND(102&gt;=$U$9,N($V$9)&gt;0,102&lt;$U$9+N($V$9)*12,102&lt;=p_MesFin),$O$9*(1-$W$9)/(N($V$9)*12),0)</f>
        <v>84.975029656123</v>
      </c>
      <c r="DE48" s="13" t="n">
        <f aca="false">IF(AND(103&gt;=$U$9,N($V$9)&gt;0,103&lt;$U$9+N($V$9)*12,103&lt;=p_MesFin),$O$9*(1-$W$9)/(N($V$9)*12),0)</f>
        <v>84.975029656123</v>
      </c>
      <c r="DF48" s="13" t="n">
        <f aca="false">IF(AND(104&gt;=$U$9,N($V$9)&gt;0,104&lt;$U$9+N($V$9)*12,104&lt;=p_MesFin),$O$9*(1-$W$9)/(N($V$9)*12),0)</f>
        <v>84.975029656123</v>
      </c>
      <c r="DG48" s="13" t="n">
        <f aca="false">IF(AND(105&gt;=$U$9,N($V$9)&gt;0,105&lt;$U$9+N($V$9)*12,105&lt;=p_MesFin),$O$9*(1-$W$9)/(N($V$9)*12),0)</f>
        <v>84.975029656123</v>
      </c>
      <c r="DH48" s="13" t="n">
        <f aca="false">IF(AND(106&gt;=$U$9,N($V$9)&gt;0,106&lt;$U$9+N($V$9)*12,106&lt;=p_MesFin),$O$9*(1-$W$9)/(N($V$9)*12),0)</f>
        <v>84.975029656123</v>
      </c>
      <c r="DI48" s="13" t="n">
        <f aca="false">IF(AND(107&gt;=$U$9,N($V$9)&gt;0,107&lt;$U$9+N($V$9)*12,107&lt;=p_MesFin),$O$9*(1-$W$9)/(N($V$9)*12),0)</f>
        <v>84.975029656123</v>
      </c>
      <c r="DJ48" s="13" t="n">
        <f aca="false">IF(AND(108&gt;=$U$9,N($V$9)&gt;0,108&lt;$U$9+N($V$9)*12,108&lt;=p_MesFin),$O$9*(1-$W$9)/(N($V$9)*12),0)</f>
        <v>84.975029656123</v>
      </c>
      <c r="DK48" s="13" t="n">
        <f aca="false">IF(AND(109&gt;=$U$9,N($V$9)&gt;0,109&lt;$U$9+N($V$9)*12,109&lt;=p_MesFin),$O$9*(1-$W$9)/(N($V$9)*12),0)</f>
        <v>84.975029656123</v>
      </c>
      <c r="DL48" s="13" t="n">
        <f aca="false">IF(AND(110&gt;=$U$9,N($V$9)&gt;0,110&lt;$U$9+N($V$9)*12,110&lt;=p_MesFin),$O$9*(1-$W$9)/(N($V$9)*12),0)</f>
        <v>84.975029656123</v>
      </c>
      <c r="DM48" s="13" t="n">
        <f aca="false">IF(AND(111&gt;=$U$9,N($V$9)&gt;0,111&lt;$U$9+N($V$9)*12,111&lt;=p_MesFin),$O$9*(1-$W$9)/(N($V$9)*12),0)</f>
        <v>84.975029656123</v>
      </c>
      <c r="DN48" s="13" t="n">
        <f aca="false">IF(AND(112&gt;=$U$9,N($V$9)&gt;0,112&lt;$U$9+N($V$9)*12,112&lt;=p_MesFin),$O$9*(1-$W$9)/(N($V$9)*12),0)</f>
        <v>84.975029656123</v>
      </c>
      <c r="DO48" s="13" t="n">
        <f aca="false">IF(AND(113&gt;=$U$9,N($V$9)&gt;0,113&lt;$U$9+N($V$9)*12,113&lt;=p_MesFin),$O$9*(1-$W$9)/(N($V$9)*12),0)</f>
        <v>84.975029656123</v>
      </c>
      <c r="DP48" s="13" t="n">
        <f aca="false">IF(AND(114&gt;=$U$9,N($V$9)&gt;0,114&lt;$U$9+N($V$9)*12,114&lt;=p_MesFin),$O$9*(1-$W$9)/(N($V$9)*12),0)</f>
        <v>84.975029656123</v>
      </c>
      <c r="DQ48" s="13" t="n">
        <f aca="false">IF(AND(115&gt;=$U$9,N($V$9)&gt;0,115&lt;$U$9+N($V$9)*12,115&lt;=p_MesFin),$O$9*(1-$W$9)/(N($V$9)*12),0)</f>
        <v>84.975029656123</v>
      </c>
      <c r="DR48" s="13" t="n">
        <f aca="false">IF(AND(116&gt;=$U$9,N($V$9)&gt;0,116&lt;$U$9+N($V$9)*12,116&lt;=p_MesFin),$O$9*(1-$W$9)/(N($V$9)*12),0)</f>
        <v>84.975029656123</v>
      </c>
      <c r="DS48" s="13" t="n">
        <f aca="false">IF(AND(117&gt;=$U$9,N($V$9)&gt;0,117&lt;$U$9+N($V$9)*12,117&lt;=p_MesFin),$O$9*(1-$W$9)/(N($V$9)*12),0)</f>
        <v>84.975029656123</v>
      </c>
      <c r="DT48" s="13" t="n">
        <f aca="false">IF(AND(118&gt;=$U$9,N($V$9)&gt;0,118&lt;$U$9+N($V$9)*12,118&lt;=p_MesFin),$O$9*(1-$W$9)/(N($V$9)*12),0)</f>
        <v>84.975029656123</v>
      </c>
      <c r="DU48" s="13" t="n">
        <f aca="false">IF(AND(119&gt;=$U$9,N($V$9)&gt;0,119&lt;$U$9+N($V$9)*12,119&lt;=p_MesFin),$O$9*(1-$W$9)/(N($V$9)*12),0)</f>
        <v>84.975029656123</v>
      </c>
      <c r="DV48" s="13" t="n">
        <f aca="false">IF(AND(120&gt;=$U$9,N($V$9)&gt;0,120&lt;$U$9+N($V$9)*12,120&lt;=p_MesFin),$O$9*(1-$W$9)/(N($V$9)*12),0)</f>
        <v>84.975029656123</v>
      </c>
      <c r="DW48" s="13" t="n">
        <f aca="false">IF(AND(121&gt;=$U$9,N($V$9)&gt;0,121&lt;$U$9+N($V$9)*12,121&lt;=p_MesFin),$O$9*(1-$W$9)/(N($V$9)*12),0)</f>
        <v>0</v>
      </c>
      <c r="DX48" s="13" t="n">
        <f aca="false">IF(AND(122&gt;=$U$9,N($V$9)&gt;0,122&lt;$U$9+N($V$9)*12,122&lt;=p_MesFin),$O$9*(1-$W$9)/(N($V$9)*12),0)</f>
        <v>0</v>
      </c>
      <c r="DY48" s="13" t="n">
        <f aca="false">IF(AND(123&gt;=$U$9,N($V$9)&gt;0,123&lt;$U$9+N($V$9)*12,123&lt;=p_MesFin),$O$9*(1-$W$9)/(N($V$9)*12),0)</f>
        <v>0</v>
      </c>
      <c r="DZ48" s="13" t="n">
        <f aca="false">IF(AND(124&gt;=$U$9,N($V$9)&gt;0,124&lt;$U$9+N($V$9)*12,124&lt;=p_MesFin),$O$9*(1-$W$9)/(N($V$9)*12),0)</f>
        <v>0</v>
      </c>
      <c r="EA48" s="13" t="n">
        <f aca="false">IF(AND(125&gt;=$U$9,N($V$9)&gt;0,125&lt;$U$9+N($V$9)*12,125&lt;=p_MesFin),$O$9*(1-$W$9)/(N($V$9)*12),0)</f>
        <v>0</v>
      </c>
      <c r="EB48" s="13" t="n">
        <f aca="false">IF(AND(126&gt;=$U$9,N($V$9)&gt;0,126&lt;$U$9+N($V$9)*12,126&lt;=p_MesFin),$O$9*(1-$W$9)/(N($V$9)*12),0)</f>
        <v>0</v>
      </c>
      <c r="EC48" s="13" t="n">
        <f aca="false">IF(AND(127&gt;=$U$9,N($V$9)&gt;0,127&lt;$U$9+N($V$9)*12,127&lt;=p_MesFin),$O$9*(1-$W$9)/(N($V$9)*12),0)</f>
        <v>0</v>
      </c>
      <c r="ED48" s="13" t="n">
        <f aca="false">IF(AND(128&gt;=$U$9,N($V$9)&gt;0,128&lt;$U$9+N($V$9)*12,128&lt;=p_MesFin),$O$9*(1-$W$9)/(N($V$9)*12),0)</f>
        <v>0</v>
      </c>
      <c r="EE48" s="13" t="n">
        <f aca="false">IF(AND(129&gt;=$U$9,N($V$9)&gt;0,129&lt;$U$9+N($V$9)*12,129&lt;=p_MesFin),$O$9*(1-$W$9)/(N($V$9)*12),0)</f>
        <v>0</v>
      </c>
      <c r="EF48" s="13" t="n">
        <f aca="false">IF(AND(130&gt;=$U$9,N($V$9)&gt;0,130&lt;$U$9+N($V$9)*12,130&lt;=p_MesFin),$O$9*(1-$W$9)/(N($V$9)*12),0)</f>
        <v>0</v>
      </c>
      <c r="EG48" s="13" t="n">
        <f aca="false">IF(AND(131&gt;=$U$9,N($V$9)&gt;0,131&lt;$U$9+N($V$9)*12,131&lt;=p_MesFin),$O$9*(1-$W$9)/(N($V$9)*12),0)</f>
        <v>0</v>
      </c>
      <c r="EH48" s="13" t="n">
        <f aca="false">IF(AND(132&gt;=$U$9,N($V$9)&gt;0,132&lt;$U$9+N($V$9)*12,132&lt;=p_MesFin),$O$9*(1-$W$9)/(N($V$9)*12),0)</f>
        <v>0</v>
      </c>
      <c r="EI48" s="13" t="n">
        <f aca="false">IF(AND(133&gt;=$U$9,N($V$9)&gt;0,133&lt;$U$9+N($V$9)*12,133&lt;=p_MesFin),$O$9*(1-$W$9)/(N($V$9)*12),0)</f>
        <v>0</v>
      </c>
      <c r="EJ48" s="13" t="n">
        <f aca="false">IF(AND(134&gt;=$U$9,N($V$9)&gt;0,134&lt;$U$9+N($V$9)*12,134&lt;=p_MesFin),$O$9*(1-$W$9)/(N($V$9)*12),0)</f>
        <v>0</v>
      </c>
      <c r="EK48" s="13" t="n">
        <f aca="false">IF(AND(135&gt;=$U$9,N($V$9)&gt;0,135&lt;$U$9+N($V$9)*12,135&lt;=p_MesFin),$O$9*(1-$W$9)/(N($V$9)*12),0)</f>
        <v>0</v>
      </c>
      <c r="EL48" s="13" t="n">
        <f aca="false">IF(AND(136&gt;=$U$9,N($V$9)&gt;0,136&lt;$U$9+N($V$9)*12,136&lt;=p_MesFin),$O$9*(1-$W$9)/(N($V$9)*12),0)</f>
        <v>0</v>
      </c>
      <c r="EM48" s="13" t="n">
        <f aca="false">IF(AND(137&gt;=$U$9,N($V$9)&gt;0,137&lt;$U$9+N($V$9)*12,137&lt;=p_MesFin),$O$9*(1-$W$9)/(N($V$9)*12),0)</f>
        <v>0</v>
      </c>
      <c r="EN48" s="13" t="n">
        <f aca="false">IF(AND(138&gt;=$U$9,N($V$9)&gt;0,138&lt;$U$9+N($V$9)*12,138&lt;=p_MesFin),$O$9*(1-$W$9)/(N($V$9)*12),0)</f>
        <v>0</v>
      </c>
      <c r="EO48" s="13" t="n">
        <f aca="false">IF(AND(139&gt;=$U$9,N($V$9)&gt;0,139&lt;$U$9+N($V$9)*12,139&lt;=p_MesFin),$O$9*(1-$W$9)/(N($V$9)*12),0)</f>
        <v>0</v>
      </c>
      <c r="EP48" s="13" t="n">
        <f aca="false">IF(AND(140&gt;=$U$9,N($V$9)&gt;0,140&lt;$U$9+N($V$9)*12,140&lt;=p_MesFin),$O$9*(1-$W$9)/(N($V$9)*12),0)</f>
        <v>0</v>
      </c>
      <c r="EQ48" s="13" t="n">
        <f aca="false">IF(AND(141&gt;=$U$9,N($V$9)&gt;0,141&lt;$U$9+N($V$9)*12,141&lt;=p_MesFin),$O$9*(1-$W$9)/(N($V$9)*12),0)</f>
        <v>0</v>
      </c>
      <c r="ER48" s="13" t="n">
        <f aca="false">IF(AND(142&gt;=$U$9,N($V$9)&gt;0,142&lt;$U$9+N($V$9)*12,142&lt;=p_MesFin),$O$9*(1-$W$9)/(N($V$9)*12),0)</f>
        <v>0</v>
      </c>
      <c r="ES48" s="13" t="n">
        <f aca="false">IF(AND(143&gt;=$U$9,N($V$9)&gt;0,143&lt;$U$9+N($V$9)*12,143&lt;=p_MesFin),$O$9*(1-$W$9)/(N($V$9)*12),0)</f>
        <v>0</v>
      </c>
      <c r="ET48" s="13" t="n">
        <f aca="false">IF(AND(144&gt;=$U$9,N($V$9)&gt;0,144&lt;$U$9+N($V$9)*12,144&lt;=p_MesFin),$O$9*(1-$W$9)/(N($V$9)*12),0)</f>
        <v>0</v>
      </c>
      <c r="EU48" s="13" t="n">
        <f aca="false">IF(AND(145&gt;=$U$9,N($V$9)&gt;0,145&lt;$U$9+N($V$9)*12,145&lt;=p_MesFin),$O$9*(1-$W$9)/(N($V$9)*12),0)</f>
        <v>0</v>
      </c>
      <c r="EV48" s="13" t="n">
        <f aca="false">IF(AND(146&gt;=$U$9,N($V$9)&gt;0,146&lt;$U$9+N($V$9)*12,146&lt;=p_MesFin),$O$9*(1-$W$9)/(N($V$9)*12),0)</f>
        <v>0</v>
      </c>
      <c r="EW48" s="13" t="n">
        <f aca="false">IF(AND(147&gt;=$U$9,N($V$9)&gt;0,147&lt;$U$9+N($V$9)*12,147&lt;=p_MesFin),$O$9*(1-$W$9)/(N($V$9)*12),0)</f>
        <v>0</v>
      </c>
      <c r="EX48" s="13" t="n">
        <f aca="false">IF(AND(148&gt;=$U$9,N($V$9)&gt;0,148&lt;$U$9+N($V$9)*12,148&lt;=p_MesFin),$O$9*(1-$W$9)/(N($V$9)*12),0)</f>
        <v>0</v>
      </c>
      <c r="EY48" s="13" t="n">
        <f aca="false">IF(AND(149&gt;=$U$9,N($V$9)&gt;0,149&lt;$U$9+N($V$9)*12,149&lt;=p_MesFin),$O$9*(1-$W$9)/(N($V$9)*12),0)</f>
        <v>0</v>
      </c>
      <c r="EZ48" s="13" t="n">
        <f aca="false">IF(AND(150&gt;=$U$9,N($V$9)&gt;0,150&lt;$U$9+N($V$9)*12,150&lt;=p_MesFin),$O$9*(1-$W$9)/(N($V$9)*12),0)</f>
        <v>0</v>
      </c>
      <c r="FA48" s="13" t="n">
        <f aca="false">IF(AND(151&gt;=$U$9,N($V$9)&gt;0,151&lt;$U$9+N($V$9)*12,151&lt;=p_MesFin),$O$9*(1-$W$9)/(N($V$9)*12),0)</f>
        <v>0</v>
      </c>
      <c r="FB48" s="13" t="n">
        <f aca="false">IF(AND(152&gt;=$U$9,N($V$9)&gt;0,152&lt;$U$9+N($V$9)*12,152&lt;=p_MesFin),$O$9*(1-$W$9)/(N($V$9)*12),0)</f>
        <v>0</v>
      </c>
      <c r="FC48" s="13" t="n">
        <f aca="false">IF(AND(153&gt;=$U$9,N($V$9)&gt;0,153&lt;$U$9+N($V$9)*12,153&lt;=p_MesFin),$O$9*(1-$W$9)/(N($V$9)*12),0)</f>
        <v>0</v>
      </c>
      <c r="FD48" s="13" t="n">
        <f aca="false">IF(AND(154&gt;=$U$9,N($V$9)&gt;0,154&lt;$U$9+N($V$9)*12,154&lt;=p_MesFin),$O$9*(1-$W$9)/(N($V$9)*12),0)</f>
        <v>0</v>
      </c>
      <c r="FE48" s="13" t="n">
        <f aca="false">IF(AND(155&gt;=$U$9,N($V$9)&gt;0,155&lt;$U$9+N($V$9)*12,155&lt;=p_MesFin),$O$9*(1-$W$9)/(N($V$9)*12),0)</f>
        <v>0</v>
      </c>
      <c r="FF48" s="13" t="n">
        <f aca="false">IF(AND(156&gt;=$U$9,N($V$9)&gt;0,156&lt;$U$9+N($V$9)*12,156&lt;=p_MesFin),$O$9*(1-$W$9)/(N($V$9)*12),0)</f>
        <v>0</v>
      </c>
    </row>
    <row r="49" customFormat="false" ht="15" hidden="false" customHeight="false" outlineLevel="0" collapsed="false">
      <c r="A49" s="2" t="s">
        <v>1246</v>
      </c>
      <c r="B49" s="8" t="s">
        <v>1247</v>
      </c>
      <c r="C49" s="8" t="s">
        <v>255</v>
      </c>
      <c r="E49" s="65" t="n">
        <f aca="false">SUM($F49:$FF49)</f>
        <v>151967.07703622</v>
      </c>
      <c r="F49" s="13" t="n">
        <f aca="false">IF(AND(0&gt;=$U$10,N($V$10)&gt;0,0&lt;$U$10+N($V$10)*12,0&lt;=p_MesFin),$O$10*(1-$W$10)/(N($V$10)*12),0)</f>
        <v>0</v>
      </c>
      <c r="G49" s="13" t="n">
        <f aca="false">IF(AND(1&gt;=$U$10,N($V$10)&gt;0,1&lt;$U$10+N($V$10)*12,1&lt;=p_MesFin),$O$10*(1-$W$10)/(N($V$10)*12),0)</f>
        <v>1266.39230863516</v>
      </c>
      <c r="H49" s="13" t="n">
        <f aca="false">IF(AND(2&gt;=$U$10,N($V$10)&gt;0,2&lt;$U$10+N($V$10)*12,2&lt;=p_MesFin),$O$10*(1-$W$10)/(N($V$10)*12),0)</f>
        <v>1266.39230863516</v>
      </c>
      <c r="I49" s="13" t="n">
        <f aca="false">IF(AND(3&gt;=$U$10,N($V$10)&gt;0,3&lt;$U$10+N($V$10)*12,3&lt;=p_MesFin),$O$10*(1-$W$10)/(N($V$10)*12),0)</f>
        <v>1266.39230863516</v>
      </c>
      <c r="J49" s="13" t="n">
        <f aca="false">IF(AND(4&gt;=$U$10,N($V$10)&gt;0,4&lt;$U$10+N($V$10)*12,4&lt;=p_MesFin),$O$10*(1-$W$10)/(N($V$10)*12),0)</f>
        <v>1266.39230863516</v>
      </c>
      <c r="K49" s="13" t="n">
        <f aca="false">IF(AND(5&gt;=$U$10,N($V$10)&gt;0,5&lt;$U$10+N($V$10)*12,5&lt;=p_MesFin),$O$10*(1-$W$10)/(N($V$10)*12),0)</f>
        <v>1266.39230863516</v>
      </c>
      <c r="L49" s="13" t="n">
        <f aca="false">IF(AND(6&gt;=$U$10,N($V$10)&gt;0,6&lt;$U$10+N($V$10)*12,6&lt;=p_MesFin),$O$10*(1-$W$10)/(N($V$10)*12),0)</f>
        <v>1266.39230863516</v>
      </c>
      <c r="M49" s="13" t="n">
        <f aca="false">IF(AND(7&gt;=$U$10,N($V$10)&gt;0,7&lt;$U$10+N($V$10)*12,7&lt;=p_MesFin),$O$10*(1-$W$10)/(N($V$10)*12),0)</f>
        <v>1266.39230863516</v>
      </c>
      <c r="N49" s="13" t="n">
        <f aca="false">IF(AND(8&gt;=$U$10,N($V$10)&gt;0,8&lt;$U$10+N($V$10)*12,8&lt;=p_MesFin),$O$10*(1-$W$10)/(N($V$10)*12),0)</f>
        <v>1266.39230863516</v>
      </c>
      <c r="O49" s="13" t="n">
        <f aca="false">IF(AND(9&gt;=$U$10,N($V$10)&gt;0,9&lt;$U$10+N($V$10)*12,9&lt;=p_MesFin),$O$10*(1-$W$10)/(N($V$10)*12),0)</f>
        <v>1266.39230863516</v>
      </c>
      <c r="P49" s="13" t="n">
        <f aca="false">IF(AND(10&gt;=$U$10,N($V$10)&gt;0,10&lt;$U$10+N($V$10)*12,10&lt;=p_MesFin),$O$10*(1-$W$10)/(N($V$10)*12),0)</f>
        <v>1266.39230863516</v>
      </c>
      <c r="Q49" s="13" t="n">
        <f aca="false">IF(AND(11&gt;=$U$10,N($V$10)&gt;0,11&lt;$U$10+N($V$10)*12,11&lt;=p_MesFin),$O$10*(1-$W$10)/(N($V$10)*12),0)</f>
        <v>1266.39230863516</v>
      </c>
      <c r="R49" s="13" t="n">
        <f aca="false">IF(AND(12&gt;=$U$10,N($V$10)&gt;0,12&lt;$U$10+N($V$10)*12,12&lt;=p_MesFin),$O$10*(1-$W$10)/(N($V$10)*12),0)</f>
        <v>1266.39230863516</v>
      </c>
      <c r="S49" s="13" t="n">
        <f aca="false">IF(AND(13&gt;=$U$10,N($V$10)&gt;0,13&lt;$U$10+N($V$10)*12,13&lt;=p_MesFin),$O$10*(1-$W$10)/(N($V$10)*12),0)</f>
        <v>1266.39230863516</v>
      </c>
      <c r="T49" s="13" t="n">
        <f aca="false">IF(AND(14&gt;=$U$10,N($V$10)&gt;0,14&lt;$U$10+N($V$10)*12,14&lt;=p_MesFin),$O$10*(1-$W$10)/(N($V$10)*12),0)</f>
        <v>1266.39230863516</v>
      </c>
      <c r="U49" s="13" t="n">
        <f aca="false">IF(AND(15&gt;=$U$10,N($V$10)&gt;0,15&lt;$U$10+N($V$10)*12,15&lt;=p_MesFin),$O$10*(1-$W$10)/(N($V$10)*12),0)</f>
        <v>1266.39230863516</v>
      </c>
      <c r="V49" s="13" t="n">
        <f aca="false">IF(AND(16&gt;=$U$10,N($V$10)&gt;0,16&lt;$U$10+N($V$10)*12,16&lt;=p_MesFin),$O$10*(1-$W$10)/(N($V$10)*12),0)</f>
        <v>1266.39230863516</v>
      </c>
      <c r="W49" s="13" t="n">
        <f aca="false">IF(AND(17&gt;=$U$10,N($V$10)&gt;0,17&lt;$U$10+N($V$10)*12,17&lt;=p_MesFin),$O$10*(1-$W$10)/(N($V$10)*12),0)</f>
        <v>1266.39230863516</v>
      </c>
      <c r="X49" s="13" t="n">
        <f aca="false">IF(AND(18&gt;=$U$10,N($V$10)&gt;0,18&lt;$U$10+N($V$10)*12,18&lt;=p_MesFin),$O$10*(1-$W$10)/(N($V$10)*12),0)</f>
        <v>1266.39230863516</v>
      </c>
      <c r="Y49" s="13" t="n">
        <f aca="false">IF(AND(19&gt;=$U$10,N($V$10)&gt;0,19&lt;$U$10+N($V$10)*12,19&lt;=p_MesFin),$O$10*(1-$W$10)/(N($V$10)*12),0)</f>
        <v>1266.39230863516</v>
      </c>
      <c r="Z49" s="13" t="n">
        <f aca="false">IF(AND(20&gt;=$U$10,N($V$10)&gt;0,20&lt;$U$10+N($V$10)*12,20&lt;=p_MesFin),$O$10*(1-$W$10)/(N($V$10)*12),0)</f>
        <v>1266.39230863516</v>
      </c>
      <c r="AA49" s="13" t="n">
        <f aca="false">IF(AND(21&gt;=$U$10,N($V$10)&gt;0,21&lt;$U$10+N($V$10)*12,21&lt;=p_MesFin),$O$10*(1-$W$10)/(N($V$10)*12),0)</f>
        <v>1266.39230863516</v>
      </c>
      <c r="AB49" s="13" t="n">
        <f aca="false">IF(AND(22&gt;=$U$10,N($V$10)&gt;0,22&lt;$U$10+N($V$10)*12,22&lt;=p_MesFin),$O$10*(1-$W$10)/(N($V$10)*12),0)</f>
        <v>1266.39230863516</v>
      </c>
      <c r="AC49" s="13" t="n">
        <f aca="false">IF(AND(23&gt;=$U$10,N($V$10)&gt;0,23&lt;$U$10+N($V$10)*12,23&lt;=p_MesFin),$O$10*(1-$W$10)/(N($V$10)*12),0)</f>
        <v>1266.39230863516</v>
      </c>
      <c r="AD49" s="13" t="n">
        <f aca="false">IF(AND(24&gt;=$U$10,N($V$10)&gt;0,24&lt;$U$10+N($V$10)*12,24&lt;=p_MesFin),$O$10*(1-$W$10)/(N($V$10)*12),0)</f>
        <v>1266.39230863516</v>
      </c>
      <c r="AE49" s="13" t="n">
        <f aca="false">IF(AND(25&gt;=$U$10,N($V$10)&gt;0,25&lt;$U$10+N($V$10)*12,25&lt;=p_MesFin),$O$10*(1-$W$10)/(N($V$10)*12),0)</f>
        <v>1266.39230863516</v>
      </c>
      <c r="AF49" s="13" t="n">
        <f aca="false">IF(AND(26&gt;=$U$10,N($V$10)&gt;0,26&lt;$U$10+N($V$10)*12,26&lt;=p_MesFin),$O$10*(1-$W$10)/(N($V$10)*12),0)</f>
        <v>1266.39230863516</v>
      </c>
      <c r="AG49" s="13" t="n">
        <f aca="false">IF(AND(27&gt;=$U$10,N($V$10)&gt;0,27&lt;$U$10+N($V$10)*12,27&lt;=p_MesFin),$O$10*(1-$W$10)/(N($V$10)*12),0)</f>
        <v>1266.39230863516</v>
      </c>
      <c r="AH49" s="13" t="n">
        <f aca="false">IF(AND(28&gt;=$U$10,N($V$10)&gt;0,28&lt;$U$10+N($V$10)*12,28&lt;=p_MesFin),$O$10*(1-$W$10)/(N($V$10)*12),0)</f>
        <v>1266.39230863516</v>
      </c>
      <c r="AI49" s="13" t="n">
        <f aca="false">IF(AND(29&gt;=$U$10,N($V$10)&gt;0,29&lt;$U$10+N($V$10)*12,29&lt;=p_MesFin),$O$10*(1-$W$10)/(N($V$10)*12),0)</f>
        <v>1266.39230863516</v>
      </c>
      <c r="AJ49" s="13" t="n">
        <f aca="false">IF(AND(30&gt;=$U$10,N($V$10)&gt;0,30&lt;$U$10+N($V$10)*12,30&lt;=p_MesFin),$O$10*(1-$W$10)/(N($V$10)*12),0)</f>
        <v>1266.39230863516</v>
      </c>
      <c r="AK49" s="13" t="n">
        <f aca="false">IF(AND(31&gt;=$U$10,N($V$10)&gt;0,31&lt;$U$10+N($V$10)*12,31&lt;=p_MesFin),$O$10*(1-$W$10)/(N($V$10)*12),0)</f>
        <v>1266.39230863516</v>
      </c>
      <c r="AL49" s="13" t="n">
        <f aca="false">IF(AND(32&gt;=$U$10,N($V$10)&gt;0,32&lt;$U$10+N($V$10)*12,32&lt;=p_MesFin),$O$10*(1-$W$10)/(N($V$10)*12),0)</f>
        <v>1266.39230863516</v>
      </c>
      <c r="AM49" s="13" t="n">
        <f aca="false">IF(AND(33&gt;=$U$10,N($V$10)&gt;0,33&lt;$U$10+N($V$10)*12,33&lt;=p_MesFin),$O$10*(1-$W$10)/(N($V$10)*12),0)</f>
        <v>1266.39230863516</v>
      </c>
      <c r="AN49" s="13" t="n">
        <f aca="false">IF(AND(34&gt;=$U$10,N($V$10)&gt;0,34&lt;$U$10+N($V$10)*12,34&lt;=p_MesFin),$O$10*(1-$W$10)/(N($V$10)*12),0)</f>
        <v>1266.39230863516</v>
      </c>
      <c r="AO49" s="13" t="n">
        <f aca="false">IF(AND(35&gt;=$U$10,N($V$10)&gt;0,35&lt;$U$10+N($V$10)*12,35&lt;=p_MesFin),$O$10*(1-$W$10)/(N($V$10)*12),0)</f>
        <v>1266.39230863516</v>
      </c>
      <c r="AP49" s="13" t="n">
        <f aca="false">IF(AND(36&gt;=$U$10,N($V$10)&gt;0,36&lt;$U$10+N($V$10)*12,36&lt;=p_MesFin),$O$10*(1-$W$10)/(N($V$10)*12),0)</f>
        <v>1266.39230863516</v>
      </c>
      <c r="AQ49" s="13" t="n">
        <f aca="false">IF(AND(37&gt;=$U$10,N($V$10)&gt;0,37&lt;$U$10+N($V$10)*12,37&lt;=p_MesFin),$O$10*(1-$W$10)/(N($V$10)*12),0)</f>
        <v>1266.39230863516</v>
      </c>
      <c r="AR49" s="13" t="n">
        <f aca="false">IF(AND(38&gt;=$U$10,N($V$10)&gt;0,38&lt;$U$10+N($V$10)*12,38&lt;=p_MesFin),$O$10*(1-$W$10)/(N($V$10)*12),0)</f>
        <v>1266.39230863516</v>
      </c>
      <c r="AS49" s="13" t="n">
        <f aca="false">IF(AND(39&gt;=$U$10,N($V$10)&gt;0,39&lt;$U$10+N($V$10)*12,39&lt;=p_MesFin),$O$10*(1-$W$10)/(N($V$10)*12),0)</f>
        <v>1266.39230863516</v>
      </c>
      <c r="AT49" s="13" t="n">
        <f aca="false">IF(AND(40&gt;=$U$10,N($V$10)&gt;0,40&lt;$U$10+N($V$10)*12,40&lt;=p_MesFin),$O$10*(1-$W$10)/(N($V$10)*12),0)</f>
        <v>1266.39230863516</v>
      </c>
      <c r="AU49" s="13" t="n">
        <f aca="false">IF(AND(41&gt;=$U$10,N($V$10)&gt;0,41&lt;$U$10+N($V$10)*12,41&lt;=p_MesFin),$O$10*(1-$W$10)/(N($V$10)*12),0)</f>
        <v>1266.39230863516</v>
      </c>
      <c r="AV49" s="13" t="n">
        <f aca="false">IF(AND(42&gt;=$U$10,N($V$10)&gt;0,42&lt;$U$10+N($V$10)*12,42&lt;=p_MesFin),$O$10*(1-$W$10)/(N($V$10)*12),0)</f>
        <v>1266.39230863516</v>
      </c>
      <c r="AW49" s="13" t="n">
        <f aca="false">IF(AND(43&gt;=$U$10,N($V$10)&gt;0,43&lt;$U$10+N($V$10)*12,43&lt;=p_MesFin),$O$10*(1-$W$10)/(N($V$10)*12),0)</f>
        <v>1266.39230863516</v>
      </c>
      <c r="AX49" s="13" t="n">
        <f aca="false">IF(AND(44&gt;=$U$10,N($V$10)&gt;0,44&lt;$U$10+N($V$10)*12,44&lt;=p_MesFin),$O$10*(1-$W$10)/(N($V$10)*12),0)</f>
        <v>1266.39230863516</v>
      </c>
      <c r="AY49" s="13" t="n">
        <f aca="false">IF(AND(45&gt;=$U$10,N($V$10)&gt;0,45&lt;$U$10+N($V$10)*12,45&lt;=p_MesFin),$O$10*(1-$W$10)/(N($V$10)*12),0)</f>
        <v>1266.39230863516</v>
      </c>
      <c r="AZ49" s="13" t="n">
        <f aca="false">IF(AND(46&gt;=$U$10,N($V$10)&gt;0,46&lt;$U$10+N($V$10)*12,46&lt;=p_MesFin),$O$10*(1-$W$10)/(N($V$10)*12),0)</f>
        <v>1266.39230863516</v>
      </c>
      <c r="BA49" s="13" t="n">
        <f aca="false">IF(AND(47&gt;=$U$10,N($V$10)&gt;0,47&lt;$U$10+N($V$10)*12,47&lt;=p_MesFin),$O$10*(1-$W$10)/(N($V$10)*12),0)</f>
        <v>1266.39230863516</v>
      </c>
      <c r="BB49" s="13" t="n">
        <f aca="false">IF(AND(48&gt;=$U$10,N($V$10)&gt;0,48&lt;$U$10+N($V$10)*12,48&lt;=p_MesFin),$O$10*(1-$W$10)/(N($V$10)*12),0)</f>
        <v>1266.39230863516</v>
      </c>
      <c r="BC49" s="13" t="n">
        <f aca="false">IF(AND(49&gt;=$U$10,N($V$10)&gt;0,49&lt;$U$10+N($V$10)*12,49&lt;=p_MesFin),$O$10*(1-$W$10)/(N($V$10)*12),0)</f>
        <v>1266.39230863516</v>
      </c>
      <c r="BD49" s="13" t="n">
        <f aca="false">IF(AND(50&gt;=$U$10,N($V$10)&gt;0,50&lt;$U$10+N($V$10)*12,50&lt;=p_MesFin),$O$10*(1-$W$10)/(N($V$10)*12),0)</f>
        <v>1266.39230863516</v>
      </c>
      <c r="BE49" s="13" t="n">
        <f aca="false">IF(AND(51&gt;=$U$10,N($V$10)&gt;0,51&lt;$U$10+N($V$10)*12,51&lt;=p_MesFin),$O$10*(1-$W$10)/(N($V$10)*12),0)</f>
        <v>1266.39230863516</v>
      </c>
      <c r="BF49" s="13" t="n">
        <f aca="false">IF(AND(52&gt;=$U$10,N($V$10)&gt;0,52&lt;$U$10+N($V$10)*12,52&lt;=p_MesFin),$O$10*(1-$W$10)/(N($V$10)*12),0)</f>
        <v>1266.39230863516</v>
      </c>
      <c r="BG49" s="13" t="n">
        <f aca="false">IF(AND(53&gt;=$U$10,N($V$10)&gt;0,53&lt;$U$10+N($V$10)*12,53&lt;=p_MesFin),$O$10*(1-$W$10)/(N($V$10)*12),0)</f>
        <v>1266.39230863516</v>
      </c>
      <c r="BH49" s="13" t="n">
        <f aca="false">IF(AND(54&gt;=$U$10,N($V$10)&gt;0,54&lt;$U$10+N($V$10)*12,54&lt;=p_MesFin),$O$10*(1-$W$10)/(N($V$10)*12),0)</f>
        <v>1266.39230863516</v>
      </c>
      <c r="BI49" s="13" t="n">
        <f aca="false">IF(AND(55&gt;=$U$10,N($V$10)&gt;0,55&lt;$U$10+N($V$10)*12,55&lt;=p_MesFin),$O$10*(1-$W$10)/(N($V$10)*12),0)</f>
        <v>1266.39230863516</v>
      </c>
      <c r="BJ49" s="13" t="n">
        <f aca="false">IF(AND(56&gt;=$U$10,N($V$10)&gt;0,56&lt;$U$10+N($V$10)*12,56&lt;=p_MesFin),$O$10*(1-$W$10)/(N($V$10)*12),0)</f>
        <v>1266.39230863516</v>
      </c>
      <c r="BK49" s="13" t="n">
        <f aca="false">IF(AND(57&gt;=$U$10,N($V$10)&gt;0,57&lt;$U$10+N($V$10)*12,57&lt;=p_MesFin),$O$10*(1-$W$10)/(N($V$10)*12),0)</f>
        <v>1266.39230863516</v>
      </c>
      <c r="BL49" s="13" t="n">
        <f aca="false">IF(AND(58&gt;=$U$10,N($V$10)&gt;0,58&lt;$U$10+N($V$10)*12,58&lt;=p_MesFin),$O$10*(1-$W$10)/(N($V$10)*12),0)</f>
        <v>1266.39230863516</v>
      </c>
      <c r="BM49" s="13" t="n">
        <f aca="false">IF(AND(59&gt;=$U$10,N($V$10)&gt;0,59&lt;$U$10+N($V$10)*12,59&lt;=p_MesFin),$O$10*(1-$W$10)/(N($V$10)*12),0)</f>
        <v>1266.39230863516</v>
      </c>
      <c r="BN49" s="13" t="n">
        <f aca="false">IF(AND(60&gt;=$U$10,N($V$10)&gt;0,60&lt;$U$10+N($V$10)*12,60&lt;=p_MesFin),$O$10*(1-$W$10)/(N($V$10)*12),0)</f>
        <v>1266.39230863516</v>
      </c>
      <c r="BO49" s="13" t="n">
        <f aca="false">IF(AND(61&gt;=$U$10,N($V$10)&gt;0,61&lt;$U$10+N($V$10)*12,61&lt;=p_MesFin),$O$10*(1-$W$10)/(N($V$10)*12),0)</f>
        <v>1266.39230863516</v>
      </c>
      <c r="BP49" s="13" t="n">
        <f aca="false">IF(AND(62&gt;=$U$10,N($V$10)&gt;0,62&lt;$U$10+N($V$10)*12,62&lt;=p_MesFin),$O$10*(1-$W$10)/(N($V$10)*12),0)</f>
        <v>1266.39230863516</v>
      </c>
      <c r="BQ49" s="13" t="n">
        <f aca="false">IF(AND(63&gt;=$U$10,N($V$10)&gt;0,63&lt;$U$10+N($V$10)*12,63&lt;=p_MesFin),$O$10*(1-$W$10)/(N($V$10)*12),0)</f>
        <v>1266.39230863516</v>
      </c>
      <c r="BR49" s="13" t="n">
        <f aca="false">IF(AND(64&gt;=$U$10,N($V$10)&gt;0,64&lt;$U$10+N($V$10)*12,64&lt;=p_MesFin),$O$10*(1-$W$10)/(N($V$10)*12),0)</f>
        <v>1266.39230863516</v>
      </c>
      <c r="BS49" s="13" t="n">
        <f aca="false">IF(AND(65&gt;=$U$10,N($V$10)&gt;0,65&lt;$U$10+N($V$10)*12,65&lt;=p_MesFin),$O$10*(1-$W$10)/(N($V$10)*12),0)</f>
        <v>1266.39230863516</v>
      </c>
      <c r="BT49" s="13" t="n">
        <f aca="false">IF(AND(66&gt;=$U$10,N($V$10)&gt;0,66&lt;$U$10+N($V$10)*12,66&lt;=p_MesFin),$O$10*(1-$W$10)/(N($V$10)*12),0)</f>
        <v>1266.39230863516</v>
      </c>
      <c r="BU49" s="13" t="n">
        <f aca="false">IF(AND(67&gt;=$U$10,N($V$10)&gt;0,67&lt;$U$10+N($V$10)*12,67&lt;=p_MesFin),$O$10*(1-$W$10)/(N($V$10)*12),0)</f>
        <v>1266.39230863516</v>
      </c>
      <c r="BV49" s="13" t="n">
        <f aca="false">IF(AND(68&gt;=$U$10,N($V$10)&gt;0,68&lt;$U$10+N($V$10)*12,68&lt;=p_MesFin),$O$10*(1-$W$10)/(N($V$10)*12),0)</f>
        <v>1266.39230863516</v>
      </c>
      <c r="BW49" s="13" t="n">
        <f aca="false">IF(AND(69&gt;=$U$10,N($V$10)&gt;0,69&lt;$U$10+N($V$10)*12,69&lt;=p_MesFin),$O$10*(1-$W$10)/(N($V$10)*12),0)</f>
        <v>1266.39230863516</v>
      </c>
      <c r="BX49" s="13" t="n">
        <f aca="false">IF(AND(70&gt;=$U$10,N($V$10)&gt;0,70&lt;$U$10+N($V$10)*12,70&lt;=p_MesFin),$O$10*(1-$W$10)/(N($V$10)*12),0)</f>
        <v>1266.39230863516</v>
      </c>
      <c r="BY49" s="13" t="n">
        <f aca="false">IF(AND(71&gt;=$U$10,N($V$10)&gt;0,71&lt;$U$10+N($V$10)*12,71&lt;=p_MesFin),$O$10*(1-$W$10)/(N($V$10)*12),0)</f>
        <v>1266.39230863516</v>
      </c>
      <c r="BZ49" s="13" t="n">
        <f aca="false">IF(AND(72&gt;=$U$10,N($V$10)&gt;0,72&lt;$U$10+N($V$10)*12,72&lt;=p_MesFin),$O$10*(1-$W$10)/(N($V$10)*12),0)</f>
        <v>1266.39230863516</v>
      </c>
      <c r="CA49" s="13" t="n">
        <f aca="false">IF(AND(73&gt;=$U$10,N($V$10)&gt;0,73&lt;$U$10+N($V$10)*12,73&lt;=p_MesFin),$O$10*(1-$W$10)/(N($V$10)*12),0)</f>
        <v>1266.39230863516</v>
      </c>
      <c r="CB49" s="13" t="n">
        <f aca="false">IF(AND(74&gt;=$U$10,N($V$10)&gt;0,74&lt;$U$10+N($V$10)*12,74&lt;=p_MesFin),$O$10*(1-$W$10)/(N($V$10)*12),0)</f>
        <v>1266.39230863516</v>
      </c>
      <c r="CC49" s="13" t="n">
        <f aca="false">IF(AND(75&gt;=$U$10,N($V$10)&gt;0,75&lt;$U$10+N($V$10)*12,75&lt;=p_MesFin),$O$10*(1-$W$10)/(N($V$10)*12),0)</f>
        <v>1266.39230863516</v>
      </c>
      <c r="CD49" s="13" t="n">
        <f aca="false">IF(AND(76&gt;=$U$10,N($V$10)&gt;0,76&lt;$U$10+N($V$10)*12,76&lt;=p_MesFin),$O$10*(1-$W$10)/(N($V$10)*12),0)</f>
        <v>1266.39230863516</v>
      </c>
      <c r="CE49" s="13" t="n">
        <f aca="false">IF(AND(77&gt;=$U$10,N($V$10)&gt;0,77&lt;$U$10+N($V$10)*12,77&lt;=p_MesFin),$O$10*(1-$W$10)/(N($V$10)*12),0)</f>
        <v>1266.39230863516</v>
      </c>
      <c r="CF49" s="13" t="n">
        <f aca="false">IF(AND(78&gt;=$U$10,N($V$10)&gt;0,78&lt;$U$10+N($V$10)*12,78&lt;=p_MesFin),$O$10*(1-$W$10)/(N($V$10)*12),0)</f>
        <v>1266.39230863516</v>
      </c>
      <c r="CG49" s="13" t="n">
        <f aca="false">IF(AND(79&gt;=$U$10,N($V$10)&gt;0,79&lt;$U$10+N($V$10)*12,79&lt;=p_MesFin),$O$10*(1-$W$10)/(N($V$10)*12),0)</f>
        <v>1266.39230863516</v>
      </c>
      <c r="CH49" s="13" t="n">
        <f aca="false">IF(AND(80&gt;=$U$10,N($V$10)&gt;0,80&lt;$U$10+N($V$10)*12,80&lt;=p_MesFin),$O$10*(1-$W$10)/(N($V$10)*12),0)</f>
        <v>1266.39230863516</v>
      </c>
      <c r="CI49" s="13" t="n">
        <f aca="false">IF(AND(81&gt;=$U$10,N($V$10)&gt;0,81&lt;$U$10+N($V$10)*12,81&lt;=p_MesFin),$O$10*(1-$W$10)/(N($V$10)*12),0)</f>
        <v>1266.39230863516</v>
      </c>
      <c r="CJ49" s="13" t="n">
        <f aca="false">IF(AND(82&gt;=$U$10,N($V$10)&gt;0,82&lt;$U$10+N($V$10)*12,82&lt;=p_MesFin),$O$10*(1-$W$10)/(N($V$10)*12),0)</f>
        <v>1266.39230863516</v>
      </c>
      <c r="CK49" s="13" t="n">
        <f aca="false">IF(AND(83&gt;=$U$10,N($V$10)&gt;0,83&lt;$U$10+N($V$10)*12,83&lt;=p_MesFin),$O$10*(1-$W$10)/(N($V$10)*12),0)</f>
        <v>1266.39230863516</v>
      </c>
      <c r="CL49" s="13" t="n">
        <f aca="false">IF(AND(84&gt;=$U$10,N($V$10)&gt;0,84&lt;$U$10+N($V$10)*12,84&lt;=p_MesFin),$O$10*(1-$W$10)/(N($V$10)*12),0)</f>
        <v>1266.39230863516</v>
      </c>
      <c r="CM49" s="13" t="n">
        <f aca="false">IF(AND(85&gt;=$U$10,N($V$10)&gt;0,85&lt;$U$10+N($V$10)*12,85&lt;=p_MesFin),$O$10*(1-$W$10)/(N($V$10)*12),0)</f>
        <v>1266.39230863516</v>
      </c>
      <c r="CN49" s="13" t="n">
        <f aca="false">IF(AND(86&gt;=$U$10,N($V$10)&gt;0,86&lt;$U$10+N($V$10)*12,86&lt;=p_MesFin),$O$10*(1-$W$10)/(N($V$10)*12),0)</f>
        <v>1266.39230863516</v>
      </c>
      <c r="CO49" s="13" t="n">
        <f aca="false">IF(AND(87&gt;=$U$10,N($V$10)&gt;0,87&lt;$U$10+N($V$10)*12,87&lt;=p_MesFin),$O$10*(1-$W$10)/(N($V$10)*12),0)</f>
        <v>1266.39230863516</v>
      </c>
      <c r="CP49" s="13" t="n">
        <f aca="false">IF(AND(88&gt;=$U$10,N($V$10)&gt;0,88&lt;$U$10+N($V$10)*12,88&lt;=p_MesFin),$O$10*(1-$W$10)/(N($V$10)*12),0)</f>
        <v>1266.39230863516</v>
      </c>
      <c r="CQ49" s="13" t="n">
        <f aca="false">IF(AND(89&gt;=$U$10,N($V$10)&gt;0,89&lt;$U$10+N($V$10)*12,89&lt;=p_MesFin),$O$10*(1-$W$10)/(N($V$10)*12),0)</f>
        <v>1266.39230863516</v>
      </c>
      <c r="CR49" s="13" t="n">
        <f aca="false">IF(AND(90&gt;=$U$10,N($V$10)&gt;0,90&lt;$U$10+N($V$10)*12,90&lt;=p_MesFin),$O$10*(1-$W$10)/(N($V$10)*12),0)</f>
        <v>1266.39230863516</v>
      </c>
      <c r="CS49" s="13" t="n">
        <f aca="false">IF(AND(91&gt;=$U$10,N($V$10)&gt;0,91&lt;$U$10+N($V$10)*12,91&lt;=p_MesFin),$O$10*(1-$W$10)/(N($V$10)*12),0)</f>
        <v>1266.39230863516</v>
      </c>
      <c r="CT49" s="13" t="n">
        <f aca="false">IF(AND(92&gt;=$U$10,N($V$10)&gt;0,92&lt;$U$10+N($V$10)*12,92&lt;=p_MesFin),$O$10*(1-$W$10)/(N($V$10)*12),0)</f>
        <v>1266.39230863516</v>
      </c>
      <c r="CU49" s="13" t="n">
        <f aca="false">IF(AND(93&gt;=$U$10,N($V$10)&gt;0,93&lt;$U$10+N($V$10)*12,93&lt;=p_MesFin),$O$10*(1-$W$10)/(N($V$10)*12),0)</f>
        <v>1266.39230863516</v>
      </c>
      <c r="CV49" s="13" t="n">
        <f aca="false">IF(AND(94&gt;=$U$10,N($V$10)&gt;0,94&lt;$U$10+N($V$10)*12,94&lt;=p_MesFin),$O$10*(1-$W$10)/(N($V$10)*12),0)</f>
        <v>1266.39230863516</v>
      </c>
      <c r="CW49" s="13" t="n">
        <f aca="false">IF(AND(95&gt;=$U$10,N($V$10)&gt;0,95&lt;$U$10+N($V$10)*12,95&lt;=p_MesFin),$O$10*(1-$W$10)/(N($V$10)*12),0)</f>
        <v>1266.39230863516</v>
      </c>
      <c r="CX49" s="13" t="n">
        <f aca="false">IF(AND(96&gt;=$U$10,N($V$10)&gt;0,96&lt;$U$10+N($V$10)*12,96&lt;=p_MesFin),$O$10*(1-$W$10)/(N($V$10)*12),0)</f>
        <v>1266.39230863516</v>
      </c>
      <c r="CY49" s="13" t="n">
        <f aca="false">IF(AND(97&gt;=$U$10,N($V$10)&gt;0,97&lt;$U$10+N($V$10)*12,97&lt;=p_MesFin),$O$10*(1-$W$10)/(N($V$10)*12),0)</f>
        <v>1266.39230863516</v>
      </c>
      <c r="CZ49" s="13" t="n">
        <f aca="false">IF(AND(98&gt;=$U$10,N($V$10)&gt;0,98&lt;$U$10+N($V$10)*12,98&lt;=p_MesFin),$O$10*(1-$W$10)/(N($V$10)*12),0)</f>
        <v>1266.39230863516</v>
      </c>
      <c r="DA49" s="13" t="n">
        <f aca="false">IF(AND(99&gt;=$U$10,N($V$10)&gt;0,99&lt;$U$10+N($V$10)*12,99&lt;=p_MesFin),$O$10*(1-$W$10)/(N($V$10)*12),0)</f>
        <v>1266.39230863516</v>
      </c>
      <c r="DB49" s="13" t="n">
        <f aca="false">IF(AND(100&gt;=$U$10,N($V$10)&gt;0,100&lt;$U$10+N($V$10)*12,100&lt;=p_MesFin),$O$10*(1-$W$10)/(N($V$10)*12),0)</f>
        <v>1266.39230863516</v>
      </c>
      <c r="DC49" s="13" t="n">
        <f aca="false">IF(AND(101&gt;=$U$10,N($V$10)&gt;0,101&lt;$U$10+N($V$10)*12,101&lt;=p_MesFin),$O$10*(1-$W$10)/(N($V$10)*12),0)</f>
        <v>1266.39230863516</v>
      </c>
      <c r="DD49" s="13" t="n">
        <f aca="false">IF(AND(102&gt;=$U$10,N($V$10)&gt;0,102&lt;$U$10+N($V$10)*12,102&lt;=p_MesFin),$O$10*(1-$W$10)/(N($V$10)*12),0)</f>
        <v>1266.39230863516</v>
      </c>
      <c r="DE49" s="13" t="n">
        <f aca="false">IF(AND(103&gt;=$U$10,N($V$10)&gt;0,103&lt;$U$10+N($V$10)*12,103&lt;=p_MesFin),$O$10*(1-$W$10)/(N($V$10)*12),0)</f>
        <v>1266.39230863516</v>
      </c>
      <c r="DF49" s="13" t="n">
        <f aca="false">IF(AND(104&gt;=$U$10,N($V$10)&gt;0,104&lt;$U$10+N($V$10)*12,104&lt;=p_MesFin),$O$10*(1-$W$10)/(N($V$10)*12),0)</f>
        <v>1266.39230863516</v>
      </c>
      <c r="DG49" s="13" t="n">
        <f aca="false">IF(AND(105&gt;=$U$10,N($V$10)&gt;0,105&lt;$U$10+N($V$10)*12,105&lt;=p_MesFin),$O$10*(1-$W$10)/(N($V$10)*12),0)</f>
        <v>1266.39230863516</v>
      </c>
      <c r="DH49" s="13" t="n">
        <f aca="false">IF(AND(106&gt;=$U$10,N($V$10)&gt;0,106&lt;$U$10+N($V$10)*12,106&lt;=p_MesFin),$O$10*(1-$W$10)/(N($V$10)*12),0)</f>
        <v>1266.39230863516</v>
      </c>
      <c r="DI49" s="13" t="n">
        <f aca="false">IF(AND(107&gt;=$U$10,N($V$10)&gt;0,107&lt;$U$10+N($V$10)*12,107&lt;=p_MesFin),$O$10*(1-$W$10)/(N($V$10)*12),0)</f>
        <v>1266.39230863516</v>
      </c>
      <c r="DJ49" s="13" t="n">
        <f aca="false">IF(AND(108&gt;=$U$10,N($V$10)&gt;0,108&lt;$U$10+N($V$10)*12,108&lt;=p_MesFin),$O$10*(1-$W$10)/(N($V$10)*12),0)</f>
        <v>1266.39230863516</v>
      </c>
      <c r="DK49" s="13" t="n">
        <f aca="false">IF(AND(109&gt;=$U$10,N($V$10)&gt;0,109&lt;$U$10+N($V$10)*12,109&lt;=p_MesFin),$O$10*(1-$W$10)/(N($V$10)*12),0)</f>
        <v>1266.39230863516</v>
      </c>
      <c r="DL49" s="13" t="n">
        <f aca="false">IF(AND(110&gt;=$U$10,N($V$10)&gt;0,110&lt;$U$10+N($V$10)*12,110&lt;=p_MesFin),$O$10*(1-$W$10)/(N($V$10)*12),0)</f>
        <v>1266.39230863516</v>
      </c>
      <c r="DM49" s="13" t="n">
        <f aca="false">IF(AND(111&gt;=$U$10,N($V$10)&gt;0,111&lt;$U$10+N($V$10)*12,111&lt;=p_MesFin),$O$10*(1-$W$10)/(N($V$10)*12),0)</f>
        <v>1266.39230863516</v>
      </c>
      <c r="DN49" s="13" t="n">
        <f aca="false">IF(AND(112&gt;=$U$10,N($V$10)&gt;0,112&lt;$U$10+N($V$10)*12,112&lt;=p_MesFin),$O$10*(1-$W$10)/(N($V$10)*12),0)</f>
        <v>1266.39230863516</v>
      </c>
      <c r="DO49" s="13" t="n">
        <f aca="false">IF(AND(113&gt;=$U$10,N($V$10)&gt;0,113&lt;$U$10+N($V$10)*12,113&lt;=p_MesFin),$O$10*(1-$W$10)/(N($V$10)*12),0)</f>
        <v>1266.39230863516</v>
      </c>
      <c r="DP49" s="13" t="n">
        <f aca="false">IF(AND(114&gt;=$U$10,N($V$10)&gt;0,114&lt;$U$10+N($V$10)*12,114&lt;=p_MesFin),$O$10*(1-$W$10)/(N($V$10)*12),0)</f>
        <v>1266.39230863516</v>
      </c>
      <c r="DQ49" s="13" t="n">
        <f aca="false">IF(AND(115&gt;=$U$10,N($V$10)&gt;0,115&lt;$U$10+N($V$10)*12,115&lt;=p_MesFin),$O$10*(1-$W$10)/(N($V$10)*12),0)</f>
        <v>1266.39230863516</v>
      </c>
      <c r="DR49" s="13" t="n">
        <f aca="false">IF(AND(116&gt;=$U$10,N($V$10)&gt;0,116&lt;$U$10+N($V$10)*12,116&lt;=p_MesFin),$O$10*(1-$W$10)/(N($V$10)*12),0)</f>
        <v>1266.39230863516</v>
      </c>
      <c r="DS49" s="13" t="n">
        <f aca="false">IF(AND(117&gt;=$U$10,N($V$10)&gt;0,117&lt;$U$10+N($V$10)*12,117&lt;=p_MesFin),$O$10*(1-$W$10)/(N($V$10)*12),0)</f>
        <v>1266.39230863516</v>
      </c>
      <c r="DT49" s="13" t="n">
        <f aca="false">IF(AND(118&gt;=$U$10,N($V$10)&gt;0,118&lt;$U$10+N($V$10)*12,118&lt;=p_MesFin),$O$10*(1-$W$10)/(N($V$10)*12),0)</f>
        <v>1266.39230863516</v>
      </c>
      <c r="DU49" s="13" t="n">
        <f aca="false">IF(AND(119&gt;=$U$10,N($V$10)&gt;0,119&lt;$U$10+N($V$10)*12,119&lt;=p_MesFin),$O$10*(1-$W$10)/(N($V$10)*12),0)</f>
        <v>1266.39230863516</v>
      </c>
      <c r="DV49" s="13" t="n">
        <f aca="false">IF(AND(120&gt;=$U$10,N($V$10)&gt;0,120&lt;$U$10+N($V$10)*12,120&lt;=p_MesFin),$O$10*(1-$W$10)/(N($V$10)*12),0)</f>
        <v>1266.39230863516</v>
      </c>
      <c r="DW49" s="13" t="n">
        <f aca="false">IF(AND(121&gt;=$U$10,N($V$10)&gt;0,121&lt;$U$10+N($V$10)*12,121&lt;=p_MesFin),$O$10*(1-$W$10)/(N($V$10)*12),0)</f>
        <v>0</v>
      </c>
      <c r="DX49" s="13" t="n">
        <f aca="false">IF(AND(122&gt;=$U$10,N($V$10)&gt;0,122&lt;$U$10+N($V$10)*12,122&lt;=p_MesFin),$O$10*(1-$W$10)/(N($V$10)*12),0)</f>
        <v>0</v>
      </c>
      <c r="DY49" s="13" t="n">
        <f aca="false">IF(AND(123&gt;=$U$10,N($V$10)&gt;0,123&lt;$U$10+N($V$10)*12,123&lt;=p_MesFin),$O$10*(1-$W$10)/(N($V$10)*12),0)</f>
        <v>0</v>
      </c>
      <c r="DZ49" s="13" t="n">
        <f aca="false">IF(AND(124&gt;=$U$10,N($V$10)&gt;0,124&lt;$U$10+N($V$10)*12,124&lt;=p_MesFin),$O$10*(1-$W$10)/(N($V$10)*12),0)</f>
        <v>0</v>
      </c>
      <c r="EA49" s="13" t="n">
        <f aca="false">IF(AND(125&gt;=$U$10,N($V$10)&gt;0,125&lt;$U$10+N($V$10)*12,125&lt;=p_MesFin),$O$10*(1-$W$10)/(N($V$10)*12),0)</f>
        <v>0</v>
      </c>
      <c r="EB49" s="13" t="n">
        <f aca="false">IF(AND(126&gt;=$U$10,N($V$10)&gt;0,126&lt;$U$10+N($V$10)*12,126&lt;=p_MesFin),$O$10*(1-$W$10)/(N($V$10)*12),0)</f>
        <v>0</v>
      </c>
      <c r="EC49" s="13" t="n">
        <f aca="false">IF(AND(127&gt;=$U$10,N($V$10)&gt;0,127&lt;$U$10+N($V$10)*12,127&lt;=p_MesFin),$O$10*(1-$W$10)/(N($V$10)*12),0)</f>
        <v>0</v>
      </c>
      <c r="ED49" s="13" t="n">
        <f aca="false">IF(AND(128&gt;=$U$10,N($V$10)&gt;0,128&lt;$U$10+N($V$10)*12,128&lt;=p_MesFin),$O$10*(1-$W$10)/(N($V$10)*12),0)</f>
        <v>0</v>
      </c>
      <c r="EE49" s="13" t="n">
        <f aca="false">IF(AND(129&gt;=$U$10,N($V$10)&gt;0,129&lt;$U$10+N($V$10)*12,129&lt;=p_MesFin),$O$10*(1-$W$10)/(N($V$10)*12),0)</f>
        <v>0</v>
      </c>
      <c r="EF49" s="13" t="n">
        <f aca="false">IF(AND(130&gt;=$U$10,N($V$10)&gt;0,130&lt;$U$10+N($V$10)*12,130&lt;=p_MesFin),$O$10*(1-$W$10)/(N($V$10)*12),0)</f>
        <v>0</v>
      </c>
      <c r="EG49" s="13" t="n">
        <f aca="false">IF(AND(131&gt;=$U$10,N($V$10)&gt;0,131&lt;$U$10+N($V$10)*12,131&lt;=p_MesFin),$O$10*(1-$W$10)/(N($V$10)*12),0)</f>
        <v>0</v>
      </c>
      <c r="EH49" s="13" t="n">
        <f aca="false">IF(AND(132&gt;=$U$10,N($V$10)&gt;0,132&lt;$U$10+N($V$10)*12,132&lt;=p_MesFin),$O$10*(1-$W$10)/(N($V$10)*12),0)</f>
        <v>0</v>
      </c>
      <c r="EI49" s="13" t="n">
        <f aca="false">IF(AND(133&gt;=$U$10,N($V$10)&gt;0,133&lt;$U$10+N($V$10)*12,133&lt;=p_MesFin),$O$10*(1-$W$10)/(N($V$10)*12),0)</f>
        <v>0</v>
      </c>
      <c r="EJ49" s="13" t="n">
        <f aca="false">IF(AND(134&gt;=$U$10,N($V$10)&gt;0,134&lt;$U$10+N($V$10)*12,134&lt;=p_MesFin),$O$10*(1-$W$10)/(N($V$10)*12),0)</f>
        <v>0</v>
      </c>
      <c r="EK49" s="13" t="n">
        <f aca="false">IF(AND(135&gt;=$U$10,N($V$10)&gt;0,135&lt;$U$10+N($V$10)*12,135&lt;=p_MesFin),$O$10*(1-$W$10)/(N($V$10)*12),0)</f>
        <v>0</v>
      </c>
      <c r="EL49" s="13" t="n">
        <f aca="false">IF(AND(136&gt;=$U$10,N($V$10)&gt;0,136&lt;$U$10+N($V$10)*12,136&lt;=p_MesFin),$O$10*(1-$W$10)/(N($V$10)*12),0)</f>
        <v>0</v>
      </c>
      <c r="EM49" s="13" t="n">
        <f aca="false">IF(AND(137&gt;=$U$10,N($V$10)&gt;0,137&lt;$U$10+N($V$10)*12,137&lt;=p_MesFin),$O$10*(1-$W$10)/(N($V$10)*12),0)</f>
        <v>0</v>
      </c>
      <c r="EN49" s="13" t="n">
        <f aca="false">IF(AND(138&gt;=$U$10,N($V$10)&gt;0,138&lt;$U$10+N($V$10)*12,138&lt;=p_MesFin),$O$10*(1-$W$10)/(N($V$10)*12),0)</f>
        <v>0</v>
      </c>
      <c r="EO49" s="13" t="n">
        <f aca="false">IF(AND(139&gt;=$U$10,N($V$10)&gt;0,139&lt;$U$10+N($V$10)*12,139&lt;=p_MesFin),$O$10*(1-$W$10)/(N($V$10)*12),0)</f>
        <v>0</v>
      </c>
      <c r="EP49" s="13" t="n">
        <f aca="false">IF(AND(140&gt;=$U$10,N($V$10)&gt;0,140&lt;$U$10+N($V$10)*12,140&lt;=p_MesFin),$O$10*(1-$W$10)/(N($V$10)*12),0)</f>
        <v>0</v>
      </c>
      <c r="EQ49" s="13" t="n">
        <f aca="false">IF(AND(141&gt;=$U$10,N($V$10)&gt;0,141&lt;$U$10+N($V$10)*12,141&lt;=p_MesFin),$O$10*(1-$W$10)/(N($V$10)*12),0)</f>
        <v>0</v>
      </c>
      <c r="ER49" s="13" t="n">
        <f aca="false">IF(AND(142&gt;=$U$10,N($V$10)&gt;0,142&lt;$U$10+N($V$10)*12,142&lt;=p_MesFin),$O$10*(1-$W$10)/(N($V$10)*12),0)</f>
        <v>0</v>
      </c>
      <c r="ES49" s="13" t="n">
        <f aca="false">IF(AND(143&gt;=$U$10,N($V$10)&gt;0,143&lt;$U$10+N($V$10)*12,143&lt;=p_MesFin),$O$10*(1-$W$10)/(N($V$10)*12),0)</f>
        <v>0</v>
      </c>
      <c r="ET49" s="13" t="n">
        <f aca="false">IF(AND(144&gt;=$U$10,N($V$10)&gt;0,144&lt;$U$10+N($V$10)*12,144&lt;=p_MesFin),$O$10*(1-$W$10)/(N($V$10)*12),0)</f>
        <v>0</v>
      </c>
      <c r="EU49" s="13" t="n">
        <f aca="false">IF(AND(145&gt;=$U$10,N($V$10)&gt;0,145&lt;$U$10+N($V$10)*12,145&lt;=p_MesFin),$O$10*(1-$W$10)/(N($V$10)*12),0)</f>
        <v>0</v>
      </c>
      <c r="EV49" s="13" t="n">
        <f aca="false">IF(AND(146&gt;=$U$10,N($V$10)&gt;0,146&lt;$U$10+N($V$10)*12,146&lt;=p_MesFin),$O$10*(1-$W$10)/(N($V$10)*12),0)</f>
        <v>0</v>
      </c>
      <c r="EW49" s="13" t="n">
        <f aca="false">IF(AND(147&gt;=$U$10,N($V$10)&gt;0,147&lt;$U$10+N($V$10)*12,147&lt;=p_MesFin),$O$10*(1-$W$10)/(N($V$10)*12),0)</f>
        <v>0</v>
      </c>
      <c r="EX49" s="13" t="n">
        <f aca="false">IF(AND(148&gt;=$U$10,N($V$10)&gt;0,148&lt;$U$10+N($V$10)*12,148&lt;=p_MesFin),$O$10*(1-$W$10)/(N($V$10)*12),0)</f>
        <v>0</v>
      </c>
      <c r="EY49" s="13" t="n">
        <f aca="false">IF(AND(149&gt;=$U$10,N($V$10)&gt;0,149&lt;$U$10+N($V$10)*12,149&lt;=p_MesFin),$O$10*(1-$W$10)/(N($V$10)*12),0)</f>
        <v>0</v>
      </c>
      <c r="EZ49" s="13" t="n">
        <f aca="false">IF(AND(150&gt;=$U$10,N($V$10)&gt;0,150&lt;$U$10+N($V$10)*12,150&lt;=p_MesFin),$O$10*(1-$W$10)/(N($V$10)*12),0)</f>
        <v>0</v>
      </c>
      <c r="FA49" s="13" t="n">
        <f aca="false">IF(AND(151&gt;=$U$10,N($V$10)&gt;0,151&lt;$U$10+N($V$10)*12,151&lt;=p_MesFin),$O$10*(1-$W$10)/(N($V$10)*12),0)</f>
        <v>0</v>
      </c>
      <c r="FB49" s="13" t="n">
        <f aca="false">IF(AND(152&gt;=$U$10,N($V$10)&gt;0,152&lt;$U$10+N($V$10)*12,152&lt;=p_MesFin),$O$10*(1-$W$10)/(N($V$10)*12),0)</f>
        <v>0</v>
      </c>
      <c r="FC49" s="13" t="n">
        <f aca="false">IF(AND(153&gt;=$U$10,N($V$10)&gt;0,153&lt;$U$10+N($V$10)*12,153&lt;=p_MesFin),$O$10*(1-$W$10)/(N($V$10)*12),0)</f>
        <v>0</v>
      </c>
      <c r="FD49" s="13" t="n">
        <f aca="false">IF(AND(154&gt;=$U$10,N($V$10)&gt;0,154&lt;$U$10+N($V$10)*12,154&lt;=p_MesFin),$O$10*(1-$W$10)/(N($V$10)*12),0)</f>
        <v>0</v>
      </c>
      <c r="FE49" s="13" t="n">
        <f aca="false">IF(AND(155&gt;=$U$10,N($V$10)&gt;0,155&lt;$U$10+N($V$10)*12,155&lt;=p_MesFin),$O$10*(1-$W$10)/(N($V$10)*12),0)</f>
        <v>0</v>
      </c>
      <c r="FF49" s="13" t="n">
        <f aca="false">IF(AND(156&gt;=$U$10,N($V$10)&gt;0,156&lt;$U$10+N($V$10)*12,156&lt;=p_MesFin),$O$10*(1-$W$10)/(N($V$10)*12),0)</f>
        <v>0</v>
      </c>
    </row>
    <row r="50" customFormat="false" ht="15" hidden="false" customHeight="false" outlineLevel="0" collapsed="false">
      <c r="A50" s="2" t="s">
        <v>1248</v>
      </c>
      <c r="B50" s="8" t="s">
        <v>1249</v>
      </c>
      <c r="C50" s="8" t="s">
        <v>255</v>
      </c>
      <c r="E50" s="65" t="n">
        <f aca="false">SUM($F50:$FF50)</f>
        <v>3399.00118624492</v>
      </c>
      <c r="F50" s="13" t="n">
        <f aca="false">IF(AND(0&gt;=$U$11,N($V$11)&gt;0,0&lt;$U$11+N($V$11)*12,0&lt;=p_MesFin),$O$11*(1-$W$11)/(N($V$11)*12),0)</f>
        <v>0</v>
      </c>
      <c r="G50" s="13" t="n">
        <f aca="false">IF(AND(1&gt;=$U$11,N($V$11)&gt;0,1&lt;$U$11+N($V$11)*12,1&lt;=p_MesFin),$O$11*(1-$W$11)/(N($V$11)*12),0)</f>
        <v>28.3250098853743</v>
      </c>
      <c r="H50" s="13" t="n">
        <f aca="false">IF(AND(2&gt;=$U$11,N($V$11)&gt;0,2&lt;$U$11+N($V$11)*12,2&lt;=p_MesFin),$O$11*(1-$W$11)/(N($V$11)*12),0)</f>
        <v>28.3250098853743</v>
      </c>
      <c r="I50" s="13" t="n">
        <f aca="false">IF(AND(3&gt;=$U$11,N($V$11)&gt;0,3&lt;$U$11+N($V$11)*12,3&lt;=p_MesFin),$O$11*(1-$W$11)/(N($V$11)*12),0)</f>
        <v>28.3250098853743</v>
      </c>
      <c r="J50" s="13" t="n">
        <f aca="false">IF(AND(4&gt;=$U$11,N($V$11)&gt;0,4&lt;$U$11+N($V$11)*12,4&lt;=p_MesFin),$O$11*(1-$W$11)/(N($V$11)*12),0)</f>
        <v>28.3250098853743</v>
      </c>
      <c r="K50" s="13" t="n">
        <f aca="false">IF(AND(5&gt;=$U$11,N($V$11)&gt;0,5&lt;$U$11+N($V$11)*12,5&lt;=p_MesFin),$O$11*(1-$W$11)/(N($V$11)*12),0)</f>
        <v>28.3250098853743</v>
      </c>
      <c r="L50" s="13" t="n">
        <f aca="false">IF(AND(6&gt;=$U$11,N($V$11)&gt;0,6&lt;$U$11+N($V$11)*12,6&lt;=p_MesFin),$O$11*(1-$W$11)/(N($V$11)*12),0)</f>
        <v>28.3250098853743</v>
      </c>
      <c r="M50" s="13" t="n">
        <f aca="false">IF(AND(7&gt;=$U$11,N($V$11)&gt;0,7&lt;$U$11+N($V$11)*12,7&lt;=p_MesFin),$O$11*(1-$W$11)/(N($V$11)*12),0)</f>
        <v>28.3250098853743</v>
      </c>
      <c r="N50" s="13" t="n">
        <f aca="false">IF(AND(8&gt;=$U$11,N($V$11)&gt;0,8&lt;$U$11+N($V$11)*12,8&lt;=p_MesFin),$O$11*(1-$W$11)/(N($V$11)*12),0)</f>
        <v>28.3250098853743</v>
      </c>
      <c r="O50" s="13" t="n">
        <f aca="false">IF(AND(9&gt;=$U$11,N($V$11)&gt;0,9&lt;$U$11+N($V$11)*12,9&lt;=p_MesFin),$O$11*(1-$W$11)/(N($V$11)*12),0)</f>
        <v>28.3250098853743</v>
      </c>
      <c r="P50" s="13" t="n">
        <f aca="false">IF(AND(10&gt;=$U$11,N($V$11)&gt;0,10&lt;$U$11+N($V$11)*12,10&lt;=p_MesFin),$O$11*(1-$W$11)/(N($V$11)*12),0)</f>
        <v>28.3250098853743</v>
      </c>
      <c r="Q50" s="13" t="n">
        <f aca="false">IF(AND(11&gt;=$U$11,N($V$11)&gt;0,11&lt;$U$11+N($V$11)*12,11&lt;=p_MesFin),$O$11*(1-$W$11)/(N($V$11)*12),0)</f>
        <v>28.3250098853743</v>
      </c>
      <c r="R50" s="13" t="n">
        <f aca="false">IF(AND(12&gt;=$U$11,N($V$11)&gt;0,12&lt;$U$11+N($V$11)*12,12&lt;=p_MesFin),$O$11*(1-$W$11)/(N($V$11)*12),0)</f>
        <v>28.3250098853743</v>
      </c>
      <c r="S50" s="13" t="n">
        <f aca="false">IF(AND(13&gt;=$U$11,N($V$11)&gt;0,13&lt;$U$11+N($V$11)*12,13&lt;=p_MesFin),$O$11*(1-$W$11)/(N($V$11)*12),0)</f>
        <v>28.3250098853743</v>
      </c>
      <c r="T50" s="13" t="n">
        <f aca="false">IF(AND(14&gt;=$U$11,N($V$11)&gt;0,14&lt;$U$11+N($V$11)*12,14&lt;=p_MesFin),$O$11*(1-$W$11)/(N($V$11)*12),0)</f>
        <v>28.3250098853743</v>
      </c>
      <c r="U50" s="13" t="n">
        <f aca="false">IF(AND(15&gt;=$U$11,N($V$11)&gt;0,15&lt;$U$11+N($V$11)*12,15&lt;=p_MesFin),$O$11*(1-$W$11)/(N($V$11)*12),0)</f>
        <v>28.3250098853743</v>
      </c>
      <c r="V50" s="13" t="n">
        <f aca="false">IF(AND(16&gt;=$U$11,N($V$11)&gt;0,16&lt;$U$11+N($V$11)*12,16&lt;=p_MesFin),$O$11*(1-$W$11)/(N($V$11)*12),0)</f>
        <v>28.3250098853743</v>
      </c>
      <c r="W50" s="13" t="n">
        <f aca="false">IF(AND(17&gt;=$U$11,N($V$11)&gt;0,17&lt;$U$11+N($V$11)*12,17&lt;=p_MesFin),$O$11*(1-$W$11)/(N($V$11)*12),0)</f>
        <v>28.3250098853743</v>
      </c>
      <c r="X50" s="13" t="n">
        <f aca="false">IF(AND(18&gt;=$U$11,N($V$11)&gt;0,18&lt;$U$11+N($V$11)*12,18&lt;=p_MesFin),$O$11*(1-$W$11)/(N($V$11)*12),0)</f>
        <v>28.3250098853743</v>
      </c>
      <c r="Y50" s="13" t="n">
        <f aca="false">IF(AND(19&gt;=$U$11,N($V$11)&gt;0,19&lt;$U$11+N($V$11)*12,19&lt;=p_MesFin),$O$11*(1-$W$11)/(N($V$11)*12),0)</f>
        <v>28.3250098853743</v>
      </c>
      <c r="Z50" s="13" t="n">
        <f aca="false">IF(AND(20&gt;=$U$11,N($V$11)&gt;0,20&lt;$U$11+N($V$11)*12,20&lt;=p_MesFin),$O$11*(1-$W$11)/(N($V$11)*12),0)</f>
        <v>28.3250098853743</v>
      </c>
      <c r="AA50" s="13" t="n">
        <f aca="false">IF(AND(21&gt;=$U$11,N($V$11)&gt;0,21&lt;$U$11+N($V$11)*12,21&lt;=p_MesFin),$O$11*(1-$W$11)/(N($V$11)*12),0)</f>
        <v>28.3250098853743</v>
      </c>
      <c r="AB50" s="13" t="n">
        <f aca="false">IF(AND(22&gt;=$U$11,N($V$11)&gt;0,22&lt;$U$11+N($V$11)*12,22&lt;=p_MesFin),$O$11*(1-$W$11)/(N($V$11)*12),0)</f>
        <v>28.3250098853743</v>
      </c>
      <c r="AC50" s="13" t="n">
        <f aca="false">IF(AND(23&gt;=$U$11,N($V$11)&gt;0,23&lt;$U$11+N($V$11)*12,23&lt;=p_MesFin),$O$11*(1-$W$11)/(N($V$11)*12),0)</f>
        <v>28.3250098853743</v>
      </c>
      <c r="AD50" s="13" t="n">
        <f aca="false">IF(AND(24&gt;=$U$11,N($V$11)&gt;0,24&lt;$U$11+N($V$11)*12,24&lt;=p_MesFin),$O$11*(1-$W$11)/(N($V$11)*12),0)</f>
        <v>28.3250098853743</v>
      </c>
      <c r="AE50" s="13" t="n">
        <f aca="false">IF(AND(25&gt;=$U$11,N($V$11)&gt;0,25&lt;$U$11+N($V$11)*12,25&lt;=p_MesFin),$O$11*(1-$W$11)/(N($V$11)*12),0)</f>
        <v>28.3250098853743</v>
      </c>
      <c r="AF50" s="13" t="n">
        <f aca="false">IF(AND(26&gt;=$U$11,N($V$11)&gt;0,26&lt;$U$11+N($V$11)*12,26&lt;=p_MesFin),$O$11*(1-$W$11)/(N($V$11)*12),0)</f>
        <v>28.3250098853743</v>
      </c>
      <c r="AG50" s="13" t="n">
        <f aca="false">IF(AND(27&gt;=$U$11,N($V$11)&gt;0,27&lt;$U$11+N($V$11)*12,27&lt;=p_MesFin),$O$11*(1-$W$11)/(N($V$11)*12),0)</f>
        <v>28.3250098853743</v>
      </c>
      <c r="AH50" s="13" t="n">
        <f aca="false">IF(AND(28&gt;=$U$11,N($V$11)&gt;0,28&lt;$U$11+N($V$11)*12,28&lt;=p_MesFin),$O$11*(1-$W$11)/(N($V$11)*12),0)</f>
        <v>28.3250098853743</v>
      </c>
      <c r="AI50" s="13" t="n">
        <f aca="false">IF(AND(29&gt;=$U$11,N($V$11)&gt;0,29&lt;$U$11+N($V$11)*12,29&lt;=p_MesFin),$O$11*(1-$W$11)/(N($V$11)*12),0)</f>
        <v>28.3250098853743</v>
      </c>
      <c r="AJ50" s="13" t="n">
        <f aca="false">IF(AND(30&gt;=$U$11,N($V$11)&gt;0,30&lt;$U$11+N($V$11)*12,30&lt;=p_MesFin),$O$11*(1-$W$11)/(N($V$11)*12),0)</f>
        <v>28.3250098853743</v>
      </c>
      <c r="AK50" s="13" t="n">
        <f aca="false">IF(AND(31&gt;=$U$11,N($V$11)&gt;0,31&lt;$U$11+N($V$11)*12,31&lt;=p_MesFin),$O$11*(1-$W$11)/(N($V$11)*12),0)</f>
        <v>28.3250098853743</v>
      </c>
      <c r="AL50" s="13" t="n">
        <f aca="false">IF(AND(32&gt;=$U$11,N($V$11)&gt;0,32&lt;$U$11+N($V$11)*12,32&lt;=p_MesFin),$O$11*(1-$W$11)/(N($V$11)*12),0)</f>
        <v>28.3250098853743</v>
      </c>
      <c r="AM50" s="13" t="n">
        <f aca="false">IF(AND(33&gt;=$U$11,N($V$11)&gt;0,33&lt;$U$11+N($V$11)*12,33&lt;=p_MesFin),$O$11*(1-$W$11)/(N($V$11)*12),0)</f>
        <v>28.3250098853743</v>
      </c>
      <c r="AN50" s="13" t="n">
        <f aca="false">IF(AND(34&gt;=$U$11,N($V$11)&gt;0,34&lt;$U$11+N($V$11)*12,34&lt;=p_MesFin),$O$11*(1-$W$11)/(N($V$11)*12),0)</f>
        <v>28.3250098853743</v>
      </c>
      <c r="AO50" s="13" t="n">
        <f aca="false">IF(AND(35&gt;=$U$11,N($V$11)&gt;0,35&lt;$U$11+N($V$11)*12,35&lt;=p_MesFin),$O$11*(1-$W$11)/(N($V$11)*12),0)</f>
        <v>28.3250098853743</v>
      </c>
      <c r="AP50" s="13" t="n">
        <f aca="false">IF(AND(36&gt;=$U$11,N($V$11)&gt;0,36&lt;$U$11+N($V$11)*12,36&lt;=p_MesFin),$O$11*(1-$W$11)/(N($V$11)*12),0)</f>
        <v>28.3250098853743</v>
      </c>
      <c r="AQ50" s="13" t="n">
        <f aca="false">IF(AND(37&gt;=$U$11,N($V$11)&gt;0,37&lt;$U$11+N($V$11)*12,37&lt;=p_MesFin),$O$11*(1-$W$11)/(N($V$11)*12),0)</f>
        <v>28.3250098853743</v>
      </c>
      <c r="AR50" s="13" t="n">
        <f aca="false">IF(AND(38&gt;=$U$11,N($V$11)&gt;0,38&lt;$U$11+N($V$11)*12,38&lt;=p_MesFin),$O$11*(1-$W$11)/(N($V$11)*12),0)</f>
        <v>28.3250098853743</v>
      </c>
      <c r="AS50" s="13" t="n">
        <f aca="false">IF(AND(39&gt;=$U$11,N($V$11)&gt;0,39&lt;$U$11+N($V$11)*12,39&lt;=p_MesFin),$O$11*(1-$W$11)/(N($V$11)*12),0)</f>
        <v>28.3250098853743</v>
      </c>
      <c r="AT50" s="13" t="n">
        <f aca="false">IF(AND(40&gt;=$U$11,N($V$11)&gt;0,40&lt;$U$11+N($V$11)*12,40&lt;=p_MesFin),$O$11*(1-$W$11)/(N($V$11)*12),0)</f>
        <v>28.3250098853743</v>
      </c>
      <c r="AU50" s="13" t="n">
        <f aca="false">IF(AND(41&gt;=$U$11,N($V$11)&gt;0,41&lt;$U$11+N($V$11)*12,41&lt;=p_MesFin),$O$11*(1-$W$11)/(N($V$11)*12),0)</f>
        <v>28.3250098853743</v>
      </c>
      <c r="AV50" s="13" t="n">
        <f aca="false">IF(AND(42&gt;=$U$11,N($V$11)&gt;0,42&lt;$U$11+N($V$11)*12,42&lt;=p_MesFin),$O$11*(1-$W$11)/(N($V$11)*12),0)</f>
        <v>28.3250098853743</v>
      </c>
      <c r="AW50" s="13" t="n">
        <f aca="false">IF(AND(43&gt;=$U$11,N($V$11)&gt;0,43&lt;$U$11+N($V$11)*12,43&lt;=p_MesFin),$O$11*(1-$W$11)/(N($V$11)*12),0)</f>
        <v>28.3250098853743</v>
      </c>
      <c r="AX50" s="13" t="n">
        <f aca="false">IF(AND(44&gt;=$U$11,N($V$11)&gt;0,44&lt;$U$11+N($V$11)*12,44&lt;=p_MesFin),$O$11*(1-$W$11)/(N($V$11)*12),0)</f>
        <v>28.3250098853743</v>
      </c>
      <c r="AY50" s="13" t="n">
        <f aca="false">IF(AND(45&gt;=$U$11,N($V$11)&gt;0,45&lt;$U$11+N($V$11)*12,45&lt;=p_MesFin),$O$11*(1-$W$11)/(N($V$11)*12),0)</f>
        <v>28.3250098853743</v>
      </c>
      <c r="AZ50" s="13" t="n">
        <f aca="false">IF(AND(46&gt;=$U$11,N($V$11)&gt;0,46&lt;$U$11+N($V$11)*12,46&lt;=p_MesFin),$O$11*(1-$W$11)/(N($V$11)*12),0)</f>
        <v>28.3250098853743</v>
      </c>
      <c r="BA50" s="13" t="n">
        <f aca="false">IF(AND(47&gt;=$U$11,N($V$11)&gt;0,47&lt;$U$11+N($V$11)*12,47&lt;=p_MesFin),$O$11*(1-$W$11)/(N($V$11)*12),0)</f>
        <v>28.3250098853743</v>
      </c>
      <c r="BB50" s="13" t="n">
        <f aca="false">IF(AND(48&gt;=$U$11,N($V$11)&gt;0,48&lt;$U$11+N($V$11)*12,48&lt;=p_MesFin),$O$11*(1-$W$11)/(N($V$11)*12),0)</f>
        <v>28.3250098853743</v>
      </c>
      <c r="BC50" s="13" t="n">
        <f aca="false">IF(AND(49&gt;=$U$11,N($V$11)&gt;0,49&lt;$U$11+N($V$11)*12,49&lt;=p_MesFin),$O$11*(1-$W$11)/(N($V$11)*12),0)</f>
        <v>28.3250098853743</v>
      </c>
      <c r="BD50" s="13" t="n">
        <f aca="false">IF(AND(50&gt;=$U$11,N($V$11)&gt;0,50&lt;$U$11+N($V$11)*12,50&lt;=p_MesFin),$O$11*(1-$W$11)/(N($V$11)*12),0)</f>
        <v>28.3250098853743</v>
      </c>
      <c r="BE50" s="13" t="n">
        <f aca="false">IF(AND(51&gt;=$U$11,N($V$11)&gt;0,51&lt;$U$11+N($V$11)*12,51&lt;=p_MesFin),$O$11*(1-$W$11)/(N($V$11)*12),0)</f>
        <v>28.3250098853743</v>
      </c>
      <c r="BF50" s="13" t="n">
        <f aca="false">IF(AND(52&gt;=$U$11,N($V$11)&gt;0,52&lt;$U$11+N($V$11)*12,52&lt;=p_MesFin),$O$11*(1-$W$11)/(N($V$11)*12),0)</f>
        <v>28.3250098853743</v>
      </c>
      <c r="BG50" s="13" t="n">
        <f aca="false">IF(AND(53&gt;=$U$11,N($V$11)&gt;0,53&lt;$U$11+N($V$11)*12,53&lt;=p_MesFin),$O$11*(1-$W$11)/(N($V$11)*12),0)</f>
        <v>28.3250098853743</v>
      </c>
      <c r="BH50" s="13" t="n">
        <f aca="false">IF(AND(54&gt;=$U$11,N($V$11)&gt;0,54&lt;$U$11+N($V$11)*12,54&lt;=p_MesFin),$O$11*(1-$W$11)/(N($V$11)*12),0)</f>
        <v>28.3250098853743</v>
      </c>
      <c r="BI50" s="13" t="n">
        <f aca="false">IF(AND(55&gt;=$U$11,N($V$11)&gt;0,55&lt;$U$11+N($V$11)*12,55&lt;=p_MesFin),$O$11*(1-$W$11)/(N($V$11)*12),0)</f>
        <v>28.3250098853743</v>
      </c>
      <c r="BJ50" s="13" t="n">
        <f aca="false">IF(AND(56&gt;=$U$11,N($V$11)&gt;0,56&lt;$U$11+N($V$11)*12,56&lt;=p_MesFin),$O$11*(1-$W$11)/(N($V$11)*12),0)</f>
        <v>28.3250098853743</v>
      </c>
      <c r="BK50" s="13" t="n">
        <f aca="false">IF(AND(57&gt;=$U$11,N($V$11)&gt;0,57&lt;$U$11+N($V$11)*12,57&lt;=p_MesFin),$O$11*(1-$W$11)/(N($V$11)*12),0)</f>
        <v>28.3250098853743</v>
      </c>
      <c r="BL50" s="13" t="n">
        <f aca="false">IF(AND(58&gt;=$U$11,N($V$11)&gt;0,58&lt;$U$11+N($V$11)*12,58&lt;=p_MesFin),$O$11*(1-$W$11)/(N($V$11)*12),0)</f>
        <v>28.3250098853743</v>
      </c>
      <c r="BM50" s="13" t="n">
        <f aca="false">IF(AND(59&gt;=$U$11,N($V$11)&gt;0,59&lt;$U$11+N($V$11)*12,59&lt;=p_MesFin),$O$11*(1-$W$11)/(N($V$11)*12),0)</f>
        <v>28.3250098853743</v>
      </c>
      <c r="BN50" s="13" t="n">
        <f aca="false">IF(AND(60&gt;=$U$11,N($V$11)&gt;0,60&lt;$U$11+N($V$11)*12,60&lt;=p_MesFin),$O$11*(1-$W$11)/(N($V$11)*12),0)</f>
        <v>28.3250098853743</v>
      </c>
      <c r="BO50" s="13" t="n">
        <f aca="false">IF(AND(61&gt;=$U$11,N($V$11)&gt;0,61&lt;$U$11+N($V$11)*12,61&lt;=p_MesFin),$O$11*(1-$W$11)/(N($V$11)*12),0)</f>
        <v>28.3250098853743</v>
      </c>
      <c r="BP50" s="13" t="n">
        <f aca="false">IF(AND(62&gt;=$U$11,N($V$11)&gt;0,62&lt;$U$11+N($V$11)*12,62&lt;=p_MesFin),$O$11*(1-$W$11)/(N($V$11)*12),0)</f>
        <v>28.3250098853743</v>
      </c>
      <c r="BQ50" s="13" t="n">
        <f aca="false">IF(AND(63&gt;=$U$11,N($V$11)&gt;0,63&lt;$U$11+N($V$11)*12,63&lt;=p_MesFin),$O$11*(1-$W$11)/(N($V$11)*12),0)</f>
        <v>28.3250098853743</v>
      </c>
      <c r="BR50" s="13" t="n">
        <f aca="false">IF(AND(64&gt;=$U$11,N($V$11)&gt;0,64&lt;$U$11+N($V$11)*12,64&lt;=p_MesFin),$O$11*(1-$W$11)/(N($V$11)*12),0)</f>
        <v>28.3250098853743</v>
      </c>
      <c r="BS50" s="13" t="n">
        <f aca="false">IF(AND(65&gt;=$U$11,N($V$11)&gt;0,65&lt;$U$11+N($V$11)*12,65&lt;=p_MesFin),$O$11*(1-$W$11)/(N($V$11)*12),0)</f>
        <v>28.3250098853743</v>
      </c>
      <c r="BT50" s="13" t="n">
        <f aca="false">IF(AND(66&gt;=$U$11,N($V$11)&gt;0,66&lt;$U$11+N($V$11)*12,66&lt;=p_MesFin),$O$11*(1-$W$11)/(N($V$11)*12),0)</f>
        <v>28.3250098853743</v>
      </c>
      <c r="BU50" s="13" t="n">
        <f aca="false">IF(AND(67&gt;=$U$11,N($V$11)&gt;0,67&lt;$U$11+N($V$11)*12,67&lt;=p_MesFin),$O$11*(1-$W$11)/(N($V$11)*12),0)</f>
        <v>28.3250098853743</v>
      </c>
      <c r="BV50" s="13" t="n">
        <f aca="false">IF(AND(68&gt;=$U$11,N($V$11)&gt;0,68&lt;$U$11+N($V$11)*12,68&lt;=p_MesFin),$O$11*(1-$W$11)/(N($V$11)*12),0)</f>
        <v>28.3250098853743</v>
      </c>
      <c r="BW50" s="13" t="n">
        <f aca="false">IF(AND(69&gt;=$U$11,N($V$11)&gt;0,69&lt;$U$11+N($V$11)*12,69&lt;=p_MesFin),$O$11*(1-$W$11)/(N($V$11)*12),0)</f>
        <v>28.3250098853743</v>
      </c>
      <c r="BX50" s="13" t="n">
        <f aca="false">IF(AND(70&gt;=$U$11,N($V$11)&gt;0,70&lt;$U$11+N($V$11)*12,70&lt;=p_MesFin),$O$11*(1-$W$11)/(N($V$11)*12),0)</f>
        <v>28.3250098853743</v>
      </c>
      <c r="BY50" s="13" t="n">
        <f aca="false">IF(AND(71&gt;=$U$11,N($V$11)&gt;0,71&lt;$U$11+N($V$11)*12,71&lt;=p_MesFin),$O$11*(1-$W$11)/(N($V$11)*12),0)</f>
        <v>28.3250098853743</v>
      </c>
      <c r="BZ50" s="13" t="n">
        <f aca="false">IF(AND(72&gt;=$U$11,N($V$11)&gt;0,72&lt;$U$11+N($V$11)*12,72&lt;=p_MesFin),$O$11*(1-$W$11)/(N($V$11)*12),0)</f>
        <v>28.3250098853743</v>
      </c>
      <c r="CA50" s="13" t="n">
        <f aca="false">IF(AND(73&gt;=$U$11,N($V$11)&gt;0,73&lt;$U$11+N($V$11)*12,73&lt;=p_MesFin),$O$11*(1-$W$11)/(N($V$11)*12),0)</f>
        <v>28.3250098853743</v>
      </c>
      <c r="CB50" s="13" t="n">
        <f aca="false">IF(AND(74&gt;=$U$11,N($V$11)&gt;0,74&lt;$U$11+N($V$11)*12,74&lt;=p_MesFin),$O$11*(1-$W$11)/(N($V$11)*12),0)</f>
        <v>28.3250098853743</v>
      </c>
      <c r="CC50" s="13" t="n">
        <f aca="false">IF(AND(75&gt;=$U$11,N($V$11)&gt;0,75&lt;$U$11+N($V$11)*12,75&lt;=p_MesFin),$O$11*(1-$W$11)/(N($V$11)*12),0)</f>
        <v>28.3250098853743</v>
      </c>
      <c r="CD50" s="13" t="n">
        <f aca="false">IF(AND(76&gt;=$U$11,N($V$11)&gt;0,76&lt;$U$11+N($V$11)*12,76&lt;=p_MesFin),$O$11*(1-$W$11)/(N($V$11)*12),0)</f>
        <v>28.3250098853743</v>
      </c>
      <c r="CE50" s="13" t="n">
        <f aca="false">IF(AND(77&gt;=$U$11,N($V$11)&gt;0,77&lt;$U$11+N($V$11)*12,77&lt;=p_MesFin),$O$11*(1-$W$11)/(N($V$11)*12),0)</f>
        <v>28.3250098853743</v>
      </c>
      <c r="CF50" s="13" t="n">
        <f aca="false">IF(AND(78&gt;=$U$11,N($V$11)&gt;0,78&lt;$U$11+N($V$11)*12,78&lt;=p_MesFin),$O$11*(1-$W$11)/(N($V$11)*12),0)</f>
        <v>28.3250098853743</v>
      </c>
      <c r="CG50" s="13" t="n">
        <f aca="false">IF(AND(79&gt;=$U$11,N($V$11)&gt;0,79&lt;$U$11+N($V$11)*12,79&lt;=p_MesFin),$O$11*(1-$W$11)/(N($V$11)*12),0)</f>
        <v>28.3250098853743</v>
      </c>
      <c r="CH50" s="13" t="n">
        <f aca="false">IF(AND(80&gt;=$U$11,N($V$11)&gt;0,80&lt;$U$11+N($V$11)*12,80&lt;=p_MesFin),$O$11*(1-$W$11)/(N($V$11)*12),0)</f>
        <v>28.3250098853743</v>
      </c>
      <c r="CI50" s="13" t="n">
        <f aca="false">IF(AND(81&gt;=$U$11,N($V$11)&gt;0,81&lt;$U$11+N($V$11)*12,81&lt;=p_MesFin),$O$11*(1-$W$11)/(N($V$11)*12),0)</f>
        <v>28.3250098853743</v>
      </c>
      <c r="CJ50" s="13" t="n">
        <f aca="false">IF(AND(82&gt;=$U$11,N($V$11)&gt;0,82&lt;$U$11+N($V$11)*12,82&lt;=p_MesFin),$O$11*(1-$W$11)/(N($V$11)*12),0)</f>
        <v>28.3250098853743</v>
      </c>
      <c r="CK50" s="13" t="n">
        <f aca="false">IF(AND(83&gt;=$U$11,N($V$11)&gt;0,83&lt;$U$11+N($V$11)*12,83&lt;=p_MesFin),$O$11*(1-$W$11)/(N($V$11)*12),0)</f>
        <v>28.3250098853743</v>
      </c>
      <c r="CL50" s="13" t="n">
        <f aca="false">IF(AND(84&gt;=$U$11,N($V$11)&gt;0,84&lt;$U$11+N($V$11)*12,84&lt;=p_MesFin),$O$11*(1-$W$11)/(N($V$11)*12),0)</f>
        <v>28.3250098853743</v>
      </c>
      <c r="CM50" s="13" t="n">
        <f aca="false">IF(AND(85&gt;=$U$11,N($V$11)&gt;0,85&lt;$U$11+N($V$11)*12,85&lt;=p_MesFin),$O$11*(1-$W$11)/(N($V$11)*12),0)</f>
        <v>28.3250098853743</v>
      </c>
      <c r="CN50" s="13" t="n">
        <f aca="false">IF(AND(86&gt;=$U$11,N($V$11)&gt;0,86&lt;$U$11+N($V$11)*12,86&lt;=p_MesFin),$O$11*(1-$W$11)/(N($V$11)*12),0)</f>
        <v>28.3250098853743</v>
      </c>
      <c r="CO50" s="13" t="n">
        <f aca="false">IF(AND(87&gt;=$U$11,N($V$11)&gt;0,87&lt;$U$11+N($V$11)*12,87&lt;=p_MesFin),$O$11*(1-$W$11)/(N($V$11)*12),0)</f>
        <v>28.3250098853743</v>
      </c>
      <c r="CP50" s="13" t="n">
        <f aca="false">IF(AND(88&gt;=$U$11,N($V$11)&gt;0,88&lt;$U$11+N($V$11)*12,88&lt;=p_MesFin),$O$11*(1-$W$11)/(N($V$11)*12),0)</f>
        <v>28.3250098853743</v>
      </c>
      <c r="CQ50" s="13" t="n">
        <f aca="false">IF(AND(89&gt;=$U$11,N($V$11)&gt;0,89&lt;$U$11+N($V$11)*12,89&lt;=p_MesFin),$O$11*(1-$W$11)/(N($V$11)*12),0)</f>
        <v>28.3250098853743</v>
      </c>
      <c r="CR50" s="13" t="n">
        <f aca="false">IF(AND(90&gt;=$U$11,N($V$11)&gt;0,90&lt;$U$11+N($V$11)*12,90&lt;=p_MesFin),$O$11*(1-$W$11)/(N($V$11)*12),0)</f>
        <v>28.3250098853743</v>
      </c>
      <c r="CS50" s="13" t="n">
        <f aca="false">IF(AND(91&gt;=$U$11,N($V$11)&gt;0,91&lt;$U$11+N($V$11)*12,91&lt;=p_MesFin),$O$11*(1-$W$11)/(N($V$11)*12),0)</f>
        <v>28.3250098853743</v>
      </c>
      <c r="CT50" s="13" t="n">
        <f aca="false">IF(AND(92&gt;=$U$11,N($V$11)&gt;0,92&lt;$U$11+N($V$11)*12,92&lt;=p_MesFin),$O$11*(1-$W$11)/(N($V$11)*12),0)</f>
        <v>28.3250098853743</v>
      </c>
      <c r="CU50" s="13" t="n">
        <f aca="false">IF(AND(93&gt;=$U$11,N($V$11)&gt;0,93&lt;$U$11+N($V$11)*12,93&lt;=p_MesFin),$O$11*(1-$W$11)/(N($V$11)*12),0)</f>
        <v>28.3250098853743</v>
      </c>
      <c r="CV50" s="13" t="n">
        <f aca="false">IF(AND(94&gt;=$U$11,N($V$11)&gt;0,94&lt;$U$11+N($V$11)*12,94&lt;=p_MesFin),$O$11*(1-$W$11)/(N($V$11)*12),0)</f>
        <v>28.3250098853743</v>
      </c>
      <c r="CW50" s="13" t="n">
        <f aca="false">IF(AND(95&gt;=$U$11,N($V$11)&gt;0,95&lt;$U$11+N($V$11)*12,95&lt;=p_MesFin),$O$11*(1-$W$11)/(N($V$11)*12),0)</f>
        <v>28.3250098853743</v>
      </c>
      <c r="CX50" s="13" t="n">
        <f aca="false">IF(AND(96&gt;=$U$11,N($V$11)&gt;0,96&lt;$U$11+N($V$11)*12,96&lt;=p_MesFin),$O$11*(1-$W$11)/(N($V$11)*12),0)</f>
        <v>28.3250098853743</v>
      </c>
      <c r="CY50" s="13" t="n">
        <f aca="false">IF(AND(97&gt;=$U$11,N($V$11)&gt;0,97&lt;$U$11+N($V$11)*12,97&lt;=p_MesFin),$O$11*(1-$W$11)/(N($V$11)*12),0)</f>
        <v>28.3250098853743</v>
      </c>
      <c r="CZ50" s="13" t="n">
        <f aca="false">IF(AND(98&gt;=$U$11,N($V$11)&gt;0,98&lt;$U$11+N($V$11)*12,98&lt;=p_MesFin),$O$11*(1-$W$11)/(N($V$11)*12),0)</f>
        <v>28.3250098853743</v>
      </c>
      <c r="DA50" s="13" t="n">
        <f aca="false">IF(AND(99&gt;=$U$11,N($V$11)&gt;0,99&lt;$U$11+N($V$11)*12,99&lt;=p_MesFin),$O$11*(1-$W$11)/(N($V$11)*12),0)</f>
        <v>28.3250098853743</v>
      </c>
      <c r="DB50" s="13" t="n">
        <f aca="false">IF(AND(100&gt;=$U$11,N($V$11)&gt;0,100&lt;$U$11+N($V$11)*12,100&lt;=p_MesFin),$O$11*(1-$W$11)/(N($V$11)*12),0)</f>
        <v>28.3250098853743</v>
      </c>
      <c r="DC50" s="13" t="n">
        <f aca="false">IF(AND(101&gt;=$U$11,N($V$11)&gt;0,101&lt;$U$11+N($V$11)*12,101&lt;=p_MesFin),$O$11*(1-$W$11)/(N($V$11)*12),0)</f>
        <v>28.3250098853743</v>
      </c>
      <c r="DD50" s="13" t="n">
        <f aca="false">IF(AND(102&gt;=$U$11,N($V$11)&gt;0,102&lt;$U$11+N($V$11)*12,102&lt;=p_MesFin),$O$11*(1-$W$11)/(N($V$11)*12),0)</f>
        <v>28.3250098853743</v>
      </c>
      <c r="DE50" s="13" t="n">
        <f aca="false">IF(AND(103&gt;=$U$11,N($V$11)&gt;0,103&lt;$U$11+N($V$11)*12,103&lt;=p_MesFin),$O$11*(1-$W$11)/(N($V$11)*12),0)</f>
        <v>28.3250098853743</v>
      </c>
      <c r="DF50" s="13" t="n">
        <f aca="false">IF(AND(104&gt;=$U$11,N($V$11)&gt;0,104&lt;$U$11+N($V$11)*12,104&lt;=p_MesFin),$O$11*(1-$W$11)/(N($V$11)*12),0)</f>
        <v>28.3250098853743</v>
      </c>
      <c r="DG50" s="13" t="n">
        <f aca="false">IF(AND(105&gt;=$U$11,N($V$11)&gt;0,105&lt;$U$11+N($V$11)*12,105&lt;=p_MesFin),$O$11*(1-$W$11)/(N($V$11)*12),0)</f>
        <v>28.3250098853743</v>
      </c>
      <c r="DH50" s="13" t="n">
        <f aca="false">IF(AND(106&gt;=$U$11,N($V$11)&gt;0,106&lt;$U$11+N($V$11)*12,106&lt;=p_MesFin),$O$11*(1-$W$11)/(N($V$11)*12),0)</f>
        <v>28.3250098853743</v>
      </c>
      <c r="DI50" s="13" t="n">
        <f aca="false">IF(AND(107&gt;=$U$11,N($V$11)&gt;0,107&lt;$U$11+N($V$11)*12,107&lt;=p_MesFin),$O$11*(1-$W$11)/(N($V$11)*12),0)</f>
        <v>28.3250098853743</v>
      </c>
      <c r="DJ50" s="13" t="n">
        <f aca="false">IF(AND(108&gt;=$U$11,N($V$11)&gt;0,108&lt;$U$11+N($V$11)*12,108&lt;=p_MesFin),$O$11*(1-$W$11)/(N($V$11)*12),0)</f>
        <v>28.3250098853743</v>
      </c>
      <c r="DK50" s="13" t="n">
        <f aca="false">IF(AND(109&gt;=$U$11,N($V$11)&gt;0,109&lt;$U$11+N($V$11)*12,109&lt;=p_MesFin),$O$11*(1-$W$11)/(N($V$11)*12),0)</f>
        <v>28.3250098853743</v>
      </c>
      <c r="DL50" s="13" t="n">
        <f aca="false">IF(AND(110&gt;=$U$11,N($V$11)&gt;0,110&lt;$U$11+N($V$11)*12,110&lt;=p_MesFin),$O$11*(1-$W$11)/(N($V$11)*12),0)</f>
        <v>28.3250098853743</v>
      </c>
      <c r="DM50" s="13" t="n">
        <f aca="false">IF(AND(111&gt;=$U$11,N($V$11)&gt;0,111&lt;$U$11+N($V$11)*12,111&lt;=p_MesFin),$O$11*(1-$W$11)/(N($V$11)*12),0)</f>
        <v>28.3250098853743</v>
      </c>
      <c r="DN50" s="13" t="n">
        <f aca="false">IF(AND(112&gt;=$U$11,N($V$11)&gt;0,112&lt;$U$11+N($V$11)*12,112&lt;=p_MesFin),$O$11*(1-$W$11)/(N($V$11)*12),0)</f>
        <v>28.3250098853743</v>
      </c>
      <c r="DO50" s="13" t="n">
        <f aca="false">IF(AND(113&gt;=$U$11,N($V$11)&gt;0,113&lt;$U$11+N($V$11)*12,113&lt;=p_MesFin),$O$11*(1-$W$11)/(N($V$11)*12),0)</f>
        <v>28.3250098853743</v>
      </c>
      <c r="DP50" s="13" t="n">
        <f aca="false">IF(AND(114&gt;=$U$11,N($V$11)&gt;0,114&lt;$U$11+N($V$11)*12,114&lt;=p_MesFin),$O$11*(1-$W$11)/(N($V$11)*12),0)</f>
        <v>28.3250098853743</v>
      </c>
      <c r="DQ50" s="13" t="n">
        <f aca="false">IF(AND(115&gt;=$U$11,N($V$11)&gt;0,115&lt;$U$11+N($V$11)*12,115&lt;=p_MesFin),$O$11*(1-$W$11)/(N($V$11)*12),0)</f>
        <v>28.3250098853743</v>
      </c>
      <c r="DR50" s="13" t="n">
        <f aca="false">IF(AND(116&gt;=$U$11,N($V$11)&gt;0,116&lt;$U$11+N($V$11)*12,116&lt;=p_MesFin),$O$11*(1-$W$11)/(N($V$11)*12),0)</f>
        <v>28.3250098853743</v>
      </c>
      <c r="DS50" s="13" t="n">
        <f aca="false">IF(AND(117&gt;=$U$11,N($V$11)&gt;0,117&lt;$U$11+N($V$11)*12,117&lt;=p_MesFin),$O$11*(1-$W$11)/(N($V$11)*12),0)</f>
        <v>28.3250098853743</v>
      </c>
      <c r="DT50" s="13" t="n">
        <f aca="false">IF(AND(118&gt;=$U$11,N($V$11)&gt;0,118&lt;$U$11+N($V$11)*12,118&lt;=p_MesFin),$O$11*(1-$W$11)/(N($V$11)*12),0)</f>
        <v>28.3250098853743</v>
      </c>
      <c r="DU50" s="13" t="n">
        <f aca="false">IF(AND(119&gt;=$U$11,N($V$11)&gt;0,119&lt;$U$11+N($V$11)*12,119&lt;=p_MesFin),$O$11*(1-$W$11)/(N($V$11)*12),0)</f>
        <v>28.3250098853743</v>
      </c>
      <c r="DV50" s="13" t="n">
        <f aca="false">IF(AND(120&gt;=$U$11,N($V$11)&gt;0,120&lt;$U$11+N($V$11)*12,120&lt;=p_MesFin),$O$11*(1-$W$11)/(N($V$11)*12),0)</f>
        <v>28.3250098853743</v>
      </c>
      <c r="DW50" s="13" t="n">
        <f aca="false">IF(AND(121&gt;=$U$11,N($V$11)&gt;0,121&lt;$U$11+N($V$11)*12,121&lt;=p_MesFin),$O$11*(1-$W$11)/(N($V$11)*12),0)</f>
        <v>0</v>
      </c>
      <c r="DX50" s="13" t="n">
        <f aca="false">IF(AND(122&gt;=$U$11,N($V$11)&gt;0,122&lt;$U$11+N($V$11)*12,122&lt;=p_MesFin),$O$11*(1-$W$11)/(N($V$11)*12),0)</f>
        <v>0</v>
      </c>
      <c r="DY50" s="13" t="n">
        <f aca="false">IF(AND(123&gt;=$U$11,N($V$11)&gt;0,123&lt;$U$11+N($V$11)*12,123&lt;=p_MesFin),$O$11*(1-$W$11)/(N($V$11)*12),0)</f>
        <v>0</v>
      </c>
      <c r="DZ50" s="13" t="n">
        <f aca="false">IF(AND(124&gt;=$U$11,N($V$11)&gt;0,124&lt;$U$11+N($V$11)*12,124&lt;=p_MesFin),$O$11*(1-$W$11)/(N($V$11)*12),0)</f>
        <v>0</v>
      </c>
      <c r="EA50" s="13" t="n">
        <f aca="false">IF(AND(125&gt;=$U$11,N($V$11)&gt;0,125&lt;$U$11+N($V$11)*12,125&lt;=p_MesFin),$O$11*(1-$W$11)/(N($V$11)*12),0)</f>
        <v>0</v>
      </c>
      <c r="EB50" s="13" t="n">
        <f aca="false">IF(AND(126&gt;=$U$11,N($V$11)&gt;0,126&lt;$U$11+N($V$11)*12,126&lt;=p_MesFin),$O$11*(1-$W$11)/(N($V$11)*12),0)</f>
        <v>0</v>
      </c>
      <c r="EC50" s="13" t="n">
        <f aca="false">IF(AND(127&gt;=$U$11,N($V$11)&gt;0,127&lt;$U$11+N($V$11)*12,127&lt;=p_MesFin),$O$11*(1-$W$11)/(N($V$11)*12),0)</f>
        <v>0</v>
      </c>
      <c r="ED50" s="13" t="n">
        <f aca="false">IF(AND(128&gt;=$U$11,N($V$11)&gt;0,128&lt;$U$11+N($V$11)*12,128&lt;=p_MesFin),$O$11*(1-$W$11)/(N($V$11)*12),0)</f>
        <v>0</v>
      </c>
      <c r="EE50" s="13" t="n">
        <f aca="false">IF(AND(129&gt;=$U$11,N($V$11)&gt;0,129&lt;$U$11+N($V$11)*12,129&lt;=p_MesFin),$O$11*(1-$W$11)/(N($V$11)*12),0)</f>
        <v>0</v>
      </c>
      <c r="EF50" s="13" t="n">
        <f aca="false">IF(AND(130&gt;=$U$11,N($V$11)&gt;0,130&lt;$U$11+N($V$11)*12,130&lt;=p_MesFin),$O$11*(1-$W$11)/(N($V$11)*12),0)</f>
        <v>0</v>
      </c>
      <c r="EG50" s="13" t="n">
        <f aca="false">IF(AND(131&gt;=$U$11,N($V$11)&gt;0,131&lt;$U$11+N($V$11)*12,131&lt;=p_MesFin),$O$11*(1-$W$11)/(N($V$11)*12),0)</f>
        <v>0</v>
      </c>
      <c r="EH50" s="13" t="n">
        <f aca="false">IF(AND(132&gt;=$U$11,N($V$11)&gt;0,132&lt;$U$11+N($V$11)*12,132&lt;=p_MesFin),$O$11*(1-$W$11)/(N($V$11)*12),0)</f>
        <v>0</v>
      </c>
      <c r="EI50" s="13" t="n">
        <f aca="false">IF(AND(133&gt;=$U$11,N($V$11)&gt;0,133&lt;$U$11+N($V$11)*12,133&lt;=p_MesFin),$O$11*(1-$W$11)/(N($V$11)*12),0)</f>
        <v>0</v>
      </c>
      <c r="EJ50" s="13" t="n">
        <f aca="false">IF(AND(134&gt;=$U$11,N($V$11)&gt;0,134&lt;$U$11+N($V$11)*12,134&lt;=p_MesFin),$O$11*(1-$W$11)/(N($V$11)*12),0)</f>
        <v>0</v>
      </c>
      <c r="EK50" s="13" t="n">
        <f aca="false">IF(AND(135&gt;=$U$11,N($V$11)&gt;0,135&lt;$U$11+N($V$11)*12,135&lt;=p_MesFin),$O$11*(1-$W$11)/(N($V$11)*12),0)</f>
        <v>0</v>
      </c>
      <c r="EL50" s="13" t="n">
        <f aca="false">IF(AND(136&gt;=$U$11,N($V$11)&gt;0,136&lt;$U$11+N($V$11)*12,136&lt;=p_MesFin),$O$11*(1-$W$11)/(N($V$11)*12),0)</f>
        <v>0</v>
      </c>
      <c r="EM50" s="13" t="n">
        <f aca="false">IF(AND(137&gt;=$U$11,N($V$11)&gt;0,137&lt;$U$11+N($V$11)*12,137&lt;=p_MesFin),$O$11*(1-$W$11)/(N($V$11)*12),0)</f>
        <v>0</v>
      </c>
      <c r="EN50" s="13" t="n">
        <f aca="false">IF(AND(138&gt;=$U$11,N($V$11)&gt;0,138&lt;$U$11+N($V$11)*12,138&lt;=p_MesFin),$O$11*(1-$W$11)/(N($V$11)*12),0)</f>
        <v>0</v>
      </c>
      <c r="EO50" s="13" t="n">
        <f aca="false">IF(AND(139&gt;=$U$11,N($V$11)&gt;0,139&lt;$U$11+N($V$11)*12,139&lt;=p_MesFin),$O$11*(1-$W$11)/(N($V$11)*12),0)</f>
        <v>0</v>
      </c>
      <c r="EP50" s="13" t="n">
        <f aca="false">IF(AND(140&gt;=$U$11,N($V$11)&gt;0,140&lt;$U$11+N($V$11)*12,140&lt;=p_MesFin),$O$11*(1-$W$11)/(N($V$11)*12),0)</f>
        <v>0</v>
      </c>
      <c r="EQ50" s="13" t="n">
        <f aca="false">IF(AND(141&gt;=$U$11,N($V$11)&gt;0,141&lt;$U$11+N($V$11)*12,141&lt;=p_MesFin),$O$11*(1-$W$11)/(N($V$11)*12),0)</f>
        <v>0</v>
      </c>
      <c r="ER50" s="13" t="n">
        <f aca="false">IF(AND(142&gt;=$U$11,N($V$11)&gt;0,142&lt;$U$11+N($V$11)*12,142&lt;=p_MesFin),$O$11*(1-$W$11)/(N($V$11)*12),0)</f>
        <v>0</v>
      </c>
      <c r="ES50" s="13" t="n">
        <f aca="false">IF(AND(143&gt;=$U$11,N($V$11)&gt;0,143&lt;$U$11+N($V$11)*12,143&lt;=p_MesFin),$O$11*(1-$W$11)/(N($V$11)*12),0)</f>
        <v>0</v>
      </c>
      <c r="ET50" s="13" t="n">
        <f aca="false">IF(AND(144&gt;=$U$11,N($V$11)&gt;0,144&lt;$U$11+N($V$11)*12,144&lt;=p_MesFin),$O$11*(1-$W$11)/(N($V$11)*12),0)</f>
        <v>0</v>
      </c>
      <c r="EU50" s="13" t="n">
        <f aca="false">IF(AND(145&gt;=$U$11,N($V$11)&gt;0,145&lt;$U$11+N($V$11)*12,145&lt;=p_MesFin),$O$11*(1-$W$11)/(N($V$11)*12),0)</f>
        <v>0</v>
      </c>
      <c r="EV50" s="13" t="n">
        <f aca="false">IF(AND(146&gt;=$U$11,N($V$11)&gt;0,146&lt;$U$11+N($V$11)*12,146&lt;=p_MesFin),$O$11*(1-$W$11)/(N($V$11)*12),0)</f>
        <v>0</v>
      </c>
      <c r="EW50" s="13" t="n">
        <f aca="false">IF(AND(147&gt;=$U$11,N($V$11)&gt;0,147&lt;$U$11+N($V$11)*12,147&lt;=p_MesFin),$O$11*(1-$W$11)/(N($V$11)*12),0)</f>
        <v>0</v>
      </c>
      <c r="EX50" s="13" t="n">
        <f aca="false">IF(AND(148&gt;=$U$11,N($V$11)&gt;0,148&lt;$U$11+N($V$11)*12,148&lt;=p_MesFin),$O$11*(1-$W$11)/(N($V$11)*12),0)</f>
        <v>0</v>
      </c>
      <c r="EY50" s="13" t="n">
        <f aca="false">IF(AND(149&gt;=$U$11,N($V$11)&gt;0,149&lt;$U$11+N($V$11)*12,149&lt;=p_MesFin),$O$11*(1-$W$11)/(N($V$11)*12),0)</f>
        <v>0</v>
      </c>
      <c r="EZ50" s="13" t="n">
        <f aca="false">IF(AND(150&gt;=$U$11,N($V$11)&gt;0,150&lt;$U$11+N($V$11)*12,150&lt;=p_MesFin),$O$11*(1-$W$11)/(N($V$11)*12),0)</f>
        <v>0</v>
      </c>
      <c r="FA50" s="13" t="n">
        <f aca="false">IF(AND(151&gt;=$U$11,N($V$11)&gt;0,151&lt;$U$11+N($V$11)*12,151&lt;=p_MesFin),$O$11*(1-$W$11)/(N($V$11)*12),0)</f>
        <v>0</v>
      </c>
      <c r="FB50" s="13" t="n">
        <f aca="false">IF(AND(152&gt;=$U$11,N($V$11)&gt;0,152&lt;$U$11+N($V$11)*12,152&lt;=p_MesFin),$O$11*(1-$W$11)/(N($V$11)*12),0)</f>
        <v>0</v>
      </c>
      <c r="FC50" s="13" t="n">
        <f aca="false">IF(AND(153&gt;=$U$11,N($V$11)&gt;0,153&lt;$U$11+N($V$11)*12,153&lt;=p_MesFin),$O$11*(1-$W$11)/(N($V$11)*12),0)</f>
        <v>0</v>
      </c>
      <c r="FD50" s="13" t="n">
        <f aca="false">IF(AND(154&gt;=$U$11,N($V$11)&gt;0,154&lt;$U$11+N($V$11)*12,154&lt;=p_MesFin),$O$11*(1-$W$11)/(N($V$11)*12),0)</f>
        <v>0</v>
      </c>
      <c r="FE50" s="13" t="n">
        <f aca="false">IF(AND(155&gt;=$U$11,N($V$11)&gt;0,155&lt;$U$11+N($V$11)*12,155&lt;=p_MesFin),$O$11*(1-$W$11)/(N($V$11)*12),0)</f>
        <v>0</v>
      </c>
      <c r="FF50" s="13" t="n">
        <f aca="false">IF(AND(156&gt;=$U$11,N($V$11)&gt;0,156&lt;$U$11+N($V$11)*12,156&lt;=p_MesFin),$O$11*(1-$W$11)/(N($V$11)*12),0)</f>
        <v>0</v>
      </c>
    </row>
    <row r="51" customFormat="false" ht="15" hidden="false" customHeight="false" outlineLevel="0" collapsed="false">
      <c r="A51" s="2" t="s">
        <v>1250</v>
      </c>
      <c r="B51" s="8" t="s">
        <v>1251</v>
      </c>
      <c r="C51" s="8" t="s">
        <v>255</v>
      </c>
      <c r="E51" s="65" t="n">
        <f aca="false">SUM($F51:$FF51)</f>
        <v>589.160205615786</v>
      </c>
      <c r="F51" s="13" t="n">
        <f aca="false">IF(AND(0&gt;=$U$12,N($V$12)&gt;0,0&lt;$U$12+N($V$12)*12,0&lt;=p_MesFin),$O$12*(1-$W$12)/(N($V$12)*12),0)</f>
        <v>0</v>
      </c>
      <c r="G51" s="13" t="n">
        <f aca="false">IF(AND(1&gt;=$U$12,N($V$12)&gt;0,1&lt;$U$12+N($V$12)*12,1&lt;=p_MesFin),$O$12*(1-$W$12)/(N($V$12)*12),0)</f>
        <v>4.90966838013155</v>
      </c>
      <c r="H51" s="13" t="n">
        <f aca="false">IF(AND(2&gt;=$U$12,N($V$12)&gt;0,2&lt;$U$12+N($V$12)*12,2&lt;=p_MesFin),$O$12*(1-$W$12)/(N($V$12)*12),0)</f>
        <v>4.90966838013155</v>
      </c>
      <c r="I51" s="13" t="n">
        <f aca="false">IF(AND(3&gt;=$U$12,N($V$12)&gt;0,3&lt;$U$12+N($V$12)*12,3&lt;=p_MesFin),$O$12*(1-$W$12)/(N($V$12)*12),0)</f>
        <v>4.90966838013155</v>
      </c>
      <c r="J51" s="13" t="n">
        <f aca="false">IF(AND(4&gt;=$U$12,N($V$12)&gt;0,4&lt;$U$12+N($V$12)*12,4&lt;=p_MesFin),$O$12*(1-$W$12)/(N($V$12)*12),0)</f>
        <v>4.90966838013155</v>
      </c>
      <c r="K51" s="13" t="n">
        <f aca="false">IF(AND(5&gt;=$U$12,N($V$12)&gt;0,5&lt;$U$12+N($V$12)*12,5&lt;=p_MesFin),$O$12*(1-$W$12)/(N($V$12)*12),0)</f>
        <v>4.90966838013155</v>
      </c>
      <c r="L51" s="13" t="n">
        <f aca="false">IF(AND(6&gt;=$U$12,N($V$12)&gt;0,6&lt;$U$12+N($V$12)*12,6&lt;=p_MesFin),$O$12*(1-$W$12)/(N($V$12)*12),0)</f>
        <v>4.90966838013155</v>
      </c>
      <c r="M51" s="13" t="n">
        <f aca="false">IF(AND(7&gt;=$U$12,N($V$12)&gt;0,7&lt;$U$12+N($V$12)*12,7&lt;=p_MesFin),$O$12*(1-$W$12)/(N($V$12)*12),0)</f>
        <v>4.90966838013155</v>
      </c>
      <c r="N51" s="13" t="n">
        <f aca="false">IF(AND(8&gt;=$U$12,N($V$12)&gt;0,8&lt;$U$12+N($V$12)*12,8&lt;=p_MesFin),$O$12*(1-$W$12)/(N($V$12)*12),0)</f>
        <v>4.90966838013155</v>
      </c>
      <c r="O51" s="13" t="n">
        <f aca="false">IF(AND(9&gt;=$U$12,N($V$12)&gt;0,9&lt;$U$12+N($V$12)*12,9&lt;=p_MesFin),$O$12*(1-$W$12)/(N($V$12)*12),0)</f>
        <v>4.90966838013155</v>
      </c>
      <c r="P51" s="13" t="n">
        <f aca="false">IF(AND(10&gt;=$U$12,N($V$12)&gt;0,10&lt;$U$12+N($V$12)*12,10&lt;=p_MesFin),$O$12*(1-$W$12)/(N($V$12)*12),0)</f>
        <v>4.90966838013155</v>
      </c>
      <c r="Q51" s="13" t="n">
        <f aca="false">IF(AND(11&gt;=$U$12,N($V$12)&gt;0,11&lt;$U$12+N($V$12)*12,11&lt;=p_MesFin),$O$12*(1-$W$12)/(N($V$12)*12),0)</f>
        <v>4.90966838013155</v>
      </c>
      <c r="R51" s="13" t="n">
        <f aca="false">IF(AND(12&gt;=$U$12,N($V$12)&gt;0,12&lt;$U$12+N($V$12)*12,12&lt;=p_MesFin),$O$12*(1-$W$12)/(N($V$12)*12),0)</f>
        <v>4.90966838013155</v>
      </c>
      <c r="S51" s="13" t="n">
        <f aca="false">IF(AND(13&gt;=$U$12,N($V$12)&gt;0,13&lt;$U$12+N($V$12)*12,13&lt;=p_MesFin),$O$12*(1-$W$12)/(N($V$12)*12),0)</f>
        <v>4.90966838013155</v>
      </c>
      <c r="T51" s="13" t="n">
        <f aca="false">IF(AND(14&gt;=$U$12,N($V$12)&gt;0,14&lt;$U$12+N($V$12)*12,14&lt;=p_MesFin),$O$12*(1-$W$12)/(N($V$12)*12),0)</f>
        <v>4.90966838013155</v>
      </c>
      <c r="U51" s="13" t="n">
        <f aca="false">IF(AND(15&gt;=$U$12,N($V$12)&gt;0,15&lt;$U$12+N($V$12)*12,15&lt;=p_MesFin),$O$12*(1-$W$12)/(N($V$12)*12),0)</f>
        <v>4.90966838013155</v>
      </c>
      <c r="V51" s="13" t="n">
        <f aca="false">IF(AND(16&gt;=$U$12,N($V$12)&gt;0,16&lt;$U$12+N($V$12)*12,16&lt;=p_MesFin),$O$12*(1-$W$12)/(N($V$12)*12),0)</f>
        <v>4.90966838013155</v>
      </c>
      <c r="W51" s="13" t="n">
        <f aca="false">IF(AND(17&gt;=$U$12,N($V$12)&gt;0,17&lt;$U$12+N($V$12)*12,17&lt;=p_MesFin),$O$12*(1-$W$12)/(N($V$12)*12),0)</f>
        <v>4.90966838013155</v>
      </c>
      <c r="X51" s="13" t="n">
        <f aca="false">IF(AND(18&gt;=$U$12,N($V$12)&gt;0,18&lt;$U$12+N($V$12)*12,18&lt;=p_MesFin),$O$12*(1-$W$12)/(N($V$12)*12),0)</f>
        <v>4.90966838013155</v>
      </c>
      <c r="Y51" s="13" t="n">
        <f aca="false">IF(AND(19&gt;=$U$12,N($V$12)&gt;0,19&lt;$U$12+N($V$12)*12,19&lt;=p_MesFin),$O$12*(1-$W$12)/(N($V$12)*12),0)</f>
        <v>4.90966838013155</v>
      </c>
      <c r="Z51" s="13" t="n">
        <f aca="false">IF(AND(20&gt;=$U$12,N($V$12)&gt;0,20&lt;$U$12+N($V$12)*12,20&lt;=p_MesFin),$O$12*(1-$W$12)/(N($V$12)*12),0)</f>
        <v>4.90966838013155</v>
      </c>
      <c r="AA51" s="13" t="n">
        <f aca="false">IF(AND(21&gt;=$U$12,N($V$12)&gt;0,21&lt;$U$12+N($V$12)*12,21&lt;=p_MesFin),$O$12*(1-$W$12)/(N($V$12)*12),0)</f>
        <v>4.90966838013155</v>
      </c>
      <c r="AB51" s="13" t="n">
        <f aca="false">IF(AND(22&gt;=$U$12,N($V$12)&gt;0,22&lt;$U$12+N($V$12)*12,22&lt;=p_MesFin),$O$12*(1-$W$12)/(N($V$12)*12),0)</f>
        <v>4.90966838013155</v>
      </c>
      <c r="AC51" s="13" t="n">
        <f aca="false">IF(AND(23&gt;=$U$12,N($V$12)&gt;0,23&lt;$U$12+N($V$12)*12,23&lt;=p_MesFin),$O$12*(1-$W$12)/(N($V$12)*12),0)</f>
        <v>4.90966838013155</v>
      </c>
      <c r="AD51" s="13" t="n">
        <f aca="false">IF(AND(24&gt;=$U$12,N($V$12)&gt;0,24&lt;$U$12+N($V$12)*12,24&lt;=p_MesFin),$O$12*(1-$W$12)/(N($V$12)*12),0)</f>
        <v>4.90966838013155</v>
      </c>
      <c r="AE51" s="13" t="n">
        <f aca="false">IF(AND(25&gt;=$U$12,N($V$12)&gt;0,25&lt;$U$12+N($V$12)*12,25&lt;=p_MesFin),$O$12*(1-$W$12)/(N($V$12)*12),0)</f>
        <v>4.90966838013155</v>
      </c>
      <c r="AF51" s="13" t="n">
        <f aca="false">IF(AND(26&gt;=$U$12,N($V$12)&gt;0,26&lt;$U$12+N($V$12)*12,26&lt;=p_MesFin),$O$12*(1-$W$12)/(N($V$12)*12),0)</f>
        <v>4.90966838013155</v>
      </c>
      <c r="AG51" s="13" t="n">
        <f aca="false">IF(AND(27&gt;=$U$12,N($V$12)&gt;0,27&lt;$U$12+N($V$12)*12,27&lt;=p_MesFin),$O$12*(1-$W$12)/(N($V$12)*12),0)</f>
        <v>4.90966838013155</v>
      </c>
      <c r="AH51" s="13" t="n">
        <f aca="false">IF(AND(28&gt;=$U$12,N($V$12)&gt;0,28&lt;$U$12+N($V$12)*12,28&lt;=p_MesFin),$O$12*(1-$W$12)/(N($V$12)*12),0)</f>
        <v>4.90966838013155</v>
      </c>
      <c r="AI51" s="13" t="n">
        <f aca="false">IF(AND(29&gt;=$U$12,N($V$12)&gt;0,29&lt;$U$12+N($V$12)*12,29&lt;=p_MesFin),$O$12*(1-$W$12)/(N($V$12)*12),0)</f>
        <v>4.90966838013155</v>
      </c>
      <c r="AJ51" s="13" t="n">
        <f aca="false">IF(AND(30&gt;=$U$12,N($V$12)&gt;0,30&lt;$U$12+N($V$12)*12,30&lt;=p_MesFin),$O$12*(1-$W$12)/(N($V$12)*12),0)</f>
        <v>4.90966838013155</v>
      </c>
      <c r="AK51" s="13" t="n">
        <f aca="false">IF(AND(31&gt;=$U$12,N($V$12)&gt;0,31&lt;$U$12+N($V$12)*12,31&lt;=p_MesFin),$O$12*(1-$W$12)/(N($V$12)*12),0)</f>
        <v>4.90966838013155</v>
      </c>
      <c r="AL51" s="13" t="n">
        <f aca="false">IF(AND(32&gt;=$U$12,N($V$12)&gt;0,32&lt;$U$12+N($V$12)*12,32&lt;=p_MesFin),$O$12*(1-$W$12)/(N($V$12)*12),0)</f>
        <v>4.90966838013155</v>
      </c>
      <c r="AM51" s="13" t="n">
        <f aca="false">IF(AND(33&gt;=$U$12,N($V$12)&gt;0,33&lt;$U$12+N($V$12)*12,33&lt;=p_MesFin),$O$12*(1-$W$12)/(N($V$12)*12),0)</f>
        <v>4.90966838013155</v>
      </c>
      <c r="AN51" s="13" t="n">
        <f aca="false">IF(AND(34&gt;=$U$12,N($V$12)&gt;0,34&lt;$U$12+N($V$12)*12,34&lt;=p_MesFin),$O$12*(1-$W$12)/(N($V$12)*12),0)</f>
        <v>4.90966838013155</v>
      </c>
      <c r="AO51" s="13" t="n">
        <f aca="false">IF(AND(35&gt;=$U$12,N($V$12)&gt;0,35&lt;$U$12+N($V$12)*12,35&lt;=p_MesFin),$O$12*(1-$W$12)/(N($V$12)*12),0)</f>
        <v>4.90966838013155</v>
      </c>
      <c r="AP51" s="13" t="n">
        <f aca="false">IF(AND(36&gt;=$U$12,N($V$12)&gt;0,36&lt;$U$12+N($V$12)*12,36&lt;=p_MesFin),$O$12*(1-$W$12)/(N($V$12)*12),0)</f>
        <v>4.90966838013155</v>
      </c>
      <c r="AQ51" s="13" t="n">
        <f aca="false">IF(AND(37&gt;=$U$12,N($V$12)&gt;0,37&lt;$U$12+N($V$12)*12,37&lt;=p_MesFin),$O$12*(1-$W$12)/(N($V$12)*12),0)</f>
        <v>4.90966838013155</v>
      </c>
      <c r="AR51" s="13" t="n">
        <f aca="false">IF(AND(38&gt;=$U$12,N($V$12)&gt;0,38&lt;$U$12+N($V$12)*12,38&lt;=p_MesFin),$O$12*(1-$W$12)/(N($V$12)*12),0)</f>
        <v>4.90966838013155</v>
      </c>
      <c r="AS51" s="13" t="n">
        <f aca="false">IF(AND(39&gt;=$U$12,N($V$12)&gt;0,39&lt;$U$12+N($V$12)*12,39&lt;=p_MesFin),$O$12*(1-$W$12)/(N($V$12)*12),0)</f>
        <v>4.90966838013155</v>
      </c>
      <c r="AT51" s="13" t="n">
        <f aca="false">IF(AND(40&gt;=$U$12,N($V$12)&gt;0,40&lt;$U$12+N($V$12)*12,40&lt;=p_MesFin),$O$12*(1-$W$12)/(N($V$12)*12),0)</f>
        <v>4.90966838013155</v>
      </c>
      <c r="AU51" s="13" t="n">
        <f aca="false">IF(AND(41&gt;=$U$12,N($V$12)&gt;0,41&lt;$U$12+N($V$12)*12,41&lt;=p_MesFin),$O$12*(1-$W$12)/(N($V$12)*12),0)</f>
        <v>4.90966838013155</v>
      </c>
      <c r="AV51" s="13" t="n">
        <f aca="false">IF(AND(42&gt;=$U$12,N($V$12)&gt;0,42&lt;$U$12+N($V$12)*12,42&lt;=p_MesFin),$O$12*(1-$W$12)/(N($V$12)*12),0)</f>
        <v>4.90966838013155</v>
      </c>
      <c r="AW51" s="13" t="n">
        <f aca="false">IF(AND(43&gt;=$U$12,N($V$12)&gt;0,43&lt;$U$12+N($V$12)*12,43&lt;=p_MesFin),$O$12*(1-$W$12)/(N($V$12)*12),0)</f>
        <v>4.90966838013155</v>
      </c>
      <c r="AX51" s="13" t="n">
        <f aca="false">IF(AND(44&gt;=$U$12,N($V$12)&gt;0,44&lt;$U$12+N($V$12)*12,44&lt;=p_MesFin),$O$12*(1-$W$12)/(N($V$12)*12),0)</f>
        <v>4.90966838013155</v>
      </c>
      <c r="AY51" s="13" t="n">
        <f aca="false">IF(AND(45&gt;=$U$12,N($V$12)&gt;0,45&lt;$U$12+N($V$12)*12,45&lt;=p_MesFin),$O$12*(1-$W$12)/(N($V$12)*12),0)</f>
        <v>4.90966838013155</v>
      </c>
      <c r="AZ51" s="13" t="n">
        <f aca="false">IF(AND(46&gt;=$U$12,N($V$12)&gt;0,46&lt;$U$12+N($V$12)*12,46&lt;=p_MesFin),$O$12*(1-$W$12)/(N($V$12)*12),0)</f>
        <v>4.90966838013155</v>
      </c>
      <c r="BA51" s="13" t="n">
        <f aca="false">IF(AND(47&gt;=$U$12,N($V$12)&gt;0,47&lt;$U$12+N($V$12)*12,47&lt;=p_MesFin),$O$12*(1-$W$12)/(N($V$12)*12),0)</f>
        <v>4.90966838013155</v>
      </c>
      <c r="BB51" s="13" t="n">
        <f aca="false">IF(AND(48&gt;=$U$12,N($V$12)&gt;0,48&lt;$U$12+N($V$12)*12,48&lt;=p_MesFin),$O$12*(1-$W$12)/(N($V$12)*12),0)</f>
        <v>4.90966838013155</v>
      </c>
      <c r="BC51" s="13" t="n">
        <f aca="false">IF(AND(49&gt;=$U$12,N($V$12)&gt;0,49&lt;$U$12+N($V$12)*12,49&lt;=p_MesFin),$O$12*(1-$W$12)/(N($V$12)*12),0)</f>
        <v>4.90966838013155</v>
      </c>
      <c r="BD51" s="13" t="n">
        <f aca="false">IF(AND(50&gt;=$U$12,N($V$12)&gt;0,50&lt;$U$12+N($V$12)*12,50&lt;=p_MesFin),$O$12*(1-$W$12)/(N($V$12)*12),0)</f>
        <v>4.90966838013155</v>
      </c>
      <c r="BE51" s="13" t="n">
        <f aca="false">IF(AND(51&gt;=$U$12,N($V$12)&gt;0,51&lt;$U$12+N($V$12)*12,51&lt;=p_MesFin),$O$12*(1-$W$12)/(N($V$12)*12),0)</f>
        <v>4.90966838013155</v>
      </c>
      <c r="BF51" s="13" t="n">
        <f aca="false">IF(AND(52&gt;=$U$12,N($V$12)&gt;0,52&lt;$U$12+N($V$12)*12,52&lt;=p_MesFin),$O$12*(1-$W$12)/(N($V$12)*12),0)</f>
        <v>4.90966838013155</v>
      </c>
      <c r="BG51" s="13" t="n">
        <f aca="false">IF(AND(53&gt;=$U$12,N($V$12)&gt;0,53&lt;$U$12+N($V$12)*12,53&lt;=p_MesFin),$O$12*(1-$W$12)/(N($V$12)*12),0)</f>
        <v>4.90966838013155</v>
      </c>
      <c r="BH51" s="13" t="n">
        <f aca="false">IF(AND(54&gt;=$U$12,N($V$12)&gt;0,54&lt;$U$12+N($V$12)*12,54&lt;=p_MesFin),$O$12*(1-$W$12)/(N($V$12)*12),0)</f>
        <v>4.90966838013155</v>
      </c>
      <c r="BI51" s="13" t="n">
        <f aca="false">IF(AND(55&gt;=$U$12,N($V$12)&gt;0,55&lt;$U$12+N($V$12)*12,55&lt;=p_MesFin),$O$12*(1-$W$12)/(N($V$12)*12),0)</f>
        <v>4.90966838013155</v>
      </c>
      <c r="BJ51" s="13" t="n">
        <f aca="false">IF(AND(56&gt;=$U$12,N($V$12)&gt;0,56&lt;$U$12+N($V$12)*12,56&lt;=p_MesFin),$O$12*(1-$W$12)/(N($V$12)*12),0)</f>
        <v>4.90966838013155</v>
      </c>
      <c r="BK51" s="13" t="n">
        <f aca="false">IF(AND(57&gt;=$U$12,N($V$12)&gt;0,57&lt;$U$12+N($V$12)*12,57&lt;=p_MesFin),$O$12*(1-$W$12)/(N($V$12)*12),0)</f>
        <v>4.90966838013155</v>
      </c>
      <c r="BL51" s="13" t="n">
        <f aca="false">IF(AND(58&gt;=$U$12,N($V$12)&gt;0,58&lt;$U$12+N($V$12)*12,58&lt;=p_MesFin),$O$12*(1-$W$12)/(N($V$12)*12),0)</f>
        <v>4.90966838013155</v>
      </c>
      <c r="BM51" s="13" t="n">
        <f aca="false">IF(AND(59&gt;=$U$12,N($V$12)&gt;0,59&lt;$U$12+N($V$12)*12,59&lt;=p_MesFin),$O$12*(1-$W$12)/(N($V$12)*12),0)</f>
        <v>4.90966838013155</v>
      </c>
      <c r="BN51" s="13" t="n">
        <f aca="false">IF(AND(60&gt;=$U$12,N($V$12)&gt;0,60&lt;$U$12+N($V$12)*12,60&lt;=p_MesFin),$O$12*(1-$W$12)/(N($V$12)*12),0)</f>
        <v>4.90966838013155</v>
      </c>
      <c r="BO51" s="13" t="n">
        <f aca="false">IF(AND(61&gt;=$U$12,N($V$12)&gt;0,61&lt;$U$12+N($V$12)*12,61&lt;=p_MesFin),$O$12*(1-$W$12)/(N($V$12)*12),0)</f>
        <v>4.90966838013155</v>
      </c>
      <c r="BP51" s="13" t="n">
        <f aca="false">IF(AND(62&gt;=$U$12,N($V$12)&gt;0,62&lt;$U$12+N($V$12)*12,62&lt;=p_MesFin),$O$12*(1-$W$12)/(N($V$12)*12),0)</f>
        <v>4.90966838013155</v>
      </c>
      <c r="BQ51" s="13" t="n">
        <f aca="false">IF(AND(63&gt;=$U$12,N($V$12)&gt;0,63&lt;$U$12+N($V$12)*12,63&lt;=p_MesFin),$O$12*(1-$W$12)/(N($V$12)*12),0)</f>
        <v>4.90966838013155</v>
      </c>
      <c r="BR51" s="13" t="n">
        <f aca="false">IF(AND(64&gt;=$U$12,N($V$12)&gt;0,64&lt;$U$12+N($V$12)*12,64&lt;=p_MesFin),$O$12*(1-$W$12)/(N($V$12)*12),0)</f>
        <v>4.90966838013155</v>
      </c>
      <c r="BS51" s="13" t="n">
        <f aca="false">IF(AND(65&gt;=$U$12,N($V$12)&gt;0,65&lt;$U$12+N($V$12)*12,65&lt;=p_MesFin),$O$12*(1-$W$12)/(N($V$12)*12),0)</f>
        <v>4.90966838013155</v>
      </c>
      <c r="BT51" s="13" t="n">
        <f aca="false">IF(AND(66&gt;=$U$12,N($V$12)&gt;0,66&lt;$U$12+N($V$12)*12,66&lt;=p_MesFin),$O$12*(1-$W$12)/(N($V$12)*12),0)</f>
        <v>4.90966838013155</v>
      </c>
      <c r="BU51" s="13" t="n">
        <f aca="false">IF(AND(67&gt;=$U$12,N($V$12)&gt;0,67&lt;$U$12+N($V$12)*12,67&lt;=p_MesFin),$O$12*(1-$W$12)/(N($V$12)*12),0)</f>
        <v>4.90966838013155</v>
      </c>
      <c r="BV51" s="13" t="n">
        <f aca="false">IF(AND(68&gt;=$U$12,N($V$12)&gt;0,68&lt;$U$12+N($V$12)*12,68&lt;=p_MesFin),$O$12*(1-$W$12)/(N($V$12)*12),0)</f>
        <v>4.90966838013155</v>
      </c>
      <c r="BW51" s="13" t="n">
        <f aca="false">IF(AND(69&gt;=$U$12,N($V$12)&gt;0,69&lt;$U$12+N($V$12)*12,69&lt;=p_MesFin),$O$12*(1-$W$12)/(N($V$12)*12),0)</f>
        <v>4.90966838013155</v>
      </c>
      <c r="BX51" s="13" t="n">
        <f aca="false">IF(AND(70&gt;=$U$12,N($V$12)&gt;0,70&lt;$U$12+N($V$12)*12,70&lt;=p_MesFin),$O$12*(1-$W$12)/(N($V$12)*12),0)</f>
        <v>4.90966838013155</v>
      </c>
      <c r="BY51" s="13" t="n">
        <f aca="false">IF(AND(71&gt;=$U$12,N($V$12)&gt;0,71&lt;$U$12+N($V$12)*12,71&lt;=p_MesFin),$O$12*(1-$W$12)/(N($V$12)*12),0)</f>
        <v>4.90966838013155</v>
      </c>
      <c r="BZ51" s="13" t="n">
        <f aca="false">IF(AND(72&gt;=$U$12,N($V$12)&gt;0,72&lt;$U$12+N($V$12)*12,72&lt;=p_MesFin),$O$12*(1-$W$12)/(N($V$12)*12),0)</f>
        <v>4.90966838013155</v>
      </c>
      <c r="CA51" s="13" t="n">
        <f aca="false">IF(AND(73&gt;=$U$12,N($V$12)&gt;0,73&lt;$U$12+N($V$12)*12,73&lt;=p_MesFin),$O$12*(1-$W$12)/(N($V$12)*12),0)</f>
        <v>4.90966838013155</v>
      </c>
      <c r="CB51" s="13" t="n">
        <f aca="false">IF(AND(74&gt;=$U$12,N($V$12)&gt;0,74&lt;$U$12+N($V$12)*12,74&lt;=p_MesFin),$O$12*(1-$W$12)/(N($V$12)*12),0)</f>
        <v>4.90966838013155</v>
      </c>
      <c r="CC51" s="13" t="n">
        <f aca="false">IF(AND(75&gt;=$U$12,N($V$12)&gt;0,75&lt;$U$12+N($V$12)*12,75&lt;=p_MesFin),$O$12*(1-$W$12)/(N($V$12)*12),0)</f>
        <v>4.90966838013155</v>
      </c>
      <c r="CD51" s="13" t="n">
        <f aca="false">IF(AND(76&gt;=$U$12,N($V$12)&gt;0,76&lt;$U$12+N($V$12)*12,76&lt;=p_MesFin),$O$12*(1-$W$12)/(N($V$12)*12),0)</f>
        <v>4.90966838013155</v>
      </c>
      <c r="CE51" s="13" t="n">
        <f aca="false">IF(AND(77&gt;=$U$12,N($V$12)&gt;0,77&lt;$U$12+N($V$12)*12,77&lt;=p_MesFin),$O$12*(1-$W$12)/(N($V$12)*12),0)</f>
        <v>4.90966838013155</v>
      </c>
      <c r="CF51" s="13" t="n">
        <f aca="false">IF(AND(78&gt;=$U$12,N($V$12)&gt;0,78&lt;$U$12+N($V$12)*12,78&lt;=p_MesFin),$O$12*(1-$W$12)/(N($V$12)*12),0)</f>
        <v>4.90966838013155</v>
      </c>
      <c r="CG51" s="13" t="n">
        <f aca="false">IF(AND(79&gt;=$U$12,N($V$12)&gt;0,79&lt;$U$12+N($V$12)*12,79&lt;=p_MesFin),$O$12*(1-$W$12)/(N($V$12)*12),0)</f>
        <v>4.90966838013155</v>
      </c>
      <c r="CH51" s="13" t="n">
        <f aca="false">IF(AND(80&gt;=$U$12,N($V$12)&gt;0,80&lt;$U$12+N($V$12)*12,80&lt;=p_MesFin),$O$12*(1-$W$12)/(N($V$12)*12),0)</f>
        <v>4.90966838013155</v>
      </c>
      <c r="CI51" s="13" t="n">
        <f aca="false">IF(AND(81&gt;=$U$12,N($V$12)&gt;0,81&lt;$U$12+N($V$12)*12,81&lt;=p_MesFin),$O$12*(1-$W$12)/(N($V$12)*12),0)</f>
        <v>4.90966838013155</v>
      </c>
      <c r="CJ51" s="13" t="n">
        <f aca="false">IF(AND(82&gt;=$U$12,N($V$12)&gt;0,82&lt;$U$12+N($V$12)*12,82&lt;=p_MesFin),$O$12*(1-$W$12)/(N($V$12)*12),0)</f>
        <v>4.90966838013155</v>
      </c>
      <c r="CK51" s="13" t="n">
        <f aca="false">IF(AND(83&gt;=$U$12,N($V$12)&gt;0,83&lt;$U$12+N($V$12)*12,83&lt;=p_MesFin),$O$12*(1-$W$12)/(N($V$12)*12),0)</f>
        <v>4.90966838013155</v>
      </c>
      <c r="CL51" s="13" t="n">
        <f aca="false">IF(AND(84&gt;=$U$12,N($V$12)&gt;0,84&lt;$U$12+N($V$12)*12,84&lt;=p_MesFin),$O$12*(1-$W$12)/(N($V$12)*12),0)</f>
        <v>4.90966838013155</v>
      </c>
      <c r="CM51" s="13" t="n">
        <f aca="false">IF(AND(85&gt;=$U$12,N($V$12)&gt;0,85&lt;$U$12+N($V$12)*12,85&lt;=p_MesFin),$O$12*(1-$W$12)/(N($V$12)*12),0)</f>
        <v>4.90966838013155</v>
      </c>
      <c r="CN51" s="13" t="n">
        <f aca="false">IF(AND(86&gt;=$U$12,N($V$12)&gt;0,86&lt;$U$12+N($V$12)*12,86&lt;=p_MesFin),$O$12*(1-$W$12)/(N($V$12)*12),0)</f>
        <v>4.90966838013155</v>
      </c>
      <c r="CO51" s="13" t="n">
        <f aca="false">IF(AND(87&gt;=$U$12,N($V$12)&gt;0,87&lt;$U$12+N($V$12)*12,87&lt;=p_MesFin),$O$12*(1-$W$12)/(N($V$12)*12),0)</f>
        <v>4.90966838013155</v>
      </c>
      <c r="CP51" s="13" t="n">
        <f aca="false">IF(AND(88&gt;=$U$12,N($V$12)&gt;0,88&lt;$U$12+N($V$12)*12,88&lt;=p_MesFin),$O$12*(1-$W$12)/(N($V$12)*12),0)</f>
        <v>4.90966838013155</v>
      </c>
      <c r="CQ51" s="13" t="n">
        <f aca="false">IF(AND(89&gt;=$U$12,N($V$12)&gt;0,89&lt;$U$12+N($V$12)*12,89&lt;=p_MesFin),$O$12*(1-$W$12)/(N($V$12)*12),0)</f>
        <v>4.90966838013155</v>
      </c>
      <c r="CR51" s="13" t="n">
        <f aca="false">IF(AND(90&gt;=$U$12,N($V$12)&gt;0,90&lt;$U$12+N($V$12)*12,90&lt;=p_MesFin),$O$12*(1-$W$12)/(N($V$12)*12),0)</f>
        <v>4.90966838013155</v>
      </c>
      <c r="CS51" s="13" t="n">
        <f aca="false">IF(AND(91&gt;=$U$12,N($V$12)&gt;0,91&lt;$U$12+N($V$12)*12,91&lt;=p_MesFin),$O$12*(1-$W$12)/(N($V$12)*12),0)</f>
        <v>4.90966838013155</v>
      </c>
      <c r="CT51" s="13" t="n">
        <f aca="false">IF(AND(92&gt;=$U$12,N($V$12)&gt;0,92&lt;$U$12+N($V$12)*12,92&lt;=p_MesFin),$O$12*(1-$W$12)/(N($V$12)*12),0)</f>
        <v>4.90966838013155</v>
      </c>
      <c r="CU51" s="13" t="n">
        <f aca="false">IF(AND(93&gt;=$U$12,N($V$12)&gt;0,93&lt;$U$12+N($V$12)*12,93&lt;=p_MesFin),$O$12*(1-$W$12)/(N($V$12)*12),0)</f>
        <v>4.90966838013155</v>
      </c>
      <c r="CV51" s="13" t="n">
        <f aca="false">IF(AND(94&gt;=$U$12,N($V$12)&gt;0,94&lt;$U$12+N($V$12)*12,94&lt;=p_MesFin),$O$12*(1-$W$12)/(N($V$12)*12),0)</f>
        <v>4.90966838013155</v>
      </c>
      <c r="CW51" s="13" t="n">
        <f aca="false">IF(AND(95&gt;=$U$12,N($V$12)&gt;0,95&lt;$U$12+N($V$12)*12,95&lt;=p_MesFin),$O$12*(1-$W$12)/(N($V$12)*12),0)</f>
        <v>4.90966838013155</v>
      </c>
      <c r="CX51" s="13" t="n">
        <f aca="false">IF(AND(96&gt;=$U$12,N($V$12)&gt;0,96&lt;$U$12+N($V$12)*12,96&lt;=p_MesFin),$O$12*(1-$W$12)/(N($V$12)*12),0)</f>
        <v>4.90966838013155</v>
      </c>
      <c r="CY51" s="13" t="n">
        <f aca="false">IF(AND(97&gt;=$U$12,N($V$12)&gt;0,97&lt;$U$12+N($V$12)*12,97&lt;=p_MesFin),$O$12*(1-$W$12)/(N($V$12)*12),0)</f>
        <v>4.90966838013155</v>
      </c>
      <c r="CZ51" s="13" t="n">
        <f aca="false">IF(AND(98&gt;=$U$12,N($V$12)&gt;0,98&lt;$U$12+N($V$12)*12,98&lt;=p_MesFin),$O$12*(1-$W$12)/(N($V$12)*12),0)</f>
        <v>4.90966838013155</v>
      </c>
      <c r="DA51" s="13" t="n">
        <f aca="false">IF(AND(99&gt;=$U$12,N($V$12)&gt;0,99&lt;$U$12+N($V$12)*12,99&lt;=p_MesFin),$O$12*(1-$W$12)/(N($V$12)*12),0)</f>
        <v>4.90966838013155</v>
      </c>
      <c r="DB51" s="13" t="n">
        <f aca="false">IF(AND(100&gt;=$U$12,N($V$12)&gt;0,100&lt;$U$12+N($V$12)*12,100&lt;=p_MesFin),$O$12*(1-$W$12)/(N($V$12)*12),0)</f>
        <v>4.90966838013155</v>
      </c>
      <c r="DC51" s="13" t="n">
        <f aca="false">IF(AND(101&gt;=$U$12,N($V$12)&gt;0,101&lt;$U$12+N($V$12)*12,101&lt;=p_MesFin),$O$12*(1-$W$12)/(N($V$12)*12),0)</f>
        <v>4.90966838013155</v>
      </c>
      <c r="DD51" s="13" t="n">
        <f aca="false">IF(AND(102&gt;=$U$12,N($V$12)&gt;0,102&lt;$U$12+N($V$12)*12,102&lt;=p_MesFin),$O$12*(1-$W$12)/(N($V$12)*12),0)</f>
        <v>4.90966838013155</v>
      </c>
      <c r="DE51" s="13" t="n">
        <f aca="false">IF(AND(103&gt;=$U$12,N($V$12)&gt;0,103&lt;$U$12+N($V$12)*12,103&lt;=p_MesFin),$O$12*(1-$W$12)/(N($V$12)*12),0)</f>
        <v>4.90966838013155</v>
      </c>
      <c r="DF51" s="13" t="n">
        <f aca="false">IF(AND(104&gt;=$U$12,N($V$12)&gt;0,104&lt;$U$12+N($V$12)*12,104&lt;=p_MesFin),$O$12*(1-$W$12)/(N($V$12)*12),0)</f>
        <v>4.90966838013155</v>
      </c>
      <c r="DG51" s="13" t="n">
        <f aca="false">IF(AND(105&gt;=$U$12,N($V$12)&gt;0,105&lt;$U$12+N($V$12)*12,105&lt;=p_MesFin),$O$12*(1-$W$12)/(N($V$12)*12),0)</f>
        <v>4.90966838013155</v>
      </c>
      <c r="DH51" s="13" t="n">
        <f aca="false">IF(AND(106&gt;=$U$12,N($V$12)&gt;0,106&lt;$U$12+N($V$12)*12,106&lt;=p_MesFin),$O$12*(1-$W$12)/(N($V$12)*12),0)</f>
        <v>4.90966838013155</v>
      </c>
      <c r="DI51" s="13" t="n">
        <f aca="false">IF(AND(107&gt;=$U$12,N($V$12)&gt;0,107&lt;$U$12+N($V$12)*12,107&lt;=p_MesFin),$O$12*(1-$W$12)/(N($V$12)*12),0)</f>
        <v>4.90966838013155</v>
      </c>
      <c r="DJ51" s="13" t="n">
        <f aca="false">IF(AND(108&gt;=$U$12,N($V$12)&gt;0,108&lt;$U$12+N($V$12)*12,108&lt;=p_MesFin),$O$12*(1-$W$12)/(N($V$12)*12),0)</f>
        <v>4.90966838013155</v>
      </c>
      <c r="DK51" s="13" t="n">
        <f aca="false">IF(AND(109&gt;=$U$12,N($V$12)&gt;0,109&lt;$U$12+N($V$12)*12,109&lt;=p_MesFin),$O$12*(1-$W$12)/(N($V$12)*12),0)</f>
        <v>4.90966838013155</v>
      </c>
      <c r="DL51" s="13" t="n">
        <f aca="false">IF(AND(110&gt;=$U$12,N($V$12)&gt;0,110&lt;$U$12+N($V$12)*12,110&lt;=p_MesFin),$O$12*(1-$W$12)/(N($V$12)*12),0)</f>
        <v>4.90966838013155</v>
      </c>
      <c r="DM51" s="13" t="n">
        <f aca="false">IF(AND(111&gt;=$U$12,N($V$12)&gt;0,111&lt;$U$12+N($V$12)*12,111&lt;=p_MesFin),$O$12*(1-$W$12)/(N($V$12)*12),0)</f>
        <v>4.90966838013155</v>
      </c>
      <c r="DN51" s="13" t="n">
        <f aca="false">IF(AND(112&gt;=$U$12,N($V$12)&gt;0,112&lt;$U$12+N($V$12)*12,112&lt;=p_MesFin),$O$12*(1-$W$12)/(N($V$12)*12),0)</f>
        <v>4.90966838013155</v>
      </c>
      <c r="DO51" s="13" t="n">
        <f aca="false">IF(AND(113&gt;=$U$12,N($V$12)&gt;0,113&lt;$U$12+N($V$12)*12,113&lt;=p_MesFin),$O$12*(1-$W$12)/(N($V$12)*12),0)</f>
        <v>4.90966838013155</v>
      </c>
      <c r="DP51" s="13" t="n">
        <f aca="false">IF(AND(114&gt;=$U$12,N($V$12)&gt;0,114&lt;$U$12+N($V$12)*12,114&lt;=p_MesFin),$O$12*(1-$W$12)/(N($V$12)*12),0)</f>
        <v>4.90966838013155</v>
      </c>
      <c r="DQ51" s="13" t="n">
        <f aca="false">IF(AND(115&gt;=$U$12,N($V$12)&gt;0,115&lt;$U$12+N($V$12)*12,115&lt;=p_MesFin),$O$12*(1-$W$12)/(N($V$12)*12),0)</f>
        <v>4.90966838013155</v>
      </c>
      <c r="DR51" s="13" t="n">
        <f aca="false">IF(AND(116&gt;=$U$12,N($V$12)&gt;0,116&lt;$U$12+N($V$12)*12,116&lt;=p_MesFin),$O$12*(1-$W$12)/(N($V$12)*12),0)</f>
        <v>4.90966838013155</v>
      </c>
      <c r="DS51" s="13" t="n">
        <f aca="false">IF(AND(117&gt;=$U$12,N($V$12)&gt;0,117&lt;$U$12+N($V$12)*12,117&lt;=p_MesFin),$O$12*(1-$W$12)/(N($V$12)*12),0)</f>
        <v>4.90966838013155</v>
      </c>
      <c r="DT51" s="13" t="n">
        <f aca="false">IF(AND(118&gt;=$U$12,N($V$12)&gt;0,118&lt;$U$12+N($V$12)*12,118&lt;=p_MesFin),$O$12*(1-$W$12)/(N($V$12)*12),0)</f>
        <v>4.90966838013155</v>
      </c>
      <c r="DU51" s="13" t="n">
        <f aca="false">IF(AND(119&gt;=$U$12,N($V$12)&gt;0,119&lt;$U$12+N($V$12)*12,119&lt;=p_MesFin),$O$12*(1-$W$12)/(N($V$12)*12),0)</f>
        <v>4.90966838013155</v>
      </c>
      <c r="DV51" s="13" t="n">
        <f aca="false">IF(AND(120&gt;=$U$12,N($V$12)&gt;0,120&lt;$U$12+N($V$12)*12,120&lt;=p_MesFin),$O$12*(1-$W$12)/(N($V$12)*12),0)</f>
        <v>4.90966838013155</v>
      </c>
      <c r="DW51" s="13" t="n">
        <f aca="false">IF(AND(121&gt;=$U$12,N($V$12)&gt;0,121&lt;$U$12+N($V$12)*12,121&lt;=p_MesFin),$O$12*(1-$W$12)/(N($V$12)*12),0)</f>
        <v>0</v>
      </c>
      <c r="DX51" s="13" t="n">
        <f aca="false">IF(AND(122&gt;=$U$12,N($V$12)&gt;0,122&lt;$U$12+N($V$12)*12,122&lt;=p_MesFin),$O$12*(1-$W$12)/(N($V$12)*12),0)</f>
        <v>0</v>
      </c>
      <c r="DY51" s="13" t="n">
        <f aca="false">IF(AND(123&gt;=$U$12,N($V$12)&gt;0,123&lt;$U$12+N($V$12)*12,123&lt;=p_MesFin),$O$12*(1-$W$12)/(N($V$12)*12),0)</f>
        <v>0</v>
      </c>
      <c r="DZ51" s="13" t="n">
        <f aca="false">IF(AND(124&gt;=$U$12,N($V$12)&gt;0,124&lt;$U$12+N($V$12)*12,124&lt;=p_MesFin),$O$12*(1-$W$12)/(N($V$12)*12),0)</f>
        <v>0</v>
      </c>
      <c r="EA51" s="13" t="n">
        <f aca="false">IF(AND(125&gt;=$U$12,N($V$12)&gt;0,125&lt;$U$12+N($V$12)*12,125&lt;=p_MesFin),$O$12*(1-$W$12)/(N($V$12)*12),0)</f>
        <v>0</v>
      </c>
      <c r="EB51" s="13" t="n">
        <f aca="false">IF(AND(126&gt;=$U$12,N($V$12)&gt;0,126&lt;$U$12+N($V$12)*12,126&lt;=p_MesFin),$O$12*(1-$W$12)/(N($V$12)*12),0)</f>
        <v>0</v>
      </c>
      <c r="EC51" s="13" t="n">
        <f aca="false">IF(AND(127&gt;=$U$12,N($V$12)&gt;0,127&lt;$U$12+N($V$12)*12,127&lt;=p_MesFin),$O$12*(1-$W$12)/(N($V$12)*12),0)</f>
        <v>0</v>
      </c>
      <c r="ED51" s="13" t="n">
        <f aca="false">IF(AND(128&gt;=$U$12,N($V$12)&gt;0,128&lt;$U$12+N($V$12)*12,128&lt;=p_MesFin),$O$12*(1-$W$12)/(N($V$12)*12),0)</f>
        <v>0</v>
      </c>
      <c r="EE51" s="13" t="n">
        <f aca="false">IF(AND(129&gt;=$U$12,N($V$12)&gt;0,129&lt;$U$12+N($V$12)*12,129&lt;=p_MesFin),$O$12*(1-$W$12)/(N($V$12)*12),0)</f>
        <v>0</v>
      </c>
      <c r="EF51" s="13" t="n">
        <f aca="false">IF(AND(130&gt;=$U$12,N($V$12)&gt;0,130&lt;$U$12+N($V$12)*12,130&lt;=p_MesFin),$O$12*(1-$W$12)/(N($V$12)*12),0)</f>
        <v>0</v>
      </c>
      <c r="EG51" s="13" t="n">
        <f aca="false">IF(AND(131&gt;=$U$12,N($V$12)&gt;0,131&lt;$U$12+N($V$12)*12,131&lt;=p_MesFin),$O$12*(1-$W$12)/(N($V$12)*12),0)</f>
        <v>0</v>
      </c>
      <c r="EH51" s="13" t="n">
        <f aca="false">IF(AND(132&gt;=$U$12,N($V$12)&gt;0,132&lt;$U$12+N($V$12)*12,132&lt;=p_MesFin),$O$12*(1-$W$12)/(N($V$12)*12),0)</f>
        <v>0</v>
      </c>
      <c r="EI51" s="13" t="n">
        <f aca="false">IF(AND(133&gt;=$U$12,N($V$12)&gt;0,133&lt;$U$12+N($V$12)*12,133&lt;=p_MesFin),$O$12*(1-$W$12)/(N($V$12)*12),0)</f>
        <v>0</v>
      </c>
      <c r="EJ51" s="13" t="n">
        <f aca="false">IF(AND(134&gt;=$U$12,N($V$12)&gt;0,134&lt;$U$12+N($V$12)*12,134&lt;=p_MesFin),$O$12*(1-$W$12)/(N($V$12)*12),0)</f>
        <v>0</v>
      </c>
      <c r="EK51" s="13" t="n">
        <f aca="false">IF(AND(135&gt;=$U$12,N($V$12)&gt;0,135&lt;$U$12+N($V$12)*12,135&lt;=p_MesFin),$O$12*(1-$W$12)/(N($V$12)*12),0)</f>
        <v>0</v>
      </c>
      <c r="EL51" s="13" t="n">
        <f aca="false">IF(AND(136&gt;=$U$12,N($V$12)&gt;0,136&lt;$U$12+N($V$12)*12,136&lt;=p_MesFin),$O$12*(1-$W$12)/(N($V$12)*12),0)</f>
        <v>0</v>
      </c>
      <c r="EM51" s="13" t="n">
        <f aca="false">IF(AND(137&gt;=$U$12,N($V$12)&gt;0,137&lt;$U$12+N($V$12)*12,137&lt;=p_MesFin),$O$12*(1-$W$12)/(N($V$12)*12),0)</f>
        <v>0</v>
      </c>
      <c r="EN51" s="13" t="n">
        <f aca="false">IF(AND(138&gt;=$U$12,N($V$12)&gt;0,138&lt;$U$12+N($V$12)*12,138&lt;=p_MesFin),$O$12*(1-$W$12)/(N($V$12)*12),0)</f>
        <v>0</v>
      </c>
      <c r="EO51" s="13" t="n">
        <f aca="false">IF(AND(139&gt;=$U$12,N($V$12)&gt;0,139&lt;$U$12+N($V$12)*12,139&lt;=p_MesFin),$O$12*(1-$W$12)/(N($V$12)*12),0)</f>
        <v>0</v>
      </c>
      <c r="EP51" s="13" t="n">
        <f aca="false">IF(AND(140&gt;=$U$12,N($V$12)&gt;0,140&lt;$U$12+N($V$12)*12,140&lt;=p_MesFin),$O$12*(1-$W$12)/(N($V$12)*12),0)</f>
        <v>0</v>
      </c>
      <c r="EQ51" s="13" t="n">
        <f aca="false">IF(AND(141&gt;=$U$12,N($V$12)&gt;0,141&lt;$U$12+N($V$12)*12,141&lt;=p_MesFin),$O$12*(1-$W$12)/(N($V$12)*12),0)</f>
        <v>0</v>
      </c>
      <c r="ER51" s="13" t="n">
        <f aca="false">IF(AND(142&gt;=$U$12,N($V$12)&gt;0,142&lt;$U$12+N($V$12)*12,142&lt;=p_MesFin),$O$12*(1-$W$12)/(N($V$12)*12),0)</f>
        <v>0</v>
      </c>
      <c r="ES51" s="13" t="n">
        <f aca="false">IF(AND(143&gt;=$U$12,N($V$12)&gt;0,143&lt;$U$12+N($V$12)*12,143&lt;=p_MesFin),$O$12*(1-$W$12)/(N($V$12)*12),0)</f>
        <v>0</v>
      </c>
      <c r="ET51" s="13" t="n">
        <f aca="false">IF(AND(144&gt;=$U$12,N($V$12)&gt;0,144&lt;$U$12+N($V$12)*12,144&lt;=p_MesFin),$O$12*(1-$W$12)/(N($V$12)*12),0)</f>
        <v>0</v>
      </c>
      <c r="EU51" s="13" t="n">
        <f aca="false">IF(AND(145&gt;=$U$12,N($V$12)&gt;0,145&lt;$U$12+N($V$12)*12,145&lt;=p_MesFin),$O$12*(1-$W$12)/(N($V$12)*12),0)</f>
        <v>0</v>
      </c>
      <c r="EV51" s="13" t="n">
        <f aca="false">IF(AND(146&gt;=$U$12,N($V$12)&gt;0,146&lt;$U$12+N($V$12)*12,146&lt;=p_MesFin),$O$12*(1-$W$12)/(N($V$12)*12),0)</f>
        <v>0</v>
      </c>
      <c r="EW51" s="13" t="n">
        <f aca="false">IF(AND(147&gt;=$U$12,N($V$12)&gt;0,147&lt;$U$12+N($V$12)*12,147&lt;=p_MesFin),$O$12*(1-$W$12)/(N($V$12)*12),0)</f>
        <v>0</v>
      </c>
      <c r="EX51" s="13" t="n">
        <f aca="false">IF(AND(148&gt;=$U$12,N($V$12)&gt;0,148&lt;$U$12+N($V$12)*12,148&lt;=p_MesFin),$O$12*(1-$W$12)/(N($V$12)*12),0)</f>
        <v>0</v>
      </c>
      <c r="EY51" s="13" t="n">
        <f aca="false">IF(AND(149&gt;=$U$12,N($V$12)&gt;0,149&lt;$U$12+N($V$12)*12,149&lt;=p_MesFin),$O$12*(1-$W$12)/(N($V$12)*12),0)</f>
        <v>0</v>
      </c>
      <c r="EZ51" s="13" t="n">
        <f aca="false">IF(AND(150&gt;=$U$12,N($V$12)&gt;0,150&lt;$U$12+N($V$12)*12,150&lt;=p_MesFin),$O$12*(1-$W$12)/(N($V$12)*12),0)</f>
        <v>0</v>
      </c>
      <c r="FA51" s="13" t="n">
        <f aca="false">IF(AND(151&gt;=$U$12,N($V$12)&gt;0,151&lt;$U$12+N($V$12)*12,151&lt;=p_MesFin),$O$12*(1-$W$12)/(N($V$12)*12),0)</f>
        <v>0</v>
      </c>
      <c r="FB51" s="13" t="n">
        <f aca="false">IF(AND(152&gt;=$U$12,N($V$12)&gt;0,152&lt;$U$12+N($V$12)*12,152&lt;=p_MesFin),$O$12*(1-$W$12)/(N($V$12)*12),0)</f>
        <v>0</v>
      </c>
      <c r="FC51" s="13" t="n">
        <f aca="false">IF(AND(153&gt;=$U$12,N($V$12)&gt;0,153&lt;$U$12+N($V$12)*12,153&lt;=p_MesFin),$O$12*(1-$W$12)/(N($V$12)*12),0)</f>
        <v>0</v>
      </c>
      <c r="FD51" s="13" t="n">
        <f aca="false">IF(AND(154&gt;=$U$12,N($V$12)&gt;0,154&lt;$U$12+N($V$12)*12,154&lt;=p_MesFin),$O$12*(1-$W$12)/(N($V$12)*12),0)</f>
        <v>0</v>
      </c>
      <c r="FE51" s="13" t="n">
        <f aca="false">IF(AND(155&gt;=$U$12,N($V$12)&gt;0,155&lt;$U$12+N($V$12)*12,155&lt;=p_MesFin),$O$12*(1-$W$12)/(N($V$12)*12),0)</f>
        <v>0</v>
      </c>
      <c r="FF51" s="13" t="n">
        <f aca="false">IF(AND(156&gt;=$U$12,N($V$12)&gt;0,156&lt;$U$12+N($V$12)*12,156&lt;=p_MesFin),$O$12*(1-$W$12)/(N($V$12)*12),0)</f>
        <v>0</v>
      </c>
    </row>
    <row r="52" customFormat="false" ht="15" hidden="false" customHeight="false" outlineLevel="0" collapsed="false">
      <c r="A52" s="2" t="s">
        <v>1252</v>
      </c>
      <c r="B52" s="8" t="s">
        <v>1253</v>
      </c>
      <c r="C52" s="8" t="s">
        <v>255</v>
      </c>
      <c r="E52" s="65" t="n">
        <f aca="false">SUM($F52:$FF52)</f>
        <v>28325.0098853743</v>
      </c>
      <c r="F52" s="13" t="n">
        <f aca="false">IF(AND(0&gt;=$U$13,N($V$13)&gt;0,0&lt;$U$13+N($V$13)*12,0&lt;=p_MesFin),$O$13*(1-$W$13)/(N($V$13)*12),0)</f>
        <v>0</v>
      </c>
      <c r="G52" s="13" t="n">
        <f aca="false">IF(AND(1&gt;=$U$13,N($V$13)&gt;0,1&lt;$U$13+N($V$13)*12,1&lt;=p_MesFin),$O$13*(1-$W$13)/(N($V$13)*12),0)</f>
        <v>236.041749044786</v>
      </c>
      <c r="H52" s="13" t="n">
        <f aca="false">IF(AND(2&gt;=$U$13,N($V$13)&gt;0,2&lt;$U$13+N($V$13)*12,2&lt;=p_MesFin),$O$13*(1-$W$13)/(N($V$13)*12),0)</f>
        <v>236.041749044786</v>
      </c>
      <c r="I52" s="13" t="n">
        <f aca="false">IF(AND(3&gt;=$U$13,N($V$13)&gt;0,3&lt;$U$13+N($V$13)*12,3&lt;=p_MesFin),$O$13*(1-$W$13)/(N($V$13)*12),0)</f>
        <v>236.041749044786</v>
      </c>
      <c r="J52" s="13" t="n">
        <f aca="false">IF(AND(4&gt;=$U$13,N($V$13)&gt;0,4&lt;$U$13+N($V$13)*12,4&lt;=p_MesFin),$O$13*(1-$W$13)/(N($V$13)*12),0)</f>
        <v>236.041749044786</v>
      </c>
      <c r="K52" s="13" t="n">
        <f aca="false">IF(AND(5&gt;=$U$13,N($V$13)&gt;0,5&lt;$U$13+N($V$13)*12,5&lt;=p_MesFin),$O$13*(1-$W$13)/(N($V$13)*12),0)</f>
        <v>236.041749044786</v>
      </c>
      <c r="L52" s="13" t="n">
        <f aca="false">IF(AND(6&gt;=$U$13,N($V$13)&gt;0,6&lt;$U$13+N($V$13)*12,6&lt;=p_MesFin),$O$13*(1-$W$13)/(N($V$13)*12),0)</f>
        <v>236.041749044786</v>
      </c>
      <c r="M52" s="13" t="n">
        <f aca="false">IF(AND(7&gt;=$U$13,N($V$13)&gt;0,7&lt;$U$13+N($V$13)*12,7&lt;=p_MesFin),$O$13*(1-$W$13)/(N($V$13)*12),0)</f>
        <v>236.041749044786</v>
      </c>
      <c r="N52" s="13" t="n">
        <f aca="false">IF(AND(8&gt;=$U$13,N($V$13)&gt;0,8&lt;$U$13+N($V$13)*12,8&lt;=p_MesFin),$O$13*(1-$W$13)/(N($V$13)*12),0)</f>
        <v>236.041749044786</v>
      </c>
      <c r="O52" s="13" t="n">
        <f aca="false">IF(AND(9&gt;=$U$13,N($V$13)&gt;0,9&lt;$U$13+N($V$13)*12,9&lt;=p_MesFin),$O$13*(1-$W$13)/(N($V$13)*12),0)</f>
        <v>236.041749044786</v>
      </c>
      <c r="P52" s="13" t="n">
        <f aca="false">IF(AND(10&gt;=$U$13,N($V$13)&gt;0,10&lt;$U$13+N($V$13)*12,10&lt;=p_MesFin),$O$13*(1-$W$13)/(N($V$13)*12),0)</f>
        <v>236.041749044786</v>
      </c>
      <c r="Q52" s="13" t="n">
        <f aca="false">IF(AND(11&gt;=$U$13,N($V$13)&gt;0,11&lt;$U$13+N($V$13)*12,11&lt;=p_MesFin),$O$13*(1-$W$13)/(N($V$13)*12),0)</f>
        <v>236.041749044786</v>
      </c>
      <c r="R52" s="13" t="n">
        <f aca="false">IF(AND(12&gt;=$U$13,N($V$13)&gt;0,12&lt;$U$13+N($V$13)*12,12&lt;=p_MesFin),$O$13*(1-$W$13)/(N($V$13)*12),0)</f>
        <v>236.041749044786</v>
      </c>
      <c r="S52" s="13" t="n">
        <f aca="false">IF(AND(13&gt;=$U$13,N($V$13)&gt;0,13&lt;$U$13+N($V$13)*12,13&lt;=p_MesFin),$O$13*(1-$W$13)/(N($V$13)*12),0)</f>
        <v>236.041749044786</v>
      </c>
      <c r="T52" s="13" t="n">
        <f aca="false">IF(AND(14&gt;=$U$13,N($V$13)&gt;0,14&lt;$U$13+N($V$13)*12,14&lt;=p_MesFin),$O$13*(1-$W$13)/(N($V$13)*12),0)</f>
        <v>236.041749044786</v>
      </c>
      <c r="U52" s="13" t="n">
        <f aca="false">IF(AND(15&gt;=$U$13,N($V$13)&gt;0,15&lt;$U$13+N($V$13)*12,15&lt;=p_MesFin),$O$13*(1-$W$13)/(N($V$13)*12),0)</f>
        <v>236.041749044786</v>
      </c>
      <c r="V52" s="13" t="n">
        <f aca="false">IF(AND(16&gt;=$U$13,N($V$13)&gt;0,16&lt;$U$13+N($V$13)*12,16&lt;=p_MesFin),$O$13*(1-$W$13)/(N($V$13)*12),0)</f>
        <v>236.041749044786</v>
      </c>
      <c r="W52" s="13" t="n">
        <f aca="false">IF(AND(17&gt;=$U$13,N($V$13)&gt;0,17&lt;$U$13+N($V$13)*12,17&lt;=p_MesFin),$O$13*(1-$W$13)/(N($V$13)*12),0)</f>
        <v>236.041749044786</v>
      </c>
      <c r="X52" s="13" t="n">
        <f aca="false">IF(AND(18&gt;=$U$13,N($V$13)&gt;0,18&lt;$U$13+N($V$13)*12,18&lt;=p_MesFin),$O$13*(1-$W$13)/(N($V$13)*12),0)</f>
        <v>236.041749044786</v>
      </c>
      <c r="Y52" s="13" t="n">
        <f aca="false">IF(AND(19&gt;=$U$13,N($V$13)&gt;0,19&lt;$U$13+N($V$13)*12,19&lt;=p_MesFin),$O$13*(1-$W$13)/(N($V$13)*12),0)</f>
        <v>236.041749044786</v>
      </c>
      <c r="Z52" s="13" t="n">
        <f aca="false">IF(AND(20&gt;=$U$13,N($V$13)&gt;0,20&lt;$U$13+N($V$13)*12,20&lt;=p_MesFin),$O$13*(1-$W$13)/(N($V$13)*12),0)</f>
        <v>236.041749044786</v>
      </c>
      <c r="AA52" s="13" t="n">
        <f aca="false">IF(AND(21&gt;=$U$13,N($V$13)&gt;0,21&lt;$U$13+N($V$13)*12,21&lt;=p_MesFin),$O$13*(1-$W$13)/(N($V$13)*12),0)</f>
        <v>236.041749044786</v>
      </c>
      <c r="AB52" s="13" t="n">
        <f aca="false">IF(AND(22&gt;=$U$13,N($V$13)&gt;0,22&lt;$U$13+N($V$13)*12,22&lt;=p_MesFin),$O$13*(1-$W$13)/(N($V$13)*12),0)</f>
        <v>236.041749044786</v>
      </c>
      <c r="AC52" s="13" t="n">
        <f aca="false">IF(AND(23&gt;=$U$13,N($V$13)&gt;0,23&lt;$U$13+N($V$13)*12,23&lt;=p_MesFin),$O$13*(1-$W$13)/(N($V$13)*12),0)</f>
        <v>236.041749044786</v>
      </c>
      <c r="AD52" s="13" t="n">
        <f aca="false">IF(AND(24&gt;=$U$13,N($V$13)&gt;0,24&lt;$U$13+N($V$13)*12,24&lt;=p_MesFin),$O$13*(1-$W$13)/(N($V$13)*12),0)</f>
        <v>236.041749044786</v>
      </c>
      <c r="AE52" s="13" t="n">
        <f aca="false">IF(AND(25&gt;=$U$13,N($V$13)&gt;0,25&lt;$U$13+N($V$13)*12,25&lt;=p_MesFin),$O$13*(1-$W$13)/(N($V$13)*12),0)</f>
        <v>236.041749044786</v>
      </c>
      <c r="AF52" s="13" t="n">
        <f aca="false">IF(AND(26&gt;=$U$13,N($V$13)&gt;0,26&lt;$U$13+N($V$13)*12,26&lt;=p_MesFin),$O$13*(1-$W$13)/(N($V$13)*12),0)</f>
        <v>236.041749044786</v>
      </c>
      <c r="AG52" s="13" t="n">
        <f aca="false">IF(AND(27&gt;=$U$13,N($V$13)&gt;0,27&lt;$U$13+N($V$13)*12,27&lt;=p_MesFin),$O$13*(1-$W$13)/(N($V$13)*12),0)</f>
        <v>236.041749044786</v>
      </c>
      <c r="AH52" s="13" t="n">
        <f aca="false">IF(AND(28&gt;=$U$13,N($V$13)&gt;0,28&lt;$U$13+N($V$13)*12,28&lt;=p_MesFin),$O$13*(1-$W$13)/(N($V$13)*12),0)</f>
        <v>236.041749044786</v>
      </c>
      <c r="AI52" s="13" t="n">
        <f aca="false">IF(AND(29&gt;=$U$13,N($V$13)&gt;0,29&lt;$U$13+N($V$13)*12,29&lt;=p_MesFin),$O$13*(1-$W$13)/(N($V$13)*12),0)</f>
        <v>236.041749044786</v>
      </c>
      <c r="AJ52" s="13" t="n">
        <f aca="false">IF(AND(30&gt;=$U$13,N($V$13)&gt;0,30&lt;$U$13+N($V$13)*12,30&lt;=p_MesFin),$O$13*(1-$W$13)/(N($V$13)*12),0)</f>
        <v>236.041749044786</v>
      </c>
      <c r="AK52" s="13" t="n">
        <f aca="false">IF(AND(31&gt;=$U$13,N($V$13)&gt;0,31&lt;$U$13+N($V$13)*12,31&lt;=p_MesFin),$O$13*(1-$W$13)/(N($V$13)*12),0)</f>
        <v>236.041749044786</v>
      </c>
      <c r="AL52" s="13" t="n">
        <f aca="false">IF(AND(32&gt;=$U$13,N($V$13)&gt;0,32&lt;$U$13+N($V$13)*12,32&lt;=p_MesFin),$O$13*(1-$W$13)/(N($V$13)*12),0)</f>
        <v>236.041749044786</v>
      </c>
      <c r="AM52" s="13" t="n">
        <f aca="false">IF(AND(33&gt;=$U$13,N($V$13)&gt;0,33&lt;$U$13+N($V$13)*12,33&lt;=p_MesFin),$O$13*(1-$W$13)/(N($V$13)*12),0)</f>
        <v>236.041749044786</v>
      </c>
      <c r="AN52" s="13" t="n">
        <f aca="false">IF(AND(34&gt;=$U$13,N($V$13)&gt;0,34&lt;$U$13+N($V$13)*12,34&lt;=p_MesFin),$O$13*(1-$W$13)/(N($V$13)*12),0)</f>
        <v>236.041749044786</v>
      </c>
      <c r="AO52" s="13" t="n">
        <f aca="false">IF(AND(35&gt;=$U$13,N($V$13)&gt;0,35&lt;$U$13+N($V$13)*12,35&lt;=p_MesFin),$O$13*(1-$W$13)/(N($V$13)*12),0)</f>
        <v>236.041749044786</v>
      </c>
      <c r="AP52" s="13" t="n">
        <f aca="false">IF(AND(36&gt;=$U$13,N($V$13)&gt;0,36&lt;$U$13+N($V$13)*12,36&lt;=p_MesFin),$O$13*(1-$W$13)/(N($V$13)*12),0)</f>
        <v>236.041749044786</v>
      </c>
      <c r="AQ52" s="13" t="n">
        <f aca="false">IF(AND(37&gt;=$U$13,N($V$13)&gt;0,37&lt;$U$13+N($V$13)*12,37&lt;=p_MesFin),$O$13*(1-$W$13)/(N($V$13)*12),0)</f>
        <v>236.041749044786</v>
      </c>
      <c r="AR52" s="13" t="n">
        <f aca="false">IF(AND(38&gt;=$U$13,N($V$13)&gt;0,38&lt;$U$13+N($V$13)*12,38&lt;=p_MesFin),$O$13*(1-$W$13)/(N($V$13)*12),0)</f>
        <v>236.041749044786</v>
      </c>
      <c r="AS52" s="13" t="n">
        <f aca="false">IF(AND(39&gt;=$U$13,N($V$13)&gt;0,39&lt;$U$13+N($V$13)*12,39&lt;=p_MesFin),$O$13*(1-$W$13)/(N($V$13)*12),0)</f>
        <v>236.041749044786</v>
      </c>
      <c r="AT52" s="13" t="n">
        <f aca="false">IF(AND(40&gt;=$U$13,N($V$13)&gt;0,40&lt;$U$13+N($V$13)*12,40&lt;=p_MesFin),$O$13*(1-$W$13)/(N($V$13)*12),0)</f>
        <v>236.041749044786</v>
      </c>
      <c r="AU52" s="13" t="n">
        <f aca="false">IF(AND(41&gt;=$U$13,N($V$13)&gt;0,41&lt;$U$13+N($V$13)*12,41&lt;=p_MesFin),$O$13*(1-$W$13)/(N($V$13)*12),0)</f>
        <v>236.041749044786</v>
      </c>
      <c r="AV52" s="13" t="n">
        <f aca="false">IF(AND(42&gt;=$U$13,N($V$13)&gt;0,42&lt;$U$13+N($V$13)*12,42&lt;=p_MesFin),$O$13*(1-$W$13)/(N($V$13)*12),0)</f>
        <v>236.041749044786</v>
      </c>
      <c r="AW52" s="13" t="n">
        <f aca="false">IF(AND(43&gt;=$U$13,N($V$13)&gt;0,43&lt;$U$13+N($V$13)*12,43&lt;=p_MesFin),$O$13*(1-$W$13)/(N($V$13)*12),0)</f>
        <v>236.041749044786</v>
      </c>
      <c r="AX52" s="13" t="n">
        <f aca="false">IF(AND(44&gt;=$U$13,N($V$13)&gt;0,44&lt;$U$13+N($V$13)*12,44&lt;=p_MesFin),$O$13*(1-$W$13)/(N($V$13)*12),0)</f>
        <v>236.041749044786</v>
      </c>
      <c r="AY52" s="13" t="n">
        <f aca="false">IF(AND(45&gt;=$U$13,N($V$13)&gt;0,45&lt;$U$13+N($V$13)*12,45&lt;=p_MesFin),$O$13*(1-$W$13)/(N($V$13)*12),0)</f>
        <v>236.041749044786</v>
      </c>
      <c r="AZ52" s="13" t="n">
        <f aca="false">IF(AND(46&gt;=$U$13,N($V$13)&gt;0,46&lt;$U$13+N($V$13)*12,46&lt;=p_MesFin),$O$13*(1-$W$13)/(N($V$13)*12),0)</f>
        <v>236.041749044786</v>
      </c>
      <c r="BA52" s="13" t="n">
        <f aca="false">IF(AND(47&gt;=$U$13,N($V$13)&gt;0,47&lt;$U$13+N($V$13)*12,47&lt;=p_MesFin),$O$13*(1-$W$13)/(N($V$13)*12),0)</f>
        <v>236.041749044786</v>
      </c>
      <c r="BB52" s="13" t="n">
        <f aca="false">IF(AND(48&gt;=$U$13,N($V$13)&gt;0,48&lt;$U$13+N($V$13)*12,48&lt;=p_MesFin),$O$13*(1-$W$13)/(N($V$13)*12),0)</f>
        <v>236.041749044786</v>
      </c>
      <c r="BC52" s="13" t="n">
        <f aca="false">IF(AND(49&gt;=$U$13,N($V$13)&gt;0,49&lt;$U$13+N($V$13)*12,49&lt;=p_MesFin),$O$13*(1-$W$13)/(N($V$13)*12),0)</f>
        <v>236.041749044786</v>
      </c>
      <c r="BD52" s="13" t="n">
        <f aca="false">IF(AND(50&gt;=$U$13,N($V$13)&gt;0,50&lt;$U$13+N($V$13)*12,50&lt;=p_MesFin),$O$13*(1-$W$13)/(N($V$13)*12),0)</f>
        <v>236.041749044786</v>
      </c>
      <c r="BE52" s="13" t="n">
        <f aca="false">IF(AND(51&gt;=$U$13,N($V$13)&gt;0,51&lt;$U$13+N($V$13)*12,51&lt;=p_MesFin),$O$13*(1-$W$13)/(N($V$13)*12),0)</f>
        <v>236.041749044786</v>
      </c>
      <c r="BF52" s="13" t="n">
        <f aca="false">IF(AND(52&gt;=$U$13,N($V$13)&gt;0,52&lt;$U$13+N($V$13)*12,52&lt;=p_MesFin),$O$13*(1-$W$13)/(N($V$13)*12),0)</f>
        <v>236.041749044786</v>
      </c>
      <c r="BG52" s="13" t="n">
        <f aca="false">IF(AND(53&gt;=$U$13,N($V$13)&gt;0,53&lt;$U$13+N($V$13)*12,53&lt;=p_MesFin),$O$13*(1-$W$13)/(N($V$13)*12),0)</f>
        <v>236.041749044786</v>
      </c>
      <c r="BH52" s="13" t="n">
        <f aca="false">IF(AND(54&gt;=$U$13,N($V$13)&gt;0,54&lt;$U$13+N($V$13)*12,54&lt;=p_MesFin),$O$13*(1-$W$13)/(N($V$13)*12),0)</f>
        <v>236.041749044786</v>
      </c>
      <c r="BI52" s="13" t="n">
        <f aca="false">IF(AND(55&gt;=$U$13,N($V$13)&gt;0,55&lt;$U$13+N($V$13)*12,55&lt;=p_MesFin),$O$13*(1-$W$13)/(N($V$13)*12),0)</f>
        <v>236.041749044786</v>
      </c>
      <c r="BJ52" s="13" t="n">
        <f aca="false">IF(AND(56&gt;=$U$13,N($V$13)&gt;0,56&lt;$U$13+N($V$13)*12,56&lt;=p_MesFin),$O$13*(1-$W$13)/(N($V$13)*12),0)</f>
        <v>236.041749044786</v>
      </c>
      <c r="BK52" s="13" t="n">
        <f aca="false">IF(AND(57&gt;=$U$13,N($V$13)&gt;0,57&lt;$U$13+N($V$13)*12,57&lt;=p_MesFin),$O$13*(1-$W$13)/(N($V$13)*12),0)</f>
        <v>236.041749044786</v>
      </c>
      <c r="BL52" s="13" t="n">
        <f aca="false">IF(AND(58&gt;=$U$13,N($V$13)&gt;0,58&lt;$U$13+N($V$13)*12,58&lt;=p_MesFin),$O$13*(1-$W$13)/(N($V$13)*12),0)</f>
        <v>236.041749044786</v>
      </c>
      <c r="BM52" s="13" t="n">
        <f aca="false">IF(AND(59&gt;=$U$13,N($V$13)&gt;0,59&lt;$U$13+N($V$13)*12,59&lt;=p_MesFin),$O$13*(1-$W$13)/(N($V$13)*12),0)</f>
        <v>236.041749044786</v>
      </c>
      <c r="BN52" s="13" t="n">
        <f aca="false">IF(AND(60&gt;=$U$13,N($V$13)&gt;0,60&lt;$U$13+N($V$13)*12,60&lt;=p_MesFin),$O$13*(1-$W$13)/(N($V$13)*12),0)</f>
        <v>236.041749044786</v>
      </c>
      <c r="BO52" s="13" t="n">
        <f aca="false">IF(AND(61&gt;=$U$13,N($V$13)&gt;0,61&lt;$U$13+N($V$13)*12,61&lt;=p_MesFin),$O$13*(1-$W$13)/(N($V$13)*12),0)</f>
        <v>236.041749044786</v>
      </c>
      <c r="BP52" s="13" t="n">
        <f aca="false">IF(AND(62&gt;=$U$13,N($V$13)&gt;0,62&lt;$U$13+N($V$13)*12,62&lt;=p_MesFin),$O$13*(1-$W$13)/(N($V$13)*12),0)</f>
        <v>236.041749044786</v>
      </c>
      <c r="BQ52" s="13" t="n">
        <f aca="false">IF(AND(63&gt;=$U$13,N($V$13)&gt;0,63&lt;$U$13+N($V$13)*12,63&lt;=p_MesFin),$O$13*(1-$W$13)/(N($V$13)*12),0)</f>
        <v>236.041749044786</v>
      </c>
      <c r="BR52" s="13" t="n">
        <f aca="false">IF(AND(64&gt;=$U$13,N($V$13)&gt;0,64&lt;$U$13+N($V$13)*12,64&lt;=p_MesFin),$O$13*(1-$W$13)/(N($V$13)*12),0)</f>
        <v>236.041749044786</v>
      </c>
      <c r="BS52" s="13" t="n">
        <f aca="false">IF(AND(65&gt;=$U$13,N($V$13)&gt;0,65&lt;$U$13+N($V$13)*12,65&lt;=p_MesFin),$O$13*(1-$W$13)/(N($V$13)*12),0)</f>
        <v>236.041749044786</v>
      </c>
      <c r="BT52" s="13" t="n">
        <f aca="false">IF(AND(66&gt;=$U$13,N($V$13)&gt;0,66&lt;$U$13+N($V$13)*12,66&lt;=p_MesFin),$O$13*(1-$W$13)/(N($V$13)*12),0)</f>
        <v>236.041749044786</v>
      </c>
      <c r="BU52" s="13" t="n">
        <f aca="false">IF(AND(67&gt;=$U$13,N($V$13)&gt;0,67&lt;$U$13+N($V$13)*12,67&lt;=p_MesFin),$O$13*(1-$W$13)/(N($V$13)*12),0)</f>
        <v>236.041749044786</v>
      </c>
      <c r="BV52" s="13" t="n">
        <f aca="false">IF(AND(68&gt;=$U$13,N($V$13)&gt;0,68&lt;$U$13+N($V$13)*12,68&lt;=p_MesFin),$O$13*(1-$W$13)/(N($V$13)*12),0)</f>
        <v>236.041749044786</v>
      </c>
      <c r="BW52" s="13" t="n">
        <f aca="false">IF(AND(69&gt;=$U$13,N($V$13)&gt;0,69&lt;$U$13+N($V$13)*12,69&lt;=p_MesFin),$O$13*(1-$W$13)/(N($V$13)*12),0)</f>
        <v>236.041749044786</v>
      </c>
      <c r="BX52" s="13" t="n">
        <f aca="false">IF(AND(70&gt;=$U$13,N($V$13)&gt;0,70&lt;$U$13+N($V$13)*12,70&lt;=p_MesFin),$O$13*(1-$W$13)/(N($V$13)*12),0)</f>
        <v>236.041749044786</v>
      </c>
      <c r="BY52" s="13" t="n">
        <f aca="false">IF(AND(71&gt;=$U$13,N($V$13)&gt;0,71&lt;$U$13+N($V$13)*12,71&lt;=p_MesFin),$O$13*(1-$W$13)/(N($V$13)*12),0)</f>
        <v>236.041749044786</v>
      </c>
      <c r="BZ52" s="13" t="n">
        <f aca="false">IF(AND(72&gt;=$U$13,N($V$13)&gt;0,72&lt;$U$13+N($V$13)*12,72&lt;=p_MesFin),$O$13*(1-$W$13)/(N($V$13)*12),0)</f>
        <v>236.041749044786</v>
      </c>
      <c r="CA52" s="13" t="n">
        <f aca="false">IF(AND(73&gt;=$U$13,N($V$13)&gt;0,73&lt;$U$13+N($V$13)*12,73&lt;=p_MesFin),$O$13*(1-$W$13)/(N($V$13)*12),0)</f>
        <v>236.041749044786</v>
      </c>
      <c r="CB52" s="13" t="n">
        <f aca="false">IF(AND(74&gt;=$U$13,N($V$13)&gt;0,74&lt;$U$13+N($V$13)*12,74&lt;=p_MesFin),$O$13*(1-$W$13)/(N($V$13)*12),0)</f>
        <v>236.041749044786</v>
      </c>
      <c r="CC52" s="13" t="n">
        <f aca="false">IF(AND(75&gt;=$U$13,N($V$13)&gt;0,75&lt;$U$13+N($V$13)*12,75&lt;=p_MesFin),$O$13*(1-$W$13)/(N($V$13)*12),0)</f>
        <v>236.041749044786</v>
      </c>
      <c r="CD52" s="13" t="n">
        <f aca="false">IF(AND(76&gt;=$U$13,N($V$13)&gt;0,76&lt;$U$13+N($V$13)*12,76&lt;=p_MesFin),$O$13*(1-$W$13)/(N($V$13)*12),0)</f>
        <v>236.041749044786</v>
      </c>
      <c r="CE52" s="13" t="n">
        <f aca="false">IF(AND(77&gt;=$U$13,N($V$13)&gt;0,77&lt;$U$13+N($V$13)*12,77&lt;=p_MesFin),$O$13*(1-$W$13)/(N($V$13)*12),0)</f>
        <v>236.041749044786</v>
      </c>
      <c r="CF52" s="13" t="n">
        <f aca="false">IF(AND(78&gt;=$U$13,N($V$13)&gt;0,78&lt;$U$13+N($V$13)*12,78&lt;=p_MesFin),$O$13*(1-$W$13)/(N($V$13)*12),0)</f>
        <v>236.041749044786</v>
      </c>
      <c r="CG52" s="13" t="n">
        <f aca="false">IF(AND(79&gt;=$U$13,N($V$13)&gt;0,79&lt;$U$13+N($V$13)*12,79&lt;=p_MesFin),$O$13*(1-$W$13)/(N($V$13)*12),0)</f>
        <v>236.041749044786</v>
      </c>
      <c r="CH52" s="13" t="n">
        <f aca="false">IF(AND(80&gt;=$U$13,N($V$13)&gt;0,80&lt;$U$13+N($V$13)*12,80&lt;=p_MesFin),$O$13*(1-$W$13)/(N($V$13)*12),0)</f>
        <v>236.041749044786</v>
      </c>
      <c r="CI52" s="13" t="n">
        <f aca="false">IF(AND(81&gt;=$U$13,N($V$13)&gt;0,81&lt;$U$13+N($V$13)*12,81&lt;=p_MesFin),$O$13*(1-$W$13)/(N($V$13)*12),0)</f>
        <v>236.041749044786</v>
      </c>
      <c r="CJ52" s="13" t="n">
        <f aca="false">IF(AND(82&gt;=$U$13,N($V$13)&gt;0,82&lt;$U$13+N($V$13)*12,82&lt;=p_MesFin),$O$13*(1-$W$13)/(N($V$13)*12),0)</f>
        <v>236.041749044786</v>
      </c>
      <c r="CK52" s="13" t="n">
        <f aca="false">IF(AND(83&gt;=$U$13,N($V$13)&gt;0,83&lt;$U$13+N($V$13)*12,83&lt;=p_MesFin),$O$13*(1-$W$13)/(N($V$13)*12),0)</f>
        <v>236.041749044786</v>
      </c>
      <c r="CL52" s="13" t="n">
        <f aca="false">IF(AND(84&gt;=$U$13,N($V$13)&gt;0,84&lt;$U$13+N($V$13)*12,84&lt;=p_MesFin),$O$13*(1-$W$13)/(N($V$13)*12),0)</f>
        <v>236.041749044786</v>
      </c>
      <c r="CM52" s="13" t="n">
        <f aca="false">IF(AND(85&gt;=$U$13,N($V$13)&gt;0,85&lt;$U$13+N($V$13)*12,85&lt;=p_MesFin),$O$13*(1-$W$13)/(N($V$13)*12),0)</f>
        <v>236.041749044786</v>
      </c>
      <c r="CN52" s="13" t="n">
        <f aca="false">IF(AND(86&gt;=$U$13,N($V$13)&gt;0,86&lt;$U$13+N($V$13)*12,86&lt;=p_MesFin),$O$13*(1-$W$13)/(N($V$13)*12),0)</f>
        <v>236.041749044786</v>
      </c>
      <c r="CO52" s="13" t="n">
        <f aca="false">IF(AND(87&gt;=$U$13,N($V$13)&gt;0,87&lt;$U$13+N($V$13)*12,87&lt;=p_MesFin),$O$13*(1-$W$13)/(N($V$13)*12),0)</f>
        <v>236.041749044786</v>
      </c>
      <c r="CP52" s="13" t="n">
        <f aca="false">IF(AND(88&gt;=$U$13,N($V$13)&gt;0,88&lt;$U$13+N($V$13)*12,88&lt;=p_MesFin),$O$13*(1-$W$13)/(N($V$13)*12),0)</f>
        <v>236.041749044786</v>
      </c>
      <c r="CQ52" s="13" t="n">
        <f aca="false">IF(AND(89&gt;=$U$13,N($V$13)&gt;0,89&lt;$U$13+N($V$13)*12,89&lt;=p_MesFin),$O$13*(1-$W$13)/(N($V$13)*12),0)</f>
        <v>236.041749044786</v>
      </c>
      <c r="CR52" s="13" t="n">
        <f aca="false">IF(AND(90&gt;=$U$13,N($V$13)&gt;0,90&lt;$U$13+N($V$13)*12,90&lt;=p_MesFin),$O$13*(1-$W$13)/(N($V$13)*12),0)</f>
        <v>236.041749044786</v>
      </c>
      <c r="CS52" s="13" t="n">
        <f aca="false">IF(AND(91&gt;=$U$13,N($V$13)&gt;0,91&lt;$U$13+N($V$13)*12,91&lt;=p_MesFin),$O$13*(1-$W$13)/(N($V$13)*12),0)</f>
        <v>236.041749044786</v>
      </c>
      <c r="CT52" s="13" t="n">
        <f aca="false">IF(AND(92&gt;=$U$13,N($V$13)&gt;0,92&lt;$U$13+N($V$13)*12,92&lt;=p_MesFin),$O$13*(1-$W$13)/(N($V$13)*12),0)</f>
        <v>236.041749044786</v>
      </c>
      <c r="CU52" s="13" t="n">
        <f aca="false">IF(AND(93&gt;=$U$13,N($V$13)&gt;0,93&lt;$U$13+N($V$13)*12,93&lt;=p_MesFin),$O$13*(1-$W$13)/(N($V$13)*12),0)</f>
        <v>236.041749044786</v>
      </c>
      <c r="CV52" s="13" t="n">
        <f aca="false">IF(AND(94&gt;=$U$13,N($V$13)&gt;0,94&lt;$U$13+N($V$13)*12,94&lt;=p_MesFin),$O$13*(1-$W$13)/(N($V$13)*12),0)</f>
        <v>236.041749044786</v>
      </c>
      <c r="CW52" s="13" t="n">
        <f aca="false">IF(AND(95&gt;=$U$13,N($V$13)&gt;0,95&lt;$U$13+N($V$13)*12,95&lt;=p_MesFin),$O$13*(1-$W$13)/(N($V$13)*12),0)</f>
        <v>236.041749044786</v>
      </c>
      <c r="CX52" s="13" t="n">
        <f aca="false">IF(AND(96&gt;=$U$13,N($V$13)&gt;0,96&lt;$U$13+N($V$13)*12,96&lt;=p_MesFin),$O$13*(1-$W$13)/(N($V$13)*12),0)</f>
        <v>236.041749044786</v>
      </c>
      <c r="CY52" s="13" t="n">
        <f aca="false">IF(AND(97&gt;=$U$13,N($V$13)&gt;0,97&lt;$U$13+N($V$13)*12,97&lt;=p_MesFin),$O$13*(1-$W$13)/(N($V$13)*12),0)</f>
        <v>236.041749044786</v>
      </c>
      <c r="CZ52" s="13" t="n">
        <f aca="false">IF(AND(98&gt;=$U$13,N($V$13)&gt;0,98&lt;$U$13+N($V$13)*12,98&lt;=p_MesFin),$O$13*(1-$W$13)/(N($V$13)*12),0)</f>
        <v>236.041749044786</v>
      </c>
      <c r="DA52" s="13" t="n">
        <f aca="false">IF(AND(99&gt;=$U$13,N($V$13)&gt;0,99&lt;$U$13+N($V$13)*12,99&lt;=p_MesFin),$O$13*(1-$W$13)/(N($V$13)*12),0)</f>
        <v>236.041749044786</v>
      </c>
      <c r="DB52" s="13" t="n">
        <f aca="false">IF(AND(100&gt;=$U$13,N($V$13)&gt;0,100&lt;$U$13+N($V$13)*12,100&lt;=p_MesFin),$O$13*(1-$W$13)/(N($V$13)*12),0)</f>
        <v>236.041749044786</v>
      </c>
      <c r="DC52" s="13" t="n">
        <f aca="false">IF(AND(101&gt;=$U$13,N($V$13)&gt;0,101&lt;$U$13+N($V$13)*12,101&lt;=p_MesFin),$O$13*(1-$W$13)/(N($V$13)*12),0)</f>
        <v>236.041749044786</v>
      </c>
      <c r="DD52" s="13" t="n">
        <f aca="false">IF(AND(102&gt;=$U$13,N($V$13)&gt;0,102&lt;$U$13+N($V$13)*12,102&lt;=p_MesFin),$O$13*(1-$W$13)/(N($V$13)*12),0)</f>
        <v>236.041749044786</v>
      </c>
      <c r="DE52" s="13" t="n">
        <f aca="false">IF(AND(103&gt;=$U$13,N($V$13)&gt;0,103&lt;$U$13+N($V$13)*12,103&lt;=p_MesFin),$O$13*(1-$W$13)/(N($V$13)*12),0)</f>
        <v>236.041749044786</v>
      </c>
      <c r="DF52" s="13" t="n">
        <f aca="false">IF(AND(104&gt;=$U$13,N($V$13)&gt;0,104&lt;$U$13+N($V$13)*12,104&lt;=p_MesFin),$O$13*(1-$W$13)/(N($V$13)*12),0)</f>
        <v>236.041749044786</v>
      </c>
      <c r="DG52" s="13" t="n">
        <f aca="false">IF(AND(105&gt;=$U$13,N($V$13)&gt;0,105&lt;$U$13+N($V$13)*12,105&lt;=p_MesFin),$O$13*(1-$W$13)/(N($V$13)*12),0)</f>
        <v>236.041749044786</v>
      </c>
      <c r="DH52" s="13" t="n">
        <f aca="false">IF(AND(106&gt;=$U$13,N($V$13)&gt;0,106&lt;$U$13+N($V$13)*12,106&lt;=p_MesFin),$O$13*(1-$W$13)/(N($V$13)*12),0)</f>
        <v>236.041749044786</v>
      </c>
      <c r="DI52" s="13" t="n">
        <f aca="false">IF(AND(107&gt;=$U$13,N($V$13)&gt;0,107&lt;$U$13+N($V$13)*12,107&lt;=p_MesFin),$O$13*(1-$W$13)/(N($V$13)*12),0)</f>
        <v>236.041749044786</v>
      </c>
      <c r="DJ52" s="13" t="n">
        <f aca="false">IF(AND(108&gt;=$U$13,N($V$13)&gt;0,108&lt;$U$13+N($V$13)*12,108&lt;=p_MesFin),$O$13*(1-$W$13)/(N($V$13)*12),0)</f>
        <v>236.041749044786</v>
      </c>
      <c r="DK52" s="13" t="n">
        <f aca="false">IF(AND(109&gt;=$U$13,N($V$13)&gt;0,109&lt;$U$13+N($V$13)*12,109&lt;=p_MesFin),$O$13*(1-$W$13)/(N($V$13)*12),0)</f>
        <v>236.041749044786</v>
      </c>
      <c r="DL52" s="13" t="n">
        <f aca="false">IF(AND(110&gt;=$U$13,N($V$13)&gt;0,110&lt;$U$13+N($V$13)*12,110&lt;=p_MesFin),$O$13*(1-$W$13)/(N($V$13)*12),0)</f>
        <v>236.041749044786</v>
      </c>
      <c r="DM52" s="13" t="n">
        <f aca="false">IF(AND(111&gt;=$U$13,N($V$13)&gt;0,111&lt;$U$13+N($V$13)*12,111&lt;=p_MesFin),$O$13*(1-$W$13)/(N($V$13)*12),0)</f>
        <v>236.041749044786</v>
      </c>
      <c r="DN52" s="13" t="n">
        <f aca="false">IF(AND(112&gt;=$U$13,N($V$13)&gt;0,112&lt;$U$13+N($V$13)*12,112&lt;=p_MesFin),$O$13*(1-$W$13)/(N($V$13)*12),0)</f>
        <v>236.041749044786</v>
      </c>
      <c r="DO52" s="13" t="n">
        <f aca="false">IF(AND(113&gt;=$U$13,N($V$13)&gt;0,113&lt;$U$13+N($V$13)*12,113&lt;=p_MesFin),$O$13*(1-$W$13)/(N($V$13)*12),0)</f>
        <v>236.041749044786</v>
      </c>
      <c r="DP52" s="13" t="n">
        <f aca="false">IF(AND(114&gt;=$U$13,N($V$13)&gt;0,114&lt;$U$13+N($V$13)*12,114&lt;=p_MesFin),$O$13*(1-$W$13)/(N($V$13)*12),0)</f>
        <v>236.041749044786</v>
      </c>
      <c r="DQ52" s="13" t="n">
        <f aca="false">IF(AND(115&gt;=$U$13,N($V$13)&gt;0,115&lt;$U$13+N($V$13)*12,115&lt;=p_MesFin),$O$13*(1-$W$13)/(N($V$13)*12),0)</f>
        <v>236.041749044786</v>
      </c>
      <c r="DR52" s="13" t="n">
        <f aca="false">IF(AND(116&gt;=$U$13,N($V$13)&gt;0,116&lt;$U$13+N($V$13)*12,116&lt;=p_MesFin),$O$13*(1-$W$13)/(N($V$13)*12),0)</f>
        <v>236.041749044786</v>
      </c>
      <c r="DS52" s="13" t="n">
        <f aca="false">IF(AND(117&gt;=$U$13,N($V$13)&gt;0,117&lt;$U$13+N($V$13)*12,117&lt;=p_MesFin),$O$13*(1-$W$13)/(N($V$13)*12),0)</f>
        <v>236.041749044786</v>
      </c>
      <c r="DT52" s="13" t="n">
        <f aca="false">IF(AND(118&gt;=$U$13,N($V$13)&gt;0,118&lt;$U$13+N($V$13)*12,118&lt;=p_MesFin),$O$13*(1-$W$13)/(N($V$13)*12),0)</f>
        <v>236.041749044786</v>
      </c>
      <c r="DU52" s="13" t="n">
        <f aca="false">IF(AND(119&gt;=$U$13,N($V$13)&gt;0,119&lt;$U$13+N($V$13)*12,119&lt;=p_MesFin),$O$13*(1-$W$13)/(N($V$13)*12),0)</f>
        <v>236.041749044786</v>
      </c>
      <c r="DV52" s="13" t="n">
        <f aca="false">IF(AND(120&gt;=$U$13,N($V$13)&gt;0,120&lt;$U$13+N($V$13)*12,120&lt;=p_MesFin),$O$13*(1-$W$13)/(N($V$13)*12),0)</f>
        <v>236.041749044786</v>
      </c>
      <c r="DW52" s="13" t="n">
        <f aca="false">IF(AND(121&gt;=$U$13,N($V$13)&gt;0,121&lt;$U$13+N($V$13)*12,121&lt;=p_MesFin),$O$13*(1-$W$13)/(N($V$13)*12),0)</f>
        <v>0</v>
      </c>
      <c r="DX52" s="13" t="n">
        <f aca="false">IF(AND(122&gt;=$U$13,N($V$13)&gt;0,122&lt;$U$13+N($V$13)*12,122&lt;=p_MesFin),$O$13*(1-$W$13)/(N($V$13)*12),0)</f>
        <v>0</v>
      </c>
      <c r="DY52" s="13" t="n">
        <f aca="false">IF(AND(123&gt;=$U$13,N($V$13)&gt;0,123&lt;$U$13+N($V$13)*12,123&lt;=p_MesFin),$O$13*(1-$W$13)/(N($V$13)*12),0)</f>
        <v>0</v>
      </c>
      <c r="DZ52" s="13" t="n">
        <f aca="false">IF(AND(124&gt;=$U$13,N($V$13)&gt;0,124&lt;$U$13+N($V$13)*12,124&lt;=p_MesFin),$O$13*(1-$W$13)/(N($V$13)*12),0)</f>
        <v>0</v>
      </c>
      <c r="EA52" s="13" t="n">
        <f aca="false">IF(AND(125&gt;=$U$13,N($V$13)&gt;0,125&lt;$U$13+N($V$13)*12,125&lt;=p_MesFin),$O$13*(1-$W$13)/(N($V$13)*12),0)</f>
        <v>0</v>
      </c>
      <c r="EB52" s="13" t="n">
        <f aca="false">IF(AND(126&gt;=$U$13,N($V$13)&gt;0,126&lt;$U$13+N($V$13)*12,126&lt;=p_MesFin),$O$13*(1-$W$13)/(N($V$13)*12),0)</f>
        <v>0</v>
      </c>
      <c r="EC52" s="13" t="n">
        <f aca="false">IF(AND(127&gt;=$U$13,N($V$13)&gt;0,127&lt;$U$13+N($V$13)*12,127&lt;=p_MesFin),$O$13*(1-$W$13)/(N($V$13)*12),0)</f>
        <v>0</v>
      </c>
      <c r="ED52" s="13" t="n">
        <f aca="false">IF(AND(128&gt;=$U$13,N($V$13)&gt;0,128&lt;$U$13+N($V$13)*12,128&lt;=p_MesFin),$O$13*(1-$W$13)/(N($V$13)*12),0)</f>
        <v>0</v>
      </c>
      <c r="EE52" s="13" t="n">
        <f aca="false">IF(AND(129&gt;=$U$13,N($V$13)&gt;0,129&lt;$U$13+N($V$13)*12,129&lt;=p_MesFin),$O$13*(1-$W$13)/(N($V$13)*12),0)</f>
        <v>0</v>
      </c>
      <c r="EF52" s="13" t="n">
        <f aca="false">IF(AND(130&gt;=$U$13,N($V$13)&gt;0,130&lt;$U$13+N($V$13)*12,130&lt;=p_MesFin),$O$13*(1-$W$13)/(N($V$13)*12),0)</f>
        <v>0</v>
      </c>
      <c r="EG52" s="13" t="n">
        <f aca="false">IF(AND(131&gt;=$U$13,N($V$13)&gt;0,131&lt;$U$13+N($V$13)*12,131&lt;=p_MesFin),$O$13*(1-$W$13)/(N($V$13)*12),0)</f>
        <v>0</v>
      </c>
      <c r="EH52" s="13" t="n">
        <f aca="false">IF(AND(132&gt;=$U$13,N($V$13)&gt;0,132&lt;$U$13+N($V$13)*12,132&lt;=p_MesFin),$O$13*(1-$W$13)/(N($V$13)*12),0)</f>
        <v>0</v>
      </c>
      <c r="EI52" s="13" t="n">
        <f aca="false">IF(AND(133&gt;=$U$13,N($V$13)&gt;0,133&lt;$U$13+N($V$13)*12,133&lt;=p_MesFin),$O$13*(1-$W$13)/(N($V$13)*12),0)</f>
        <v>0</v>
      </c>
      <c r="EJ52" s="13" t="n">
        <f aca="false">IF(AND(134&gt;=$U$13,N($V$13)&gt;0,134&lt;$U$13+N($V$13)*12,134&lt;=p_MesFin),$O$13*(1-$W$13)/(N($V$13)*12),0)</f>
        <v>0</v>
      </c>
      <c r="EK52" s="13" t="n">
        <f aca="false">IF(AND(135&gt;=$U$13,N($V$13)&gt;0,135&lt;$U$13+N($V$13)*12,135&lt;=p_MesFin),$O$13*(1-$W$13)/(N($V$13)*12),0)</f>
        <v>0</v>
      </c>
      <c r="EL52" s="13" t="n">
        <f aca="false">IF(AND(136&gt;=$U$13,N($V$13)&gt;0,136&lt;$U$13+N($V$13)*12,136&lt;=p_MesFin),$O$13*(1-$W$13)/(N($V$13)*12),0)</f>
        <v>0</v>
      </c>
      <c r="EM52" s="13" t="n">
        <f aca="false">IF(AND(137&gt;=$U$13,N($V$13)&gt;0,137&lt;$U$13+N($V$13)*12,137&lt;=p_MesFin),$O$13*(1-$W$13)/(N($V$13)*12),0)</f>
        <v>0</v>
      </c>
      <c r="EN52" s="13" t="n">
        <f aca="false">IF(AND(138&gt;=$U$13,N($V$13)&gt;0,138&lt;$U$13+N($V$13)*12,138&lt;=p_MesFin),$O$13*(1-$W$13)/(N($V$13)*12),0)</f>
        <v>0</v>
      </c>
      <c r="EO52" s="13" t="n">
        <f aca="false">IF(AND(139&gt;=$U$13,N($V$13)&gt;0,139&lt;$U$13+N($V$13)*12,139&lt;=p_MesFin),$O$13*(1-$W$13)/(N($V$13)*12),0)</f>
        <v>0</v>
      </c>
      <c r="EP52" s="13" t="n">
        <f aca="false">IF(AND(140&gt;=$U$13,N($V$13)&gt;0,140&lt;$U$13+N($V$13)*12,140&lt;=p_MesFin),$O$13*(1-$W$13)/(N($V$13)*12),0)</f>
        <v>0</v>
      </c>
      <c r="EQ52" s="13" t="n">
        <f aca="false">IF(AND(141&gt;=$U$13,N($V$13)&gt;0,141&lt;$U$13+N($V$13)*12,141&lt;=p_MesFin),$O$13*(1-$W$13)/(N($V$13)*12),0)</f>
        <v>0</v>
      </c>
      <c r="ER52" s="13" t="n">
        <f aca="false">IF(AND(142&gt;=$U$13,N($V$13)&gt;0,142&lt;$U$13+N($V$13)*12,142&lt;=p_MesFin),$O$13*(1-$W$13)/(N($V$13)*12),0)</f>
        <v>0</v>
      </c>
      <c r="ES52" s="13" t="n">
        <f aca="false">IF(AND(143&gt;=$U$13,N($V$13)&gt;0,143&lt;$U$13+N($V$13)*12,143&lt;=p_MesFin),$O$13*(1-$W$13)/(N($V$13)*12),0)</f>
        <v>0</v>
      </c>
      <c r="ET52" s="13" t="n">
        <f aca="false">IF(AND(144&gt;=$U$13,N($V$13)&gt;0,144&lt;$U$13+N($V$13)*12,144&lt;=p_MesFin),$O$13*(1-$W$13)/(N($V$13)*12),0)</f>
        <v>0</v>
      </c>
      <c r="EU52" s="13" t="n">
        <f aca="false">IF(AND(145&gt;=$U$13,N($V$13)&gt;0,145&lt;$U$13+N($V$13)*12,145&lt;=p_MesFin),$O$13*(1-$W$13)/(N($V$13)*12),0)</f>
        <v>0</v>
      </c>
      <c r="EV52" s="13" t="n">
        <f aca="false">IF(AND(146&gt;=$U$13,N($V$13)&gt;0,146&lt;$U$13+N($V$13)*12,146&lt;=p_MesFin),$O$13*(1-$W$13)/(N($V$13)*12),0)</f>
        <v>0</v>
      </c>
      <c r="EW52" s="13" t="n">
        <f aca="false">IF(AND(147&gt;=$U$13,N($V$13)&gt;0,147&lt;$U$13+N($V$13)*12,147&lt;=p_MesFin),$O$13*(1-$W$13)/(N($V$13)*12),0)</f>
        <v>0</v>
      </c>
      <c r="EX52" s="13" t="n">
        <f aca="false">IF(AND(148&gt;=$U$13,N($V$13)&gt;0,148&lt;$U$13+N($V$13)*12,148&lt;=p_MesFin),$O$13*(1-$W$13)/(N($V$13)*12),0)</f>
        <v>0</v>
      </c>
      <c r="EY52" s="13" t="n">
        <f aca="false">IF(AND(149&gt;=$U$13,N($V$13)&gt;0,149&lt;$U$13+N($V$13)*12,149&lt;=p_MesFin),$O$13*(1-$W$13)/(N($V$13)*12),0)</f>
        <v>0</v>
      </c>
      <c r="EZ52" s="13" t="n">
        <f aca="false">IF(AND(150&gt;=$U$13,N($V$13)&gt;0,150&lt;$U$13+N($V$13)*12,150&lt;=p_MesFin),$O$13*(1-$W$13)/(N($V$13)*12),0)</f>
        <v>0</v>
      </c>
      <c r="FA52" s="13" t="n">
        <f aca="false">IF(AND(151&gt;=$U$13,N($V$13)&gt;0,151&lt;$U$13+N($V$13)*12,151&lt;=p_MesFin),$O$13*(1-$W$13)/(N($V$13)*12),0)</f>
        <v>0</v>
      </c>
      <c r="FB52" s="13" t="n">
        <f aca="false">IF(AND(152&gt;=$U$13,N($V$13)&gt;0,152&lt;$U$13+N($V$13)*12,152&lt;=p_MesFin),$O$13*(1-$W$13)/(N($V$13)*12),0)</f>
        <v>0</v>
      </c>
      <c r="FC52" s="13" t="n">
        <f aca="false">IF(AND(153&gt;=$U$13,N($V$13)&gt;0,153&lt;$U$13+N($V$13)*12,153&lt;=p_MesFin),$O$13*(1-$W$13)/(N($V$13)*12),0)</f>
        <v>0</v>
      </c>
      <c r="FD52" s="13" t="n">
        <f aca="false">IF(AND(154&gt;=$U$13,N($V$13)&gt;0,154&lt;$U$13+N($V$13)*12,154&lt;=p_MesFin),$O$13*(1-$W$13)/(N($V$13)*12),0)</f>
        <v>0</v>
      </c>
      <c r="FE52" s="13" t="n">
        <f aca="false">IF(AND(155&gt;=$U$13,N($V$13)&gt;0,155&lt;$U$13+N($V$13)*12,155&lt;=p_MesFin),$O$13*(1-$W$13)/(N($V$13)*12),0)</f>
        <v>0</v>
      </c>
      <c r="FF52" s="13" t="n">
        <f aca="false">IF(AND(156&gt;=$U$13,N($V$13)&gt;0,156&lt;$U$13+N($V$13)*12,156&lt;=p_MesFin),$O$13*(1-$W$13)/(N($V$13)*12),0)</f>
        <v>0</v>
      </c>
    </row>
    <row r="53" customFormat="false" ht="15" hidden="false" customHeight="false" outlineLevel="0" collapsed="false">
      <c r="A53" s="2" t="s">
        <v>1254</v>
      </c>
      <c r="B53" s="8" t="s">
        <v>1255</v>
      </c>
      <c r="C53" s="8" t="s">
        <v>255</v>
      </c>
      <c r="E53" s="65" t="n">
        <f aca="false">SUM($F53:$FF53)</f>
        <v>9857.10344011027</v>
      </c>
      <c r="F53" s="13" t="n">
        <f aca="false">IF(AND(0&gt;=$U$14,N($V$14)&gt;0,0&lt;$U$14+N($V$14)*12,0&lt;=p_MesFin),$O$14*(1-$W$14)/(N($V$14)*12),0)</f>
        <v>0</v>
      </c>
      <c r="G53" s="13" t="n">
        <f aca="false">IF(AND(1&gt;=$U$14,N($V$14)&gt;0,1&lt;$U$14+N($V$14)*12,1&lt;=p_MesFin),$O$14*(1-$W$14)/(N($V$14)*12),0)</f>
        <v>82.1425286675856</v>
      </c>
      <c r="H53" s="13" t="n">
        <f aca="false">IF(AND(2&gt;=$U$14,N($V$14)&gt;0,2&lt;$U$14+N($V$14)*12,2&lt;=p_MesFin),$O$14*(1-$W$14)/(N($V$14)*12),0)</f>
        <v>82.1425286675856</v>
      </c>
      <c r="I53" s="13" t="n">
        <f aca="false">IF(AND(3&gt;=$U$14,N($V$14)&gt;0,3&lt;$U$14+N($V$14)*12,3&lt;=p_MesFin),$O$14*(1-$W$14)/(N($V$14)*12),0)</f>
        <v>82.1425286675856</v>
      </c>
      <c r="J53" s="13" t="n">
        <f aca="false">IF(AND(4&gt;=$U$14,N($V$14)&gt;0,4&lt;$U$14+N($V$14)*12,4&lt;=p_MesFin),$O$14*(1-$W$14)/(N($V$14)*12),0)</f>
        <v>82.1425286675856</v>
      </c>
      <c r="K53" s="13" t="n">
        <f aca="false">IF(AND(5&gt;=$U$14,N($V$14)&gt;0,5&lt;$U$14+N($V$14)*12,5&lt;=p_MesFin),$O$14*(1-$W$14)/(N($V$14)*12),0)</f>
        <v>82.1425286675856</v>
      </c>
      <c r="L53" s="13" t="n">
        <f aca="false">IF(AND(6&gt;=$U$14,N($V$14)&gt;0,6&lt;$U$14+N($V$14)*12,6&lt;=p_MesFin),$O$14*(1-$W$14)/(N($V$14)*12),0)</f>
        <v>82.1425286675856</v>
      </c>
      <c r="M53" s="13" t="n">
        <f aca="false">IF(AND(7&gt;=$U$14,N($V$14)&gt;0,7&lt;$U$14+N($V$14)*12,7&lt;=p_MesFin),$O$14*(1-$W$14)/(N($V$14)*12),0)</f>
        <v>82.1425286675856</v>
      </c>
      <c r="N53" s="13" t="n">
        <f aca="false">IF(AND(8&gt;=$U$14,N($V$14)&gt;0,8&lt;$U$14+N($V$14)*12,8&lt;=p_MesFin),$O$14*(1-$W$14)/(N($V$14)*12),0)</f>
        <v>82.1425286675856</v>
      </c>
      <c r="O53" s="13" t="n">
        <f aca="false">IF(AND(9&gt;=$U$14,N($V$14)&gt;0,9&lt;$U$14+N($V$14)*12,9&lt;=p_MesFin),$O$14*(1-$W$14)/(N($V$14)*12),0)</f>
        <v>82.1425286675856</v>
      </c>
      <c r="P53" s="13" t="n">
        <f aca="false">IF(AND(10&gt;=$U$14,N($V$14)&gt;0,10&lt;$U$14+N($V$14)*12,10&lt;=p_MesFin),$O$14*(1-$W$14)/(N($V$14)*12),0)</f>
        <v>82.1425286675856</v>
      </c>
      <c r="Q53" s="13" t="n">
        <f aca="false">IF(AND(11&gt;=$U$14,N($V$14)&gt;0,11&lt;$U$14+N($V$14)*12,11&lt;=p_MesFin),$O$14*(1-$W$14)/(N($V$14)*12),0)</f>
        <v>82.1425286675856</v>
      </c>
      <c r="R53" s="13" t="n">
        <f aca="false">IF(AND(12&gt;=$U$14,N($V$14)&gt;0,12&lt;$U$14+N($V$14)*12,12&lt;=p_MesFin),$O$14*(1-$W$14)/(N($V$14)*12),0)</f>
        <v>82.1425286675856</v>
      </c>
      <c r="S53" s="13" t="n">
        <f aca="false">IF(AND(13&gt;=$U$14,N($V$14)&gt;0,13&lt;$U$14+N($V$14)*12,13&lt;=p_MesFin),$O$14*(1-$W$14)/(N($V$14)*12),0)</f>
        <v>82.1425286675856</v>
      </c>
      <c r="T53" s="13" t="n">
        <f aca="false">IF(AND(14&gt;=$U$14,N($V$14)&gt;0,14&lt;$U$14+N($V$14)*12,14&lt;=p_MesFin),$O$14*(1-$W$14)/(N($V$14)*12),0)</f>
        <v>82.1425286675856</v>
      </c>
      <c r="U53" s="13" t="n">
        <f aca="false">IF(AND(15&gt;=$U$14,N($V$14)&gt;0,15&lt;$U$14+N($V$14)*12,15&lt;=p_MesFin),$O$14*(1-$W$14)/(N($V$14)*12),0)</f>
        <v>82.1425286675856</v>
      </c>
      <c r="V53" s="13" t="n">
        <f aca="false">IF(AND(16&gt;=$U$14,N($V$14)&gt;0,16&lt;$U$14+N($V$14)*12,16&lt;=p_MesFin),$O$14*(1-$W$14)/(N($V$14)*12),0)</f>
        <v>82.1425286675856</v>
      </c>
      <c r="W53" s="13" t="n">
        <f aca="false">IF(AND(17&gt;=$U$14,N($V$14)&gt;0,17&lt;$U$14+N($V$14)*12,17&lt;=p_MesFin),$O$14*(1-$W$14)/(N($V$14)*12),0)</f>
        <v>82.1425286675856</v>
      </c>
      <c r="X53" s="13" t="n">
        <f aca="false">IF(AND(18&gt;=$U$14,N($V$14)&gt;0,18&lt;$U$14+N($V$14)*12,18&lt;=p_MesFin),$O$14*(1-$W$14)/(N($V$14)*12),0)</f>
        <v>82.1425286675856</v>
      </c>
      <c r="Y53" s="13" t="n">
        <f aca="false">IF(AND(19&gt;=$U$14,N($V$14)&gt;0,19&lt;$U$14+N($V$14)*12,19&lt;=p_MesFin),$O$14*(1-$W$14)/(N($V$14)*12),0)</f>
        <v>82.1425286675856</v>
      </c>
      <c r="Z53" s="13" t="n">
        <f aca="false">IF(AND(20&gt;=$U$14,N($V$14)&gt;0,20&lt;$U$14+N($V$14)*12,20&lt;=p_MesFin),$O$14*(1-$W$14)/(N($V$14)*12),0)</f>
        <v>82.1425286675856</v>
      </c>
      <c r="AA53" s="13" t="n">
        <f aca="false">IF(AND(21&gt;=$U$14,N($V$14)&gt;0,21&lt;$U$14+N($V$14)*12,21&lt;=p_MesFin),$O$14*(1-$W$14)/(N($V$14)*12),0)</f>
        <v>82.1425286675856</v>
      </c>
      <c r="AB53" s="13" t="n">
        <f aca="false">IF(AND(22&gt;=$U$14,N($V$14)&gt;0,22&lt;$U$14+N($V$14)*12,22&lt;=p_MesFin),$O$14*(1-$W$14)/(N($V$14)*12),0)</f>
        <v>82.1425286675856</v>
      </c>
      <c r="AC53" s="13" t="n">
        <f aca="false">IF(AND(23&gt;=$U$14,N($V$14)&gt;0,23&lt;$U$14+N($V$14)*12,23&lt;=p_MesFin),$O$14*(1-$W$14)/(N($V$14)*12),0)</f>
        <v>82.1425286675856</v>
      </c>
      <c r="AD53" s="13" t="n">
        <f aca="false">IF(AND(24&gt;=$U$14,N($V$14)&gt;0,24&lt;$U$14+N($V$14)*12,24&lt;=p_MesFin),$O$14*(1-$W$14)/(N($V$14)*12),0)</f>
        <v>82.1425286675856</v>
      </c>
      <c r="AE53" s="13" t="n">
        <f aca="false">IF(AND(25&gt;=$U$14,N($V$14)&gt;0,25&lt;$U$14+N($V$14)*12,25&lt;=p_MesFin),$O$14*(1-$W$14)/(N($V$14)*12),0)</f>
        <v>82.1425286675856</v>
      </c>
      <c r="AF53" s="13" t="n">
        <f aca="false">IF(AND(26&gt;=$U$14,N($V$14)&gt;0,26&lt;$U$14+N($V$14)*12,26&lt;=p_MesFin),$O$14*(1-$W$14)/(N($V$14)*12),0)</f>
        <v>82.1425286675856</v>
      </c>
      <c r="AG53" s="13" t="n">
        <f aca="false">IF(AND(27&gt;=$U$14,N($V$14)&gt;0,27&lt;$U$14+N($V$14)*12,27&lt;=p_MesFin),$O$14*(1-$W$14)/(N($V$14)*12),0)</f>
        <v>82.1425286675856</v>
      </c>
      <c r="AH53" s="13" t="n">
        <f aca="false">IF(AND(28&gt;=$U$14,N($V$14)&gt;0,28&lt;$U$14+N($V$14)*12,28&lt;=p_MesFin),$O$14*(1-$W$14)/(N($V$14)*12),0)</f>
        <v>82.1425286675856</v>
      </c>
      <c r="AI53" s="13" t="n">
        <f aca="false">IF(AND(29&gt;=$U$14,N($V$14)&gt;0,29&lt;$U$14+N($V$14)*12,29&lt;=p_MesFin),$O$14*(1-$W$14)/(N($V$14)*12),0)</f>
        <v>82.1425286675856</v>
      </c>
      <c r="AJ53" s="13" t="n">
        <f aca="false">IF(AND(30&gt;=$U$14,N($V$14)&gt;0,30&lt;$U$14+N($V$14)*12,30&lt;=p_MesFin),$O$14*(1-$W$14)/(N($V$14)*12),0)</f>
        <v>82.1425286675856</v>
      </c>
      <c r="AK53" s="13" t="n">
        <f aca="false">IF(AND(31&gt;=$U$14,N($V$14)&gt;0,31&lt;$U$14+N($V$14)*12,31&lt;=p_MesFin),$O$14*(1-$W$14)/(N($V$14)*12),0)</f>
        <v>82.1425286675856</v>
      </c>
      <c r="AL53" s="13" t="n">
        <f aca="false">IF(AND(32&gt;=$U$14,N($V$14)&gt;0,32&lt;$U$14+N($V$14)*12,32&lt;=p_MesFin),$O$14*(1-$W$14)/(N($V$14)*12),0)</f>
        <v>82.1425286675856</v>
      </c>
      <c r="AM53" s="13" t="n">
        <f aca="false">IF(AND(33&gt;=$U$14,N($V$14)&gt;0,33&lt;$U$14+N($V$14)*12,33&lt;=p_MesFin),$O$14*(1-$W$14)/(N($V$14)*12),0)</f>
        <v>82.1425286675856</v>
      </c>
      <c r="AN53" s="13" t="n">
        <f aca="false">IF(AND(34&gt;=$U$14,N($V$14)&gt;0,34&lt;$U$14+N($V$14)*12,34&lt;=p_MesFin),$O$14*(1-$W$14)/(N($V$14)*12),0)</f>
        <v>82.1425286675856</v>
      </c>
      <c r="AO53" s="13" t="n">
        <f aca="false">IF(AND(35&gt;=$U$14,N($V$14)&gt;0,35&lt;$U$14+N($V$14)*12,35&lt;=p_MesFin),$O$14*(1-$W$14)/(N($V$14)*12),0)</f>
        <v>82.1425286675856</v>
      </c>
      <c r="AP53" s="13" t="n">
        <f aca="false">IF(AND(36&gt;=$U$14,N($V$14)&gt;0,36&lt;$U$14+N($V$14)*12,36&lt;=p_MesFin),$O$14*(1-$W$14)/(N($V$14)*12),0)</f>
        <v>82.1425286675856</v>
      </c>
      <c r="AQ53" s="13" t="n">
        <f aca="false">IF(AND(37&gt;=$U$14,N($V$14)&gt;0,37&lt;$U$14+N($V$14)*12,37&lt;=p_MesFin),$O$14*(1-$W$14)/(N($V$14)*12),0)</f>
        <v>82.1425286675856</v>
      </c>
      <c r="AR53" s="13" t="n">
        <f aca="false">IF(AND(38&gt;=$U$14,N($V$14)&gt;0,38&lt;$U$14+N($V$14)*12,38&lt;=p_MesFin),$O$14*(1-$W$14)/(N($V$14)*12),0)</f>
        <v>82.1425286675856</v>
      </c>
      <c r="AS53" s="13" t="n">
        <f aca="false">IF(AND(39&gt;=$U$14,N($V$14)&gt;0,39&lt;$U$14+N($V$14)*12,39&lt;=p_MesFin),$O$14*(1-$W$14)/(N($V$14)*12),0)</f>
        <v>82.1425286675856</v>
      </c>
      <c r="AT53" s="13" t="n">
        <f aca="false">IF(AND(40&gt;=$U$14,N($V$14)&gt;0,40&lt;$U$14+N($V$14)*12,40&lt;=p_MesFin),$O$14*(1-$W$14)/(N($V$14)*12),0)</f>
        <v>82.1425286675856</v>
      </c>
      <c r="AU53" s="13" t="n">
        <f aca="false">IF(AND(41&gt;=$U$14,N($V$14)&gt;0,41&lt;$U$14+N($V$14)*12,41&lt;=p_MesFin),$O$14*(1-$W$14)/(N($V$14)*12),0)</f>
        <v>82.1425286675856</v>
      </c>
      <c r="AV53" s="13" t="n">
        <f aca="false">IF(AND(42&gt;=$U$14,N($V$14)&gt;0,42&lt;$U$14+N($V$14)*12,42&lt;=p_MesFin),$O$14*(1-$W$14)/(N($V$14)*12),0)</f>
        <v>82.1425286675856</v>
      </c>
      <c r="AW53" s="13" t="n">
        <f aca="false">IF(AND(43&gt;=$U$14,N($V$14)&gt;0,43&lt;$U$14+N($V$14)*12,43&lt;=p_MesFin),$O$14*(1-$W$14)/(N($V$14)*12),0)</f>
        <v>82.1425286675856</v>
      </c>
      <c r="AX53" s="13" t="n">
        <f aca="false">IF(AND(44&gt;=$U$14,N($V$14)&gt;0,44&lt;$U$14+N($V$14)*12,44&lt;=p_MesFin),$O$14*(1-$W$14)/(N($V$14)*12),0)</f>
        <v>82.1425286675856</v>
      </c>
      <c r="AY53" s="13" t="n">
        <f aca="false">IF(AND(45&gt;=$U$14,N($V$14)&gt;0,45&lt;$U$14+N($V$14)*12,45&lt;=p_MesFin),$O$14*(1-$W$14)/(N($V$14)*12),0)</f>
        <v>82.1425286675856</v>
      </c>
      <c r="AZ53" s="13" t="n">
        <f aca="false">IF(AND(46&gt;=$U$14,N($V$14)&gt;0,46&lt;$U$14+N($V$14)*12,46&lt;=p_MesFin),$O$14*(1-$W$14)/(N($V$14)*12),0)</f>
        <v>82.1425286675856</v>
      </c>
      <c r="BA53" s="13" t="n">
        <f aca="false">IF(AND(47&gt;=$U$14,N($V$14)&gt;0,47&lt;$U$14+N($V$14)*12,47&lt;=p_MesFin),$O$14*(1-$W$14)/(N($V$14)*12),0)</f>
        <v>82.1425286675856</v>
      </c>
      <c r="BB53" s="13" t="n">
        <f aca="false">IF(AND(48&gt;=$U$14,N($V$14)&gt;0,48&lt;$U$14+N($V$14)*12,48&lt;=p_MesFin),$O$14*(1-$W$14)/(N($V$14)*12),0)</f>
        <v>82.1425286675856</v>
      </c>
      <c r="BC53" s="13" t="n">
        <f aca="false">IF(AND(49&gt;=$U$14,N($V$14)&gt;0,49&lt;$U$14+N($V$14)*12,49&lt;=p_MesFin),$O$14*(1-$W$14)/(N($V$14)*12),0)</f>
        <v>82.1425286675856</v>
      </c>
      <c r="BD53" s="13" t="n">
        <f aca="false">IF(AND(50&gt;=$U$14,N($V$14)&gt;0,50&lt;$U$14+N($V$14)*12,50&lt;=p_MesFin),$O$14*(1-$W$14)/(N($V$14)*12),0)</f>
        <v>82.1425286675856</v>
      </c>
      <c r="BE53" s="13" t="n">
        <f aca="false">IF(AND(51&gt;=$U$14,N($V$14)&gt;0,51&lt;$U$14+N($V$14)*12,51&lt;=p_MesFin),$O$14*(1-$W$14)/(N($V$14)*12),0)</f>
        <v>82.1425286675856</v>
      </c>
      <c r="BF53" s="13" t="n">
        <f aca="false">IF(AND(52&gt;=$U$14,N($V$14)&gt;0,52&lt;$U$14+N($V$14)*12,52&lt;=p_MesFin),$O$14*(1-$W$14)/(N($V$14)*12),0)</f>
        <v>82.1425286675856</v>
      </c>
      <c r="BG53" s="13" t="n">
        <f aca="false">IF(AND(53&gt;=$U$14,N($V$14)&gt;0,53&lt;$U$14+N($V$14)*12,53&lt;=p_MesFin),$O$14*(1-$W$14)/(N($V$14)*12),0)</f>
        <v>82.1425286675856</v>
      </c>
      <c r="BH53" s="13" t="n">
        <f aca="false">IF(AND(54&gt;=$U$14,N($V$14)&gt;0,54&lt;$U$14+N($V$14)*12,54&lt;=p_MesFin),$O$14*(1-$W$14)/(N($V$14)*12),0)</f>
        <v>82.1425286675856</v>
      </c>
      <c r="BI53" s="13" t="n">
        <f aca="false">IF(AND(55&gt;=$U$14,N($V$14)&gt;0,55&lt;$U$14+N($V$14)*12,55&lt;=p_MesFin),$O$14*(1-$W$14)/(N($V$14)*12),0)</f>
        <v>82.1425286675856</v>
      </c>
      <c r="BJ53" s="13" t="n">
        <f aca="false">IF(AND(56&gt;=$U$14,N($V$14)&gt;0,56&lt;$U$14+N($V$14)*12,56&lt;=p_MesFin),$O$14*(1-$W$14)/(N($V$14)*12),0)</f>
        <v>82.1425286675856</v>
      </c>
      <c r="BK53" s="13" t="n">
        <f aca="false">IF(AND(57&gt;=$U$14,N($V$14)&gt;0,57&lt;$U$14+N($V$14)*12,57&lt;=p_MesFin),$O$14*(1-$W$14)/(N($V$14)*12),0)</f>
        <v>82.1425286675856</v>
      </c>
      <c r="BL53" s="13" t="n">
        <f aca="false">IF(AND(58&gt;=$U$14,N($V$14)&gt;0,58&lt;$U$14+N($V$14)*12,58&lt;=p_MesFin),$O$14*(1-$W$14)/(N($V$14)*12),0)</f>
        <v>82.1425286675856</v>
      </c>
      <c r="BM53" s="13" t="n">
        <f aca="false">IF(AND(59&gt;=$U$14,N($V$14)&gt;0,59&lt;$U$14+N($V$14)*12,59&lt;=p_MesFin),$O$14*(1-$W$14)/(N($V$14)*12),0)</f>
        <v>82.1425286675856</v>
      </c>
      <c r="BN53" s="13" t="n">
        <f aca="false">IF(AND(60&gt;=$U$14,N($V$14)&gt;0,60&lt;$U$14+N($V$14)*12,60&lt;=p_MesFin),$O$14*(1-$W$14)/(N($V$14)*12),0)</f>
        <v>82.1425286675856</v>
      </c>
      <c r="BO53" s="13" t="n">
        <f aca="false">IF(AND(61&gt;=$U$14,N($V$14)&gt;0,61&lt;$U$14+N($V$14)*12,61&lt;=p_MesFin),$O$14*(1-$W$14)/(N($V$14)*12),0)</f>
        <v>82.1425286675856</v>
      </c>
      <c r="BP53" s="13" t="n">
        <f aca="false">IF(AND(62&gt;=$U$14,N($V$14)&gt;0,62&lt;$U$14+N($V$14)*12,62&lt;=p_MesFin),$O$14*(1-$W$14)/(N($V$14)*12),0)</f>
        <v>82.1425286675856</v>
      </c>
      <c r="BQ53" s="13" t="n">
        <f aca="false">IF(AND(63&gt;=$U$14,N($V$14)&gt;0,63&lt;$U$14+N($V$14)*12,63&lt;=p_MesFin),$O$14*(1-$W$14)/(N($V$14)*12),0)</f>
        <v>82.1425286675856</v>
      </c>
      <c r="BR53" s="13" t="n">
        <f aca="false">IF(AND(64&gt;=$U$14,N($V$14)&gt;0,64&lt;$U$14+N($V$14)*12,64&lt;=p_MesFin),$O$14*(1-$W$14)/(N($V$14)*12),0)</f>
        <v>82.1425286675856</v>
      </c>
      <c r="BS53" s="13" t="n">
        <f aca="false">IF(AND(65&gt;=$U$14,N($V$14)&gt;0,65&lt;$U$14+N($V$14)*12,65&lt;=p_MesFin),$O$14*(1-$W$14)/(N($V$14)*12),0)</f>
        <v>82.1425286675856</v>
      </c>
      <c r="BT53" s="13" t="n">
        <f aca="false">IF(AND(66&gt;=$U$14,N($V$14)&gt;0,66&lt;$U$14+N($V$14)*12,66&lt;=p_MesFin),$O$14*(1-$W$14)/(N($V$14)*12),0)</f>
        <v>82.1425286675856</v>
      </c>
      <c r="BU53" s="13" t="n">
        <f aca="false">IF(AND(67&gt;=$U$14,N($V$14)&gt;0,67&lt;$U$14+N($V$14)*12,67&lt;=p_MesFin),$O$14*(1-$W$14)/(N($V$14)*12),0)</f>
        <v>82.1425286675856</v>
      </c>
      <c r="BV53" s="13" t="n">
        <f aca="false">IF(AND(68&gt;=$U$14,N($V$14)&gt;0,68&lt;$U$14+N($V$14)*12,68&lt;=p_MesFin),$O$14*(1-$W$14)/(N($V$14)*12),0)</f>
        <v>82.1425286675856</v>
      </c>
      <c r="BW53" s="13" t="n">
        <f aca="false">IF(AND(69&gt;=$U$14,N($V$14)&gt;0,69&lt;$U$14+N($V$14)*12,69&lt;=p_MesFin),$O$14*(1-$W$14)/(N($V$14)*12),0)</f>
        <v>82.1425286675856</v>
      </c>
      <c r="BX53" s="13" t="n">
        <f aca="false">IF(AND(70&gt;=$U$14,N($V$14)&gt;0,70&lt;$U$14+N($V$14)*12,70&lt;=p_MesFin),$O$14*(1-$W$14)/(N($V$14)*12),0)</f>
        <v>82.1425286675856</v>
      </c>
      <c r="BY53" s="13" t="n">
        <f aca="false">IF(AND(71&gt;=$U$14,N($V$14)&gt;0,71&lt;$U$14+N($V$14)*12,71&lt;=p_MesFin),$O$14*(1-$W$14)/(N($V$14)*12),0)</f>
        <v>82.1425286675856</v>
      </c>
      <c r="BZ53" s="13" t="n">
        <f aca="false">IF(AND(72&gt;=$U$14,N($V$14)&gt;0,72&lt;$U$14+N($V$14)*12,72&lt;=p_MesFin),$O$14*(1-$W$14)/(N($V$14)*12),0)</f>
        <v>82.1425286675856</v>
      </c>
      <c r="CA53" s="13" t="n">
        <f aca="false">IF(AND(73&gt;=$U$14,N($V$14)&gt;0,73&lt;$U$14+N($V$14)*12,73&lt;=p_MesFin),$O$14*(1-$W$14)/(N($V$14)*12),0)</f>
        <v>82.1425286675856</v>
      </c>
      <c r="CB53" s="13" t="n">
        <f aca="false">IF(AND(74&gt;=$U$14,N($V$14)&gt;0,74&lt;$U$14+N($V$14)*12,74&lt;=p_MesFin),$O$14*(1-$W$14)/(N($V$14)*12),0)</f>
        <v>82.1425286675856</v>
      </c>
      <c r="CC53" s="13" t="n">
        <f aca="false">IF(AND(75&gt;=$U$14,N($V$14)&gt;0,75&lt;$U$14+N($V$14)*12,75&lt;=p_MesFin),$O$14*(1-$W$14)/(N($V$14)*12),0)</f>
        <v>82.1425286675856</v>
      </c>
      <c r="CD53" s="13" t="n">
        <f aca="false">IF(AND(76&gt;=$U$14,N($V$14)&gt;0,76&lt;$U$14+N($V$14)*12,76&lt;=p_MesFin),$O$14*(1-$W$14)/(N($V$14)*12),0)</f>
        <v>82.1425286675856</v>
      </c>
      <c r="CE53" s="13" t="n">
        <f aca="false">IF(AND(77&gt;=$U$14,N($V$14)&gt;0,77&lt;$U$14+N($V$14)*12,77&lt;=p_MesFin),$O$14*(1-$W$14)/(N($V$14)*12),0)</f>
        <v>82.1425286675856</v>
      </c>
      <c r="CF53" s="13" t="n">
        <f aca="false">IF(AND(78&gt;=$U$14,N($V$14)&gt;0,78&lt;$U$14+N($V$14)*12,78&lt;=p_MesFin),$O$14*(1-$W$14)/(N($V$14)*12),0)</f>
        <v>82.1425286675856</v>
      </c>
      <c r="CG53" s="13" t="n">
        <f aca="false">IF(AND(79&gt;=$U$14,N($V$14)&gt;0,79&lt;$U$14+N($V$14)*12,79&lt;=p_MesFin),$O$14*(1-$W$14)/(N($V$14)*12),0)</f>
        <v>82.1425286675856</v>
      </c>
      <c r="CH53" s="13" t="n">
        <f aca="false">IF(AND(80&gt;=$U$14,N($V$14)&gt;0,80&lt;$U$14+N($V$14)*12,80&lt;=p_MesFin),$O$14*(1-$W$14)/(N($V$14)*12),0)</f>
        <v>82.1425286675856</v>
      </c>
      <c r="CI53" s="13" t="n">
        <f aca="false">IF(AND(81&gt;=$U$14,N($V$14)&gt;0,81&lt;$U$14+N($V$14)*12,81&lt;=p_MesFin),$O$14*(1-$W$14)/(N($V$14)*12),0)</f>
        <v>82.1425286675856</v>
      </c>
      <c r="CJ53" s="13" t="n">
        <f aca="false">IF(AND(82&gt;=$U$14,N($V$14)&gt;0,82&lt;$U$14+N($V$14)*12,82&lt;=p_MesFin),$O$14*(1-$W$14)/(N($V$14)*12),0)</f>
        <v>82.1425286675856</v>
      </c>
      <c r="CK53" s="13" t="n">
        <f aca="false">IF(AND(83&gt;=$U$14,N($V$14)&gt;0,83&lt;$U$14+N($V$14)*12,83&lt;=p_MesFin),$O$14*(1-$W$14)/(N($V$14)*12),0)</f>
        <v>82.1425286675856</v>
      </c>
      <c r="CL53" s="13" t="n">
        <f aca="false">IF(AND(84&gt;=$U$14,N($V$14)&gt;0,84&lt;$U$14+N($V$14)*12,84&lt;=p_MesFin),$O$14*(1-$W$14)/(N($V$14)*12),0)</f>
        <v>82.1425286675856</v>
      </c>
      <c r="CM53" s="13" t="n">
        <f aca="false">IF(AND(85&gt;=$U$14,N($V$14)&gt;0,85&lt;$U$14+N($V$14)*12,85&lt;=p_MesFin),$O$14*(1-$W$14)/(N($V$14)*12),0)</f>
        <v>82.1425286675856</v>
      </c>
      <c r="CN53" s="13" t="n">
        <f aca="false">IF(AND(86&gt;=$U$14,N($V$14)&gt;0,86&lt;$U$14+N($V$14)*12,86&lt;=p_MesFin),$O$14*(1-$W$14)/(N($V$14)*12),0)</f>
        <v>82.1425286675856</v>
      </c>
      <c r="CO53" s="13" t="n">
        <f aca="false">IF(AND(87&gt;=$U$14,N($V$14)&gt;0,87&lt;$U$14+N($V$14)*12,87&lt;=p_MesFin),$O$14*(1-$W$14)/(N($V$14)*12),0)</f>
        <v>82.1425286675856</v>
      </c>
      <c r="CP53" s="13" t="n">
        <f aca="false">IF(AND(88&gt;=$U$14,N($V$14)&gt;0,88&lt;$U$14+N($V$14)*12,88&lt;=p_MesFin),$O$14*(1-$W$14)/(N($V$14)*12),0)</f>
        <v>82.1425286675856</v>
      </c>
      <c r="CQ53" s="13" t="n">
        <f aca="false">IF(AND(89&gt;=$U$14,N($V$14)&gt;0,89&lt;$U$14+N($V$14)*12,89&lt;=p_MesFin),$O$14*(1-$W$14)/(N($V$14)*12),0)</f>
        <v>82.1425286675856</v>
      </c>
      <c r="CR53" s="13" t="n">
        <f aca="false">IF(AND(90&gt;=$U$14,N($V$14)&gt;0,90&lt;$U$14+N($V$14)*12,90&lt;=p_MesFin),$O$14*(1-$W$14)/(N($V$14)*12),0)</f>
        <v>82.1425286675856</v>
      </c>
      <c r="CS53" s="13" t="n">
        <f aca="false">IF(AND(91&gt;=$U$14,N($V$14)&gt;0,91&lt;$U$14+N($V$14)*12,91&lt;=p_MesFin),$O$14*(1-$W$14)/(N($V$14)*12),0)</f>
        <v>82.1425286675856</v>
      </c>
      <c r="CT53" s="13" t="n">
        <f aca="false">IF(AND(92&gt;=$U$14,N($V$14)&gt;0,92&lt;$U$14+N($V$14)*12,92&lt;=p_MesFin),$O$14*(1-$W$14)/(N($V$14)*12),0)</f>
        <v>82.1425286675856</v>
      </c>
      <c r="CU53" s="13" t="n">
        <f aca="false">IF(AND(93&gt;=$U$14,N($V$14)&gt;0,93&lt;$U$14+N($V$14)*12,93&lt;=p_MesFin),$O$14*(1-$W$14)/(N($V$14)*12),0)</f>
        <v>82.1425286675856</v>
      </c>
      <c r="CV53" s="13" t="n">
        <f aca="false">IF(AND(94&gt;=$U$14,N($V$14)&gt;0,94&lt;$U$14+N($V$14)*12,94&lt;=p_MesFin),$O$14*(1-$W$14)/(N($V$14)*12),0)</f>
        <v>82.1425286675856</v>
      </c>
      <c r="CW53" s="13" t="n">
        <f aca="false">IF(AND(95&gt;=$U$14,N($V$14)&gt;0,95&lt;$U$14+N($V$14)*12,95&lt;=p_MesFin),$O$14*(1-$W$14)/(N($V$14)*12),0)</f>
        <v>82.1425286675856</v>
      </c>
      <c r="CX53" s="13" t="n">
        <f aca="false">IF(AND(96&gt;=$U$14,N($V$14)&gt;0,96&lt;$U$14+N($V$14)*12,96&lt;=p_MesFin),$O$14*(1-$W$14)/(N($V$14)*12),0)</f>
        <v>82.1425286675856</v>
      </c>
      <c r="CY53" s="13" t="n">
        <f aca="false">IF(AND(97&gt;=$U$14,N($V$14)&gt;0,97&lt;$U$14+N($V$14)*12,97&lt;=p_MesFin),$O$14*(1-$W$14)/(N($V$14)*12),0)</f>
        <v>82.1425286675856</v>
      </c>
      <c r="CZ53" s="13" t="n">
        <f aca="false">IF(AND(98&gt;=$U$14,N($V$14)&gt;0,98&lt;$U$14+N($V$14)*12,98&lt;=p_MesFin),$O$14*(1-$W$14)/(N($V$14)*12),0)</f>
        <v>82.1425286675856</v>
      </c>
      <c r="DA53" s="13" t="n">
        <f aca="false">IF(AND(99&gt;=$U$14,N($V$14)&gt;0,99&lt;$U$14+N($V$14)*12,99&lt;=p_MesFin),$O$14*(1-$W$14)/(N($V$14)*12),0)</f>
        <v>82.1425286675856</v>
      </c>
      <c r="DB53" s="13" t="n">
        <f aca="false">IF(AND(100&gt;=$U$14,N($V$14)&gt;0,100&lt;$U$14+N($V$14)*12,100&lt;=p_MesFin),$O$14*(1-$W$14)/(N($V$14)*12),0)</f>
        <v>82.1425286675856</v>
      </c>
      <c r="DC53" s="13" t="n">
        <f aca="false">IF(AND(101&gt;=$U$14,N($V$14)&gt;0,101&lt;$U$14+N($V$14)*12,101&lt;=p_MesFin),$O$14*(1-$W$14)/(N($V$14)*12),0)</f>
        <v>82.1425286675856</v>
      </c>
      <c r="DD53" s="13" t="n">
        <f aca="false">IF(AND(102&gt;=$U$14,N($V$14)&gt;0,102&lt;$U$14+N($V$14)*12,102&lt;=p_MesFin),$O$14*(1-$W$14)/(N($V$14)*12),0)</f>
        <v>82.1425286675856</v>
      </c>
      <c r="DE53" s="13" t="n">
        <f aca="false">IF(AND(103&gt;=$U$14,N($V$14)&gt;0,103&lt;$U$14+N($V$14)*12,103&lt;=p_MesFin),$O$14*(1-$W$14)/(N($V$14)*12),0)</f>
        <v>82.1425286675856</v>
      </c>
      <c r="DF53" s="13" t="n">
        <f aca="false">IF(AND(104&gt;=$U$14,N($V$14)&gt;0,104&lt;$U$14+N($V$14)*12,104&lt;=p_MesFin),$O$14*(1-$W$14)/(N($V$14)*12),0)</f>
        <v>82.1425286675856</v>
      </c>
      <c r="DG53" s="13" t="n">
        <f aca="false">IF(AND(105&gt;=$U$14,N($V$14)&gt;0,105&lt;$U$14+N($V$14)*12,105&lt;=p_MesFin),$O$14*(1-$W$14)/(N($V$14)*12),0)</f>
        <v>82.1425286675856</v>
      </c>
      <c r="DH53" s="13" t="n">
        <f aca="false">IF(AND(106&gt;=$U$14,N($V$14)&gt;0,106&lt;$U$14+N($V$14)*12,106&lt;=p_MesFin),$O$14*(1-$W$14)/(N($V$14)*12),0)</f>
        <v>82.1425286675856</v>
      </c>
      <c r="DI53" s="13" t="n">
        <f aca="false">IF(AND(107&gt;=$U$14,N($V$14)&gt;0,107&lt;$U$14+N($V$14)*12,107&lt;=p_MesFin),$O$14*(1-$W$14)/(N($V$14)*12),0)</f>
        <v>82.1425286675856</v>
      </c>
      <c r="DJ53" s="13" t="n">
        <f aca="false">IF(AND(108&gt;=$U$14,N($V$14)&gt;0,108&lt;$U$14+N($V$14)*12,108&lt;=p_MesFin),$O$14*(1-$W$14)/(N($V$14)*12),0)</f>
        <v>82.1425286675856</v>
      </c>
      <c r="DK53" s="13" t="n">
        <f aca="false">IF(AND(109&gt;=$U$14,N($V$14)&gt;0,109&lt;$U$14+N($V$14)*12,109&lt;=p_MesFin),$O$14*(1-$W$14)/(N($V$14)*12),0)</f>
        <v>82.1425286675856</v>
      </c>
      <c r="DL53" s="13" t="n">
        <f aca="false">IF(AND(110&gt;=$U$14,N($V$14)&gt;0,110&lt;$U$14+N($V$14)*12,110&lt;=p_MesFin),$O$14*(1-$W$14)/(N($V$14)*12),0)</f>
        <v>82.1425286675856</v>
      </c>
      <c r="DM53" s="13" t="n">
        <f aca="false">IF(AND(111&gt;=$U$14,N($V$14)&gt;0,111&lt;$U$14+N($V$14)*12,111&lt;=p_MesFin),$O$14*(1-$W$14)/(N($V$14)*12),0)</f>
        <v>82.1425286675856</v>
      </c>
      <c r="DN53" s="13" t="n">
        <f aca="false">IF(AND(112&gt;=$U$14,N($V$14)&gt;0,112&lt;$U$14+N($V$14)*12,112&lt;=p_MesFin),$O$14*(1-$W$14)/(N($V$14)*12),0)</f>
        <v>82.1425286675856</v>
      </c>
      <c r="DO53" s="13" t="n">
        <f aca="false">IF(AND(113&gt;=$U$14,N($V$14)&gt;0,113&lt;$U$14+N($V$14)*12,113&lt;=p_MesFin),$O$14*(1-$W$14)/(N($V$14)*12),0)</f>
        <v>82.1425286675856</v>
      </c>
      <c r="DP53" s="13" t="n">
        <f aca="false">IF(AND(114&gt;=$U$14,N($V$14)&gt;0,114&lt;$U$14+N($V$14)*12,114&lt;=p_MesFin),$O$14*(1-$W$14)/(N($V$14)*12),0)</f>
        <v>82.1425286675856</v>
      </c>
      <c r="DQ53" s="13" t="n">
        <f aca="false">IF(AND(115&gt;=$U$14,N($V$14)&gt;0,115&lt;$U$14+N($V$14)*12,115&lt;=p_MesFin),$O$14*(1-$W$14)/(N($V$14)*12),0)</f>
        <v>82.1425286675856</v>
      </c>
      <c r="DR53" s="13" t="n">
        <f aca="false">IF(AND(116&gt;=$U$14,N($V$14)&gt;0,116&lt;$U$14+N($V$14)*12,116&lt;=p_MesFin),$O$14*(1-$W$14)/(N($V$14)*12),0)</f>
        <v>82.1425286675856</v>
      </c>
      <c r="DS53" s="13" t="n">
        <f aca="false">IF(AND(117&gt;=$U$14,N($V$14)&gt;0,117&lt;$U$14+N($V$14)*12,117&lt;=p_MesFin),$O$14*(1-$W$14)/(N($V$14)*12),0)</f>
        <v>82.1425286675856</v>
      </c>
      <c r="DT53" s="13" t="n">
        <f aca="false">IF(AND(118&gt;=$U$14,N($V$14)&gt;0,118&lt;$U$14+N($V$14)*12,118&lt;=p_MesFin),$O$14*(1-$W$14)/(N($V$14)*12),0)</f>
        <v>82.1425286675856</v>
      </c>
      <c r="DU53" s="13" t="n">
        <f aca="false">IF(AND(119&gt;=$U$14,N($V$14)&gt;0,119&lt;$U$14+N($V$14)*12,119&lt;=p_MesFin),$O$14*(1-$W$14)/(N($V$14)*12),0)</f>
        <v>82.1425286675856</v>
      </c>
      <c r="DV53" s="13" t="n">
        <f aca="false">IF(AND(120&gt;=$U$14,N($V$14)&gt;0,120&lt;$U$14+N($V$14)*12,120&lt;=p_MesFin),$O$14*(1-$W$14)/(N($V$14)*12),0)</f>
        <v>82.1425286675856</v>
      </c>
      <c r="DW53" s="13" t="n">
        <f aca="false">IF(AND(121&gt;=$U$14,N($V$14)&gt;0,121&lt;$U$14+N($V$14)*12,121&lt;=p_MesFin),$O$14*(1-$W$14)/(N($V$14)*12),0)</f>
        <v>0</v>
      </c>
      <c r="DX53" s="13" t="n">
        <f aca="false">IF(AND(122&gt;=$U$14,N($V$14)&gt;0,122&lt;$U$14+N($V$14)*12,122&lt;=p_MesFin),$O$14*(1-$W$14)/(N($V$14)*12),0)</f>
        <v>0</v>
      </c>
      <c r="DY53" s="13" t="n">
        <f aca="false">IF(AND(123&gt;=$U$14,N($V$14)&gt;0,123&lt;$U$14+N($V$14)*12,123&lt;=p_MesFin),$O$14*(1-$W$14)/(N($V$14)*12),0)</f>
        <v>0</v>
      </c>
      <c r="DZ53" s="13" t="n">
        <f aca="false">IF(AND(124&gt;=$U$14,N($V$14)&gt;0,124&lt;$U$14+N($V$14)*12,124&lt;=p_MesFin),$O$14*(1-$W$14)/(N($V$14)*12),0)</f>
        <v>0</v>
      </c>
      <c r="EA53" s="13" t="n">
        <f aca="false">IF(AND(125&gt;=$U$14,N($V$14)&gt;0,125&lt;$U$14+N($V$14)*12,125&lt;=p_MesFin),$O$14*(1-$W$14)/(N($V$14)*12),0)</f>
        <v>0</v>
      </c>
      <c r="EB53" s="13" t="n">
        <f aca="false">IF(AND(126&gt;=$U$14,N($V$14)&gt;0,126&lt;$U$14+N($V$14)*12,126&lt;=p_MesFin),$O$14*(1-$W$14)/(N($V$14)*12),0)</f>
        <v>0</v>
      </c>
      <c r="EC53" s="13" t="n">
        <f aca="false">IF(AND(127&gt;=$U$14,N($V$14)&gt;0,127&lt;$U$14+N($V$14)*12,127&lt;=p_MesFin),$O$14*(1-$W$14)/(N($V$14)*12),0)</f>
        <v>0</v>
      </c>
      <c r="ED53" s="13" t="n">
        <f aca="false">IF(AND(128&gt;=$U$14,N($V$14)&gt;0,128&lt;$U$14+N($V$14)*12,128&lt;=p_MesFin),$O$14*(1-$W$14)/(N($V$14)*12),0)</f>
        <v>0</v>
      </c>
      <c r="EE53" s="13" t="n">
        <f aca="false">IF(AND(129&gt;=$U$14,N($V$14)&gt;0,129&lt;$U$14+N($V$14)*12,129&lt;=p_MesFin),$O$14*(1-$W$14)/(N($V$14)*12),0)</f>
        <v>0</v>
      </c>
      <c r="EF53" s="13" t="n">
        <f aca="false">IF(AND(130&gt;=$U$14,N($V$14)&gt;0,130&lt;$U$14+N($V$14)*12,130&lt;=p_MesFin),$O$14*(1-$W$14)/(N($V$14)*12),0)</f>
        <v>0</v>
      </c>
      <c r="EG53" s="13" t="n">
        <f aca="false">IF(AND(131&gt;=$U$14,N($V$14)&gt;0,131&lt;$U$14+N($V$14)*12,131&lt;=p_MesFin),$O$14*(1-$W$14)/(N($V$14)*12),0)</f>
        <v>0</v>
      </c>
      <c r="EH53" s="13" t="n">
        <f aca="false">IF(AND(132&gt;=$U$14,N($V$14)&gt;0,132&lt;$U$14+N($V$14)*12,132&lt;=p_MesFin),$O$14*(1-$W$14)/(N($V$14)*12),0)</f>
        <v>0</v>
      </c>
      <c r="EI53" s="13" t="n">
        <f aca="false">IF(AND(133&gt;=$U$14,N($V$14)&gt;0,133&lt;$U$14+N($V$14)*12,133&lt;=p_MesFin),$O$14*(1-$W$14)/(N($V$14)*12),0)</f>
        <v>0</v>
      </c>
      <c r="EJ53" s="13" t="n">
        <f aca="false">IF(AND(134&gt;=$U$14,N($V$14)&gt;0,134&lt;$U$14+N($V$14)*12,134&lt;=p_MesFin),$O$14*(1-$W$14)/(N($V$14)*12),0)</f>
        <v>0</v>
      </c>
      <c r="EK53" s="13" t="n">
        <f aca="false">IF(AND(135&gt;=$U$14,N($V$14)&gt;0,135&lt;$U$14+N($V$14)*12,135&lt;=p_MesFin),$O$14*(1-$W$14)/(N($V$14)*12),0)</f>
        <v>0</v>
      </c>
      <c r="EL53" s="13" t="n">
        <f aca="false">IF(AND(136&gt;=$U$14,N($V$14)&gt;0,136&lt;$U$14+N($V$14)*12,136&lt;=p_MesFin),$O$14*(1-$W$14)/(N($V$14)*12),0)</f>
        <v>0</v>
      </c>
      <c r="EM53" s="13" t="n">
        <f aca="false">IF(AND(137&gt;=$U$14,N($V$14)&gt;0,137&lt;$U$14+N($V$14)*12,137&lt;=p_MesFin),$O$14*(1-$W$14)/(N($V$14)*12),0)</f>
        <v>0</v>
      </c>
      <c r="EN53" s="13" t="n">
        <f aca="false">IF(AND(138&gt;=$U$14,N($V$14)&gt;0,138&lt;$U$14+N($V$14)*12,138&lt;=p_MesFin),$O$14*(1-$W$14)/(N($V$14)*12),0)</f>
        <v>0</v>
      </c>
      <c r="EO53" s="13" t="n">
        <f aca="false">IF(AND(139&gt;=$U$14,N($V$14)&gt;0,139&lt;$U$14+N($V$14)*12,139&lt;=p_MesFin),$O$14*(1-$W$14)/(N($V$14)*12),0)</f>
        <v>0</v>
      </c>
      <c r="EP53" s="13" t="n">
        <f aca="false">IF(AND(140&gt;=$U$14,N($V$14)&gt;0,140&lt;$U$14+N($V$14)*12,140&lt;=p_MesFin),$O$14*(1-$W$14)/(N($V$14)*12),0)</f>
        <v>0</v>
      </c>
      <c r="EQ53" s="13" t="n">
        <f aca="false">IF(AND(141&gt;=$U$14,N($V$14)&gt;0,141&lt;$U$14+N($V$14)*12,141&lt;=p_MesFin),$O$14*(1-$W$14)/(N($V$14)*12),0)</f>
        <v>0</v>
      </c>
      <c r="ER53" s="13" t="n">
        <f aca="false">IF(AND(142&gt;=$U$14,N($V$14)&gt;0,142&lt;$U$14+N($V$14)*12,142&lt;=p_MesFin),$O$14*(1-$W$14)/(N($V$14)*12),0)</f>
        <v>0</v>
      </c>
      <c r="ES53" s="13" t="n">
        <f aca="false">IF(AND(143&gt;=$U$14,N($V$14)&gt;0,143&lt;$U$14+N($V$14)*12,143&lt;=p_MesFin),$O$14*(1-$W$14)/(N($V$14)*12),0)</f>
        <v>0</v>
      </c>
      <c r="ET53" s="13" t="n">
        <f aca="false">IF(AND(144&gt;=$U$14,N($V$14)&gt;0,144&lt;$U$14+N($V$14)*12,144&lt;=p_MesFin),$O$14*(1-$W$14)/(N($V$14)*12),0)</f>
        <v>0</v>
      </c>
      <c r="EU53" s="13" t="n">
        <f aca="false">IF(AND(145&gt;=$U$14,N($V$14)&gt;0,145&lt;$U$14+N($V$14)*12,145&lt;=p_MesFin),$O$14*(1-$W$14)/(N($V$14)*12),0)</f>
        <v>0</v>
      </c>
      <c r="EV53" s="13" t="n">
        <f aca="false">IF(AND(146&gt;=$U$14,N($V$14)&gt;0,146&lt;$U$14+N($V$14)*12,146&lt;=p_MesFin),$O$14*(1-$W$14)/(N($V$14)*12),0)</f>
        <v>0</v>
      </c>
      <c r="EW53" s="13" t="n">
        <f aca="false">IF(AND(147&gt;=$U$14,N($V$14)&gt;0,147&lt;$U$14+N($V$14)*12,147&lt;=p_MesFin),$O$14*(1-$W$14)/(N($V$14)*12),0)</f>
        <v>0</v>
      </c>
      <c r="EX53" s="13" t="n">
        <f aca="false">IF(AND(148&gt;=$U$14,N($V$14)&gt;0,148&lt;$U$14+N($V$14)*12,148&lt;=p_MesFin),$O$14*(1-$W$14)/(N($V$14)*12),0)</f>
        <v>0</v>
      </c>
      <c r="EY53" s="13" t="n">
        <f aca="false">IF(AND(149&gt;=$U$14,N($V$14)&gt;0,149&lt;$U$14+N($V$14)*12,149&lt;=p_MesFin),$O$14*(1-$W$14)/(N($V$14)*12),0)</f>
        <v>0</v>
      </c>
      <c r="EZ53" s="13" t="n">
        <f aca="false">IF(AND(150&gt;=$U$14,N($V$14)&gt;0,150&lt;$U$14+N($V$14)*12,150&lt;=p_MesFin),$O$14*(1-$W$14)/(N($V$14)*12),0)</f>
        <v>0</v>
      </c>
      <c r="FA53" s="13" t="n">
        <f aca="false">IF(AND(151&gt;=$U$14,N($V$14)&gt;0,151&lt;$U$14+N($V$14)*12,151&lt;=p_MesFin),$O$14*(1-$W$14)/(N($V$14)*12),0)</f>
        <v>0</v>
      </c>
      <c r="FB53" s="13" t="n">
        <f aca="false">IF(AND(152&gt;=$U$14,N($V$14)&gt;0,152&lt;$U$14+N($V$14)*12,152&lt;=p_MesFin),$O$14*(1-$W$14)/(N($V$14)*12),0)</f>
        <v>0</v>
      </c>
      <c r="FC53" s="13" t="n">
        <f aca="false">IF(AND(153&gt;=$U$14,N($V$14)&gt;0,153&lt;$U$14+N($V$14)*12,153&lt;=p_MesFin),$O$14*(1-$W$14)/(N($V$14)*12),0)</f>
        <v>0</v>
      </c>
      <c r="FD53" s="13" t="n">
        <f aca="false">IF(AND(154&gt;=$U$14,N($V$14)&gt;0,154&lt;$U$14+N($V$14)*12,154&lt;=p_MesFin),$O$14*(1-$W$14)/(N($V$14)*12),0)</f>
        <v>0</v>
      </c>
      <c r="FE53" s="13" t="n">
        <f aca="false">IF(AND(155&gt;=$U$14,N($V$14)&gt;0,155&lt;$U$14+N($V$14)*12,155&lt;=p_MesFin),$O$14*(1-$W$14)/(N($V$14)*12),0)</f>
        <v>0</v>
      </c>
      <c r="FF53" s="13" t="n">
        <f aca="false">IF(AND(156&gt;=$U$14,N($V$14)&gt;0,156&lt;$U$14+N($V$14)*12,156&lt;=p_MesFin),$O$14*(1-$W$14)/(N($V$14)*12),0)</f>
        <v>0</v>
      </c>
    </row>
    <row r="54" customFormat="false" ht="15" hidden="false" customHeight="false" outlineLevel="0" collapsed="false">
      <c r="A54" s="2" t="s">
        <v>1256</v>
      </c>
      <c r="B54" s="8" t="s">
        <v>1257</v>
      </c>
      <c r="C54" s="8" t="s">
        <v>255</v>
      </c>
      <c r="E54" s="65" t="n">
        <f aca="false">SUM($F54:$FF54)</f>
        <v>29458.0102807893</v>
      </c>
      <c r="F54" s="13" t="n">
        <f aca="false">IF(AND(0&gt;=$U$15,N($V$15)&gt;0,0&lt;$U$15+N($V$15)*12,0&lt;=p_MesFin),$O$15*(1-$W$15)/(N($V$15)*12),0)</f>
        <v>0</v>
      </c>
      <c r="G54" s="13" t="n">
        <f aca="false">IF(AND(1&gt;=$U$15,N($V$15)&gt;0,1&lt;$U$15+N($V$15)*12,1&lt;=p_MesFin),$O$15*(1-$W$15)/(N($V$15)*12),0)</f>
        <v>245.483419006578</v>
      </c>
      <c r="H54" s="13" t="n">
        <f aca="false">IF(AND(2&gt;=$U$15,N($V$15)&gt;0,2&lt;$U$15+N($V$15)*12,2&lt;=p_MesFin),$O$15*(1-$W$15)/(N($V$15)*12),0)</f>
        <v>245.483419006578</v>
      </c>
      <c r="I54" s="13" t="n">
        <f aca="false">IF(AND(3&gt;=$U$15,N($V$15)&gt;0,3&lt;$U$15+N($V$15)*12,3&lt;=p_MesFin),$O$15*(1-$W$15)/(N($V$15)*12),0)</f>
        <v>245.483419006578</v>
      </c>
      <c r="J54" s="13" t="n">
        <f aca="false">IF(AND(4&gt;=$U$15,N($V$15)&gt;0,4&lt;$U$15+N($V$15)*12,4&lt;=p_MesFin),$O$15*(1-$W$15)/(N($V$15)*12),0)</f>
        <v>245.483419006578</v>
      </c>
      <c r="K54" s="13" t="n">
        <f aca="false">IF(AND(5&gt;=$U$15,N($V$15)&gt;0,5&lt;$U$15+N($V$15)*12,5&lt;=p_MesFin),$O$15*(1-$W$15)/(N($V$15)*12),0)</f>
        <v>245.483419006578</v>
      </c>
      <c r="L54" s="13" t="n">
        <f aca="false">IF(AND(6&gt;=$U$15,N($V$15)&gt;0,6&lt;$U$15+N($V$15)*12,6&lt;=p_MesFin),$O$15*(1-$W$15)/(N($V$15)*12),0)</f>
        <v>245.483419006578</v>
      </c>
      <c r="M54" s="13" t="n">
        <f aca="false">IF(AND(7&gt;=$U$15,N($V$15)&gt;0,7&lt;$U$15+N($V$15)*12,7&lt;=p_MesFin),$O$15*(1-$W$15)/(N($V$15)*12),0)</f>
        <v>245.483419006578</v>
      </c>
      <c r="N54" s="13" t="n">
        <f aca="false">IF(AND(8&gt;=$U$15,N($V$15)&gt;0,8&lt;$U$15+N($V$15)*12,8&lt;=p_MesFin),$O$15*(1-$W$15)/(N($V$15)*12),0)</f>
        <v>245.483419006578</v>
      </c>
      <c r="O54" s="13" t="n">
        <f aca="false">IF(AND(9&gt;=$U$15,N($V$15)&gt;0,9&lt;$U$15+N($V$15)*12,9&lt;=p_MesFin),$O$15*(1-$W$15)/(N($V$15)*12),0)</f>
        <v>245.483419006578</v>
      </c>
      <c r="P54" s="13" t="n">
        <f aca="false">IF(AND(10&gt;=$U$15,N($V$15)&gt;0,10&lt;$U$15+N($V$15)*12,10&lt;=p_MesFin),$O$15*(1-$W$15)/(N($V$15)*12),0)</f>
        <v>245.483419006578</v>
      </c>
      <c r="Q54" s="13" t="n">
        <f aca="false">IF(AND(11&gt;=$U$15,N($V$15)&gt;0,11&lt;$U$15+N($V$15)*12,11&lt;=p_MesFin),$O$15*(1-$W$15)/(N($V$15)*12),0)</f>
        <v>245.483419006578</v>
      </c>
      <c r="R54" s="13" t="n">
        <f aca="false">IF(AND(12&gt;=$U$15,N($V$15)&gt;0,12&lt;$U$15+N($V$15)*12,12&lt;=p_MesFin),$O$15*(1-$W$15)/(N($V$15)*12),0)</f>
        <v>245.483419006578</v>
      </c>
      <c r="S54" s="13" t="n">
        <f aca="false">IF(AND(13&gt;=$U$15,N($V$15)&gt;0,13&lt;$U$15+N($V$15)*12,13&lt;=p_MesFin),$O$15*(1-$W$15)/(N($V$15)*12),0)</f>
        <v>245.483419006578</v>
      </c>
      <c r="T54" s="13" t="n">
        <f aca="false">IF(AND(14&gt;=$U$15,N($V$15)&gt;0,14&lt;$U$15+N($V$15)*12,14&lt;=p_MesFin),$O$15*(1-$W$15)/(N($V$15)*12),0)</f>
        <v>245.483419006578</v>
      </c>
      <c r="U54" s="13" t="n">
        <f aca="false">IF(AND(15&gt;=$U$15,N($V$15)&gt;0,15&lt;$U$15+N($V$15)*12,15&lt;=p_MesFin),$O$15*(1-$W$15)/(N($V$15)*12),0)</f>
        <v>245.483419006578</v>
      </c>
      <c r="V54" s="13" t="n">
        <f aca="false">IF(AND(16&gt;=$U$15,N($V$15)&gt;0,16&lt;$U$15+N($V$15)*12,16&lt;=p_MesFin),$O$15*(1-$W$15)/(N($V$15)*12),0)</f>
        <v>245.483419006578</v>
      </c>
      <c r="W54" s="13" t="n">
        <f aca="false">IF(AND(17&gt;=$U$15,N($V$15)&gt;0,17&lt;$U$15+N($V$15)*12,17&lt;=p_MesFin),$O$15*(1-$W$15)/(N($V$15)*12),0)</f>
        <v>245.483419006578</v>
      </c>
      <c r="X54" s="13" t="n">
        <f aca="false">IF(AND(18&gt;=$U$15,N($V$15)&gt;0,18&lt;$U$15+N($V$15)*12,18&lt;=p_MesFin),$O$15*(1-$W$15)/(N($V$15)*12),0)</f>
        <v>245.483419006578</v>
      </c>
      <c r="Y54" s="13" t="n">
        <f aca="false">IF(AND(19&gt;=$U$15,N($V$15)&gt;0,19&lt;$U$15+N($V$15)*12,19&lt;=p_MesFin),$O$15*(1-$W$15)/(N($V$15)*12),0)</f>
        <v>245.483419006578</v>
      </c>
      <c r="Z54" s="13" t="n">
        <f aca="false">IF(AND(20&gt;=$U$15,N($V$15)&gt;0,20&lt;$U$15+N($V$15)*12,20&lt;=p_MesFin),$O$15*(1-$W$15)/(N($V$15)*12),0)</f>
        <v>245.483419006578</v>
      </c>
      <c r="AA54" s="13" t="n">
        <f aca="false">IF(AND(21&gt;=$U$15,N($V$15)&gt;0,21&lt;$U$15+N($V$15)*12,21&lt;=p_MesFin),$O$15*(1-$W$15)/(N($V$15)*12),0)</f>
        <v>245.483419006578</v>
      </c>
      <c r="AB54" s="13" t="n">
        <f aca="false">IF(AND(22&gt;=$U$15,N($V$15)&gt;0,22&lt;$U$15+N($V$15)*12,22&lt;=p_MesFin),$O$15*(1-$W$15)/(N($V$15)*12),0)</f>
        <v>245.483419006578</v>
      </c>
      <c r="AC54" s="13" t="n">
        <f aca="false">IF(AND(23&gt;=$U$15,N($V$15)&gt;0,23&lt;$U$15+N($V$15)*12,23&lt;=p_MesFin),$O$15*(1-$W$15)/(N($V$15)*12),0)</f>
        <v>245.483419006578</v>
      </c>
      <c r="AD54" s="13" t="n">
        <f aca="false">IF(AND(24&gt;=$U$15,N($V$15)&gt;0,24&lt;$U$15+N($V$15)*12,24&lt;=p_MesFin),$O$15*(1-$W$15)/(N($V$15)*12),0)</f>
        <v>245.483419006578</v>
      </c>
      <c r="AE54" s="13" t="n">
        <f aca="false">IF(AND(25&gt;=$U$15,N($V$15)&gt;0,25&lt;$U$15+N($V$15)*12,25&lt;=p_MesFin),$O$15*(1-$W$15)/(N($V$15)*12),0)</f>
        <v>245.483419006578</v>
      </c>
      <c r="AF54" s="13" t="n">
        <f aca="false">IF(AND(26&gt;=$U$15,N($V$15)&gt;0,26&lt;$U$15+N($V$15)*12,26&lt;=p_MesFin),$O$15*(1-$W$15)/(N($V$15)*12),0)</f>
        <v>245.483419006578</v>
      </c>
      <c r="AG54" s="13" t="n">
        <f aca="false">IF(AND(27&gt;=$U$15,N($V$15)&gt;0,27&lt;$U$15+N($V$15)*12,27&lt;=p_MesFin),$O$15*(1-$W$15)/(N($V$15)*12),0)</f>
        <v>245.483419006578</v>
      </c>
      <c r="AH54" s="13" t="n">
        <f aca="false">IF(AND(28&gt;=$U$15,N($V$15)&gt;0,28&lt;$U$15+N($V$15)*12,28&lt;=p_MesFin),$O$15*(1-$W$15)/(N($V$15)*12),0)</f>
        <v>245.483419006578</v>
      </c>
      <c r="AI54" s="13" t="n">
        <f aca="false">IF(AND(29&gt;=$U$15,N($V$15)&gt;0,29&lt;$U$15+N($V$15)*12,29&lt;=p_MesFin),$O$15*(1-$W$15)/(N($V$15)*12),0)</f>
        <v>245.483419006578</v>
      </c>
      <c r="AJ54" s="13" t="n">
        <f aca="false">IF(AND(30&gt;=$U$15,N($V$15)&gt;0,30&lt;$U$15+N($V$15)*12,30&lt;=p_MesFin),$O$15*(1-$W$15)/(N($V$15)*12),0)</f>
        <v>245.483419006578</v>
      </c>
      <c r="AK54" s="13" t="n">
        <f aca="false">IF(AND(31&gt;=$U$15,N($V$15)&gt;0,31&lt;$U$15+N($V$15)*12,31&lt;=p_MesFin),$O$15*(1-$W$15)/(N($V$15)*12),0)</f>
        <v>245.483419006578</v>
      </c>
      <c r="AL54" s="13" t="n">
        <f aca="false">IF(AND(32&gt;=$U$15,N($V$15)&gt;0,32&lt;$U$15+N($V$15)*12,32&lt;=p_MesFin),$O$15*(1-$W$15)/(N($V$15)*12),0)</f>
        <v>245.483419006578</v>
      </c>
      <c r="AM54" s="13" t="n">
        <f aca="false">IF(AND(33&gt;=$U$15,N($V$15)&gt;0,33&lt;$U$15+N($V$15)*12,33&lt;=p_MesFin),$O$15*(1-$W$15)/(N($V$15)*12),0)</f>
        <v>245.483419006578</v>
      </c>
      <c r="AN54" s="13" t="n">
        <f aca="false">IF(AND(34&gt;=$U$15,N($V$15)&gt;0,34&lt;$U$15+N($V$15)*12,34&lt;=p_MesFin),$O$15*(1-$W$15)/(N($V$15)*12),0)</f>
        <v>245.483419006578</v>
      </c>
      <c r="AO54" s="13" t="n">
        <f aca="false">IF(AND(35&gt;=$U$15,N($V$15)&gt;0,35&lt;$U$15+N($V$15)*12,35&lt;=p_MesFin),$O$15*(1-$W$15)/(N($V$15)*12),0)</f>
        <v>245.483419006578</v>
      </c>
      <c r="AP54" s="13" t="n">
        <f aca="false">IF(AND(36&gt;=$U$15,N($V$15)&gt;0,36&lt;$U$15+N($V$15)*12,36&lt;=p_MesFin),$O$15*(1-$W$15)/(N($V$15)*12),0)</f>
        <v>245.483419006578</v>
      </c>
      <c r="AQ54" s="13" t="n">
        <f aca="false">IF(AND(37&gt;=$U$15,N($V$15)&gt;0,37&lt;$U$15+N($V$15)*12,37&lt;=p_MesFin),$O$15*(1-$W$15)/(N($V$15)*12),0)</f>
        <v>245.483419006578</v>
      </c>
      <c r="AR54" s="13" t="n">
        <f aca="false">IF(AND(38&gt;=$U$15,N($V$15)&gt;0,38&lt;$U$15+N($V$15)*12,38&lt;=p_MesFin),$O$15*(1-$W$15)/(N($V$15)*12),0)</f>
        <v>245.483419006578</v>
      </c>
      <c r="AS54" s="13" t="n">
        <f aca="false">IF(AND(39&gt;=$U$15,N($V$15)&gt;0,39&lt;$U$15+N($V$15)*12,39&lt;=p_MesFin),$O$15*(1-$W$15)/(N($V$15)*12),0)</f>
        <v>245.483419006578</v>
      </c>
      <c r="AT54" s="13" t="n">
        <f aca="false">IF(AND(40&gt;=$U$15,N($V$15)&gt;0,40&lt;$U$15+N($V$15)*12,40&lt;=p_MesFin),$O$15*(1-$W$15)/(N($V$15)*12),0)</f>
        <v>245.483419006578</v>
      </c>
      <c r="AU54" s="13" t="n">
        <f aca="false">IF(AND(41&gt;=$U$15,N($V$15)&gt;0,41&lt;$U$15+N($V$15)*12,41&lt;=p_MesFin),$O$15*(1-$W$15)/(N($V$15)*12),0)</f>
        <v>245.483419006578</v>
      </c>
      <c r="AV54" s="13" t="n">
        <f aca="false">IF(AND(42&gt;=$U$15,N($V$15)&gt;0,42&lt;$U$15+N($V$15)*12,42&lt;=p_MesFin),$O$15*(1-$W$15)/(N($V$15)*12),0)</f>
        <v>245.483419006578</v>
      </c>
      <c r="AW54" s="13" t="n">
        <f aca="false">IF(AND(43&gt;=$U$15,N($V$15)&gt;0,43&lt;$U$15+N($V$15)*12,43&lt;=p_MesFin),$O$15*(1-$W$15)/(N($V$15)*12),0)</f>
        <v>245.483419006578</v>
      </c>
      <c r="AX54" s="13" t="n">
        <f aca="false">IF(AND(44&gt;=$U$15,N($V$15)&gt;0,44&lt;$U$15+N($V$15)*12,44&lt;=p_MesFin),$O$15*(1-$W$15)/(N($V$15)*12),0)</f>
        <v>245.483419006578</v>
      </c>
      <c r="AY54" s="13" t="n">
        <f aca="false">IF(AND(45&gt;=$U$15,N($V$15)&gt;0,45&lt;$U$15+N($V$15)*12,45&lt;=p_MesFin),$O$15*(1-$W$15)/(N($V$15)*12),0)</f>
        <v>245.483419006578</v>
      </c>
      <c r="AZ54" s="13" t="n">
        <f aca="false">IF(AND(46&gt;=$U$15,N($V$15)&gt;0,46&lt;$U$15+N($V$15)*12,46&lt;=p_MesFin),$O$15*(1-$W$15)/(N($V$15)*12),0)</f>
        <v>245.483419006578</v>
      </c>
      <c r="BA54" s="13" t="n">
        <f aca="false">IF(AND(47&gt;=$U$15,N($V$15)&gt;0,47&lt;$U$15+N($V$15)*12,47&lt;=p_MesFin),$O$15*(1-$W$15)/(N($V$15)*12),0)</f>
        <v>245.483419006578</v>
      </c>
      <c r="BB54" s="13" t="n">
        <f aca="false">IF(AND(48&gt;=$U$15,N($V$15)&gt;0,48&lt;$U$15+N($V$15)*12,48&lt;=p_MesFin),$O$15*(1-$W$15)/(N($V$15)*12),0)</f>
        <v>245.483419006578</v>
      </c>
      <c r="BC54" s="13" t="n">
        <f aca="false">IF(AND(49&gt;=$U$15,N($V$15)&gt;0,49&lt;$U$15+N($V$15)*12,49&lt;=p_MesFin),$O$15*(1-$W$15)/(N($V$15)*12),0)</f>
        <v>245.483419006578</v>
      </c>
      <c r="BD54" s="13" t="n">
        <f aca="false">IF(AND(50&gt;=$U$15,N($V$15)&gt;0,50&lt;$U$15+N($V$15)*12,50&lt;=p_MesFin),$O$15*(1-$W$15)/(N($V$15)*12),0)</f>
        <v>245.483419006578</v>
      </c>
      <c r="BE54" s="13" t="n">
        <f aca="false">IF(AND(51&gt;=$U$15,N($V$15)&gt;0,51&lt;$U$15+N($V$15)*12,51&lt;=p_MesFin),$O$15*(1-$W$15)/(N($V$15)*12),0)</f>
        <v>245.483419006578</v>
      </c>
      <c r="BF54" s="13" t="n">
        <f aca="false">IF(AND(52&gt;=$U$15,N($V$15)&gt;0,52&lt;$U$15+N($V$15)*12,52&lt;=p_MesFin),$O$15*(1-$W$15)/(N($V$15)*12),0)</f>
        <v>245.483419006578</v>
      </c>
      <c r="BG54" s="13" t="n">
        <f aca="false">IF(AND(53&gt;=$U$15,N($V$15)&gt;0,53&lt;$U$15+N($V$15)*12,53&lt;=p_MesFin),$O$15*(1-$W$15)/(N($V$15)*12),0)</f>
        <v>245.483419006578</v>
      </c>
      <c r="BH54" s="13" t="n">
        <f aca="false">IF(AND(54&gt;=$U$15,N($V$15)&gt;0,54&lt;$U$15+N($V$15)*12,54&lt;=p_MesFin),$O$15*(1-$W$15)/(N($V$15)*12),0)</f>
        <v>245.483419006578</v>
      </c>
      <c r="BI54" s="13" t="n">
        <f aca="false">IF(AND(55&gt;=$U$15,N($V$15)&gt;0,55&lt;$U$15+N($V$15)*12,55&lt;=p_MesFin),$O$15*(1-$W$15)/(N($V$15)*12),0)</f>
        <v>245.483419006578</v>
      </c>
      <c r="BJ54" s="13" t="n">
        <f aca="false">IF(AND(56&gt;=$U$15,N($V$15)&gt;0,56&lt;$U$15+N($V$15)*12,56&lt;=p_MesFin),$O$15*(1-$W$15)/(N($V$15)*12),0)</f>
        <v>245.483419006578</v>
      </c>
      <c r="BK54" s="13" t="n">
        <f aca="false">IF(AND(57&gt;=$U$15,N($V$15)&gt;0,57&lt;$U$15+N($V$15)*12,57&lt;=p_MesFin),$O$15*(1-$W$15)/(N($V$15)*12),0)</f>
        <v>245.483419006578</v>
      </c>
      <c r="BL54" s="13" t="n">
        <f aca="false">IF(AND(58&gt;=$U$15,N($V$15)&gt;0,58&lt;$U$15+N($V$15)*12,58&lt;=p_MesFin),$O$15*(1-$W$15)/(N($V$15)*12),0)</f>
        <v>245.483419006578</v>
      </c>
      <c r="BM54" s="13" t="n">
        <f aca="false">IF(AND(59&gt;=$U$15,N($V$15)&gt;0,59&lt;$U$15+N($V$15)*12,59&lt;=p_MesFin),$O$15*(1-$W$15)/(N($V$15)*12),0)</f>
        <v>245.483419006578</v>
      </c>
      <c r="BN54" s="13" t="n">
        <f aca="false">IF(AND(60&gt;=$U$15,N($V$15)&gt;0,60&lt;$U$15+N($V$15)*12,60&lt;=p_MesFin),$O$15*(1-$W$15)/(N($V$15)*12),0)</f>
        <v>245.483419006578</v>
      </c>
      <c r="BO54" s="13" t="n">
        <f aca="false">IF(AND(61&gt;=$U$15,N($V$15)&gt;0,61&lt;$U$15+N($V$15)*12,61&lt;=p_MesFin),$O$15*(1-$W$15)/(N($V$15)*12),0)</f>
        <v>245.483419006578</v>
      </c>
      <c r="BP54" s="13" t="n">
        <f aca="false">IF(AND(62&gt;=$U$15,N($V$15)&gt;0,62&lt;$U$15+N($V$15)*12,62&lt;=p_MesFin),$O$15*(1-$W$15)/(N($V$15)*12),0)</f>
        <v>245.483419006578</v>
      </c>
      <c r="BQ54" s="13" t="n">
        <f aca="false">IF(AND(63&gt;=$U$15,N($V$15)&gt;0,63&lt;$U$15+N($V$15)*12,63&lt;=p_MesFin),$O$15*(1-$W$15)/(N($V$15)*12),0)</f>
        <v>245.483419006578</v>
      </c>
      <c r="BR54" s="13" t="n">
        <f aca="false">IF(AND(64&gt;=$U$15,N($V$15)&gt;0,64&lt;$U$15+N($V$15)*12,64&lt;=p_MesFin),$O$15*(1-$W$15)/(N($V$15)*12),0)</f>
        <v>245.483419006578</v>
      </c>
      <c r="BS54" s="13" t="n">
        <f aca="false">IF(AND(65&gt;=$U$15,N($V$15)&gt;0,65&lt;$U$15+N($V$15)*12,65&lt;=p_MesFin),$O$15*(1-$W$15)/(N($V$15)*12),0)</f>
        <v>245.483419006578</v>
      </c>
      <c r="BT54" s="13" t="n">
        <f aca="false">IF(AND(66&gt;=$U$15,N($V$15)&gt;0,66&lt;$U$15+N($V$15)*12,66&lt;=p_MesFin),$O$15*(1-$W$15)/(N($V$15)*12),0)</f>
        <v>245.483419006578</v>
      </c>
      <c r="BU54" s="13" t="n">
        <f aca="false">IF(AND(67&gt;=$U$15,N($V$15)&gt;0,67&lt;$U$15+N($V$15)*12,67&lt;=p_MesFin),$O$15*(1-$W$15)/(N($V$15)*12),0)</f>
        <v>245.483419006578</v>
      </c>
      <c r="BV54" s="13" t="n">
        <f aca="false">IF(AND(68&gt;=$U$15,N($V$15)&gt;0,68&lt;$U$15+N($V$15)*12,68&lt;=p_MesFin),$O$15*(1-$W$15)/(N($V$15)*12),0)</f>
        <v>245.483419006578</v>
      </c>
      <c r="BW54" s="13" t="n">
        <f aca="false">IF(AND(69&gt;=$U$15,N($V$15)&gt;0,69&lt;$U$15+N($V$15)*12,69&lt;=p_MesFin),$O$15*(1-$W$15)/(N($V$15)*12),0)</f>
        <v>245.483419006578</v>
      </c>
      <c r="BX54" s="13" t="n">
        <f aca="false">IF(AND(70&gt;=$U$15,N($V$15)&gt;0,70&lt;$U$15+N($V$15)*12,70&lt;=p_MesFin),$O$15*(1-$W$15)/(N($V$15)*12),0)</f>
        <v>245.483419006578</v>
      </c>
      <c r="BY54" s="13" t="n">
        <f aca="false">IF(AND(71&gt;=$U$15,N($V$15)&gt;0,71&lt;$U$15+N($V$15)*12,71&lt;=p_MesFin),$O$15*(1-$W$15)/(N($V$15)*12),0)</f>
        <v>245.483419006578</v>
      </c>
      <c r="BZ54" s="13" t="n">
        <f aca="false">IF(AND(72&gt;=$U$15,N($V$15)&gt;0,72&lt;$U$15+N($V$15)*12,72&lt;=p_MesFin),$O$15*(1-$W$15)/(N($V$15)*12),0)</f>
        <v>245.483419006578</v>
      </c>
      <c r="CA54" s="13" t="n">
        <f aca="false">IF(AND(73&gt;=$U$15,N($V$15)&gt;0,73&lt;$U$15+N($V$15)*12,73&lt;=p_MesFin),$O$15*(1-$W$15)/(N($V$15)*12),0)</f>
        <v>245.483419006578</v>
      </c>
      <c r="CB54" s="13" t="n">
        <f aca="false">IF(AND(74&gt;=$U$15,N($V$15)&gt;0,74&lt;$U$15+N($V$15)*12,74&lt;=p_MesFin),$O$15*(1-$W$15)/(N($V$15)*12),0)</f>
        <v>245.483419006578</v>
      </c>
      <c r="CC54" s="13" t="n">
        <f aca="false">IF(AND(75&gt;=$U$15,N($V$15)&gt;0,75&lt;$U$15+N($V$15)*12,75&lt;=p_MesFin),$O$15*(1-$W$15)/(N($V$15)*12),0)</f>
        <v>245.483419006578</v>
      </c>
      <c r="CD54" s="13" t="n">
        <f aca="false">IF(AND(76&gt;=$U$15,N($V$15)&gt;0,76&lt;$U$15+N($V$15)*12,76&lt;=p_MesFin),$O$15*(1-$W$15)/(N($V$15)*12),0)</f>
        <v>245.483419006578</v>
      </c>
      <c r="CE54" s="13" t="n">
        <f aca="false">IF(AND(77&gt;=$U$15,N($V$15)&gt;0,77&lt;$U$15+N($V$15)*12,77&lt;=p_MesFin),$O$15*(1-$W$15)/(N($V$15)*12),0)</f>
        <v>245.483419006578</v>
      </c>
      <c r="CF54" s="13" t="n">
        <f aca="false">IF(AND(78&gt;=$U$15,N($V$15)&gt;0,78&lt;$U$15+N($V$15)*12,78&lt;=p_MesFin),$O$15*(1-$W$15)/(N($V$15)*12),0)</f>
        <v>245.483419006578</v>
      </c>
      <c r="CG54" s="13" t="n">
        <f aca="false">IF(AND(79&gt;=$U$15,N($V$15)&gt;0,79&lt;$U$15+N($V$15)*12,79&lt;=p_MesFin),$O$15*(1-$W$15)/(N($V$15)*12),0)</f>
        <v>245.483419006578</v>
      </c>
      <c r="CH54" s="13" t="n">
        <f aca="false">IF(AND(80&gt;=$U$15,N($V$15)&gt;0,80&lt;$U$15+N($V$15)*12,80&lt;=p_MesFin),$O$15*(1-$W$15)/(N($V$15)*12),0)</f>
        <v>245.483419006578</v>
      </c>
      <c r="CI54" s="13" t="n">
        <f aca="false">IF(AND(81&gt;=$U$15,N($V$15)&gt;0,81&lt;$U$15+N($V$15)*12,81&lt;=p_MesFin),$O$15*(1-$W$15)/(N($V$15)*12),0)</f>
        <v>245.483419006578</v>
      </c>
      <c r="CJ54" s="13" t="n">
        <f aca="false">IF(AND(82&gt;=$U$15,N($V$15)&gt;0,82&lt;$U$15+N($V$15)*12,82&lt;=p_MesFin),$O$15*(1-$W$15)/(N($V$15)*12),0)</f>
        <v>245.483419006578</v>
      </c>
      <c r="CK54" s="13" t="n">
        <f aca="false">IF(AND(83&gt;=$U$15,N($V$15)&gt;0,83&lt;$U$15+N($V$15)*12,83&lt;=p_MesFin),$O$15*(1-$W$15)/(N($V$15)*12),0)</f>
        <v>245.483419006578</v>
      </c>
      <c r="CL54" s="13" t="n">
        <f aca="false">IF(AND(84&gt;=$U$15,N($V$15)&gt;0,84&lt;$U$15+N($V$15)*12,84&lt;=p_MesFin),$O$15*(1-$W$15)/(N($V$15)*12),0)</f>
        <v>245.483419006578</v>
      </c>
      <c r="CM54" s="13" t="n">
        <f aca="false">IF(AND(85&gt;=$U$15,N($V$15)&gt;0,85&lt;$U$15+N($V$15)*12,85&lt;=p_MesFin),$O$15*(1-$W$15)/(N($V$15)*12),0)</f>
        <v>245.483419006578</v>
      </c>
      <c r="CN54" s="13" t="n">
        <f aca="false">IF(AND(86&gt;=$U$15,N($V$15)&gt;0,86&lt;$U$15+N($V$15)*12,86&lt;=p_MesFin),$O$15*(1-$W$15)/(N($V$15)*12),0)</f>
        <v>245.483419006578</v>
      </c>
      <c r="CO54" s="13" t="n">
        <f aca="false">IF(AND(87&gt;=$U$15,N($V$15)&gt;0,87&lt;$U$15+N($V$15)*12,87&lt;=p_MesFin),$O$15*(1-$W$15)/(N($V$15)*12),0)</f>
        <v>245.483419006578</v>
      </c>
      <c r="CP54" s="13" t="n">
        <f aca="false">IF(AND(88&gt;=$U$15,N($V$15)&gt;0,88&lt;$U$15+N($V$15)*12,88&lt;=p_MesFin),$O$15*(1-$W$15)/(N($V$15)*12),0)</f>
        <v>245.483419006578</v>
      </c>
      <c r="CQ54" s="13" t="n">
        <f aca="false">IF(AND(89&gt;=$U$15,N($V$15)&gt;0,89&lt;$U$15+N($V$15)*12,89&lt;=p_MesFin),$O$15*(1-$W$15)/(N($V$15)*12),0)</f>
        <v>245.483419006578</v>
      </c>
      <c r="CR54" s="13" t="n">
        <f aca="false">IF(AND(90&gt;=$U$15,N($V$15)&gt;0,90&lt;$U$15+N($V$15)*12,90&lt;=p_MesFin),$O$15*(1-$W$15)/(N($V$15)*12),0)</f>
        <v>245.483419006578</v>
      </c>
      <c r="CS54" s="13" t="n">
        <f aca="false">IF(AND(91&gt;=$U$15,N($V$15)&gt;0,91&lt;$U$15+N($V$15)*12,91&lt;=p_MesFin),$O$15*(1-$W$15)/(N($V$15)*12),0)</f>
        <v>245.483419006578</v>
      </c>
      <c r="CT54" s="13" t="n">
        <f aca="false">IF(AND(92&gt;=$U$15,N($V$15)&gt;0,92&lt;$U$15+N($V$15)*12,92&lt;=p_MesFin),$O$15*(1-$W$15)/(N($V$15)*12),0)</f>
        <v>245.483419006578</v>
      </c>
      <c r="CU54" s="13" t="n">
        <f aca="false">IF(AND(93&gt;=$U$15,N($V$15)&gt;0,93&lt;$U$15+N($V$15)*12,93&lt;=p_MesFin),$O$15*(1-$W$15)/(N($V$15)*12),0)</f>
        <v>245.483419006578</v>
      </c>
      <c r="CV54" s="13" t="n">
        <f aca="false">IF(AND(94&gt;=$U$15,N($V$15)&gt;0,94&lt;$U$15+N($V$15)*12,94&lt;=p_MesFin),$O$15*(1-$W$15)/(N($V$15)*12),0)</f>
        <v>245.483419006578</v>
      </c>
      <c r="CW54" s="13" t="n">
        <f aca="false">IF(AND(95&gt;=$U$15,N($V$15)&gt;0,95&lt;$U$15+N($V$15)*12,95&lt;=p_MesFin),$O$15*(1-$W$15)/(N($V$15)*12),0)</f>
        <v>245.483419006578</v>
      </c>
      <c r="CX54" s="13" t="n">
        <f aca="false">IF(AND(96&gt;=$U$15,N($V$15)&gt;0,96&lt;$U$15+N($V$15)*12,96&lt;=p_MesFin),$O$15*(1-$W$15)/(N($V$15)*12),0)</f>
        <v>245.483419006578</v>
      </c>
      <c r="CY54" s="13" t="n">
        <f aca="false">IF(AND(97&gt;=$U$15,N($V$15)&gt;0,97&lt;$U$15+N($V$15)*12,97&lt;=p_MesFin),$O$15*(1-$W$15)/(N($V$15)*12),0)</f>
        <v>245.483419006578</v>
      </c>
      <c r="CZ54" s="13" t="n">
        <f aca="false">IF(AND(98&gt;=$U$15,N($V$15)&gt;0,98&lt;$U$15+N($V$15)*12,98&lt;=p_MesFin),$O$15*(1-$W$15)/(N($V$15)*12),0)</f>
        <v>245.483419006578</v>
      </c>
      <c r="DA54" s="13" t="n">
        <f aca="false">IF(AND(99&gt;=$U$15,N($V$15)&gt;0,99&lt;$U$15+N($V$15)*12,99&lt;=p_MesFin),$O$15*(1-$W$15)/(N($V$15)*12),0)</f>
        <v>245.483419006578</v>
      </c>
      <c r="DB54" s="13" t="n">
        <f aca="false">IF(AND(100&gt;=$U$15,N($V$15)&gt;0,100&lt;$U$15+N($V$15)*12,100&lt;=p_MesFin),$O$15*(1-$W$15)/(N($V$15)*12),0)</f>
        <v>245.483419006578</v>
      </c>
      <c r="DC54" s="13" t="n">
        <f aca="false">IF(AND(101&gt;=$U$15,N($V$15)&gt;0,101&lt;$U$15+N($V$15)*12,101&lt;=p_MesFin),$O$15*(1-$W$15)/(N($V$15)*12),0)</f>
        <v>245.483419006578</v>
      </c>
      <c r="DD54" s="13" t="n">
        <f aca="false">IF(AND(102&gt;=$U$15,N($V$15)&gt;0,102&lt;$U$15+N($V$15)*12,102&lt;=p_MesFin),$O$15*(1-$W$15)/(N($V$15)*12),0)</f>
        <v>245.483419006578</v>
      </c>
      <c r="DE54" s="13" t="n">
        <f aca="false">IF(AND(103&gt;=$U$15,N($V$15)&gt;0,103&lt;$U$15+N($V$15)*12,103&lt;=p_MesFin),$O$15*(1-$W$15)/(N($V$15)*12),0)</f>
        <v>245.483419006578</v>
      </c>
      <c r="DF54" s="13" t="n">
        <f aca="false">IF(AND(104&gt;=$U$15,N($V$15)&gt;0,104&lt;$U$15+N($V$15)*12,104&lt;=p_MesFin),$O$15*(1-$W$15)/(N($V$15)*12),0)</f>
        <v>245.483419006578</v>
      </c>
      <c r="DG54" s="13" t="n">
        <f aca="false">IF(AND(105&gt;=$U$15,N($V$15)&gt;0,105&lt;$U$15+N($V$15)*12,105&lt;=p_MesFin),$O$15*(1-$W$15)/(N($V$15)*12),0)</f>
        <v>245.483419006578</v>
      </c>
      <c r="DH54" s="13" t="n">
        <f aca="false">IF(AND(106&gt;=$U$15,N($V$15)&gt;0,106&lt;$U$15+N($V$15)*12,106&lt;=p_MesFin),$O$15*(1-$W$15)/(N($V$15)*12),0)</f>
        <v>245.483419006578</v>
      </c>
      <c r="DI54" s="13" t="n">
        <f aca="false">IF(AND(107&gt;=$U$15,N($V$15)&gt;0,107&lt;$U$15+N($V$15)*12,107&lt;=p_MesFin),$O$15*(1-$W$15)/(N($V$15)*12),0)</f>
        <v>245.483419006578</v>
      </c>
      <c r="DJ54" s="13" t="n">
        <f aca="false">IF(AND(108&gt;=$U$15,N($V$15)&gt;0,108&lt;$U$15+N($V$15)*12,108&lt;=p_MesFin),$O$15*(1-$W$15)/(N($V$15)*12),0)</f>
        <v>245.483419006578</v>
      </c>
      <c r="DK54" s="13" t="n">
        <f aca="false">IF(AND(109&gt;=$U$15,N($V$15)&gt;0,109&lt;$U$15+N($V$15)*12,109&lt;=p_MesFin),$O$15*(1-$W$15)/(N($V$15)*12),0)</f>
        <v>245.483419006578</v>
      </c>
      <c r="DL54" s="13" t="n">
        <f aca="false">IF(AND(110&gt;=$U$15,N($V$15)&gt;0,110&lt;$U$15+N($V$15)*12,110&lt;=p_MesFin),$O$15*(1-$W$15)/(N($V$15)*12),0)</f>
        <v>245.483419006578</v>
      </c>
      <c r="DM54" s="13" t="n">
        <f aca="false">IF(AND(111&gt;=$U$15,N($V$15)&gt;0,111&lt;$U$15+N($V$15)*12,111&lt;=p_MesFin),$O$15*(1-$W$15)/(N($V$15)*12),0)</f>
        <v>245.483419006578</v>
      </c>
      <c r="DN54" s="13" t="n">
        <f aca="false">IF(AND(112&gt;=$U$15,N($V$15)&gt;0,112&lt;$U$15+N($V$15)*12,112&lt;=p_MesFin),$O$15*(1-$W$15)/(N($V$15)*12),0)</f>
        <v>245.483419006578</v>
      </c>
      <c r="DO54" s="13" t="n">
        <f aca="false">IF(AND(113&gt;=$U$15,N($V$15)&gt;0,113&lt;$U$15+N($V$15)*12,113&lt;=p_MesFin),$O$15*(1-$W$15)/(N($V$15)*12),0)</f>
        <v>245.483419006578</v>
      </c>
      <c r="DP54" s="13" t="n">
        <f aca="false">IF(AND(114&gt;=$U$15,N($V$15)&gt;0,114&lt;$U$15+N($V$15)*12,114&lt;=p_MesFin),$O$15*(1-$W$15)/(N($V$15)*12),0)</f>
        <v>245.483419006578</v>
      </c>
      <c r="DQ54" s="13" t="n">
        <f aca="false">IF(AND(115&gt;=$U$15,N($V$15)&gt;0,115&lt;$U$15+N($V$15)*12,115&lt;=p_MesFin),$O$15*(1-$W$15)/(N($V$15)*12),0)</f>
        <v>245.483419006578</v>
      </c>
      <c r="DR54" s="13" t="n">
        <f aca="false">IF(AND(116&gt;=$U$15,N($V$15)&gt;0,116&lt;$U$15+N($V$15)*12,116&lt;=p_MesFin),$O$15*(1-$W$15)/(N($V$15)*12),0)</f>
        <v>245.483419006578</v>
      </c>
      <c r="DS54" s="13" t="n">
        <f aca="false">IF(AND(117&gt;=$U$15,N($V$15)&gt;0,117&lt;$U$15+N($V$15)*12,117&lt;=p_MesFin),$O$15*(1-$W$15)/(N($V$15)*12),0)</f>
        <v>245.483419006578</v>
      </c>
      <c r="DT54" s="13" t="n">
        <f aca="false">IF(AND(118&gt;=$U$15,N($V$15)&gt;0,118&lt;$U$15+N($V$15)*12,118&lt;=p_MesFin),$O$15*(1-$W$15)/(N($V$15)*12),0)</f>
        <v>245.483419006578</v>
      </c>
      <c r="DU54" s="13" t="n">
        <f aca="false">IF(AND(119&gt;=$U$15,N($V$15)&gt;0,119&lt;$U$15+N($V$15)*12,119&lt;=p_MesFin),$O$15*(1-$W$15)/(N($V$15)*12),0)</f>
        <v>245.483419006578</v>
      </c>
      <c r="DV54" s="13" t="n">
        <f aca="false">IF(AND(120&gt;=$U$15,N($V$15)&gt;0,120&lt;$U$15+N($V$15)*12,120&lt;=p_MesFin),$O$15*(1-$W$15)/(N($V$15)*12),0)</f>
        <v>245.483419006578</v>
      </c>
      <c r="DW54" s="13" t="n">
        <f aca="false">IF(AND(121&gt;=$U$15,N($V$15)&gt;0,121&lt;$U$15+N($V$15)*12,121&lt;=p_MesFin),$O$15*(1-$W$15)/(N($V$15)*12),0)</f>
        <v>0</v>
      </c>
      <c r="DX54" s="13" t="n">
        <f aca="false">IF(AND(122&gt;=$U$15,N($V$15)&gt;0,122&lt;$U$15+N($V$15)*12,122&lt;=p_MesFin),$O$15*(1-$W$15)/(N($V$15)*12),0)</f>
        <v>0</v>
      </c>
      <c r="DY54" s="13" t="n">
        <f aca="false">IF(AND(123&gt;=$U$15,N($V$15)&gt;0,123&lt;$U$15+N($V$15)*12,123&lt;=p_MesFin),$O$15*(1-$W$15)/(N($V$15)*12),0)</f>
        <v>0</v>
      </c>
      <c r="DZ54" s="13" t="n">
        <f aca="false">IF(AND(124&gt;=$U$15,N($V$15)&gt;0,124&lt;$U$15+N($V$15)*12,124&lt;=p_MesFin),$O$15*(1-$W$15)/(N($V$15)*12),0)</f>
        <v>0</v>
      </c>
      <c r="EA54" s="13" t="n">
        <f aca="false">IF(AND(125&gt;=$U$15,N($V$15)&gt;0,125&lt;$U$15+N($V$15)*12,125&lt;=p_MesFin),$O$15*(1-$W$15)/(N($V$15)*12),0)</f>
        <v>0</v>
      </c>
      <c r="EB54" s="13" t="n">
        <f aca="false">IF(AND(126&gt;=$U$15,N($V$15)&gt;0,126&lt;$U$15+N($V$15)*12,126&lt;=p_MesFin),$O$15*(1-$W$15)/(N($V$15)*12),0)</f>
        <v>0</v>
      </c>
      <c r="EC54" s="13" t="n">
        <f aca="false">IF(AND(127&gt;=$U$15,N($V$15)&gt;0,127&lt;$U$15+N($V$15)*12,127&lt;=p_MesFin),$O$15*(1-$W$15)/(N($V$15)*12),0)</f>
        <v>0</v>
      </c>
      <c r="ED54" s="13" t="n">
        <f aca="false">IF(AND(128&gt;=$U$15,N($V$15)&gt;0,128&lt;$U$15+N($V$15)*12,128&lt;=p_MesFin),$O$15*(1-$W$15)/(N($V$15)*12),0)</f>
        <v>0</v>
      </c>
      <c r="EE54" s="13" t="n">
        <f aca="false">IF(AND(129&gt;=$U$15,N($V$15)&gt;0,129&lt;$U$15+N($V$15)*12,129&lt;=p_MesFin),$O$15*(1-$W$15)/(N($V$15)*12),0)</f>
        <v>0</v>
      </c>
      <c r="EF54" s="13" t="n">
        <f aca="false">IF(AND(130&gt;=$U$15,N($V$15)&gt;0,130&lt;$U$15+N($V$15)*12,130&lt;=p_MesFin),$O$15*(1-$W$15)/(N($V$15)*12),0)</f>
        <v>0</v>
      </c>
      <c r="EG54" s="13" t="n">
        <f aca="false">IF(AND(131&gt;=$U$15,N($V$15)&gt;0,131&lt;$U$15+N($V$15)*12,131&lt;=p_MesFin),$O$15*(1-$W$15)/(N($V$15)*12),0)</f>
        <v>0</v>
      </c>
      <c r="EH54" s="13" t="n">
        <f aca="false">IF(AND(132&gt;=$U$15,N($V$15)&gt;0,132&lt;$U$15+N($V$15)*12,132&lt;=p_MesFin),$O$15*(1-$W$15)/(N($V$15)*12),0)</f>
        <v>0</v>
      </c>
      <c r="EI54" s="13" t="n">
        <f aca="false">IF(AND(133&gt;=$U$15,N($V$15)&gt;0,133&lt;$U$15+N($V$15)*12,133&lt;=p_MesFin),$O$15*(1-$W$15)/(N($V$15)*12),0)</f>
        <v>0</v>
      </c>
      <c r="EJ54" s="13" t="n">
        <f aca="false">IF(AND(134&gt;=$U$15,N($V$15)&gt;0,134&lt;$U$15+N($V$15)*12,134&lt;=p_MesFin),$O$15*(1-$W$15)/(N($V$15)*12),0)</f>
        <v>0</v>
      </c>
      <c r="EK54" s="13" t="n">
        <f aca="false">IF(AND(135&gt;=$U$15,N($V$15)&gt;0,135&lt;$U$15+N($V$15)*12,135&lt;=p_MesFin),$O$15*(1-$W$15)/(N($V$15)*12),0)</f>
        <v>0</v>
      </c>
      <c r="EL54" s="13" t="n">
        <f aca="false">IF(AND(136&gt;=$U$15,N($V$15)&gt;0,136&lt;$U$15+N($V$15)*12,136&lt;=p_MesFin),$O$15*(1-$W$15)/(N($V$15)*12),0)</f>
        <v>0</v>
      </c>
      <c r="EM54" s="13" t="n">
        <f aca="false">IF(AND(137&gt;=$U$15,N($V$15)&gt;0,137&lt;$U$15+N($V$15)*12,137&lt;=p_MesFin),$O$15*(1-$W$15)/(N($V$15)*12),0)</f>
        <v>0</v>
      </c>
      <c r="EN54" s="13" t="n">
        <f aca="false">IF(AND(138&gt;=$U$15,N($V$15)&gt;0,138&lt;$U$15+N($V$15)*12,138&lt;=p_MesFin),$O$15*(1-$W$15)/(N($V$15)*12),0)</f>
        <v>0</v>
      </c>
      <c r="EO54" s="13" t="n">
        <f aca="false">IF(AND(139&gt;=$U$15,N($V$15)&gt;0,139&lt;$U$15+N($V$15)*12,139&lt;=p_MesFin),$O$15*(1-$W$15)/(N($V$15)*12),0)</f>
        <v>0</v>
      </c>
      <c r="EP54" s="13" t="n">
        <f aca="false">IF(AND(140&gt;=$U$15,N($V$15)&gt;0,140&lt;$U$15+N($V$15)*12,140&lt;=p_MesFin),$O$15*(1-$W$15)/(N($V$15)*12),0)</f>
        <v>0</v>
      </c>
      <c r="EQ54" s="13" t="n">
        <f aca="false">IF(AND(141&gt;=$U$15,N($V$15)&gt;0,141&lt;$U$15+N($V$15)*12,141&lt;=p_MesFin),$O$15*(1-$W$15)/(N($V$15)*12),0)</f>
        <v>0</v>
      </c>
      <c r="ER54" s="13" t="n">
        <f aca="false">IF(AND(142&gt;=$U$15,N($V$15)&gt;0,142&lt;$U$15+N($V$15)*12,142&lt;=p_MesFin),$O$15*(1-$W$15)/(N($V$15)*12),0)</f>
        <v>0</v>
      </c>
      <c r="ES54" s="13" t="n">
        <f aca="false">IF(AND(143&gt;=$U$15,N($V$15)&gt;0,143&lt;$U$15+N($V$15)*12,143&lt;=p_MesFin),$O$15*(1-$W$15)/(N($V$15)*12),0)</f>
        <v>0</v>
      </c>
      <c r="ET54" s="13" t="n">
        <f aca="false">IF(AND(144&gt;=$U$15,N($V$15)&gt;0,144&lt;$U$15+N($V$15)*12,144&lt;=p_MesFin),$O$15*(1-$W$15)/(N($V$15)*12),0)</f>
        <v>0</v>
      </c>
      <c r="EU54" s="13" t="n">
        <f aca="false">IF(AND(145&gt;=$U$15,N($V$15)&gt;0,145&lt;$U$15+N($V$15)*12,145&lt;=p_MesFin),$O$15*(1-$W$15)/(N($V$15)*12),0)</f>
        <v>0</v>
      </c>
      <c r="EV54" s="13" t="n">
        <f aca="false">IF(AND(146&gt;=$U$15,N($V$15)&gt;0,146&lt;$U$15+N($V$15)*12,146&lt;=p_MesFin),$O$15*(1-$W$15)/(N($V$15)*12),0)</f>
        <v>0</v>
      </c>
      <c r="EW54" s="13" t="n">
        <f aca="false">IF(AND(147&gt;=$U$15,N($V$15)&gt;0,147&lt;$U$15+N($V$15)*12,147&lt;=p_MesFin),$O$15*(1-$W$15)/(N($V$15)*12),0)</f>
        <v>0</v>
      </c>
      <c r="EX54" s="13" t="n">
        <f aca="false">IF(AND(148&gt;=$U$15,N($V$15)&gt;0,148&lt;$U$15+N($V$15)*12,148&lt;=p_MesFin),$O$15*(1-$W$15)/(N($V$15)*12),0)</f>
        <v>0</v>
      </c>
      <c r="EY54" s="13" t="n">
        <f aca="false">IF(AND(149&gt;=$U$15,N($V$15)&gt;0,149&lt;$U$15+N($V$15)*12,149&lt;=p_MesFin),$O$15*(1-$W$15)/(N($V$15)*12),0)</f>
        <v>0</v>
      </c>
      <c r="EZ54" s="13" t="n">
        <f aca="false">IF(AND(150&gt;=$U$15,N($V$15)&gt;0,150&lt;$U$15+N($V$15)*12,150&lt;=p_MesFin),$O$15*(1-$W$15)/(N($V$15)*12),0)</f>
        <v>0</v>
      </c>
      <c r="FA54" s="13" t="n">
        <f aca="false">IF(AND(151&gt;=$U$15,N($V$15)&gt;0,151&lt;$U$15+N($V$15)*12,151&lt;=p_MesFin),$O$15*(1-$W$15)/(N($V$15)*12),0)</f>
        <v>0</v>
      </c>
      <c r="FB54" s="13" t="n">
        <f aca="false">IF(AND(152&gt;=$U$15,N($V$15)&gt;0,152&lt;$U$15+N($V$15)*12,152&lt;=p_MesFin),$O$15*(1-$W$15)/(N($V$15)*12),0)</f>
        <v>0</v>
      </c>
      <c r="FC54" s="13" t="n">
        <f aca="false">IF(AND(153&gt;=$U$15,N($V$15)&gt;0,153&lt;$U$15+N($V$15)*12,153&lt;=p_MesFin),$O$15*(1-$W$15)/(N($V$15)*12),0)</f>
        <v>0</v>
      </c>
      <c r="FD54" s="13" t="n">
        <f aca="false">IF(AND(154&gt;=$U$15,N($V$15)&gt;0,154&lt;$U$15+N($V$15)*12,154&lt;=p_MesFin),$O$15*(1-$W$15)/(N($V$15)*12),0)</f>
        <v>0</v>
      </c>
      <c r="FE54" s="13" t="n">
        <f aca="false">IF(AND(155&gt;=$U$15,N($V$15)&gt;0,155&lt;$U$15+N($V$15)*12,155&lt;=p_MesFin),$O$15*(1-$W$15)/(N($V$15)*12),0)</f>
        <v>0</v>
      </c>
      <c r="FF54" s="13" t="n">
        <f aca="false">IF(AND(156&gt;=$U$15,N($V$15)&gt;0,156&lt;$U$15+N($V$15)*12,156&lt;=p_MesFin),$O$15*(1-$W$15)/(N($V$15)*12),0)</f>
        <v>0</v>
      </c>
    </row>
    <row r="55" customFormat="false" ht="15" hidden="false" customHeight="false" outlineLevel="0" collapsed="false">
      <c r="A55" s="2" t="s">
        <v>1258</v>
      </c>
      <c r="B55" s="8" t="s">
        <v>1259</v>
      </c>
      <c r="C55" s="8" t="s">
        <v>255</v>
      </c>
      <c r="E55" s="65" t="n">
        <f aca="false">SUM($F55:$FF55)</f>
        <v>6004.90209569936</v>
      </c>
      <c r="F55" s="13" t="n">
        <f aca="false">IF(AND(0&gt;=$U$16,N($V$16)&gt;0,0&lt;$U$16+N($V$16)*12,0&lt;=p_MesFin),$O$16*(1-$W$16)/(N($V$16)*12),0)</f>
        <v>0</v>
      </c>
      <c r="G55" s="13" t="n">
        <f aca="false">IF(AND(1&gt;=$U$16,N($V$16)&gt;0,1&lt;$U$16+N($V$16)*12,1&lt;=p_MesFin),$O$16*(1-$W$16)/(N($V$16)*12),0)</f>
        <v>50.0408507974947</v>
      </c>
      <c r="H55" s="13" t="n">
        <f aca="false">IF(AND(2&gt;=$U$16,N($V$16)&gt;0,2&lt;$U$16+N($V$16)*12,2&lt;=p_MesFin),$O$16*(1-$W$16)/(N($V$16)*12),0)</f>
        <v>50.0408507974947</v>
      </c>
      <c r="I55" s="13" t="n">
        <f aca="false">IF(AND(3&gt;=$U$16,N($V$16)&gt;0,3&lt;$U$16+N($V$16)*12,3&lt;=p_MesFin),$O$16*(1-$W$16)/(N($V$16)*12),0)</f>
        <v>50.0408507974947</v>
      </c>
      <c r="J55" s="13" t="n">
        <f aca="false">IF(AND(4&gt;=$U$16,N($V$16)&gt;0,4&lt;$U$16+N($V$16)*12,4&lt;=p_MesFin),$O$16*(1-$W$16)/(N($V$16)*12),0)</f>
        <v>50.0408507974947</v>
      </c>
      <c r="K55" s="13" t="n">
        <f aca="false">IF(AND(5&gt;=$U$16,N($V$16)&gt;0,5&lt;$U$16+N($V$16)*12,5&lt;=p_MesFin),$O$16*(1-$W$16)/(N($V$16)*12),0)</f>
        <v>50.0408507974947</v>
      </c>
      <c r="L55" s="13" t="n">
        <f aca="false">IF(AND(6&gt;=$U$16,N($V$16)&gt;0,6&lt;$U$16+N($V$16)*12,6&lt;=p_MesFin),$O$16*(1-$W$16)/(N($V$16)*12),0)</f>
        <v>50.0408507974947</v>
      </c>
      <c r="M55" s="13" t="n">
        <f aca="false">IF(AND(7&gt;=$U$16,N($V$16)&gt;0,7&lt;$U$16+N($V$16)*12,7&lt;=p_MesFin),$O$16*(1-$W$16)/(N($V$16)*12),0)</f>
        <v>50.0408507974947</v>
      </c>
      <c r="N55" s="13" t="n">
        <f aca="false">IF(AND(8&gt;=$U$16,N($V$16)&gt;0,8&lt;$U$16+N($V$16)*12,8&lt;=p_MesFin),$O$16*(1-$W$16)/(N($V$16)*12),0)</f>
        <v>50.0408507974947</v>
      </c>
      <c r="O55" s="13" t="n">
        <f aca="false">IF(AND(9&gt;=$U$16,N($V$16)&gt;0,9&lt;$U$16+N($V$16)*12,9&lt;=p_MesFin),$O$16*(1-$W$16)/(N($V$16)*12),0)</f>
        <v>50.0408507974947</v>
      </c>
      <c r="P55" s="13" t="n">
        <f aca="false">IF(AND(10&gt;=$U$16,N($V$16)&gt;0,10&lt;$U$16+N($V$16)*12,10&lt;=p_MesFin),$O$16*(1-$W$16)/(N($V$16)*12),0)</f>
        <v>50.0408507974947</v>
      </c>
      <c r="Q55" s="13" t="n">
        <f aca="false">IF(AND(11&gt;=$U$16,N($V$16)&gt;0,11&lt;$U$16+N($V$16)*12,11&lt;=p_MesFin),$O$16*(1-$W$16)/(N($V$16)*12),0)</f>
        <v>50.0408507974947</v>
      </c>
      <c r="R55" s="13" t="n">
        <f aca="false">IF(AND(12&gt;=$U$16,N($V$16)&gt;0,12&lt;$U$16+N($V$16)*12,12&lt;=p_MesFin),$O$16*(1-$W$16)/(N($V$16)*12),0)</f>
        <v>50.0408507974947</v>
      </c>
      <c r="S55" s="13" t="n">
        <f aca="false">IF(AND(13&gt;=$U$16,N($V$16)&gt;0,13&lt;$U$16+N($V$16)*12,13&lt;=p_MesFin),$O$16*(1-$W$16)/(N($V$16)*12),0)</f>
        <v>50.0408507974947</v>
      </c>
      <c r="T55" s="13" t="n">
        <f aca="false">IF(AND(14&gt;=$U$16,N($V$16)&gt;0,14&lt;$U$16+N($V$16)*12,14&lt;=p_MesFin),$O$16*(1-$W$16)/(N($V$16)*12),0)</f>
        <v>50.0408507974947</v>
      </c>
      <c r="U55" s="13" t="n">
        <f aca="false">IF(AND(15&gt;=$U$16,N($V$16)&gt;0,15&lt;$U$16+N($V$16)*12,15&lt;=p_MesFin),$O$16*(1-$W$16)/(N($V$16)*12),0)</f>
        <v>50.0408507974947</v>
      </c>
      <c r="V55" s="13" t="n">
        <f aca="false">IF(AND(16&gt;=$U$16,N($V$16)&gt;0,16&lt;$U$16+N($V$16)*12,16&lt;=p_MesFin),$O$16*(1-$W$16)/(N($V$16)*12),0)</f>
        <v>50.0408507974947</v>
      </c>
      <c r="W55" s="13" t="n">
        <f aca="false">IF(AND(17&gt;=$U$16,N($V$16)&gt;0,17&lt;$U$16+N($V$16)*12,17&lt;=p_MesFin),$O$16*(1-$W$16)/(N($V$16)*12),0)</f>
        <v>50.0408507974947</v>
      </c>
      <c r="X55" s="13" t="n">
        <f aca="false">IF(AND(18&gt;=$U$16,N($V$16)&gt;0,18&lt;$U$16+N($V$16)*12,18&lt;=p_MesFin),$O$16*(1-$W$16)/(N($V$16)*12),0)</f>
        <v>50.0408507974947</v>
      </c>
      <c r="Y55" s="13" t="n">
        <f aca="false">IF(AND(19&gt;=$U$16,N($V$16)&gt;0,19&lt;$U$16+N($V$16)*12,19&lt;=p_MesFin),$O$16*(1-$W$16)/(N($V$16)*12),0)</f>
        <v>50.0408507974947</v>
      </c>
      <c r="Z55" s="13" t="n">
        <f aca="false">IF(AND(20&gt;=$U$16,N($V$16)&gt;0,20&lt;$U$16+N($V$16)*12,20&lt;=p_MesFin),$O$16*(1-$W$16)/(N($V$16)*12),0)</f>
        <v>50.0408507974947</v>
      </c>
      <c r="AA55" s="13" t="n">
        <f aca="false">IF(AND(21&gt;=$U$16,N($V$16)&gt;0,21&lt;$U$16+N($V$16)*12,21&lt;=p_MesFin),$O$16*(1-$W$16)/(N($V$16)*12),0)</f>
        <v>50.0408507974947</v>
      </c>
      <c r="AB55" s="13" t="n">
        <f aca="false">IF(AND(22&gt;=$U$16,N($V$16)&gt;0,22&lt;$U$16+N($V$16)*12,22&lt;=p_MesFin),$O$16*(1-$W$16)/(N($V$16)*12),0)</f>
        <v>50.0408507974947</v>
      </c>
      <c r="AC55" s="13" t="n">
        <f aca="false">IF(AND(23&gt;=$U$16,N($V$16)&gt;0,23&lt;$U$16+N($V$16)*12,23&lt;=p_MesFin),$O$16*(1-$W$16)/(N($V$16)*12),0)</f>
        <v>50.0408507974947</v>
      </c>
      <c r="AD55" s="13" t="n">
        <f aca="false">IF(AND(24&gt;=$U$16,N($V$16)&gt;0,24&lt;$U$16+N($V$16)*12,24&lt;=p_MesFin),$O$16*(1-$W$16)/(N($V$16)*12),0)</f>
        <v>50.0408507974947</v>
      </c>
      <c r="AE55" s="13" t="n">
        <f aca="false">IF(AND(25&gt;=$U$16,N($V$16)&gt;0,25&lt;$U$16+N($V$16)*12,25&lt;=p_MesFin),$O$16*(1-$W$16)/(N($V$16)*12),0)</f>
        <v>50.0408507974947</v>
      </c>
      <c r="AF55" s="13" t="n">
        <f aca="false">IF(AND(26&gt;=$U$16,N($V$16)&gt;0,26&lt;$U$16+N($V$16)*12,26&lt;=p_MesFin),$O$16*(1-$W$16)/(N($V$16)*12),0)</f>
        <v>50.0408507974947</v>
      </c>
      <c r="AG55" s="13" t="n">
        <f aca="false">IF(AND(27&gt;=$U$16,N($V$16)&gt;0,27&lt;$U$16+N($V$16)*12,27&lt;=p_MesFin),$O$16*(1-$W$16)/(N($V$16)*12),0)</f>
        <v>50.0408507974947</v>
      </c>
      <c r="AH55" s="13" t="n">
        <f aca="false">IF(AND(28&gt;=$U$16,N($V$16)&gt;0,28&lt;$U$16+N($V$16)*12,28&lt;=p_MesFin),$O$16*(1-$W$16)/(N($V$16)*12),0)</f>
        <v>50.0408507974947</v>
      </c>
      <c r="AI55" s="13" t="n">
        <f aca="false">IF(AND(29&gt;=$U$16,N($V$16)&gt;0,29&lt;$U$16+N($V$16)*12,29&lt;=p_MesFin),$O$16*(1-$W$16)/(N($V$16)*12),0)</f>
        <v>50.0408507974947</v>
      </c>
      <c r="AJ55" s="13" t="n">
        <f aca="false">IF(AND(30&gt;=$U$16,N($V$16)&gt;0,30&lt;$U$16+N($V$16)*12,30&lt;=p_MesFin),$O$16*(1-$W$16)/(N($V$16)*12),0)</f>
        <v>50.0408507974947</v>
      </c>
      <c r="AK55" s="13" t="n">
        <f aca="false">IF(AND(31&gt;=$U$16,N($V$16)&gt;0,31&lt;$U$16+N($V$16)*12,31&lt;=p_MesFin),$O$16*(1-$W$16)/(N($V$16)*12),0)</f>
        <v>50.0408507974947</v>
      </c>
      <c r="AL55" s="13" t="n">
        <f aca="false">IF(AND(32&gt;=$U$16,N($V$16)&gt;0,32&lt;$U$16+N($V$16)*12,32&lt;=p_MesFin),$O$16*(1-$W$16)/(N($V$16)*12),0)</f>
        <v>50.0408507974947</v>
      </c>
      <c r="AM55" s="13" t="n">
        <f aca="false">IF(AND(33&gt;=$U$16,N($V$16)&gt;0,33&lt;$U$16+N($V$16)*12,33&lt;=p_MesFin),$O$16*(1-$W$16)/(N($V$16)*12),0)</f>
        <v>50.0408507974947</v>
      </c>
      <c r="AN55" s="13" t="n">
        <f aca="false">IF(AND(34&gt;=$U$16,N($V$16)&gt;0,34&lt;$U$16+N($V$16)*12,34&lt;=p_MesFin),$O$16*(1-$W$16)/(N($V$16)*12),0)</f>
        <v>50.0408507974947</v>
      </c>
      <c r="AO55" s="13" t="n">
        <f aca="false">IF(AND(35&gt;=$U$16,N($V$16)&gt;0,35&lt;$U$16+N($V$16)*12,35&lt;=p_MesFin),$O$16*(1-$W$16)/(N($V$16)*12),0)</f>
        <v>50.0408507974947</v>
      </c>
      <c r="AP55" s="13" t="n">
        <f aca="false">IF(AND(36&gt;=$U$16,N($V$16)&gt;0,36&lt;$U$16+N($V$16)*12,36&lt;=p_MesFin),$O$16*(1-$W$16)/(N($V$16)*12),0)</f>
        <v>50.0408507974947</v>
      </c>
      <c r="AQ55" s="13" t="n">
        <f aca="false">IF(AND(37&gt;=$U$16,N($V$16)&gt;0,37&lt;$U$16+N($V$16)*12,37&lt;=p_MesFin),$O$16*(1-$W$16)/(N($V$16)*12),0)</f>
        <v>50.0408507974947</v>
      </c>
      <c r="AR55" s="13" t="n">
        <f aca="false">IF(AND(38&gt;=$U$16,N($V$16)&gt;0,38&lt;$U$16+N($V$16)*12,38&lt;=p_MesFin),$O$16*(1-$W$16)/(N($V$16)*12),0)</f>
        <v>50.0408507974947</v>
      </c>
      <c r="AS55" s="13" t="n">
        <f aca="false">IF(AND(39&gt;=$U$16,N($V$16)&gt;0,39&lt;$U$16+N($V$16)*12,39&lt;=p_MesFin),$O$16*(1-$W$16)/(N($V$16)*12),0)</f>
        <v>50.0408507974947</v>
      </c>
      <c r="AT55" s="13" t="n">
        <f aca="false">IF(AND(40&gt;=$U$16,N($V$16)&gt;0,40&lt;$U$16+N($V$16)*12,40&lt;=p_MesFin),$O$16*(1-$W$16)/(N($V$16)*12),0)</f>
        <v>50.0408507974947</v>
      </c>
      <c r="AU55" s="13" t="n">
        <f aca="false">IF(AND(41&gt;=$U$16,N($V$16)&gt;0,41&lt;$U$16+N($V$16)*12,41&lt;=p_MesFin),$O$16*(1-$W$16)/(N($V$16)*12),0)</f>
        <v>50.0408507974947</v>
      </c>
      <c r="AV55" s="13" t="n">
        <f aca="false">IF(AND(42&gt;=$U$16,N($V$16)&gt;0,42&lt;$U$16+N($V$16)*12,42&lt;=p_MesFin),$O$16*(1-$W$16)/(N($V$16)*12),0)</f>
        <v>50.0408507974947</v>
      </c>
      <c r="AW55" s="13" t="n">
        <f aca="false">IF(AND(43&gt;=$U$16,N($V$16)&gt;0,43&lt;$U$16+N($V$16)*12,43&lt;=p_MesFin),$O$16*(1-$W$16)/(N($V$16)*12),0)</f>
        <v>50.0408507974947</v>
      </c>
      <c r="AX55" s="13" t="n">
        <f aca="false">IF(AND(44&gt;=$U$16,N($V$16)&gt;0,44&lt;$U$16+N($V$16)*12,44&lt;=p_MesFin),$O$16*(1-$W$16)/(N($V$16)*12),0)</f>
        <v>50.0408507974947</v>
      </c>
      <c r="AY55" s="13" t="n">
        <f aca="false">IF(AND(45&gt;=$U$16,N($V$16)&gt;0,45&lt;$U$16+N($V$16)*12,45&lt;=p_MesFin),$O$16*(1-$W$16)/(N($V$16)*12),0)</f>
        <v>50.0408507974947</v>
      </c>
      <c r="AZ55" s="13" t="n">
        <f aca="false">IF(AND(46&gt;=$U$16,N($V$16)&gt;0,46&lt;$U$16+N($V$16)*12,46&lt;=p_MesFin),$O$16*(1-$W$16)/(N($V$16)*12),0)</f>
        <v>50.0408507974947</v>
      </c>
      <c r="BA55" s="13" t="n">
        <f aca="false">IF(AND(47&gt;=$U$16,N($V$16)&gt;0,47&lt;$U$16+N($V$16)*12,47&lt;=p_MesFin),$O$16*(1-$W$16)/(N($V$16)*12),0)</f>
        <v>50.0408507974947</v>
      </c>
      <c r="BB55" s="13" t="n">
        <f aca="false">IF(AND(48&gt;=$U$16,N($V$16)&gt;0,48&lt;$U$16+N($V$16)*12,48&lt;=p_MesFin),$O$16*(1-$W$16)/(N($V$16)*12),0)</f>
        <v>50.0408507974947</v>
      </c>
      <c r="BC55" s="13" t="n">
        <f aca="false">IF(AND(49&gt;=$U$16,N($V$16)&gt;0,49&lt;$U$16+N($V$16)*12,49&lt;=p_MesFin),$O$16*(1-$W$16)/(N($V$16)*12),0)</f>
        <v>50.0408507974947</v>
      </c>
      <c r="BD55" s="13" t="n">
        <f aca="false">IF(AND(50&gt;=$U$16,N($V$16)&gt;0,50&lt;$U$16+N($V$16)*12,50&lt;=p_MesFin),$O$16*(1-$W$16)/(N($V$16)*12),0)</f>
        <v>50.0408507974947</v>
      </c>
      <c r="BE55" s="13" t="n">
        <f aca="false">IF(AND(51&gt;=$U$16,N($V$16)&gt;0,51&lt;$U$16+N($V$16)*12,51&lt;=p_MesFin),$O$16*(1-$W$16)/(N($V$16)*12),0)</f>
        <v>50.0408507974947</v>
      </c>
      <c r="BF55" s="13" t="n">
        <f aca="false">IF(AND(52&gt;=$U$16,N($V$16)&gt;0,52&lt;$U$16+N($V$16)*12,52&lt;=p_MesFin),$O$16*(1-$W$16)/(N($V$16)*12),0)</f>
        <v>50.0408507974947</v>
      </c>
      <c r="BG55" s="13" t="n">
        <f aca="false">IF(AND(53&gt;=$U$16,N($V$16)&gt;0,53&lt;$U$16+N($V$16)*12,53&lt;=p_MesFin),$O$16*(1-$W$16)/(N($V$16)*12),0)</f>
        <v>50.0408507974947</v>
      </c>
      <c r="BH55" s="13" t="n">
        <f aca="false">IF(AND(54&gt;=$U$16,N($V$16)&gt;0,54&lt;$U$16+N($V$16)*12,54&lt;=p_MesFin),$O$16*(1-$W$16)/(N($V$16)*12),0)</f>
        <v>50.0408507974947</v>
      </c>
      <c r="BI55" s="13" t="n">
        <f aca="false">IF(AND(55&gt;=$U$16,N($V$16)&gt;0,55&lt;$U$16+N($V$16)*12,55&lt;=p_MesFin),$O$16*(1-$W$16)/(N($V$16)*12),0)</f>
        <v>50.0408507974947</v>
      </c>
      <c r="BJ55" s="13" t="n">
        <f aca="false">IF(AND(56&gt;=$U$16,N($V$16)&gt;0,56&lt;$U$16+N($V$16)*12,56&lt;=p_MesFin),$O$16*(1-$W$16)/(N($V$16)*12),0)</f>
        <v>50.0408507974947</v>
      </c>
      <c r="BK55" s="13" t="n">
        <f aca="false">IF(AND(57&gt;=$U$16,N($V$16)&gt;0,57&lt;$U$16+N($V$16)*12,57&lt;=p_MesFin),$O$16*(1-$W$16)/(N($V$16)*12),0)</f>
        <v>50.0408507974947</v>
      </c>
      <c r="BL55" s="13" t="n">
        <f aca="false">IF(AND(58&gt;=$U$16,N($V$16)&gt;0,58&lt;$U$16+N($V$16)*12,58&lt;=p_MesFin),$O$16*(1-$W$16)/(N($V$16)*12),0)</f>
        <v>50.0408507974947</v>
      </c>
      <c r="BM55" s="13" t="n">
        <f aca="false">IF(AND(59&gt;=$U$16,N($V$16)&gt;0,59&lt;$U$16+N($V$16)*12,59&lt;=p_MesFin),$O$16*(1-$W$16)/(N($V$16)*12),0)</f>
        <v>50.0408507974947</v>
      </c>
      <c r="BN55" s="13" t="n">
        <f aca="false">IF(AND(60&gt;=$U$16,N($V$16)&gt;0,60&lt;$U$16+N($V$16)*12,60&lt;=p_MesFin),$O$16*(1-$W$16)/(N($V$16)*12),0)</f>
        <v>50.0408507974947</v>
      </c>
      <c r="BO55" s="13" t="n">
        <f aca="false">IF(AND(61&gt;=$U$16,N($V$16)&gt;0,61&lt;$U$16+N($V$16)*12,61&lt;=p_MesFin),$O$16*(1-$W$16)/(N($V$16)*12),0)</f>
        <v>50.0408507974947</v>
      </c>
      <c r="BP55" s="13" t="n">
        <f aca="false">IF(AND(62&gt;=$U$16,N($V$16)&gt;0,62&lt;$U$16+N($V$16)*12,62&lt;=p_MesFin),$O$16*(1-$W$16)/(N($V$16)*12),0)</f>
        <v>50.0408507974947</v>
      </c>
      <c r="BQ55" s="13" t="n">
        <f aca="false">IF(AND(63&gt;=$U$16,N($V$16)&gt;0,63&lt;$U$16+N($V$16)*12,63&lt;=p_MesFin),$O$16*(1-$W$16)/(N($V$16)*12),0)</f>
        <v>50.0408507974947</v>
      </c>
      <c r="BR55" s="13" t="n">
        <f aca="false">IF(AND(64&gt;=$U$16,N($V$16)&gt;0,64&lt;$U$16+N($V$16)*12,64&lt;=p_MesFin),$O$16*(1-$W$16)/(N($V$16)*12),0)</f>
        <v>50.0408507974947</v>
      </c>
      <c r="BS55" s="13" t="n">
        <f aca="false">IF(AND(65&gt;=$U$16,N($V$16)&gt;0,65&lt;$U$16+N($V$16)*12,65&lt;=p_MesFin),$O$16*(1-$W$16)/(N($V$16)*12),0)</f>
        <v>50.0408507974947</v>
      </c>
      <c r="BT55" s="13" t="n">
        <f aca="false">IF(AND(66&gt;=$U$16,N($V$16)&gt;0,66&lt;$U$16+N($V$16)*12,66&lt;=p_MesFin),$O$16*(1-$W$16)/(N($V$16)*12),0)</f>
        <v>50.0408507974947</v>
      </c>
      <c r="BU55" s="13" t="n">
        <f aca="false">IF(AND(67&gt;=$U$16,N($V$16)&gt;0,67&lt;$U$16+N($V$16)*12,67&lt;=p_MesFin),$O$16*(1-$W$16)/(N($V$16)*12),0)</f>
        <v>50.0408507974947</v>
      </c>
      <c r="BV55" s="13" t="n">
        <f aca="false">IF(AND(68&gt;=$U$16,N($V$16)&gt;0,68&lt;$U$16+N($V$16)*12,68&lt;=p_MesFin),$O$16*(1-$W$16)/(N($V$16)*12),0)</f>
        <v>50.0408507974947</v>
      </c>
      <c r="BW55" s="13" t="n">
        <f aca="false">IF(AND(69&gt;=$U$16,N($V$16)&gt;0,69&lt;$U$16+N($V$16)*12,69&lt;=p_MesFin),$O$16*(1-$W$16)/(N($V$16)*12),0)</f>
        <v>50.0408507974947</v>
      </c>
      <c r="BX55" s="13" t="n">
        <f aca="false">IF(AND(70&gt;=$U$16,N($V$16)&gt;0,70&lt;$U$16+N($V$16)*12,70&lt;=p_MesFin),$O$16*(1-$W$16)/(N($V$16)*12),0)</f>
        <v>50.0408507974947</v>
      </c>
      <c r="BY55" s="13" t="n">
        <f aca="false">IF(AND(71&gt;=$U$16,N($V$16)&gt;0,71&lt;$U$16+N($V$16)*12,71&lt;=p_MesFin),$O$16*(1-$W$16)/(N($V$16)*12),0)</f>
        <v>50.0408507974947</v>
      </c>
      <c r="BZ55" s="13" t="n">
        <f aca="false">IF(AND(72&gt;=$U$16,N($V$16)&gt;0,72&lt;$U$16+N($V$16)*12,72&lt;=p_MesFin),$O$16*(1-$W$16)/(N($V$16)*12),0)</f>
        <v>50.0408507974947</v>
      </c>
      <c r="CA55" s="13" t="n">
        <f aca="false">IF(AND(73&gt;=$U$16,N($V$16)&gt;0,73&lt;$U$16+N($V$16)*12,73&lt;=p_MesFin),$O$16*(1-$W$16)/(N($V$16)*12),0)</f>
        <v>50.0408507974947</v>
      </c>
      <c r="CB55" s="13" t="n">
        <f aca="false">IF(AND(74&gt;=$U$16,N($V$16)&gt;0,74&lt;$U$16+N($V$16)*12,74&lt;=p_MesFin),$O$16*(1-$W$16)/(N($V$16)*12),0)</f>
        <v>50.0408507974947</v>
      </c>
      <c r="CC55" s="13" t="n">
        <f aca="false">IF(AND(75&gt;=$U$16,N($V$16)&gt;0,75&lt;$U$16+N($V$16)*12,75&lt;=p_MesFin),$O$16*(1-$W$16)/(N($V$16)*12),0)</f>
        <v>50.0408507974947</v>
      </c>
      <c r="CD55" s="13" t="n">
        <f aca="false">IF(AND(76&gt;=$U$16,N($V$16)&gt;0,76&lt;$U$16+N($V$16)*12,76&lt;=p_MesFin),$O$16*(1-$W$16)/(N($V$16)*12),0)</f>
        <v>50.0408507974947</v>
      </c>
      <c r="CE55" s="13" t="n">
        <f aca="false">IF(AND(77&gt;=$U$16,N($V$16)&gt;0,77&lt;$U$16+N($V$16)*12,77&lt;=p_MesFin),$O$16*(1-$W$16)/(N($V$16)*12),0)</f>
        <v>50.0408507974947</v>
      </c>
      <c r="CF55" s="13" t="n">
        <f aca="false">IF(AND(78&gt;=$U$16,N($V$16)&gt;0,78&lt;$U$16+N($V$16)*12,78&lt;=p_MesFin),$O$16*(1-$W$16)/(N($V$16)*12),0)</f>
        <v>50.0408507974947</v>
      </c>
      <c r="CG55" s="13" t="n">
        <f aca="false">IF(AND(79&gt;=$U$16,N($V$16)&gt;0,79&lt;$U$16+N($V$16)*12,79&lt;=p_MesFin),$O$16*(1-$W$16)/(N($V$16)*12),0)</f>
        <v>50.0408507974947</v>
      </c>
      <c r="CH55" s="13" t="n">
        <f aca="false">IF(AND(80&gt;=$U$16,N($V$16)&gt;0,80&lt;$U$16+N($V$16)*12,80&lt;=p_MesFin),$O$16*(1-$W$16)/(N($V$16)*12),0)</f>
        <v>50.0408507974947</v>
      </c>
      <c r="CI55" s="13" t="n">
        <f aca="false">IF(AND(81&gt;=$U$16,N($V$16)&gt;0,81&lt;$U$16+N($V$16)*12,81&lt;=p_MesFin),$O$16*(1-$W$16)/(N($V$16)*12),0)</f>
        <v>50.0408507974947</v>
      </c>
      <c r="CJ55" s="13" t="n">
        <f aca="false">IF(AND(82&gt;=$U$16,N($V$16)&gt;0,82&lt;$U$16+N($V$16)*12,82&lt;=p_MesFin),$O$16*(1-$W$16)/(N($V$16)*12),0)</f>
        <v>50.0408507974947</v>
      </c>
      <c r="CK55" s="13" t="n">
        <f aca="false">IF(AND(83&gt;=$U$16,N($V$16)&gt;0,83&lt;$U$16+N($V$16)*12,83&lt;=p_MesFin),$O$16*(1-$W$16)/(N($V$16)*12),0)</f>
        <v>50.0408507974947</v>
      </c>
      <c r="CL55" s="13" t="n">
        <f aca="false">IF(AND(84&gt;=$U$16,N($V$16)&gt;0,84&lt;$U$16+N($V$16)*12,84&lt;=p_MesFin),$O$16*(1-$W$16)/(N($V$16)*12),0)</f>
        <v>50.0408507974947</v>
      </c>
      <c r="CM55" s="13" t="n">
        <f aca="false">IF(AND(85&gt;=$U$16,N($V$16)&gt;0,85&lt;$U$16+N($V$16)*12,85&lt;=p_MesFin),$O$16*(1-$W$16)/(N($V$16)*12),0)</f>
        <v>50.0408507974947</v>
      </c>
      <c r="CN55" s="13" t="n">
        <f aca="false">IF(AND(86&gt;=$U$16,N($V$16)&gt;0,86&lt;$U$16+N($V$16)*12,86&lt;=p_MesFin),$O$16*(1-$W$16)/(N($V$16)*12),0)</f>
        <v>50.0408507974947</v>
      </c>
      <c r="CO55" s="13" t="n">
        <f aca="false">IF(AND(87&gt;=$U$16,N($V$16)&gt;0,87&lt;$U$16+N($V$16)*12,87&lt;=p_MesFin),$O$16*(1-$W$16)/(N($V$16)*12),0)</f>
        <v>50.0408507974947</v>
      </c>
      <c r="CP55" s="13" t="n">
        <f aca="false">IF(AND(88&gt;=$U$16,N($V$16)&gt;0,88&lt;$U$16+N($V$16)*12,88&lt;=p_MesFin),$O$16*(1-$W$16)/(N($V$16)*12),0)</f>
        <v>50.0408507974947</v>
      </c>
      <c r="CQ55" s="13" t="n">
        <f aca="false">IF(AND(89&gt;=$U$16,N($V$16)&gt;0,89&lt;$U$16+N($V$16)*12,89&lt;=p_MesFin),$O$16*(1-$W$16)/(N($V$16)*12),0)</f>
        <v>50.0408507974947</v>
      </c>
      <c r="CR55" s="13" t="n">
        <f aca="false">IF(AND(90&gt;=$U$16,N($V$16)&gt;0,90&lt;$U$16+N($V$16)*12,90&lt;=p_MesFin),$O$16*(1-$W$16)/(N($V$16)*12),0)</f>
        <v>50.0408507974947</v>
      </c>
      <c r="CS55" s="13" t="n">
        <f aca="false">IF(AND(91&gt;=$U$16,N($V$16)&gt;0,91&lt;$U$16+N($V$16)*12,91&lt;=p_MesFin),$O$16*(1-$W$16)/(N($V$16)*12),0)</f>
        <v>50.0408507974947</v>
      </c>
      <c r="CT55" s="13" t="n">
        <f aca="false">IF(AND(92&gt;=$U$16,N($V$16)&gt;0,92&lt;$U$16+N($V$16)*12,92&lt;=p_MesFin),$O$16*(1-$W$16)/(N($V$16)*12),0)</f>
        <v>50.0408507974947</v>
      </c>
      <c r="CU55" s="13" t="n">
        <f aca="false">IF(AND(93&gt;=$U$16,N($V$16)&gt;0,93&lt;$U$16+N($V$16)*12,93&lt;=p_MesFin),$O$16*(1-$W$16)/(N($V$16)*12),0)</f>
        <v>50.0408507974947</v>
      </c>
      <c r="CV55" s="13" t="n">
        <f aca="false">IF(AND(94&gt;=$U$16,N($V$16)&gt;0,94&lt;$U$16+N($V$16)*12,94&lt;=p_MesFin),$O$16*(1-$W$16)/(N($V$16)*12),0)</f>
        <v>50.0408507974947</v>
      </c>
      <c r="CW55" s="13" t="n">
        <f aca="false">IF(AND(95&gt;=$U$16,N($V$16)&gt;0,95&lt;$U$16+N($V$16)*12,95&lt;=p_MesFin),$O$16*(1-$W$16)/(N($V$16)*12),0)</f>
        <v>50.0408507974947</v>
      </c>
      <c r="CX55" s="13" t="n">
        <f aca="false">IF(AND(96&gt;=$U$16,N($V$16)&gt;0,96&lt;$U$16+N($V$16)*12,96&lt;=p_MesFin),$O$16*(1-$W$16)/(N($V$16)*12),0)</f>
        <v>50.0408507974947</v>
      </c>
      <c r="CY55" s="13" t="n">
        <f aca="false">IF(AND(97&gt;=$U$16,N($V$16)&gt;0,97&lt;$U$16+N($V$16)*12,97&lt;=p_MesFin),$O$16*(1-$W$16)/(N($V$16)*12),0)</f>
        <v>50.0408507974947</v>
      </c>
      <c r="CZ55" s="13" t="n">
        <f aca="false">IF(AND(98&gt;=$U$16,N($V$16)&gt;0,98&lt;$U$16+N($V$16)*12,98&lt;=p_MesFin),$O$16*(1-$W$16)/(N($V$16)*12),0)</f>
        <v>50.0408507974947</v>
      </c>
      <c r="DA55" s="13" t="n">
        <f aca="false">IF(AND(99&gt;=$U$16,N($V$16)&gt;0,99&lt;$U$16+N($V$16)*12,99&lt;=p_MesFin),$O$16*(1-$W$16)/(N($V$16)*12),0)</f>
        <v>50.0408507974947</v>
      </c>
      <c r="DB55" s="13" t="n">
        <f aca="false">IF(AND(100&gt;=$U$16,N($V$16)&gt;0,100&lt;$U$16+N($V$16)*12,100&lt;=p_MesFin),$O$16*(1-$W$16)/(N($V$16)*12),0)</f>
        <v>50.0408507974947</v>
      </c>
      <c r="DC55" s="13" t="n">
        <f aca="false">IF(AND(101&gt;=$U$16,N($V$16)&gt;0,101&lt;$U$16+N($V$16)*12,101&lt;=p_MesFin),$O$16*(1-$W$16)/(N($V$16)*12),0)</f>
        <v>50.0408507974947</v>
      </c>
      <c r="DD55" s="13" t="n">
        <f aca="false">IF(AND(102&gt;=$U$16,N($V$16)&gt;0,102&lt;$U$16+N($V$16)*12,102&lt;=p_MesFin),$O$16*(1-$W$16)/(N($V$16)*12),0)</f>
        <v>50.0408507974947</v>
      </c>
      <c r="DE55" s="13" t="n">
        <f aca="false">IF(AND(103&gt;=$U$16,N($V$16)&gt;0,103&lt;$U$16+N($V$16)*12,103&lt;=p_MesFin),$O$16*(1-$W$16)/(N($V$16)*12),0)</f>
        <v>50.0408507974947</v>
      </c>
      <c r="DF55" s="13" t="n">
        <f aca="false">IF(AND(104&gt;=$U$16,N($V$16)&gt;0,104&lt;$U$16+N($V$16)*12,104&lt;=p_MesFin),$O$16*(1-$W$16)/(N($V$16)*12),0)</f>
        <v>50.0408507974947</v>
      </c>
      <c r="DG55" s="13" t="n">
        <f aca="false">IF(AND(105&gt;=$U$16,N($V$16)&gt;0,105&lt;$U$16+N($V$16)*12,105&lt;=p_MesFin),$O$16*(1-$W$16)/(N($V$16)*12),0)</f>
        <v>50.0408507974947</v>
      </c>
      <c r="DH55" s="13" t="n">
        <f aca="false">IF(AND(106&gt;=$U$16,N($V$16)&gt;0,106&lt;$U$16+N($V$16)*12,106&lt;=p_MesFin),$O$16*(1-$W$16)/(N($V$16)*12),0)</f>
        <v>50.0408507974947</v>
      </c>
      <c r="DI55" s="13" t="n">
        <f aca="false">IF(AND(107&gt;=$U$16,N($V$16)&gt;0,107&lt;$U$16+N($V$16)*12,107&lt;=p_MesFin),$O$16*(1-$W$16)/(N($V$16)*12),0)</f>
        <v>50.0408507974947</v>
      </c>
      <c r="DJ55" s="13" t="n">
        <f aca="false">IF(AND(108&gt;=$U$16,N($V$16)&gt;0,108&lt;$U$16+N($V$16)*12,108&lt;=p_MesFin),$O$16*(1-$W$16)/(N($V$16)*12),0)</f>
        <v>50.0408507974947</v>
      </c>
      <c r="DK55" s="13" t="n">
        <f aca="false">IF(AND(109&gt;=$U$16,N($V$16)&gt;0,109&lt;$U$16+N($V$16)*12,109&lt;=p_MesFin),$O$16*(1-$W$16)/(N($V$16)*12),0)</f>
        <v>50.0408507974947</v>
      </c>
      <c r="DL55" s="13" t="n">
        <f aca="false">IF(AND(110&gt;=$U$16,N($V$16)&gt;0,110&lt;$U$16+N($V$16)*12,110&lt;=p_MesFin),$O$16*(1-$W$16)/(N($V$16)*12),0)</f>
        <v>50.0408507974947</v>
      </c>
      <c r="DM55" s="13" t="n">
        <f aca="false">IF(AND(111&gt;=$U$16,N($V$16)&gt;0,111&lt;$U$16+N($V$16)*12,111&lt;=p_MesFin),$O$16*(1-$W$16)/(N($V$16)*12),0)</f>
        <v>50.0408507974947</v>
      </c>
      <c r="DN55" s="13" t="n">
        <f aca="false">IF(AND(112&gt;=$U$16,N($V$16)&gt;0,112&lt;$U$16+N($V$16)*12,112&lt;=p_MesFin),$O$16*(1-$W$16)/(N($V$16)*12),0)</f>
        <v>50.0408507974947</v>
      </c>
      <c r="DO55" s="13" t="n">
        <f aca="false">IF(AND(113&gt;=$U$16,N($V$16)&gt;0,113&lt;$U$16+N($V$16)*12,113&lt;=p_MesFin),$O$16*(1-$W$16)/(N($V$16)*12),0)</f>
        <v>50.0408507974947</v>
      </c>
      <c r="DP55" s="13" t="n">
        <f aca="false">IF(AND(114&gt;=$U$16,N($V$16)&gt;0,114&lt;$U$16+N($V$16)*12,114&lt;=p_MesFin),$O$16*(1-$W$16)/(N($V$16)*12),0)</f>
        <v>50.0408507974947</v>
      </c>
      <c r="DQ55" s="13" t="n">
        <f aca="false">IF(AND(115&gt;=$U$16,N($V$16)&gt;0,115&lt;$U$16+N($V$16)*12,115&lt;=p_MesFin),$O$16*(1-$W$16)/(N($V$16)*12),0)</f>
        <v>50.0408507974947</v>
      </c>
      <c r="DR55" s="13" t="n">
        <f aca="false">IF(AND(116&gt;=$U$16,N($V$16)&gt;0,116&lt;$U$16+N($V$16)*12,116&lt;=p_MesFin),$O$16*(1-$W$16)/(N($V$16)*12),0)</f>
        <v>50.0408507974947</v>
      </c>
      <c r="DS55" s="13" t="n">
        <f aca="false">IF(AND(117&gt;=$U$16,N($V$16)&gt;0,117&lt;$U$16+N($V$16)*12,117&lt;=p_MesFin),$O$16*(1-$W$16)/(N($V$16)*12),0)</f>
        <v>50.0408507974947</v>
      </c>
      <c r="DT55" s="13" t="n">
        <f aca="false">IF(AND(118&gt;=$U$16,N($V$16)&gt;0,118&lt;$U$16+N($V$16)*12,118&lt;=p_MesFin),$O$16*(1-$W$16)/(N($V$16)*12),0)</f>
        <v>50.0408507974947</v>
      </c>
      <c r="DU55" s="13" t="n">
        <f aca="false">IF(AND(119&gt;=$U$16,N($V$16)&gt;0,119&lt;$U$16+N($V$16)*12,119&lt;=p_MesFin),$O$16*(1-$W$16)/(N($V$16)*12),0)</f>
        <v>50.0408507974947</v>
      </c>
      <c r="DV55" s="13" t="n">
        <f aca="false">IF(AND(120&gt;=$U$16,N($V$16)&gt;0,120&lt;$U$16+N($V$16)*12,120&lt;=p_MesFin),$O$16*(1-$W$16)/(N($V$16)*12),0)</f>
        <v>50.0408507974947</v>
      </c>
      <c r="DW55" s="13" t="n">
        <f aca="false">IF(AND(121&gt;=$U$16,N($V$16)&gt;0,121&lt;$U$16+N($V$16)*12,121&lt;=p_MesFin),$O$16*(1-$W$16)/(N($V$16)*12),0)</f>
        <v>0</v>
      </c>
      <c r="DX55" s="13" t="n">
        <f aca="false">IF(AND(122&gt;=$U$16,N($V$16)&gt;0,122&lt;$U$16+N($V$16)*12,122&lt;=p_MesFin),$O$16*(1-$W$16)/(N($V$16)*12),0)</f>
        <v>0</v>
      </c>
      <c r="DY55" s="13" t="n">
        <f aca="false">IF(AND(123&gt;=$U$16,N($V$16)&gt;0,123&lt;$U$16+N($V$16)*12,123&lt;=p_MesFin),$O$16*(1-$W$16)/(N($V$16)*12),0)</f>
        <v>0</v>
      </c>
      <c r="DZ55" s="13" t="n">
        <f aca="false">IF(AND(124&gt;=$U$16,N($V$16)&gt;0,124&lt;$U$16+N($V$16)*12,124&lt;=p_MesFin),$O$16*(1-$W$16)/(N($V$16)*12),0)</f>
        <v>0</v>
      </c>
      <c r="EA55" s="13" t="n">
        <f aca="false">IF(AND(125&gt;=$U$16,N($V$16)&gt;0,125&lt;$U$16+N($V$16)*12,125&lt;=p_MesFin),$O$16*(1-$W$16)/(N($V$16)*12),0)</f>
        <v>0</v>
      </c>
      <c r="EB55" s="13" t="n">
        <f aca="false">IF(AND(126&gt;=$U$16,N($V$16)&gt;0,126&lt;$U$16+N($V$16)*12,126&lt;=p_MesFin),$O$16*(1-$W$16)/(N($V$16)*12),0)</f>
        <v>0</v>
      </c>
      <c r="EC55" s="13" t="n">
        <f aca="false">IF(AND(127&gt;=$U$16,N($V$16)&gt;0,127&lt;$U$16+N($V$16)*12,127&lt;=p_MesFin),$O$16*(1-$W$16)/(N($V$16)*12),0)</f>
        <v>0</v>
      </c>
      <c r="ED55" s="13" t="n">
        <f aca="false">IF(AND(128&gt;=$U$16,N($V$16)&gt;0,128&lt;$U$16+N($V$16)*12,128&lt;=p_MesFin),$O$16*(1-$W$16)/(N($V$16)*12),0)</f>
        <v>0</v>
      </c>
      <c r="EE55" s="13" t="n">
        <f aca="false">IF(AND(129&gt;=$U$16,N($V$16)&gt;0,129&lt;$U$16+N($V$16)*12,129&lt;=p_MesFin),$O$16*(1-$W$16)/(N($V$16)*12),0)</f>
        <v>0</v>
      </c>
      <c r="EF55" s="13" t="n">
        <f aca="false">IF(AND(130&gt;=$U$16,N($V$16)&gt;0,130&lt;$U$16+N($V$16)*12,130&lt;=p_MesFin),$O$16*(1-$W$16)/(N($V$16)*12),0)</f>
        <v>0</v>
      </c>
      <c r="EG55" s="13" t="n">
        <f aca="false">IF(AND(131&gt;=$U$16,N($V$16)&gt;0,131&lt;$U$16+N($V$16)*12,131&lt;=p_MesFin),$O$16*(1-$W$16)/(N($V$16)*12),0)</f>
        <v>0</v>
      </c>
      <c r="EH55" s="13" t="n">
        <f aca="false">IF(AND(132&gt;=$U$16,N($V$16)&gt;0,132&lt;$U$16+N($V$16)*12,132&lt;=p_MesFin),$O$16*(1-$W$16)/(N($V$16)*12),0)</f>
        <v>0</v>
      </c>
      <c r="EI55" s="13" t="n">
        <f aca="false">IF(AND(133&gt;=$U$16,N($V$16)&gt;0,133&lt;$U$16+N($V$16)*12,133&lt;=p_MesFin),$O$16*(1-$W$16)/(N($V$16)*12),0)</f>
        <v>0</v>
      </c>
      <c r="EJ55" s="13" t="n">
        <f aca="false">IF(AND(134&gt;=$U$16,N($V$16)&gt;0,134&lt;$U$16+N($V$16)*12,134&lt;=p_MesFin),$O$16*(1-$W$16)/(N($V$16)*12),0)</f>
        <v>0</v>
      </c>
      <c r="EK55" s="13" t="n">
        <f aca="false">IF(AND(135&gt;=$U$16,N($V$16)&gt;0,135&lt;$U$16+N($V$16)*12,135&lt;=p_MesFin),$O$16*(1-$W$16)/(N($V$16)*12),0)</f>
        <v>0</v>
      </c>
      <c r="EL55" s="13" t="n">
        <f aca="false">IF(AND(136&gt;=$U$16,N($V$16)&gt;0,136&lt;$U$16+N($V$16)*12,136&lt;=p_MesFin),$O$16*(1-$W$16)/(N($V$16)*12),0)</f>
        <v>0</v>
      </c>
      <c r="EM55" s="13" t="n">
        <f aca="false">IF(AND(137&gt;=$U$16,N($V$16)&gt;0,137&lt;$U$16+N($V$16)*12,137&lt;=p_MesFin),$O$16*(1-$W$16)/(N($V$16)*12),0)</f>
        <v>0</v>
      </c>
      <c r="EN55" s="13" t="n">
        <f aca="false">IF(AND(138&gt;=$U$16,N($V$16)&gt;0,138&lt;$U$16+N($V$16)*12,138&lt;=p_MesFin),$O$16*(1-$W$16)/(N($V$16)*12),0)</f>
        <v>0</v>
      </c>
      <c r="EO55" s="13" t="n">
        <f aca="false">IF(AND(139&gt;=$U$16,N($V$16)&gt;0,139&lt;$U$16+N($V$16)*12,139&lt;=p_MesFin),$O$16*(1-$W$16)/(N($V$16)*12),0)</f>
        <v>0</v>
      </c>
      <c r="EP55" s="13" t="n">
        <f aca="false">IF(AND(140&gt;=$U$16,N($V$16)&gt;0,140&lt;$U$16+N($V$16)*12,140&lt;=p_MesFin),$O$16*(1-$W$16)/(N($V$16)*12),0)</f>
        <v>0</v>
      </c>
      <c r="EQ55" s="13" t="n">
        <f aca="false">IF(AND(141&gt;=$U$16,N($V$16)&gt;0,141&lt;$U$16+N($V$16)*12,141&lt;=p_MesFin),$O$16*(1-$W$16)/(N($V$16)*12),0)</f>
        <v>0</v>
      </c>
      <c r="ER55" s="13" t="n">
        <f aca="false">IF(AND(142&gt;=$U$16,N($V$16)&gt;0,142&lt;$U$16+N($V$16)*12,142&lt;=p_MesFin),$O$16*(1-$W$16)/(N($V$16)*12),0)</f>
        <v>0</v>
      </c>
      <c r="ES55" s="13" t="n">
        <f aca="false">IF(AND(143&gt;=$U$16,N($V$16)&gt;0,143&lt;$U$16+N($V$16)*12,143&lt;=p_MesFin),$O$16*(1-$W$16)/(N($V$16)*12),0)</f>
        <v>0</v>
      </c>
      <c r="ET55" s="13" t="n">
        <f aca="false">IF(AND(144&gt;=$U$16,N($V$16)&gt;0,144&lt;$U$16+N($V$16)*12,144&lt;=p_MesFin),$O$16*(1-$W$16)/(N($V$16)*12),0)</f>
        <v>0</v>
      </c>
      <c r="EU55" s="13" t="n">
        <f aca="false">IF(AND(145&gt;=$U$16,N($V$16)&gt;0,145&lt;$U$16+N($V$16)*12,145&lt;=p_MesFin),$O$16*(1-$W$16)/(N($V$16)*12),0)</f>
        <v>0</v>
      </c>
      <c r="EV55" s="13" t="n">
        <f aca="false">IF(AND(146&gt;=$U$16,N($V$16)&gt;0,146&lt;$U$16+N($V$16)*12,146&lt;=p_MesFin),$O$16*(1-$W$16)/(N($V$16)*12),0)</f>
        <v>0</v>
      </c>
      <c r="EW55" s="13" t="n">
        <f aca="false">IF(AND(147&gt;=$U$16,N($V$16)&gt;0,147&lt;$U$16+N($V$16)*12,147&lt;=p_MesFin),$O$16*(1-$W$16)/(N($V$16)*12),0)</f>
        <v>0</v>
      </c>
      <c r="EX55" s="13" t="n">
        <f aca="false">IF(AND(148&gt;=$U$16,N($V$16)&gt;0,148&lt;$U$16+N($V$16)*12,148&lt;=p_MesFin),$O$16*(1-$W$16)/(N($V$16)*12),0)</f>
        <v>0</v>
      </c>
      <c r="EY55" s="13" t="n">
        <f aca="false">IF(AND(149&gt;=$U$16,N($V$16)&gt;0,149&lt;$U$16+N($V$16)*12,149&lt;=p_MesFin),$O$16*(1-$W$16)/(N($V$16)*12),0)</f>
        <v>0</v>
      </c>
      <c r="EZ55" s="13" t="n">
        <f aca="false">IF(AND(150&gt;=$U$16,N($V$16)&gt;0,150&lt;$U$16+N($V$16)*12,150&lt;=p_MesFin),$O$16*(1-$W$16)/(N($V$16)*12),0)</f>
        <v>0</v>
      </c>
      <c r="FA55" s="13" t="n">
        <f aca="false">IF(AND(151&gt;=$U$16,N($V$16)&gt;0,151&lt;$U$16+N($V$16)*12,151&lt;=p_MesFin),$O$16*(1-$W$16)/(N($V$16)*12),0)</f>
        <v>0</v>
      </c>
      <c r="FB55" s="13" t="n">
        <f aca="false">IF(AND(152&gt;=$U$16,N($V$16)&gt;0,152&lt;$U$16+N($V$16)*12,152&lt;=p_MesFin),$O$16*(1-$W$16)/(N($V$16)*12),0)</f>
        <v>0</v>
      </c>
      <c r="FC55" s="13" t="n">
        <f aca="false">IF(AND(153&gt;=$U$16,N($V$16)&gt;0,153&lt;$U$16+N($V$16)*12,153&lt;=p_MesFin),$O$16*(1-$W$16)/(N($V$16)*12),0)</f>
        <v>0</v>
      </c>
      <c r="FD55" s="13" t="n">
        <f aca="false">IF(AND(154&gt;=$U$16,N($V$16)&gt;0,154&lt;$U$16+N($V$16)*12,154&lt;=p_MesFin),$O$16*(1-$W$16)/(N($V$16)*12),0)</f>
        <v>0</v>
      </c>
      <c r="FE55" s="13" t="n">
        <f aca="false">IF(AND(155&gt;=$U$16,N($V$16)&gt;0,155&lt;$U$16+N($V$16)*12,155&lt;=p_MesFin),$O$16*(1-$W$16)/(N($V$16)*12),0)</f>
        <v>0</v>
      </c>
      <c r="FF55" s="13" t="n">
        <f aca="false">IF(AND(156&gt;=$U$16,N($V$16)&gt;0,156&lt;$U$16+N($V$16)*12,156&lt;=p_MesFin),$O$16*(1-$W$16)/(N($V$16)*12),0)</f>
        <v>0</v>
      </c>
    </row>
    <row r="56" customFormat="false" ht="15" hidden="false" customHeight="false" outlineLevel="0" collapsed="false">
      <c r="A56" s="2" t="s">
        <v>1260</v>
      </c>
      <c r="B56" s="8" t="s">
        <v>1261</v>
      </c>
      <c r="C56" s="8" t="s">
        <v>255</v>
      </c>
      <c r="E56" s="65" t="n">
        <f aca="false">SUM($F56:$FF56)</f>
        <v>43478</v>
      </c>
      <c r="F56" s="13" t="n">
        <f aca="false">IF(AND(0&gt;=$U$17,N($V$17)&gt;0,0&lt;$U$17+N($V$17)*12,0&lt;=p_MesFin),$O$17*(1-$W$17)/(N($V$17)*12),0)</f>
        <v>0</v>
      </c>
      <c r="G56" s="13" t="n">
        <f aca="false">IF(AND(1&gt;=$U$17,N($V$17)&gt;0,1&lt;$U$17+N($V$17)*12,1&lt;=p_MesFin),$O$17*(1-$W$17)/(N($V$17)*12),0)</f>
        <v>724.633333333333</v>
      </c>
      <c r="H56" s="13" t="n">
        <f aca="false">IF(AND(2&gt;=$U$17,N($V$17)&gt;0,2&lt;$U$17+N($V$17)*12,2&lt;=p_MesFin),$O$17*(1-$W$17)/(N($V$17)*12),0)</f>
        <v>724.633333333333</v>
      </c>
      <c r="I56" s="13" t="n">
        <f aca="false">IF(AND(3&gt;=$U$17,N($V$17)&gt;0,3&lt;$U$17+N($V$17)*12,3&lt;=p_MesFin),$O$17*(1-$W$17)/(N($V$17)*12),0)</f>
        <v>724.633333333333</v>
      </c>
      <c r="J56" s="13" t="n">
        <f aca="false">IF(AND(4&gt;=$U$17,N($V$17)&gt;0,4&lt;$U$17+N($V$17)*12,4&lt;=p_MesFin),$O$17*(1-$W$17)/(N($V$17)*12),0)</f>
        <v>724.633333333333</v>
      </c>
      <c r="K56" s="13" t="n">
        <f aca="false">IF(AND(5&gt;=$U$17,N($V$17)&gt;0,5&lt;$U$17+N($V$17)*12,5&lt;=p_MesFin),$O$17*(1-$W$17)/(N($V$17)*12),0)</f>
        <v>724.633333333333</v>
      </c>
      <c r="L56" s="13" t="n">
        <f aca="false">IF(AND(6&gt;=$U$17,N($V$17)&gt;0,6&lt;$U$17+N($V$17)*12,6&lt;=p_MesFin),$O$17*(1-$W$17)/(N($V$17)*12),0)</f>
        <v>724.633333333333</v>
      </c>
      <c r="M56" s="13" t="n">
        <f aca="false">IF(AND(7&gt;=$U$17,N($V$17)&gt;0,7&lt;$U$17+N($V$17)*12,7&lt;=p_MesFin),$O$17*(1-$W$17)/(N($V$17)*12),0)</f>
        <v>724.633333333333</v>
      </c>
      <c r="N56" s="13" t="n">
        <f aca="false">IF(AND(8&gt;=$U$17,N($V$17)&gt;0,8&lt;$U$17+N($V$17)*12,8&lt;=p_MesFin),$O$17*(1-$W$17)/(N($V$17)*12),0)</f>
        <v>724.633333333333</v>
      </c>
      <c r="O56" s="13" t="n">
        <f aca="false">IF(AND(9&gt;=$U$17,N($V$17)&gt;0,9&lt;$U$17+N($V$17)*12,9&lt;=p_MesFin),$O$17*(1-$W$17)/(N($V$17)*12),0)</f>
        <v>724.633333333333</v>
      </c>
      <c r="P56" s="13" t="n">
        <f aca="false">IF(AND(10&gt;=$U$17,N($V$17)&gt;0,10&lt;$U$17+N($V$17)*12,10&lt;=p_MesFin),$O$17*(1-$W$17)/(N($V$17)*12),0)</f>
        <v>724.633333333333</v>
      </c>
      <c r="Q56" s="13" t="n">
        <f aca="false">IF(AND(11&gt;=$U$17,N($V$17)&gt;0,11&lt;$U$17+N($V$17)*12,11&lt;=p_MesFin),$O$17*(1-$W$17)/(N($V$17)*12),0)</f>
        <v>724.633333333333</v>
      </c>
      <c r="R56" s="13" t="n">
        <f aca="false">IF(AND(12&gt;=$U$17,N($V$17)&gt;0,12&lt;$U$17+N($V$17)*12,12&lt;=p_MesFin),$O$17*(1-$W$17)/(N($V$17)*12),0)</f>
        <v>724.633333333333</v>
      </c>
      <c r="S56" s="13" t="n">
        <f aca="false">IF(AND(13&gt;=$U$17,N($V$17)&gt;0,13&lt;$U$17+N($V$17)*12,13&lt;=p_MesFin),$O$17*(1-$W$17)/(N($V$17)*12),0)</f>
        <v>724.633333333333</v>
      </c>
      <c r="T56" s="13" t="n">
        <f aca="false">IF(AND(14&gt;=$U$17,N($V$17)&gt;0,14&lt;$U$17+N($V$17)*12,14&lt;=p_MesFin),$O$17*(1-$W$17)/(N($V$17)*12),0)</f>
        <v>724.633333333333</v>
      </c>
      <c r="U56" s="13" t="n">
        <f aca="false">IF(AND(15&gt;=$U$17,N($V$17)&gt;0,15&lt;$U$17+N($V$17)*12,15&lt;=p_MesFin),$O$17*(1-$W$17)/(N($V$17)*12),0)</f>
        <v>724.633333333333</v>
      </c>
      <c r="V56" s="13" t="n">
        <f aca="false">IF(AND(16&gt;=$U$17,N($V$17)&gt;0,16&lt;$U$17+N($V$17)*12,16&lt;=p_MesFin),$O$17*(1-$W$17)/(N($V$17)*12),0)</f>
        <v>724.633333333333</v>
      </c>
      <c r="W56" s="13" t="n">
        <f aca="false">IF(AND(17&gt;=$U$17,N($V$17)&gt;0,17&lt;$U$17+N($V$17)*12,17&lt;=p_MesFin),$O$17*(1-$W$17)/(N($V$17)*12),0)</f>
        <v>724.633333333333</v>
      </c>
      <c r="X56" s="13" t="n">
        <f aca="false">IF(AND(18&gt;=$U$17,N($V$17)&gt;0,18&lt;$U$17+N($V$17)*12,18&lt;=p_MesFin),$O$17*(1-$W$17)/(N($V$17)*12),0)</f>
        <v>724.633333333333</v>
      </c>
      <c r="Y56" s="13" t="n">
        <f aca="false">IF(AND(19&gt;=$U$17,N($V$17)&gt;0,19&lt;$U$17+N($V$17)*12,19&lt;=p_MesFin),$O$17*(1-$W$17)/(N($V$17)*12),0)</f>
        <v>724.633333333333</v>
      </c>
      <c r="Z56" s="13" t="n">
        <f aca="false">IF(AND(20&gt;=$U$17,N($V$17)&gt;0,20&lt;$U$17+N($V$17)*12,20&lt;=p_MesFin),$O$17*(1-$W$17)/(N($V$17)*12),0)</f>
        <v>724.633333333333</v>
      </c>
      <c r="AA56" s="13" t="n">
        <f aca="false">IF(AND(21&gt;=$U$17,N($V$17)&gt;0,21&lt;$U$17+N($V$17)*12,21&lt;=p_MesFin),$O$17*(1-$W$17)/(N($V$17)*12),0)</f>
        <v>724.633333333333</v>
      </c>
      <c r="AB56" s="13" t="n">
        <f aca="false">IF(AND(22&gt;=$U$17,N($V$17)&gt;0,22&lt;$U$17+N($V$17)*12,22&lt;=p_MesFin),$O$17*(1-$W$17)/(N($V$17)*12),0)</f>
        <v>724.633333333333</v>
      </c>
      <c r="AC56" s="13" t="n">
        <f aca="false">IF(AND(23&gt;=$U$17,N($V$17)&gt;0,23&lt;$U$17+N($V$17)*12,23&lt;=p_MesFin),$O$17*(1-$W$17)/(N($V$17)*12),0)</f>
        <v>724.633333333333</v>
      </c>
      <c r="AD56" s="13" t="n">
        <f aca="false">IF(AND(24&gt;=$U$17,N($V$17)&gt;0,24&lt;$U$17+N($V$17)*12,24&lt;=p_MesFin),$O$17*(1-$W$17)/(N($V$17)*12),0)</f>
        <v>724.633333333333</v>
      </c>
      <c r="AE56" s="13" t="n">
        <f aca="false">IF(AND(25&gt;=$U$17,N($V$17)&gt;0,25&lt;$U$17+N($V$17)*12,25&lt;=p_MesFin),$O$17*(1-$W$17)/(N($V$17)*12),0)</f>
        <v>724.633333333333</v>
      </c>
      <c r="AF56" s="13" t="n">
        <f aca="false">IF(AND(26&gt;=$U$17,N($V$17)&gt;0,26&lt;$U$17+N($V$17)*12,26&lt;=p_MesFin),$O$17*(1-$W$17)/(N($V$17)*12),0)</f>
        <v>724.633333333333</v>
      </c>
      <c r="AG56" s="13" t="n">
        <f aca="false">IF(AND(27&gt;=$U$17,N($V$17)&gt;0,27&lt;$U$17+N($V$17)*12,27&lt;=p_MesFin),$O$17*(1-$W$17)/(N($V$17)*12),0)</f>
        <v>724.633333333333</v>
      </c>
      <c r="AH56" s="13" t="n">
        <f aca="false">IF(AND(28&gt;=$U$17,N($V$17)&gt;0,28&lt;$U$17+N($V$17)*12,28&lt;=p_MesFin),$O$17*(1-$W$17)/(N($V$17)*12),0)</f>
        <v>724.633333333333</v>
      </c>
      <c r="AI56" s="13" t="n">
        <f aca="false">IF(AND(29&gt;=$U$17,N($V$17)&gt;0,29&lt;$U$17+N($V$17)*12,29&lt;=p_MesFin),$O$17*(1-$W$17)/(N($V$17)*12),0)</f>
        <v>724.633333333333</v>
      </c>
      <c r="AJ56" s="13" t="n">
        <f aca="false">IF(AND(30&gt;=$U$17,N($V$17)&gt;0,30&lt;$U$17+N($V$17)*12,30&lt;=p_MesFin),$O$17*(1-$W$17)/(N($V$17)*12),0)</f>
        <v>724.633333333333</v>
      </c>
      <c r="AK56" s="13" t="n">
        <f aca="false">IF(AND(31&gt;=$U$17,N($V$17)&gt;0,31&lt;$U$17+N($V$17)*12,31&lt;=p_MesFin),$O$17*(1-$W$17)/(N($V$17)*12),0)</f>
        <v>724.633333333333</v>
      </c>
      <c r="AL56" s="13" t="n">
        <f aca="false">IF(AND(32&gt;=$U$17,N($V$17)&gt;0,32&lt;$U$17+N($V$17)*12,32&lt;=p_MesFin),$O$17*(1-$W$17)/(N($V$17)*12),0)</f>
        <v>724.633333333333</v>
      </c>
      <c r="AM56" s="13" t="n">
        <f aca="false">IF(AND(33&gt;=$U$17,N($V$17)&gt;0,33&lt;$U$17+N($V$17)*12,33&lt;=p_MesFin),$O$17*(1-$W$17)/(N($V$17)*12),0)</f>
        <v>724.633333333333</v>
      </c>
      <c r="AN56" s="13" t="n">
        <f aca="false">IF(AND(34&gt;=$U$17,N($V$17)&gt;0,34&lt;$U$17+N($V$17)*12,34&lt;=p_MesFin),$O$17*(1-$W$17)/(N($V$17)*12),0)</f>
        <v>724.633333333333</v>
      </c>
      <c r="AO56" s="13" t="n">
        <f aca="false">IF(AND(35&gt;=$U$17,N($V$17)&gt;0,35&lt;$U$17+N($V$17)*12,35&lt;=p_MesFin),$O$17*(1-$W$17)/(N($V$17)*12),0)</f>
        <v>724.633333333333</v>
      </c>
      <c r="AP56" s="13" t="n">
        <f aca="false">IF(AND(36&gt;=$U$17,N($V$17)&gt;0,36&lt;$U$17+N($V$17)*12,36&lt;=p_MesFin),$O$17*(1-$W$17)/(N($V$17)*12),0)</f>
        <v>724.633333333333</v>
      </c>
      <c r="AQ56" s="13" t="n">
        <f aca="false">IF(AND(37&gt;=$U$17,N($V$17)&gt;0,37&lt;$U$17+N($V$17)*12,37&lt;=p_MesFin),$O$17*(1-$W$17)/(N($V$17)*12),0)</f>
        <v>724.633333333333</v>
      </c>
      <c r="AR56" s="13" t="n">
        <f aca="false">IF(AND(38&gt;=$U$17,N($V$17)&gt;0,38&lt;$U$17+N($V$17)*12,38&lt;=p_MesFin),$O$17*(1-$W$17)/(N($V$17)*12),0)</f>
        <v>724.633333333333</v>
      </c>
      <c r="AS56" s="13" t="n">
        <f aca="false">IF(AND(39&gt;=$U$17,N($V$17)&gt;0,39&lt;$U$17+N($V$17)*12,39&lt;=p_MesFin),$O$17*(1-$W$17)/(N($V$17)*12),0)</f>
        <v>724.633333333333</v>
      </c>
      <c r="AT56" s="13" t="n">
        <f aca="false">IF(AND(40&gt;=$U$17,N($V$17)&gt;0,40&lt;$U$17+N($V$17)*12,40&lt;=p_MesFin),$O$17*(1-$W$17)/(N($V$17)*12),0)</f>
        <v>724.633333333333</v>
      </c>
      <c r="AU56" s="13" t="n">
        <f aca="false">IF(AND(41&gt;=$U$17,N($V$17)&gt;0,41&lt;$U$17+N($V$17)*12,41&lt;=p_MesFin),$O$17*(1-$W$17)/(N($V$17)*12),0)</f>
        <v>724.633333333333</v>
      </c>
      <c r="AV56" s="13" t="n">
        <f aca="false">IF(AND(42&gt;=$U$17,N($V$17)&gt;0,42&lt;$U$17+N($V$17)*12,42&lt;=p_MesFin),$O$17*(1-$W$17)/(N($V$17)*12),0)</f>
        <v>724.633333333333</v>
      </c>
      <c r="AW56" s="13" t="n">
        <f aca="false">IF(AND(43&gt;=$U$17,N($V$17)&gt;0,43&lt;$U$17+N($V$17)*12,43&lt;=p_MesFin),$O$17*(1-$W$17)/(N($V$17)*12),0)</f>
        <v>724.633333333333</v>
      </c>
      <c r="AX56" s="13" t="n">
        <f aca="false">IF(AND(44&gt;=$U$17,N($V$17)&gt;0,44&lt;$U$17+N($V$17)*12,44&lt;=p_MesFin),$O$17*(1-$W$17)/(N($V$17)*12),0)</f>
        <v>724.633333333333</v>
      </c>
      <c r="AY56" s="13" t="n">
        <f aca="false">IF(AND(45&gt;=$U$17,N($V$17)&gt;0,45&lt;$U$17+N($V$17)*12,45&lt;=p_MesFin),$O$17*(1-$W$17)/(N($V$17)*12),0)</f>
        <v>724.633333333333</v>
      </c>
      <c r="AZ56" s="13" t="n">
        <f aca="false">IF(AND(46&gt;=$U$17,N($V$17)&gt;0,46&lt;$U$17+N($V$17)*12,46&lt;=p_MesFin),$O$17*(1-$W$17)/(N($V$17)*12),0)</f>
        <v>724.633333333333</v>
      </c>
      <c r="BA56" s="13" t="n">
        <f aca="false">IF(AND(47&gt;=$U$17,N($V$17)&gt;0,47&lt;$U$17+N($V$17)*12,47&lt;=p_MesFin),$O$17*(1-$W$17)/(N($V$17)*12),0)</f>
        <v>724.633333333333</v>
      </c>
      <c r="BB56" s="13" t="n">
        <f aca="false">IF(AND(48&gt;=$U$17,N($V$17)&gt;0,48&lt;$U$17+N($V$17)*12,48&lt;=p_MesFin),$O$17*(1-$W$17)/(N($V$17)*12),0)</f>
        <v>724.633333333333</v>
      </c>
      <c r="BC56" s="13" t="n">
        <f aca="false">IF(AND(49&gt;=$U$17,N($V$17)&gt;0,49&lt;$U$17+N($V$17)*12,49&lt;=p_MesFin),$O$17*(1-$W$17)/(N($V$17)*12),0)</f>
        <v>724.633333333333</v>
      </c>
      <c r="BD56" s="13" t="n">
        <f aca="false">IF(AND(50&gt;=$U$17,N($V$17)&gt;0,50&lt;$U$17+N($V$17)*12,50&lt;=p_MesFin),$O$17*(1-$W$17)/(N($V$17)*12),0)</f>
        <v>724.633333333333</v>
      </c>
      <c r="BE56" s="13" t="n">
        <f aca="false">IF(AND(51&gt;=$U$17,N($V$17)&gt;0,51&lt;$U$17+N($V$17)*12,51&lt;=p_MesFin),$O$17*(1-$W$17)/(N($V$17)*12),0)</f>
        <v>724.633333333333</v>
      </c>
      <c r="BF56" s="13" t="n">
        <f aca="false">IF(AND(52&gt;=$U$17,N($V$17)&gt;0,52&lt;$U$17+N($V$17)*12,52&lt;=p_MesFin),$O$17*(1-$W$17)/(N($V$17)*12),0)</f>
        <v>724.633333333333</v>
      </c>
      <c r="BG56" s="13" t="n">
        <f aca="false">IF(AND(53&gt;=$U$17,N($V$17)&gt;0,53&lt;$U$17+N($V$17)*12,53&lt;=p_MesFin),$O$17*(1-$W$17)/(N($V$17)*12),0)</f>
        <v>724.633333333333</v>
      </c>
      <c r="BH56" s="13" t="n">
        <f aca="false">IF(AND(54&gt;=$U$17,N($V$17)&gt;0,54&lt;$U$17+N($V$17)*12,54&lt;=p_MesFin),$O$17*(1-$W$17)/(N($V$17)*12),0)</f>
        <v>724.633333333333</v>
      </c>
      <c r="BI56" s="13" t="n">
        <f aca="false">IF(AND(55&gt;=$U$17,N($V$17)&gt;0,55&lt;$U$17+N($V$17)*12,55&lt;=p_MesFin),$O$17*(1-$W$17)/(N($V$17)*12),0)</f>
        <v>724.633333333333</v>
      </c>
      <c r="BJ56" s="13" t="n">
        <f aca="false">IF(AND(56&gt;=$U$17,N($V$17)&gt;0,56&lt;$U$17+N($V$17)*12,56&lt;=p_MesFin),$O$17*(1-$W$17)/(N($V$17)*12),0)</f>
        <v>724.633333333333</v>
      </c>
      <c r="BK56" s="13" t="n">
        <f aca="false">IF(AND(57&gt;=$U$17,N($V$17)&gt;0,57&lt;$U$17+N($V$17)*12,57&lt;=p_MesFin),$O$17*(1-$W$17)/(N($V$17)*12),0)</f>
        <v>724.633333333333</v>
      </c>
      <c r="BL56" s="13" t="n">
        <f aca="false">IF(AND(58&gt;=$U$17,N($V$17)&gt;0,58&lt;$U$17+N($V$17)*12,58&lt;=p_MesFin),$O$17*(1-$W$17)/(N($V$17)*12),0)</f>
        <v>724.633333333333</v>
      </c>
      <c r="BM56" s="13" t="n">
        <f aca="false">IF(AND(59&gt;=$U$17,N($V$17)&gt;0,59&lt;$U$17+N($V$17)*12,59&lt;=p_MesFin),$O$17*(1-$W$17)/(N($V$17)*12),0)</f>
        <v>724.633333333333</v>
      </c>
      <c r="BN56" s="13" t="n">
        <f aca="false">IF(AND(60&gt;=$U$17,N($V$17)&gt;0,60&lt;$U$17+N($V$17)*12,60&lt;=p_MesFin),$O$17*(1-$W$17)/(N($V$17)*12),0)</f>
        <v>724.633333333333</v>
      </c>
      <c r="BO56" s="13" t="n">
        <f aca="false">IF(AND(61&gt;=$U$17,N($V$17)&gt;0,61&lt;$U$17+N($V$17)*12,61&lt;=p_MesFin),$O$17*(1-$W$17)/(N($V$17)*12),0)</f>
        <v>0</v>
      </c>
      <c r="BP56" s="13" t="n">
        <f aca="false">IF(AND(62&gt;=$U$17,N($V$17)&gt;0,62&lt;$U$17+N($V$17)*12,62&lt;=p_MesFin),$O$17*(1-$W$17)/(N($V$17)*12),0)</f>
        <v>0</v>
      </c>
      <c r="BQ56" s="13" t="n">
        <f aca="false">IF(AND(63&gt;=$U$17,N($V$17)&gt;0,63&lt;$U$17+N($V$17)*12,63&lt;=p_MesFin),$O$17*(1-$W$17)/(N($V$17)*12),0)</f>
        <v>0</v>
      </c>
      <c r="BR56" s="13" t="n">
        <f aca="false">IF(AND(64&gt;=$U$17,N($V$17)&gt;0,64&lt;$U$17+N($V$17)*12,64&lt;=p_MesFin),$O$17*(1-$W$17)/(N($V$17)*12),0)</f>
        <v>0</v>
      </c>
      <c r="BS56" s="13" t="n">
        <f aca="false">IF(AND(65&gt;=$U$17,N($V$17)&gt;0,65&lt;$U$17+N($V$17)*12,65&lt;=p_MesFin),$O$17*(1-$W$17)/(N($V$17)*12),0)</f>
        <v>0</v>
      </c>
      <c r="BT56" s="13" t="n">
        <f aca="false">IF(AND(66&gt;=$U$17,N($V$17)&gt;0,66&lt;$U$17+N($V$17)*12,66&lt;=p_MesFin),$O$17*(1-$W$17)/(N($V$17)*12),0)</f>
        <v>0</v>
      </c>
      <c r="BU56" s="13" t="n">
        <f aca="false">IF(AND(67&gt;=$U$17,N($V$17)&gt;0,67&lt;$U$17+N($V$17)*12,67&lt;=p_MesFin),$O$17*(1-$W$17)/(N($V$17)*12),0)</f>
        <v>0</v>
      </c>
      <c r="BV56" s="13" t="n">
        <f aca="false">IF(AND(68&gt;=$U$17,N($V$17)&gt;0,68&lt;$U$17+N($V$17)*12,68&lt;=p_MesFin),$O$17*(1-$W$17)/(N($V$17)*12),0)</f>
        <v>0</v>
      </c>
      <c r="BW56" s="13" t="n">
        <f aca="false">IF(AND(69&gt;=$U$17,N($V$17)&gt;0,69&lt;$U$17+N($V$17)*12,69&lt;=p_MesFin),$O$17*(1-$W$17)/(N($V$17)*12),0)</f>
        <v>0</v>
      </c>
      <c r="BX56" s="13" t="n">
        <f aca="false">IF(AND(70&gt;=$U$17,N($V$17)&gt;0,70&lt;$U$17+N($V$17)*12,70&lt;=p_MesFin),$O$17*(1-$W$17)/(N($V$17)*12),0)</f>
        <v>0</v>
      </c>
      <c r="BY56" s="13" t="n">
        <f aca="false">IF(AND(71&gt;=$U$17,N($V$17)&gt;0,71&lt;$U$17+N($V$17)*12,71&lt;=p_MesFin),$O$17*(1-$W$17)/(N($V$17)*12),0)</f>
        <v>0</v>
      </c>
      <c r="BZ56" s="13" t="n">
        <f aca="false">IF(AND(72&gt;=$U$17,N($V$17)&gt;0,72&lt;$U$17+N($V$17)*12,72&lt;=p_MesFin),$O$17*(1-$W$17)/(N($V$17)*12),0)</f>
        <v>0</v>
      </c>
      <c r="CA56" s="13" t="n">
        <f aca="false">IF(AND(73&gt;=$U$17,N($V$17)&gt;0,73&lt;$U$17+N($V$17)*12,73&lt;=p_MesFin),$O$17*(1-$W$17)/(N($V$17)*12),0)</f>
        <v>0</v>
      </c>
      <c r="CB56" s="13" t="n">
        <f aca="false">IF(AND(74&gt;=$U$17,N($V$17)&gt;0,74&lt;$U$17+N($V$17)*12,74&lt;=p_MesFin),$O$17*(1-$W$17)/(N($V$17)*12),0)</f>
        <v>0</v>
      </c>
      <c r="CC56" s="13" t="n">
        <f aca="false">IF(AND(75&gt;=$U$17,N($V$17)&gt;0,75&lt;$U$17+N($V$17)*12,75&lt;=p_MesFin),$O$17*(1-$W$17)/(N($V$17)*12),0)</f>
        <v>0</v>
      </c>
      <c r="CD56" s="13" t="n">
        <f aca="false">IF(AND(76&gt;=$U$17,N($V$17)&gt;0,76&lt;$U$17+N($V$17)*12,76&lt;=p_MesFin),$O$17*(1-$W$17)/(N($V$17)*12),0)</f>
        <v>0</v>
      </c>
      <c r="CE56" s="13" t="n">
        <f aca="false">IF(AND(77&gt;=$U$17,N($V$17)&gt;0,77&lt;$U$17+N($V$17)*12,77&lt;=p_MesFin),$O$17*(1-$W$17)/(N($V$17)*12),0)</f>
        <v>0</v>
      </c>
      <c r="CF56" s="13" t="n">
        <f aca="false">IF(AND(78&gt;=$U$17,N($V$17)&gt;0,78&lt;$U$17+N($V$17)*12,78&lt;=p_MesFin),$O$17*(1-$W$17)/(N($V$17)*12),0)</f>
        <v>0</v>
      </c>
      <c r="CG56" s="13" t="n">
        <f aca="false">IF(AND(79&gt;=$U$17,N($V$17)&gt;0,79&lt;$U$17+N($V$17)*12,79&lt;=p_MesFin),$O$17*(1-$W$17)/(N($V$17)*12),0)</f>
        <v>0</v>
      </c>
      <c r="CH56" s="13" t="n">
        <f aca="false">IF(AND(80&gt;=$U$17,N($V$17)&gt;0,80&lt;$U$17+N($V$17)*12,80&lt;=p_MesFin),$O$17*(1-$W$17)/(N($V$17)*12),0)</f>
        <v>0</v>
      </c>
      <c r="CI56" s="13" t="n">
        <f aca="false">IF(AND(81&gt;=$U$17,N($V$17)&gt;0,81&lt;$U$17+N($V$17)*12,81&lt;=p_MesFin),$O$17*(1-$W$17)/(N($V$17)*12),0)</f>
        <v>0</v>
      </c>
      <c r="CJ56" s="13" t="n">
        <f aca="false">IF(AND(82&gt;=$U$17,N($V$17)&gt;0,82&lt;$U$17+N($V$17)*12,82&lt;=p_MesFin),$O$17*(1-$W$17)/(N($V$17)*12),0)</f>
        <v>0</v>
      </c>
      <c r="CK56" s="13" t="n">
        <f aca="false">IF(AND(83&gt;=$U$17,N($V$17)&gt;0,83&lt;$U$17+N($V$17)*12,83&lt;=p_MesFin),$O$17*(1-$W$17)/(N($V$17)*12),0)</f>
        <v>0</v>
      </c>
      <c r="CL56" s="13" t="n">
        <f aca="false">IF(AND(84&gt;=$U$17,N($V$17)&gt;0,84&lt;$U$17+N($V$17)*12,84&lt;=p_MesFin),$O$17*(1-$W$17)/(N($V$17)*12),0)</f>
        <v>0</v>
      </c>
      <c r="CM56" s="13" t="n">
        <f aca="false">IF(AND(85&gt;=$U$17,N($V$17)&gt;0,85&lt;$U$17+N($V$17)*12,85&lt;=p_MesFin),$O$17*(1-$W$17)/(N($V$17)*12),0)</f>
        <v>0</v>
      </c>
      <c r="CN56" s="13" t="n">
        <f aca="false">IF(AND(86&gt;=$U$17,N($V$17)&gt;0,86&lt;$U$17+N($V$17)*12,86&lt;=p_MesFin),$O$17*(1-$W$17)/(N($V$17)*12),0)</f>
        <v>0</v>
      </c>
      <c r="CO56" s="13" t="n">
        <f aca="false">IF(AND(87&gt;=$U$17,N($V$17)&gt;0,87&lt;$U$17+N($V$17)*12,87&lt;=p_MesFin),$O$17*(1-$W$17)/(N($V$17)*12),0)</f>
        <v>0</v>
      </c>
      <c r="CP56" s="13" t="n">
        <f aca="false">IF(AND(88&gt;=$U$17,N($V$17)&gt;0,88&lt;$U$17+N($V$17)*12,88&lt;=p_MesFin),$O$17*(1-$W$17)/(N($V$17)*12),0)</f>
        <v>0</v>
      </c>
      <c r="CQ56" s="13" t="n">
        <f aca="false">IF(AND(89&gt;=$U$17,N($V$17)&gt;0,89&lt;$U$17+N($V$17)*12,89&lt;=p_MesFin),$O$17*(1-$W$17)/(N($V$17)*12),0)</f>
        <v>0</v>
      </c>
      <c r="CR56" s="13" t="n">
        <f aca="false">IF(AND(90&gt;=$U$17,N($V$17)&gt;0,90&lt;$U$17+N($V$17)*12,90&lt;=p_MesFin),$O$17*(1-$W$17)/(N($V$17)*12),0)</f>
        <v>0</v>
      </c>
      <c r="CS56" s="13" t="n">
        <f aca="false">IF(AND(91&gt;=$U$17,N($V$17)&gt;0,91&lt;$U$17+N($V$17)*12,91&lt;=p_MesFin),$O$17*(1-$W$17)/(N($V$17)*12),0)</f>
        <v>0</v>
      </c>
      <c r="CT56" s="13" t="n">
        <f aca="false">IF(AND(92&gt;=$U$17,N($V$17)&gt;0,92&lt;$U$17+N($V$17)*12,92&lt;=p_MesFin),$O$17*(1-$W$17)/(N($V$17)*12),0)</f>
        <v>0</v>
      </c>
      <c r="CU56" s="13" t="n">
        <f aca="false">IF(AND(93&gt;=$U$17,N($V$17)&gt;0,93&lt;$U$17+N($V$17)*12,93&lt;=p_MesFin),$O$17*(1-$W$17)/(N($V$17)*12),0)</f>
        <v>0</v>
      </c>
      <c r="CV56" s="13" t="n">
        <f aca="false">IF(AND(94&gt;=$U$17,N($V$17)&gt;0,94&lt;$U$17+N($V$17)*12,94&lt;=p_MesFin),$O$17*(1-$W$17)/(N($V$17)*12),0)</f>
        <v>0</v>
      </c>
      <c r="CW56" s="13" t="n">
        <f aca="false">IF(AND(95&gt;=$U$17,N($V$17)&gt;0,95&lt;$U$17+N($V$17)*12,95&lt;=p_MesFin),$O$17*(1-$W$17)/(N($V$17)*12),0)</f>
        <v>0</v>
      </c>
      <c r="CX56" s="13" t="n">
        <f aca="false">IF(AND(96&gt;=$U$17,N($V$17)&gt;0,96&lt;$U$17+N($V$17)*12,96&lt;=p_MesFin),$O$17*(1-$W$17)/(N($V$17)*12),0)</f>
        <v>0</v>
      </c>
      <c r="CY56" s="13" t="n">
        <f aca="false">IF(AND(97&gt;=$U$17,N($V$17)&gt;0,97&lt;$U$17+N($V$17)*12,97&lt;=p_MesFin),$O$17*(1-$W$17)/(N($V$17)*12),0)</f>
        <v>0</v>
      </c>
      <c r="CZ56" s="13" t="n">
        <f aca="false">IF(AND(98&gt;=$U$17,N($V$17)&gt;0,98&lt;$U$17+N($V$17)*12,98&lt;=p_MesFin),$O$17*(1-$W$17)/(N($V$17)*12),0)</f>
        <v>0</v>
      </c>
      <c r="DA56" s="13" t="n">
        <f aca="false">IF(AND(99&gt;=$U$17,N($V$17)&gt;0,99&lt;$U$17+N($V$17)*12,99&lt;=p_MesFin),$O$17*(1-$W$17)/(N($V$17)*12),0)</f>
        <v>0</v>
      </c>
      <c r="DB56" s="13" t="n">
        <f aca="false">IF(AND(100&gt;=$U$17,N($V$17)&gt;0,100&lt;$U$17+N($V$17)*12,100&lt;=p_MesFin),$O$17*(1-$W$17)/(N($V$17)*12),0)</f>
        <v>0</v>
      </c>
      <c r="DC56" s="13" t="n">
        <f aca="false">IF(AND(101&gt;=$U$17,N($V$17)&gt;0,101&lt;$U$17+N($V$17)*12,101&lt;=p_MesFin),$O$17*(1-$W$17)/(N($V$17)*12),0)</f>
        <v>0</v>
      </c>
      <c r="DD56" s="13" t="n">
        <f aca="false">IF(AND(102&gt;=$U$17,N($V$17)&gt;0,102&lt;$U$17+N($V$17)*12,102&lt;=p_MesFin),$O$17*(1-$W$17)/(N($V$17)*12),0)</f>
        <v>0</v>
      </c>
      <c r="DE56" s="13" t="n">
        <f aca="false">IF(AND(103&gt;=$U$17,N($V$17)&gt;0,103&lt;$U$17+N($V$17)*12,103&lt;=p_MesFin),$O$17*(1-$W$17)/(N($V$17)*12),0)</f>
        <v>0</v>
      </c>
      <c r="DF56" s="13" t="n">
        <f aca="false">IF(AND(104&gt;=$U$17,N($V$17)&gt;0,104&lt;$U$17+N($V$17)*12,104&lt;=p_MesFin),$O$17*(1-$W$17)/(N($V$17)*12),0)</f>
        <v>0</v>
      </c>
      <c r="DG56" s="13" t="n">
        <f aca="false">IF(AND(105&gt;=$U$17,N($V$17)&gt;0,105&lt;$U$17+N($V$17)*12,105&lt;=p_MesFin),$O$17*(1-$W$17)/(N($V$17)*12),0)</f>
        <v>0</v>
      </c>
      <c r="DH56" s="13" t="n">
        <f aca="false">IF(AND(106&gt;=$U$17,N($V$17)&gt;0,106&lt;$U$17+N($V$17)*12,106&lt;=p_MesFin),$O$17*(1-$W$17)/(N($V$17)*12),0)</f>
        <v>0</v>
      </c>
      <c r="DI56" s="13" t="n">
        <f aca="false">IF(AND(107&gt;=$U$17,N($V$17)&gt;0,107&lt;$U$17+N($V$17)*12,107&lt;=p_MesFin),$O$17*(1-$W$17)/(N($V$17)*12),0)</f>
        <v>0</v>
      </c>
      <c r="DJ56" s="13" t="n">
        <f aca="false">IF(AND(108&gt;=$U$17,N($V$17)&gt;0,108&lt;$U$17+N($V$17)*12,108&lt;=p_MesFin),$O$17*(1-$W$17)/(N($V$17)*12),0)</f>
        <v>0</v>
      </c>
      <c r="DK56" s="13" t="n">
        <f aca="false">IF(AND(109&gt;=$U$17,N($V$17)&gt;0,109&lt;$U$17+N($V$17)*12,109&lt;=p_MesFin),$O$17*(1-$W$17)/(N($V$17)*12),0)</f>
        <v>0</v>
      </c>
      <c r="DL56" s="13" t="n">
        <f aca="false">IF(AND(110&gt;=$U$17,N($V$17)&gt;0,110&lt;$U$17+N($V$17)*12,110&lt;=p_MesFin),$O$17*(1-$W$17)/(N($V$17)*12),0)</f>
        <v>0</v>
      </c>
      <c r="DM56" s="13" t="n">
        <f aca="false">IF(AND(111&gt;=$U$17,N($V$17)&gt;0,111&lt;$U$17+N($V$17)*12,111&lt;=p_MesFin),$O$17*(1-$W$17)/(N($V$17)*12),0)</f>
        <v>0</v>
      </c>
      <c r="DN56" s="13" t="n">
        <f aca="false">IF(AND(112&gt;=$U$17,N($V$17)&gt;0,112&lt;$U$17+N($V$17)*12,112&lt;=p_MesFin),$O$17*(1-$W$17)/(N($V$17)*12),0)</f>
        <v>0</v>
      </c>
      <c r="DO56" s="13" t="n">
        <f aca="false">IF(AND(113&gt;=$U$17,N($V$17)&gt;0,113&lt;$U$17+N($V$17)*12,113&lt;=p_MesFin),$O$17*(1-$W$17)/(N($V$17)*12),0)</f>
        <v>0</v>
      </c>
      <c r="DP56" s="13" t="n">
        <f aca="false">IF(AND(114&gt;=$U$17,N($V$17)&gt;0,114&lt;$U$17+N($V$17)*12,114&lt;=p_MesFin),$O$17*(1-$W$17)/(N($V$17)*12),0)</f>
        <v>0</v>
      </c>
      <c r="DQ56" s="13" t="n">
        <f aca="false">IF(AND(115&gt;=$U$17,N($V$17)&gt;0,115&lt;$U$17+N($V$17)*12,115&lt;=p_MesFin),$O$17*(1-$W$17)/(N($V$17)*12),0)</f>
        <v>0</v>
      </c>
      <c r="DR56" s="13" t="n">
        <f aca="false">IF(AND(116&gt;=$U$17,N($V$17)&gt;0,116&lt;$U$17+N($V$17)*12,116&lt;=p_MesFin),$O$17*(1-$W$17)/(N($V$17)*12),0)</f>
        <v>0</v>
      </c>
      <c r="DS56" s="13" t="n">
        <f aca="false">IF(AND(117&gt;=$U$17,N($V$17)&gt;0,117&lt;$U$17+N($V$17)*12,117&lt;=p_MesFin),$O$17*(1-$W$17)/(N($V$17)*12),0)</f>
        <v>0</v>
      </c>
      <c r="DT56" s="13" t="n">
        <f aca="false">IF(AND(118&gt;=$U$17,N($V$17)&gt;0,118&lt;$U$17+N($V$17)*12,118&lt;=p_MesFin),$O$17*(1-$W$17)/(N($V$17)*12),0)</f>
        <v>0</v>
      </c>
      <c r="DU56" s="13" t="n">
        <f aca="false">IF(AND(119&gt;=$U$17,N($V$17)&gt;0,119&lt;$U$17+N($V$17)*12,119&lt;=p_MesFin),$O$17*(1-$W$17)/(N($V$17)*12),0)</f>
        <v>0</v>
      </c>
      <c r="DV56" s="13" t="n">
        <f aca="false">IF(AND(120&gt;=$U$17,N($V$17)&gt;0,120&lt;$U$17+N($V$17)*12,120&lt;=p_MesFin),$O$17*(1-$W$17)/(N($V$17)*12),0)</f>
        <v>0</v>
      </c>
      <c r="DW56" s="13" t="n">
        <f aca="false">IF(AND(121&gt;=$U$17,N($V$17)&gt;0,121&lt;$U$17+N($V$17)*12,121&lt;=p_MesFin),$O$17*(1-$W$17)/(N($V$17)*12),0)</f>
        <v>0</v>
      </c>
      <c r="DX56" s="13" t="n">
        <f aca="false">IF(AND(122&gt;=$U$17,N($V$17)&gt;0,122&lt;$U$17+N($V$17)*12,122&lt;=p_MesFin),$O$17*(1-$W$17)/(N($V$17)*12),0)</f>
        <v>0</v>
      </c>
      <c r="DY56" s="13" t="n">
        <f aca="false">IF(AND(123&gt;=$U$17,N($V$17)&gt;0,123&lt;$U$17+N($V$17)*12,123&lt;=p_MesFin),$O$17*(1-$W$17)/(N($V$17)*12),0)</f>
        <v>0</v>
      </c>
      <c r="DZ56" s="13" t="n">
        <f aca="false">IF(AND(124&gt;=$U$17,N($V$17)&gt;0,124&lt;$U$17+N($V$17)*12,124&lt;=p_MesFin),$O$17*(1-$W$17)/(N($V$17)*12),0)</f>
        <v>0</v>
      </c>
      <c r="EA56" s="13" t="n">
        <f aca="false">IF(AND(125&gt;=$U$17,N($V$17)&gt;0,125&lt;$U$17+N($V$17)*12,125&lt;=p_MesFin),$O$17*(1-$W$17)/(N($V$17)*12),0)</f>
        <v>0</v>
      </c>
      <c r="EB56" s="13" t="n">
        <f aca="false">IF(AND(126&gt;=$U$17,N($V$17)&gt;0,126&lt;$U$17+N($V$17)*12,126&lt;=p_MesFin),$O$17*(1-$W$17)/(N($V$17)*12),0)</f>
        <v>0</v>
      </c>
      <c r="EC56" s="13" t="n">
        <f aca="false">IF(AND(127&gt;=$U$17,N($V$17)&gt;0,127&lt;$U$17+N($V$17)*12,127&lt;=p_MesFin),$O$17*(1-$W$17)/(N($V$17)*12),0)</f>
        <v>0</v>
      </c>
      <c r="ED56" s="13" t="n">
        <f aca="false">IF(AND(128&gt;=$U$17,N($V$17)&gt;0,128&lt;$U$17+N($V$17)*12,128&lt;=p_MesFin),$O$17*(1-$W$17)/(N($V$17)*12),0)</f>
        <v>0</v>
      </c>
      <c r="EE56" s="13" t="n">
        <f aca="false">IF(AND(129&gt;=$U$17,N($V$17)&gt;0,129&lt;$U$17+N($V$17)*12,129&lt;=p_MesFin),$O$17*(1-$W$17)/(N($V$17)*12),0)</f>
        <v>0</v>
      </c>
      <c r="EF56" s="13" t="n">
        <f aca="false">IF(AND(130&gt;=$U$17,N($V$17)&gt;0,130&lt;$U$17+N($V$17)*12,130&lt;=p_MesFin),$O$17*(1-$W$17)/(N($V$17)*12),0)</f>
        <v>0</v>
      </c>
      <c r="EG56" s="13" t="n">
        <f aca="false">IF(AND(131&gt;=$U$17,N($V$17)&gt;0,131&lt;$U$17+N($V$17)*12,131&lt;=p_MesFin),$O$17*(1-$W$17)/(N($V$17)*12),0)</f>
        <v>0</v>
      </c>
      <c r="EH56" s="13" t="n">
        <f aca="false">IF(AND(132&gt;=$U$17,N($V$17)&gt;0,132&lt;$U$17+N($V$17)*12,132&lt;=p_MesFin),$O$17*(1-$W$17)/(N($V$17)*12),0)</f>
        <v>0</v>
      </c>
      <c r="EI56" s="13" t="n">
        <f aca="false">IF(AND(133&gt;=$U$17,N($V$17)&gt;0,133&lt;$U$17+N($V$17)*12,133&lt;=p_MesFin),$O$17*(1-$W$17)/(N($V$17)*12),0)</f>
        <v>0</v>
      </c>
      <c r="EJ56" s="13" t="n">
        <f aca="false">IF(AND(134&gt;=$U$17,N($V$17)&gt;0,134&lt;$U$17+N($V$17)*12,134&lt;=p_MesFin),$O$17*(1-$W$17)/(N($V$17)*12),0)</f>
        <v>0</v>
      </c>
      <c r="EK56" s="13" t="n">
        <f aca="false">IF(AND(135&gt;=$U$17,N($V$17)&gt;0,135&lt;$U$17+N($V$17)*12,135&lt;=p_MesFin),$O$17*(1-$W$17)/(N($V$17)*12),0)</f>
        <v>0</v>
      </c>
      <c r="EL56" s="13" t="n">
        <f aca="false">IF(AND(136&gt;=$U$17,N($V$17)&gt;0,136&lt;$U$17+N($V$17)*12,136&lt;=p_MesFin),$O$17*(1-$W$17)/(N($V$17)*12),0)</f>
        <v>0</v>
      </c>
      <c r="EM56" s="13" t="n">
        <f aca="false">IF(AND(137&gt;=$U$17,N($V$17)&gt;0,137&lt;$U$17+N($V$17)*12,137&lt;=p_MesFin),$O$17*(1-$W$17)/(N($V$17)*12),0)</f>
        <v>0</v>
      </c>
      <c r="EN56" s="13" t="n">
        <f aca="false">IF(AND(138&gt;=$U$17,N($V$17)&gt;0,138&lt;$U$17+N($V$17)*12,138&lt;=p_MesFin),$O$17*(1-$W$17)/(N($V$17)*12),0)</f>
        <v>0</v>
      </c>
      <c r="EO56" s="13" t="n">
        <f aca="false">IF(AND(139&gt;=$U$17,N($V$17)&gt;0,139&lt;$U$17+N($V$17)*12,139&lt;=p_MesFin),$O$17*(1-$W$17)/(N($V$17)*12),0)</f>
        <v>0</v>
      </c>
      <c r="EP56" s="13" t="n">
        <f aca="false">IF(AND(140&gt;=$U$17,N($V$17)&gt;0,140&lt;$U$17+N($V$17)*12,140&lt;=p_MesFin),$O$17*(1-$W$17)/(N($V$17)*12),0)</f>
        <v>0</v>
      </c>
      <c r="EQ56" s="13" t="n">
        <f aca="false">IF(AND(141&gt;=$U$17,N($V$17)&gt;0,141&lt;$U$17+N($V$17)*12,141&lt;=p_MesFin),$O$17*(1-$W$17)/(N($V$17)*12),0)</f>
        <v>0</v>
      </c>
      <c r="ER56" s="13" t="n">
        <f aca="false">IF(AND(142&gt;=$U$17,N($V$17)&gt;0,142&lt;$U$17+N($V$17)*12,142&lt;=p_MesFin),$O$17*(1-$W$17)/(N($V$17)*12),0)</f>
        <v>0</v>
      </c>
      <c r="ES56" s="13" t="n">
        <f aca="false">IF(AND(143&gt;=$U$17,N($V$17)&gt;0,143&lt;$U$17+N($V$17)*12,143&lt;=p_MesFin),$O$17*(1-$W$17)/(N($V$17)*12),0)</f>
        <v>0</v>
      </c>
      <c r="ET56" s="13" t="n">
        <f aca="false">IF(AND(144&gt;=$U$17,N($V$17)&gt;0,144&lt;$U$17+N($V$17)*12,144&lt;=p_MesFin),$O$17*(1-$W$17)/(N($V$17)*12),0)</f>
        <v>0</v>
      </c>
      <c r="EU56" s="13" t="n">
        <f aca="false">IF(AND(145&gt;=$U$17,N($V$17)&gt;0,145&lt;$U$17+N($V$17)*12,145&lt;=p_MesFin),$O$17*(1-$W$17)/(N($V$17)*12),0)</f>
        <v>0</v>
      </c>
      <c r="EV56" s="13" t="n">
        <f aca="false">IF(AND(146&gt;=$U$17,N($V$17)&gt;0,146&lt;$U$17+N($V$17)*12,146&lt;=p_MesFin),$O$17*(1-$W$17)/(N($V$17)*12),0)</f>
        <v>0</v>
      </c>
      <c r="EW56" s="13" t="n">
        <f aca="false">IF(AND(147&gt;=$U$17,N($V$17)&gt;0,147&lt;$U$17+N($V$17)*12,147&lt;=p_MesFin),$O$17*(1-$W$17)/(N($V$17)*12),0)</f>
        <v>0</v>
      </c>
      <c r="EX56" s="13" t="n">
        <f aca="false">IF(AND(148&gt;=$U$17,N($V$17)&gt;0,148&lt;$U$17+N($V$17)*12,148&lt;=p_MesFin),$O$17*(1-$W$17)/(N($V$17)*12),0)</f>
        <v>0</v>
      </c>
      <c r="EY56" s="13" t="n">
        <f aca="false">IF(AND(149&gt;=$U$17,N($V$17)&gt;0,149&lt;$U$17+N($V$17)*12,149&lt;=p_MesFin),$O$17*(1-$W$17)/(N($V$17)*12),0)</f>
        <v>0</v>
      </c>
      <c r="EZ56" s="13" t="n">
        <f aca="false">IF(AND(150&gt;=$U$17,N($V$17)&gt;0,150&lt;$U$17+N($V$17)*12,150&lt;=p_MesFin),$O$17*(1-$W$17)/(N($V$17)*12),0)</f>
        <v>0</v>
      </c>
      <c r="FA56" s="13" t="n">
        <f aca="false">IF(AND(151&gt;=$U$17,N($V$17)&gt;0,151&lt;$U$17+N($V$17)*12,151&lt;=p_MesFin),$O$17*(1-$W$17)/(N($V$17)*12),0)</f>
        <v>0</v>
      </c>
      <c r="FB56" s="13" t="n">
        <f aca="false">IF(AND(152&gt;=$U$17,N($V$17)&gt;0,152&lt;$U$17+N($V$17)*12,152&lt;=p_MesFin),$O$17*(1-$W$17)/(N($V$17)*12),0)</f>
        <v>0</v>
      </c>
      <c r="FC56" s="13" t="n">
        <f aca="false">IF(AND(153&gt;=$U$17,N($V$17)&gt;0,153&lt;$U$17+N($V$17)*12,153&lt;=p_MesFin),$O$17*(1-$W$17)/(N($V$17)*12),0)</f>
        <v>0</v>
      </c>
      <c r="FD56" s="13" t="n">
        <f aca="false">IF(AND(154&gt;=$U$17,N($V$17)&gt;0,154&lt;$U$17+N($V$17)*12,154&lt;=p_MesFin),$O$17*(1-$W$17)/(N($V$17)*12),0)</f>
        <v>0</v>
      </c>
      <c r="FE56" s="13" t="n">
        <f aca="false">IF(AND(155&gt;=$U$17,N($V$17)&gt;0,155&lt;$U$17+N($V$17)*12,155&lt;=p_MesFin),$O$17*(1-$W$17)/(N($V$17)*12),0)</f>
        <v>0</v>
      </c>
      <c r="FF56" s="13" t="n">
        <f aca="false">IF(AND(156&gt;=$U$17,N($V$17)&gt;0,156&lt;$U$17+N($V$17)*12,156&lt;=p_MesFin),$O$17*(1-$W$17)/(N($V$17)*12),0)</f>
        <v>0</v>
      </c>
    </row>
    <row r="57" customFormat="false" ht="15" hidden="false" customHeight="false" outlineLevel="0" collapsed="false">
      <c r="A57" s="2" t="s">
        <v>1262</v>
      </c>
      <c r="B57" s="8" t="s">
        <v>1263</v>
      </c>
      <c r="C57" s="8" t="s">
        <v>255</v>
      </c>
      <c r="E57" s="65" t="n">
        <f aca="false">SUM($F57:$FF57)</f>
        <v>17400</v>
      </c>
      <c r="F57" s="13" t="n">
        <f aca="false">IF(AND(0&gt;=$U$18,N($V$18)&gt;0,0&lt;$U$18+N($V$18)*12,0&lt;=p_MesFin),$O$18*(1-$W$18)/(N($V$18)*12),0)</f>
        <v>0</v>
      </c>
      <c r="G57" s="13" t="n">
        <f aca="false">IF(AND(1&gt;=$U$18,N($V$18)&gt;0,1&lt;$U$18+N($V$18)*12,1&lt;=p_MesFin),$O$18*(1-$W$18)/(N($V$18)*12),0)</f>
        <v>290</v>
      </c>
      <c r="H57" s="13" t="n">
        <f aca="false">IF(AND(2&gt;=$U$18,N($V$18)&gt;0,2&lt;$U$18+N($V$18)*12,2&lt;=p_MesFin),$O$18*(1-$W$18)/(N($V$18)*12),0)</f>
        <v>290</v>
      </c>
      <c r="I57" s="13" t="n">
        <f aca="false">IF(AND(3&gt;=$U$18,N($V$18)&gt;0,3&lt;$U$18+N($V$18)*12,3&lt;=p_MesFin),$O$18*(1-$W$18)/(N($V$18)*12),0)</f>
        <v>290</v>
      </c>
      <c r="J57" s="13" t="n">
        <f aca="false">IF(AND(4&gt;=$U$18,N($V$18)&gt;0,4&lt;$U$18+N($V$18)*12,4&lt;=p_MesFin),$O$18*(1-$W$18)/(N($V$18)*12),0)</f>
        <v>290</v>
      </c>
      <c r="K57" s="13" t="n">
        <f aca="false">IF(AND(5&gt;=$U$18,N($V$18)&gt;0,5&lt;$U$18+N($V$18)*12,5&lt;=p_MesFin),$O$18*(1-$W$18)/(N($V$18)*12),0)</f>
        <v>290</v>
      </c>
      <c r="L57" s="13" t="n">
        <f aca="false">IF(AND(6&gt;=$U$18,N($V$18)&gt;0,6&lt;$U$18+N($V$18)*12,6&lt;=p_MesFin),$O$18*(1-$W$18)/(N($V$18)*12),0)</f>
        <v>290</v>
      </c>
      <c r="M57" s="13" t="n">
        <f aca="false">IF(AND(7&gt;=$U$18,N($V$18)&gt;0,7&lt;$U$18+N($V$18)*12,7&lt;=p_MesFin),$O$18*(1-$W$18)/(N($V$18)*12),0)</f>
        <v>290</v>
      </c>
      <c r="N57" s="13" t="n">
        <f aca="false">IF(AND(8&gt;=$U$18,N($V$18)&gt;0,8&lt;$U$18+N($V$18)*12,8&lt;=p_MesFin),$O$18*(1-$W$18)/(N($V$18)*12),0)</f>
        <v>290</v>
      </c>
      <c r="O57" s="13" t="n">
        <f aca="false">IF(AND(9&gt;=$U$18,N($V$18)&gt;0,9&lt;$U$18+N($V$18)*12,9&lt;=p_MesFin),$O$18*(1-$W$18)/(N($V$18)*12),0)</f>
        <v>290</v>
      </c>
      <c r="P57" s="13" t="n">
        <f aca="false">IF(AND(10&gt;=$U$18,N($V$18)&gt;0,10&lt;$U$18+N($V$18)*12,10&lt;=p_MesFin),$O$18*(1-$W$18)/(N($V$18)*12),0)</f>
        <v>290</v>
      </c>
      <c r="Q57" s="13" t="n">
        <f aca="false">IF(AND(11&gt;=$U$18,N($V$18)&gt;0,11&lt;$U$18+N($V$18)*12,11&lt;=p_MesFin),$O$18*(1-$W$18)/(N($V$18)*12),0)</f>
        <v>290</v>
      </c>
      <c r="R57" s="13" t="n">
        <f aca="false">IF(AND(12&gt;=$U$18,N($V$18)&gt;0,12&lt;$U$18+N($V$18)*12,12&lt;=p_MesFin),$O$18*(1-$W$18)/(N($V$18)*12),0)</f>
        <v>290</v>
      </c>
      <c r="S57" s="13" t="n">
        <f aca="false">IF(AND(13&gt;=$U$18,N($V$18)&gt;0,13&lt;$U$18+N($V$18)*12,13&lt;=p_MesFin),$O$18*(1-$W$18)/(N($V$18)*12),0)</f>
        <v>290</v>
      </c>
      <c r="T57" s="13" t="n">
        <f aca="false">IF(AND(14&gt;=$U$18,N($V$18)&gt;0,14&lt;$U$18+N($V$18)*12,14&lt;=p_MesFin),$O$18*(1-$W$18)/(N($V$18)*12),0)</f>
        <v>290</v>
      </c>
      <c r="U57" s="13" t="n">
        <f aca="false">IF(AND(15&gt;=$U$18,N($V$18)&gt;0,15&lt;$U$18+N($V$18)*12,15&lt;=p_MesFin),$O$18*(1-$W$18)/(N($V$18)*12),0)</f>
        <v>290</v>
      </c>
      <c r="V57" s="13" t="n">
        <f aca="false">IF(AND(16&gt;=$U$18,N($V$18)&gt;0,16&lt;$U$18+N($V$18)*12,16&lt;=p_MesFin),$O$18*(1-$W$18)/(N($V$18)*12),0)</f>
        <v>290</v>
      </c>
      <c r="W57" s="13" t="n">
        <f aca="false">IF(AND(17&gt;=$U$18,N($V$18)&gt;0,17&lt;$U$18+N($V$18)*12,17&lt;=p_MesFin),$O$18*(1-$W$18)/(N($V$18)*12),0)</f>
        <v>290</v>
      </c>
      <c r="X57" s="13" t="n">
        <f aca="false">IF(AND(18&gt;=$U$18,N($V$18)&gt;0,18&lt;$U$18+N($V$18)*12,18&lt;=p_MesFin),$O$18*(1-$W$18)/(N($V$18)*12),0)</f>
        <v>290</v>
      </c>
      <c r="Y57" s="13" t="n">
        <f aca="false">IF(AND(19&gt;=$U$18,N($V$18)&gt;0,19&lt;$U$18+N($V$18)*12,19&lt;=p_MesFin),$O$18*(1-$W$18)/(N($V$18)*12),0)</f>
        <v>290</v>
      </c>
      <c r="Z57" s="13" t="n">
        <f aca="false">IF(AND(20&gt;=$U$18,N($V$18)&gt;0,20&lt;$U$18+N($V$18)*12,20&lt;=p_MesFin),$O$18*(1-$W$18)/(N($V$18)*12),0)</f>
        <v>290</v>
      </c>
      <c r="AA57" s="13" t="n">
        <f aca="false">IF(AND(21&gt;=$U$18,N($V$18)&gt;0,21&lt;$U$18+N($V$18)*12,21&lt;=p_MesFin),$O$18*(1-$W$18)/(N($V$18)*12),0)</f>
        <v>290</v>
      </c>
      <c r="AB57" s="13" t="n">
        <f aca="false">IF(AND(22&gt;=$U$18,N($V$18)&gt;0,22&lt;$U$18+N($V$18)*12,22&lt;=p_MesFin),$O$18*(1-$W$18)/(N($V$18)*12),0)</f>
        <v>290</v>
      </c>
      <c r="AC57" s="13" t="n">
        <f aca="false">IF(AND(23&gt;=$U$18,N($V$18)&gt;0,23&lt;$U$18+N($V$18)*12,23&lt;=p_MesFin),$O$18*(1-$W$18)/(N($V$18)*12),0)</f>
        <v>290</v>
      </c>
      <c r="AD57" s="13" t="n">
        <f aca="false">IF(AND(24&gt;=$U$18,N($V$18)&gt;0,24&lt;$U$18+N($V$18)*12,24&lt;=p_MesFin),$O$18*(1-$W$18)/(N($V$18)*12),0)</f>
        <v>290</v>
      </c>
      <c r="AE57" s="13" t="n">
        <f aca="false">IF(AND(25&gt;=$U$18,N($V$18)&gt;0,25&lt;$U$18+N($V$18)*12,25&lt;=p_MesFin),$O$18*(1-$W$18)/(N($V$18)*12),0)</f>
        <v>290</v>
      </c>
      <c r="AF57" s="13" t="n">
        <f aca="false">IF(AND(26&gt;=$U$18,N($V$18)&gt;0,26&lt;$U$18+N($V$18)*12,26&lt;=p_MesFin),$O$18*(1-$W$18)/(N($V$18)*12),0)</f>
        <v>290</v>
      </c>
      <c r="AG57" s="13" t="n">
        <f aca="false">IF(AND(27&gt;=$U$18,N($V$18)&gt;0,27&lt;$U$18+N($V$18)*12,27&lt;=p_MesFin),$O$18*(1-$W$18)/(N($V$18)*12),0)</f>
        <v>290</v>
      </c>
      <c r="AH57" s="13" t="n">
        <f aca="false">IF(AND(28&gt;=$U$18,N($V$18)&gt;0,28&lt;$U$18+N($V$18)*12,28&lt;=p_MesFin),$O$18*(1-$W$18)/(N($V$18)*12),0)</f>
        <v>290</v>
      </c>
      <c r="AI57" s="13" t="n">
        <f aca="false">IF(AND(29&gt;=$U$18,N($V$18)&gt;0,29&lt;$U$18+N($V$18)*12,29&lt;=p_MesFin),$O$18*(1-$W$18)/(N($V$18)*12),0)</f>
        <v>290</v>
      </c>
      <c r="AJ57" s="13" t="n">
        <f aca="false">IF(AND(30&gt;=$U$18,N($V$18)&gt;0,30&lt;$U$18+N($V$18)*12,30&lt;=p_MesFin),$O$18*(1-$W$18)/(N($V$18)*12),0)</f>
        <v>290</v>
      </c>
      <c r="AK57" s="13" t="n">
        <f aca="false">IF(AND(31&gt;=$U$18,N($V$18)&gt;0,31&lt;$U$18+N($V$18)*12,31&lt;=p_MesFin),$O$18*(1-$W$18)/(N($V$18)*12),0)</f>
        <v>290</v>
      </c>
      <c r="AL57" s="13" t="n">
        <f aca="false">IF(AND(32&gt;=$U$18,N($V$18)&gt;0,32&lt;$U$18+N($V$18)*12,32&lt;=p_MesFin),$O$18*(1-$W$18)/(N($V$18)*12),0)</f>
        <v>290</v>
      </c>
      <c r="AM57" s="13" t="n">
        <f aca="false">IF(AND(33&gt;=$U$18,N($V$18)&gt;0,33&lt;$U$18+N($V$18)*12,33&lt;=p_MesFin),$O$18*(1-$W$18)/(N($V$18)*12),0)</f>
        <v>290</v>
      </c>
      <c r="AN57" s="13" t="n">
        <f aca="false">IF(AND(34&gt;=$U$18,N($V$18)&gt;0,34&lt;$U$18+N($V$18)*12,34&lt;=p_MesFin),$O$18*(1-$W$18)/(N($V$18)*12),0)</f>
        <v>290</v>
      </c>
      <c r="AO57" s="13" t="n">
        <f aca="false">IF(AND(35&gt;=$U$18,N($V$18)&gt;0,35&lt;$U$18+N($V$18)*12,35&lt;=p_MesFin),$O$18*(1-$W$18)/(N($V$18)*12),0)</f>
        <v>290</v>
      </c>
      <c r="AP57" s="13" t="n">
        <f aca="false">IF(AND(36&gt;=$U$18,N($V$18)&gt;0,36&lt;$U$18+N($V$18)*12,36&lt;=p_MesFin),$O$18*(1-$W$18)/(N($V$18)*12),0)</f>
        <v>290</v>
      </c>
      <c r="AQ57" s="13" t="n">
        <f aca="false">IF(AND(37&gt;=$U$18,N($V$18)&gt;0,37&lt;$U$18+N($V$18)*12,37&lt;=p_MesFin),$O$18*(1-$W$18)/(N($V$18)*12),0)</f>
        <v>290</v>
      </c>
      <c r="AR57" s="13" t="n">
        <f aca="false">IF(AND(38&gt;=$U$18,N($V$18)&gt;0,38&lt;$U$18+N($V$18)*12,38&lt;=p_MesFin),$O$18*(1-$W$18)/(N($V$18)*12),0)</f>
        <v>290</v>
      </c>
      <c r="AS57" s="13" t="n">
        <f aca="false">IF(AND(39&gt;=$U$18,N($V$18)&gt;0,39&lt;$U$18+N($V$18)*12,39&lt;=p_MesFin),$O$18*(1-$W$18)/(N($V$18)*12),0)</f>
        <v>290</v>
      </c>
      <c r="AT57" s="13" t="n">
        <f aca="false">IF(AND(40&gt;=$U$18,N($V$18)&gt;0,40&lt;$U$18+N($V$18)*12,40&lt;=p_MesFin),$O$18*(1-$W$18)/(N($V$18)*12),0)</f>
        <v>290</v>
      </c>
      <c r="AU57" s="13" t="n">
        <f aca="false">IF(AND(41&gt;=$U$18,N($V$18)&gt;0,41&lt;$U$18+N($V$18)*12,41&lt;=p_MesFin),$O$18*(1-$W$18)/(N($V$18)*12),0)</f>
        <v>290</v>
      </c>
      <c r="AV57" s="13" t="n">
        <f aca="false">IF(AND(42&gt;=$U$18,N($V$18)&gt;0,42&lt;$U$18+N($V$18)*12,42&lt;=p_MesFin),$O$18*(1-$W$18)/(N($V$18)*12),0)</f>
        <v>290</v>
      </c>
      <c r="AW57" s="13" t="n">
        <f aca="false">IF(AND(43&gt;=$U$18,N($V$18)&gt;0,43&lt;$U$18+N($V$18)*12,43&lt;=p_MesFin),$O$18*(1-$W$18)/(N($V$18)*12),0)</f>
        <v>290</v>
      </c>
      <c r="AX57" s="13" t="n">
        <f aca="false">IF(AND(44&gt;=$U$18,N($V$18)&gt;0,44&lt;$U$18+N($V$18)*12,44&lt;=p_MesFin),$O$18*(1-$W$18)/(N($V$18)*12),0)</f>
        <v>290</v>
      </c>
      <c r="AY57" s="13" t="n">
        <f aca="false">IF(AND(45&gt;=$U$18,N($V$18)&gt;0,45&lt;$U$18+N($V$18)*12,45&lt;=p_MesFin),$O$18*(1-$W$18)/(N($V$18)*12),0)</f>
        <v>290</v>
      </c>
      <c r="AZ57" s="13" t="n">
        <f aca="false">IF(AND(46&gt;=$U$18,N($V$18)&gt;0,46&lt;$U$18+N($V$18)*12,46&lt;=p_MesFin),$O$18*(1-$W$18)/(N($V$18)*12),0)</f>
        <v>290</v>
      </c>
      <c r="BA57" s="13" t="n">
        <f aca="false">IF(AND(47&gt;=$U$18,N($V$18)&gt;0,47&lt;$U$18+N($V$18)*12,47&lt;=p_MesFin),$O$18*(1-$W$18)/(N($V$18)*12),0)</f>
        <v>290</v>
      </c>
      <c r="BB57" s="13" t="n">
        <f aca="false">IF(AND(48&gt;=$U$18,N($V$18)&gt;0,48&lt;$U$18+N($V$18)*12,48&lt;=p_MesFin),$O$18*(1-$W$18)/(N($V$18)*12),0)</f>
        <v>290</v>
      </c>
      <c r="BC57" s="13" t="n">
        <f aca="false">IF(AND(49&gt;=$U$18,N($V$18)&gt;0,49&lt;$U$18+N($V$18)*12,49&lt;=p_MesFin),$O$18*(1-$W$18)/(N($V$18)*12),0)</f>
        <v>290</v>
      </c>
      <c r="BD57" s="13" t="n">
        <f aca="false">IF(AND(50&gt;=$U$18,N($V$18)&gt;0,50&lt;$U$18+N($V$18)*12,50&lt;=p_MesFin),$O$18*(1-$W$18)/(N($V$18)*12),0)</f>
        <v>290</v>
      </c>
      <c r="BE57" s="13" t="n">
        <f aca="false">IF(AND(51&gt;=$U$18,N($V$18)&gt;0,51&lt;$U$18+N($V$18)*12,51&lt;=p_MesFin),$O$18*(1-$W$18)/(N($V$18)*12),0)</f>
        <v>290</v>
      </c>
      <c r="BF57" s="13" t="n">
        <f aca="false">IF(AND(52&gt;=$U$18,N($V$18)&gt;0,52&lt;$U$18+N($V$18)*12,52&lt;=p_MesFin),$O$18*(1-$W$18)/(N($V$18)*12),0)</f>
        <v>290</v>
      </c>
      <c r="BG57" s="13" t="n">
        <f aca="false">IF(AND(53&gt;=$U$18,N($V$18)&gt;0,53&lt;$U$18+N($V$18)*12,53&lt;=p_MesFin),$O$18*(1-$W$18)/(N($V$18)*12),0)</f>
        <v>290</v>
      </c>
      <c r="BH57" s="13" t="n">
        <f aca="false">IF(AND(54&gt;=$U$18,N($V$18)&gt;0,54&lt;$U$18+N($V$18)*12,54&lt;=p_MesFin),$O$18*(1-$W$18)/(N($V$18)*12),0)</f>
        <v>290</v>
      </c>
      <c r="BI57" s="13" t="n">
        <f aca="false">IF(AND(55&gt;=$U$18,N($V$18)&gt;0,55&lt;$U$18+N($V$18)*12,55&lt;=p_MesFin),$O$18*(1-$W$18)/(N($V$18)*12),0)</f>
        <v>290</v>
      </c>
      <c r="BJ57" s="13" t="n">
        <f aca="false">IF(AND(56&gt;=$U$18,N($V$18)&gt;0,56&lt;$U$18+N($V$18)*12,56&lt;=p_MesFin),$O$18*(1-$W$18)/(N($V$18)*12),0)</f>
        <v>290</v>
      </c>
      <c r="BK57" s="13" t="n">
        <f aca="false">IF(AND(57&gt;=$U$18,N($V$18)&gt;0,57&lt;$U$18+N($V$18)*12,57&lt;=p_MesFin),$O$18*(1-$W$18)/(N($V$18)*12),0)</f>
        <v>290</v>
      </c>
      <c r="BL57" s="13" t="n">
        <f aca="false">IF(AND(58&gt;=$U$18,N($V$18)&gt;0,58&lt;$U$18+N($V$18)*12,58&lt;=p_MesFin),$O$18*(1-$W$18)/(N($V$18)*12),0)</f>
        <v>290</v>
      </c>
      <c r="BM57" s="13" t="n">
        <f aca="false">IF(AND(59&gt;=$U$18,N($V$18)&gt;0,59&lt;$U$18+N($V$18)*12,59&lt;=p_MesFin),$O$18*(1-$W$18)/(N($V$18)*12),0)</f>
        <v>290</v>
      </c>
      <c r="BN57" s="13" t="n">
        <f aca="false">IF(AND(60&gt;=$U$18,N($V$18)&gt;0,60&lt;$U$18+N($V$18)*12,60&lt;=p_MesFin),$O$18*(1-$W$18)/(N($V$18)*12),0)</f>
        <v>290</v>
      </c>
      <c r="BO57" s="13" t="n">
        <f aca="false">IF(AND(61&gt;=$U$18,N($V$18)&gt;0,61&lt;$U$18+N($V$18)*12,61&lt;=p_MesFin),$O$18*(1-$W$18)/(N($V$18)*12),0)</f>
        <v>0</v>
      </c>
      <c r="BP57" s="13" t="n">
        <f aca="false">IF(AND(62&gt;=$U$18,N($V$18)&gt;0,62&lt;$U$18+N($V$18)*12,62&lt;=p_MesFin),$O$18*(1-$W$18)/(N($V$18)*12),0)</f>
        <v>0</v>
      </c>
      <c r="BQ57" s="13" t="n">
        <f aca="false">IF(AND(63&gt;=$U$18,N($V$18)&gt;0,63&lt;$U$18+N($V$18)*12,63&lt;=p_MesFin),$O$18*(1-$W$18)/(N($V$18)*12),0)</f>
        <v>0</v>
      </c>
      <c r="BR57" s="13" t="n">
        <f aca="false">IF(AND(64&gt;=$U$18,N($V$18)&gt;0,64&lt;$U$18+N($V$18)*12,64&lt;=p_MesFin),$O$18*(1-$W$18)/(N($V$18)*12),0)</f>
        <v>0</v>
      </c>
      <c r="BS57" s="13" t="n">
        <f aca="false">IF(AND(65&gt;=$U$18,N($V$18)&gt;0,65&lt;$U$18+N($V$18)*12,65&lt;=p_MesFin),$O$18*(1-$W$18)/(N($V$18)*12),0)</f>
        <v>0</v>
      </c>
      <c r="BT57" s="13" t="n">
        <f aca="false">IF(AND(66&gt;=$U$18,N($V$18)&gt;0,66&lt;$U$18+N($V$18)*12,66&lt;=p_MesFin),$O$18*(1-$W$18)/(N($V$18)*12),0)</f>
        <v>0</v>
      </c>
      <c r="BU57" s="13" t="n">
        <f aca="false">IF(AND(67&gt;=$U$18,N($V$18)&gt;0,67&lt;$U$18+N($V$18)*12,67&lt;=p_MesFin),$O$18*(1-$W$18)/(N($V$18)*12),0)</f>
        <v>0</v>
      </c>
      <c r="BV57" s="13" t="n">
        <f aca="false">IF(AND(68&gt;=$U$18,N($V$18)&gt;0,68&lt;$U$18+N($V$18)*12,68&lt;=p_MesFin),$O$18*(1-$W$18)/(N($V$18)*12),0)</f>
        <v>0</v>
      </c>
      <c r="BW57" s="13" t="n">
        <f aca="false">IF(AND(69&gt;=$U$18,N($V$18)&gt;0,69&lt;$U$18+N($V$18)*12,69&lt;=p_MesFin),$O$18*(1-$W$18)/(N($V$18)*12),0)</f>
        <v>0</v>
      </c>
      <c r="BX57" s="13" t="n">
        <f aca="false">IF(AND(70&gt;=$U$18,N($V$18)&gt;0,70&lt;$U$18+N($V$18)*12,70&lt;=p_MesFin),$O$18*(1-$W$18)/(N($V$18)*12),0)</f>
        <v>0</v>
      </c>
      <c r="BY57" s="13" t="n">
        <f aca="false">IF(AND(71&gt;=$U$18,N($V$18)&gt;0,71&lt;$U$18+N($V$18)*12,71&lt;=p_MesFin),$O$18*(1-$W$18)/(N($V$18)*12),0)</f>
        <v>0</v>
      </c>
      <c r="BZ57" s="13" t="n">
        <f aca="false">IF(AND(72&gt;=$U$18,N($V$18)&gt;0,72&lt;$U$18+N($V$18)*12,72&lt;=p_MesFin),$O$18*(1-$W$18)/(N($V$18)*12),0)</f>
        <v>0</v>
      </c>
      <c r="CA57" s="13" t="n">
        <f aca="false">IF(AND(73&gt;=$U$18,N($V$18)&gt;0,73&lt;$U$18+N($V$18)*12,73&lt;=p_MesFin),$O$18*(1-$W$18)/(N($V$18)*12),0)</f>
        <v>0</v>
      </c>
      <c r="CB57" s="13" t="n">
        <f aca="false">IF(AND(74&gt;=$U$18,N($V$18)&gt;0,74&lt;$U$18+N($V$18)*12,74&lt;=p_MesFin),$O$18*(1-$W$18)/(N($V$18)*12),0)</f>
        <v>0</v>
      </c>
      <c r="CC57" s="13" t="n">
        <f aca="false">IF(AND(75&gt;=$U$18,N($V$18)&gt;0,75&lt;$U$18+N($V$18)*12,75&lt;=p_MesFin),$O$18*(1-$W$18)/(N($V$18)*12),0)</f>
        <v>0</v>
      </c>
      <c r="CD57" s="13" t="n">
        <f aca="false">IF(AND(76&gt;=$U$18,N($V$18)&gt;0,76&lt;$U$18+N($V$18)*12,76&lt;=p_MesFin),$O$18*(1-$W$18)/(N($V$18)*12),0)</f>
        <v>0</v>
      </c>
      <c r="CE57" s="13" t="n">
        <f aca="false">IF(AND(77&gt;=$U$18,N($V$18)&gt;0,77&lt;$U$18+N($V$18)*12,77&lt;=p_MesFin),$O$18*(1-$W$18)/(N($V$18)*12),0)</f>
        <v>0</v>
      </c>
      <c r="CF57" s="13" t="n">
        <f aca="false">IF(AND(78&gt;=$U$18,N($V$18)&gt;0,78&lt;$U$18+N($V$18)*12,78&lt;=p_MesFin),$O$18*(1-$W$18)/(N($V$18)*12),0)</f>
        <v>0</v>
      </c>
      <c r="CG57" s="13" t="n">
        <f aca="false">IF(AND(79&gt;=$U$18,N($V$18)&gt;0,79&lt;$U$18+N($V$18)*12,79&lt;=p_MesFin),$O$18*(1-$W$18)/(N($V$18)*12),0)</f>
        <v>0</v>
      </c>
      <c r="CH57" s="13" t="n">
        <f aca="false">IF(AND(80&gt;=$U$18,N($V$18)&gt;0,80&lt;$U$18+N($V$18)*12,80&lt;=p_MesFin),$O$18*(1-$W$18)/(N($V$18)*12),0)</f>
        <v>0</v>
      </c>
      <c r="CI57" s="13" t="n">
        <f aca="false">IF(AND(81&gt;=$U$18,N($V$18)&gt;0,81&lt;$U$18+N($V$18)*12,81&lt;=p_MesFin),$O$18*(1-$W$18)/(N($V$18)*12),0)</f>
        <v>0</v>
      </c>
      <c r="CJ57" s="13" t="n">
        <f aca="false">IF(AND(82&gt;=$U$18,N($V$18)&gt;0,82&lt;$U$18+N($V$18)*12,82&lt;=p_MesFin),$O$18*(1-$W$18)/(N($V$18)*12),0)</f>
        <v>0</v>
      </c>
      <c r="CK57" s="13" t="n">
        <f aca="false">IF(AND(83&gt;=$U$18,N($V$18)&gt;0,83&lt;$U$18+N($V$18)*12,83&lt;=p_MesFin),$O$18*(1-$W$18)/(N($V$18)*12),0)</f>
        <v>0</v>
      </c>
      <c r="CL57" s="13" t="n">
        <f aca="false">IF(AND(84&gt;=$U$18,N($V$18)&gt;0,84&lt;$U$18+N($V$18)*12,84&lt;=p_MesFin),$O$18*(1-$W$18)/(N($V$18)*12),0)</f>
        <v>0</v>
      </c>
      <c r="CM57" s="13" t="n">
        <f aca="false">IF(AND(85&gt;=$U$18,N($V$18)&gt;0,85&lt;$U$18+N($V$18)*12,85&lt;=p_MesFin),$O$18*(1-$W$18)/(N($V$18)*12),0)</f>
        <v>0</v>
      </c>
      <c r="CN57" s="13" t="n">
        <f aca="false">IF(AND(86&gt;=$U$18,N($V$18)&gt;0,86&lt;$U$18+N($V$18)*12,86&lt;=p_MesFin),$O$18*(1-$W$18)/(N($V$18)*12),0)</f>
        <v>0</v>
      </c>
      <c r="CO57" s="13" t="n">
        <f aca="false">IF(AND(87&gt;=$U$18,N($V$18)&gt;0,87&lt;$U$18+N($V$18)*12,87&lt;=p_MesFin),$O$18*(1-$W$18)/(N($V$18)*12),0)</f>
        <v>0</v>
      </c>
      <c r="CP57" s="13" t="n">
        <f aca="false">IF(AND(88&gt;=$U$18,N($V$18)&gt;0,88&lt;$U$18+N($V$18)*12,88&lt;=p_MesFin),$O$18*(1-$W$18)/(N($V$18)*12),0)</f>
        <v>0</v>
      </c>
      <c r="CQ57" s="13" t="n">
        <f aca="false">IF(AND(89&gt;=$U$18,N($V$18)&gt;0,89&lt;$U$18+N($V$18)*12,89&lt;=p_MesFin),$O$18*(1-$W$18)/(N($V$18)*12),0)</f>
        <v>0</v>
      </c>
      <c r="CR57" s="13" t="n">
        <f aca="false">IF(AND(90&gt;=$U$18,N($V$18)&gt;0,90&lt;$U$18+N($V$18)*12,90&lt;=p_MesFin),$O$18*(1-$W$18)/(N($V$18)*12),0)</f>
        <v>0</v>
      </c>
      <c r="CS57" s="13" t="n">
        <f aca="false">IF(AND(91&gt;=$U$18,N($V$18)&gt;0,91&lt;$U$18+N($V$18)*12,91&lt;=p_MesFin),$O$18*(1-$W$18)/(N($V$18)*12),0)</f>
        <v>0</v>
      </c>
      <c r="CT57" s="13" t="n">
        <f aca="false">IF(AND(92&gt;=$U$18,N($V$18)&gt;0,92&lt;$U$18+N($V$18)*12,92&lt;=p_MesFin),$O$18*(1-$W$18)/(N($V$18)*12),0)</f>
        <v>0</v>
      </c>
      <c r="CU57" s="13" t="n">
        <f aca="false">IF(AND(93&gt;=$U$18,N($V$18)&gt;0,93&lt;$U$18+N($V$18)*12,93&lt;=p_MesFin),$O$18*(1-$W$18)/(N($V$18)*12),0)</f>
        <v>0</v>
      </c>
      <c r="CV57" s="13" t="n">
        <f aca="false">IF(AND(94&gt;=$U$18,N($V$18)&gt;0,94&lt;$U$18+N($V$18)*12,94&lt;=p_MesFin),$O$18*(1-$W$18)/(N($V$18)*12),0)</f>
        <v>0</v>
      </c>
      <c r="CW57" s="13" t="n">
        <f aca="false">IF(AND(95&gt;=$U$18,N($V$18)&gt;0,95&lt;$U$18+N($V$18)*12,95&lt;=p_MesFin),$O$18*(1-$W$18)/(N($V$18)*12),0)</f>
        <v>0</v>
      </c>
      <c r="CX57" s="13" t="n">
        <f aca="false">IF(AND(96&gt;=$U$18,N($V$18)&gt;0,96&lt;$U$18+N($V$18)*12,96&lt;=p_MesFin),$O$18*(1-$W$18)/(N($V$18)*12),0)</f>
        <v>0</v>
      </c>
      <c r="CY57" s="13" t="n">
        <f aca="false">IF(AND(97&gt;=$U$18,N($V$18)&gt;0,97&lt;$U$18+N($V$18)*12,97&lt;=p_MesFin),$O$18*(1-$W$18)/(N($V$18)*12),0)</f>
        <v>0</v>
      </c>
      <c r="CZ57" s="13" t="n">
        <f aca="false">IF(AND(98&gt;=$U$18,N($V$18)&gt;0,98&lt;$U$18+N($V$18)*12,98&lt;=p_MesFin),$O$18*(1-$W$18)/(N($V$18)*12),0)</f>
        <v>0</v>
      </c>
      <c r="DA57" s="13" t="n">
        <f aca="false">IF(AND(99&gt;=$U$18,N($V$18)&gt;0,99&lt;$U$18+N($V$18)*12,99&lt;=p_MesFin),$O$18*(1-$W$18)/(N($V$18)*12),0)</f>
        <v>0</v>
      </c>
      <c r="DB57" s="13" t="n">
        <f aca="false">IF(AND(100&gt;=$U$18,N($V$18)&gt;0,100&lt;$U$18+N($V$18)*12,100&lt;=p_MesFin),$O$18*(1-$W$18)/(N($V$18)*12),0)</f>
        <v>0</v>
      </c>
      <c r="DC57" s="13" t="n">
        <f aca="false">IF(AND(101&gt;=$U$18,N($V$18)&gt;0,101&lt;$U$18+N($V$18)*12,101&lt;=p_MesFin),$O$18*(1-$W$18)/(N($V$18)*12),0)</f>
        <v>0</v>
      </c>
      <c r="DD57" s="13" t="n">
        <f aca="false">IF(AND(102&gt;=$U$18,N($V$18)&gt;0,102&lt;$U$18+N($V$18)*12,102&lt;=p_MesFin),$O$18*(1-$W$18)/(N($V$18)*12),0)</f>
        <v>0</v>
      </c>
      <c r="DE57" s="13" t="n">
        <f aca="false">IF(AND(103&gt;=$U$18,N($V$18)&gt;0,103&lt;$U$18+N($V$18)*12,103&lt;=p_MesFin),$O$18*(1-$W$18)/(N($V$18)*12),0)</f>
        <v>0</v>
      </c>
      <c r="DF57" s="13" t="n">
        <f aca="false">IF(AND(104&gt;=$U$18,N($V$18)&gt;0,104&lt;$U$18+N($V$18)*12,104&lt;=p_MesFin),$O$18*(1-$W$18)/(N($V$18)*12),0)</f>
        <v>0</v>
      </c>
      <c r="DG57" s="13" t="n">
        <f aca="false">IF(AND(105&gt;=$U$18,N($V$18)&gt;0,105&lt;$U$18+N($V$18)*12,105&lt;=p_MesFin),$O$18*(1-$W$18)/(N($V$18)*12),0)</f>
        <v>0</v>
      </c>
      <c r="DH57" s="13" t="n">
        <f aca="false">IF(AND(106&gt;=$U$18,N($V$18)&gt;0,106&lt;$U$18+N($V$18)*12,106&lt;=p_MesFin),$O$18*(1-$W$18)/(N($V$18)*12),0)</f>
        <v>0</v>
      </c>
      <c r="DI57" s="13" t="n">
        <f aca="false">IF(AND(107&gt;=$U$18,N($V$18)&gt;0,107&lt;$U$18+N($V$18)*12,107&lt;=p_MesFin),$O$18*(1-$W$18)/(N($V$18)*12),0)</f>
        <v>0</v>
      </c>
      <c r="DJ57" s="13" t="n">
        <f aca="false">IF(AND(108&gt;=$U$18,N($V$18)&gt;0,108&lt;$U$18+N($V$18)*12,108&lt;=p_MesFin),$O$18*(1-$W$18)/(N($V$18)*12),0)</f>
        <v>0</v>
      </c>
      <c r="DK57" s="13" t="n">
        <f aca="false">IF(AND(109&gt;=$U$18,N($V$18)&gt;0,109&lt;$U$18+N($V$18)*12,109&lt;=p_MesFin),$O$18*(1-$W$18)/(N($V$18)*12),0)</f>
        <v>0</v>
      </c>
      <c r="DL57" s="13" t="n">
        <f aca="false">IF(AND(110&gt;=$U$18,N($V$18)&gt;0,110&lt;$U$18+N($V$18)*12,110&lt;=p_MesFin),$O$18*(1-$W$18)/(N($V$18)*12),0)</f>
        <v>0</v>
      </c>
      <c r="DM57" s="13" t="n">
        <f aca="false">IF(AND(111&gt;=$U$18,N($V$18)&gt;0,111&lt;$U$18+N($V$18)*12,111&lt;=p_MesFin),$O$18*(1-$W$18)/(N($V$18)*12),0)</f>
        <v>0</v>
      </c>
      <c r="DN57" s="13" t="n">
        <f aca="false">IF(AND(112&gt;=$U$18,N($V$18)&gt;0,112&lt;$U$18+N($V$18)*12,112&lt;=p_MesFin),$O$18*(1-$W$18)/(N($V$18)*12),0)</f>
        <v>0</v>
      </c>
      <c r="DO57" s="13" t="n">
        <f aca="false">IF(AND(113&gt;=$U$18,N($V$18)&gt;0,113&lt;$U$18+N($V$18)*12,113&lt;=p_MesFin),$O$18*(1-$W$18)/(N($V$18)*12),0)</f>
        <v>0</v>
      </c>
      <c r="DP57" s="13" t="n">
        <f aca="false">IF(AND(114&gt;=$U$18,N($V$18)&gt;0,114&lt;$U$18+N($V$18)*12,114&lt;=p_MesFin),$O$18*(1-$W$18)/(N($V$18)*12),0)</f>
        <v>0</v>
      </c>
      <c r="DQ57" s="13" t="n">
        <f aca="false">IF(AND(115&gt;=$U$18,N($V$18)&gt;0,115&lt;$U$18+N($V$18)*12,115&lt;=p_MesFin),$O$18*(1-$W$18)/(N($V$18)*12),0)</f>
        <v>0</v>
      </c>
      <c r="DR57" s="13" t="n">
        <f aca="false">IF(AND(116&gt;=$U$18,N($V$18)&gt;0,116&lt;$U$18+N($V$18)*12,116&lt;=p_MesFin),$O$18*(1-$W$18)/(N($V$18)*12),0)</f>
        <v>0</v>
      </c>
      <c r="DS57" s="13" t="n">
        <f aca="false">IF(AND(117&gt;=$U$18,N($V$18)&gt;0,117&lt;$U$18+N($V$18)*12,117&lt;=p_MesFin),$O$18*(1-$W$18)/(N($V$18)*12),0)</f>
        <v>0</v>
      </c>
      <c r="DT57" s="13" t="n">
        <f aca="false">IF(AND(118&gt;=$U$18,N($V$18)&gt;0,118&lt;$U$18+N($V$18)*12,118&lt;=p_MesFin),$O$18*(1-$W$18)/(N($V$18)*12),0)</f>
        <v>0</v>
      </c>
      <c r="DU57" s="13" t="n">
        <f aca="false">IF(AND(119&gt;=$U$18,N($V$18)&gt;0,119&lt;$U$18+N($V$18)*12,119&lt;=p_MesFin),$O$18*(1-$W$18)/(N($V$18)*12),0)</f>
        <v>0</v>
      </c>
      <c r="DV57" s="13" t="n">
        <f aca="false">IF(AND(120&gt;=$U$18,N($V$18)&gt;0,120&lt;$U$18+N($V$18)*12,120&lt;=p_MesFin),$O$18*(1-$W$18)/(N($V$18)*12),0)</f>
        <v>0</v>
      </c>
      <c r="DW57" s="13" t="n">
        <f aca="false">IF(AND(121&gt;=$U$18,N($V$18)&gt;0,121&lt;$U$18+N($V$18)*12,121&lt;=p_MesFin),$O$18*(1-$W$18)/(N($V$18)*12),0)</f>
        <v>0</v>
      </c>
      <c r="DX57" s="13" t="n">
        <f aca="false">IF(AND(122&gt;=$U$18,N($V$18)&gt;0,122&lt;$U$18+N($V$18)*12,122&lt;=p_MesFin),$O$18*(1-$W$18)/(N($V$18)*12),0)</f>
        <v>0</v>
      </c>
      <c r="DY57" s="13" t="n">
        <f aca="false">IF(AND(123&gt;=$U$18,N($V$18)&gt;0,123&lt;$U$18+N($V$18)*12,123&lt;=p_MesFin),$O$18*(1-$W$18)/(N($V$18)*12),0)</f>
        <v>0</v>
      </c>
      <c r="DZ57" s="13" t="n">
        <f aca="false">IF(AND(124&gt;=$U$18,N($V$18)&gt;0,124&lt;$U$18+N($V$18)*12,124&lt;=p_MesFin),$O$18*(1-$W$18)/(N($V$18)*12),0)</f>
        <v>0</v>
      </c>
      <c r="EA57" s="13" t="n">
        <f aca="false">IF(AND(125&gt;=$U$18,N($V$18)&gt;0,125&lt;$U$18+N($V$18)*12,125&lt;=p_MesFin),$O$18*(1-$W$18)/(N($V$18)*12),0)</f>
        <v>0</v>
      </c>
      <c r="EB57" s="13" t="n">
        <f aca="false">IF(AND(126&gt;=$U$18,N($V$18)&gt;0,126&lt;$U$18+N($V$18)*12,126&lt;=p_MesFin),$O$18*(1-$W$18)/(N($V$18)*12),0)</f>
        <v>0</v>
      </c>
      <c r="EC57" s="13" t="n">
        <f aca="false">IF(AND(127&gt;=$U$18,N($V$18)&gt;0,127&lt;$U$18+N($V$18)*12,127&lt;=p_MesFin),$O$18*(1-$W$18)/(N($V$18)*12),0)</f>
        <v>0</v>
      </c>
      <c r="ED57" s="13" t="n">
        <f aca="false">IF(AND(128&gt;=$U$18,N($V$18)&gt;0,128&lt;$U$18+N($V$18)*12,128&lt;=p_MesFin),$O$18*(1-$W$18)/(N($V$18)*12),0)</f>
        <v>0</v>
      </c>
      <c r="EE57" s="13" t="n">
        <f aca="false">IF(AND(129&gt;=$U$18,N($V$18)&gt;0,129&lt;$U$18+N($V$18)*12,129&lt;=p_MesFin),$O$18*(1-$W$18)/(N($V$18)*12),0)</f>
        <v>0</v>
      </c>
      <c r="EF57" s="13" t="n">
        <f aca="false">IF(AND(130&gt;=$U$18,N($V$18)&gt;0,130&lt;$U$18+N($V$18)*12,130&lt;=p_MesFin),$O$18*(1-$W$18)/(N($V$18)*12),0)</f>
        <v>0</v>
      </c>
      <c r="EG57" s="13" t="n">
        <f aca="false">IF(AND(131&gt;=$U$18,N($V$18)&gt;0,131&lt;$U$18+N($V$18)*12,131&lt;=p_MesFin),$O$18*(1-$W$18)/(N($V$18)*12),0)</f>
        <v>0</v>
      </c>
      <c r="EH57" s="13" t="n">
        <f aca="false">IF(AND(132&gt;=$U$18,N($V$18)&gt;0,132&lt;$U$18+N($V$18)*12,132&lt;=p_MesFin),$O$18*(1-$W$18)/(N($V$18)*12),0)</f>
        <v>0</v>
      </c>
      <c r="EI57" s="13" t="n">
        <f aca="false">IF(AND(133&gt;=$U$18,N($V$18)&gt;0,133&lt;$U$18+N($V$18)*12,133&lt;=p_MesFin),$O$18*(1-$W$18)/(N($V$18)*12),0)</f>
        <v>0</v>
      </c>
      <c r="EJ57" s="13" t="n">
        <f aca="false">IF(AND(134&gt;=$U$18,N($V$18)&gt;0,134&lt;$U$18+N($V$18)*12,134&lt;=p_MesFin),$O$18*(1-$W$18)/(N($V$18)*12),0)</f>
        <v>0</v>
      </c>
      <c r="EK57" s="13" t="n">
        <f aca="false">IF(AND(135&gt;=$U$18,N($V$18)&gt;0,135&lt;$U$18+N($V$18)*12,135&lt;=p_MesFin),$O$18*(1-$W$18)/(N($V$18)*12),0)</f>
        <v>0</v>
      </c>
      <c r="EL57" s="13" t="n">
        <f aca="false">IF(AND(136&gt;=$U$18,N($V$18)&gt;0,136&lt;$U$18+N($V$18)*12,136&lt;=p_MesFin),$O$18*(1-$W$18)/(N($V$18)*12),0)</f>
        <v>0</v>
      </c>
      <c r="EM57" s="13" t="n">
        <f aca="false">IF(AND(137&gt;=$U$18,N($V$18)&gt;0,137&lt;$U$18+N($V$18)*12,137&lt;=p_MesFin),$O$18*(1-$W$18)/(N($V$18)*12),0)</f>
        <v>0</v>
      </c>
      <c r="EN57" s="13" t="n">
        <f aca="false">IF(AND(138&gt;=$U$18,N($V$18)&gt;0,138&lt;$U$18+N($V$18)*12,138&lt;=p_MesFin),$O$18*(1-$W$18)/(N($V$18)*12),0)</f>
        <v>0</v>
      </c>
      <c r="EO57" s="13" t="n">
        <f aca="false">IF(AND(139&gt;=$U$18,N($V$18)&gt;0,139&lt;$U$18+N($V$18)*12,139&lt;=p_MesFin),$O$18*(1-$W$18)/(N($V$18)*12),0)</f>
        <v>0</v>
      </c>
      <c r="EP57" s="13" t="n">
        <f aca="false">IF(AND(140&gt;=$U$18,N($V$18)&gt;0,140&lt;$U$18+N($V$18)*12,140&lt;=p_MesFin),$O$18*(1-$W$18)/(N($V$18)*12),0)</f>
        <v>0</v>
      </c>
      <c r="EQ57" s="13" t="n">
        <f aca="false">IF(AND(141&gt;=$U$18,N($V$18)&gt;0,141&lt;$U$18+N($V$18)*12,141&lt;=p_MesFin),$O$18*(1-$W$18)/(N($V$18)*12),0)</f>
        <v>0</v>
      </c>
      <c r="ER57" s="13" t="n">
        <f aca="false">IF(AND(142&gt;=$U$18,N($V$18)&gt;0,142&lt;$U$18+N($V$18)*12,142&lt;=p_MesFin),$O$18*(1-$W$18)/(N($V$18)*12),0)</f>
        <v>0</v>
      </c>
      <c r="ES57" s="13" t="n">
        <f aca="false">IF(AND(143&gt;=$U$18,N($V$18)&gt;0,143&lt;$U$18+N($V$18)*12,143&lt;=p_MesFin),$O$18*(1-$W$18)/(N($V$18)*12),0)</f>
        <v>0</v>
      </c>
      <c r="ET57" s="13" t="n">
        <f aca="false">IF(AND(144&gt;=$U$18,N($V$18)&gt;0,144&lt;$U$18+N($V$18)*12,144&lt;=p_MesFin),$O$18*(1-$W$18)/(N($V$18)*12),0)</f>
        <v>0</v>
      </c>
      <c r="EU57" s="13" t="n">
        <f aca="false">IF(AND(145&gt;=$U$18,N($V$18)&gt;0,145&lt;$U$18+N($V$18)*12,145&lt;=p_MesFin),$O$18*(1-$W$18)/(N($V$18)*12),0)</f>
        <v>0</v>
      </c>
      <c r="EV57" s="13" t="n">
        <f aca="false">IF(AND(146&gt;=$U$18,N($V$18)&gt;0,146&lt;$U$18+N($V$18)*12,146&lt;=p_MesFin),$O$18*(1-$W$18)/(N($V$18)*12),0)</f>
        <v>0</v>
      </c>
      <c r="EW57" s="13" t="n">
        <f aca="false">IF(AND(147&gt;=$U$18,N($V$18)&gt;0,147&lt;$U$18+N($V$18)*12,147&lt;=p_MesFin),$O$18*(1-$W$18)/(N($V$18)*12),0)</f>
        <v>0</v>
      </c>
      <c r="EX57" s="13" t="n">
        <f aca="false">IF(AND(148&gt;=$U$18,N($V$18)&gt;0,148&lt;$U$18+N($V$18)*12,148&lt;=p_MesFin),$O$18*(1-$W$18)/(N($V$18)*12),0)</f>
        <v>0</v>
      </c>
      <c r="EY57" s="13" t="n">
        <f aca="false">IF(AND(149&gt;=$U$18,N($V$18)&gt;0,149&lt;$U$18+N($V$18)*12,149&lt;=p_MesFin),$O$18*(1-$W$18)/(N($V$18)*12),0)</f>
        <v>0</v>
      </c>
      <c r="EZ57" s="13" t="n">
        <f aca="false">IF(AND(150&gt;=$U$18,N($V$18)&gt;0,150&lt;$U$18+N($V$18)*12,150&lt;=p_MesFin),$O$18*(1-$W$18)/(N($V$18)*12),0)</f>
        <v>0</v>
      </c>
      <c r="FA57" s="13" t="n">
        <f aca="false">IF(AND(151&gt;=$U$18,N($V$18)&gt;0,151&lt;$U$18+N($V$18)*12,151&lt;=p_MesFin),$O$18*(1-$W$18)/(N($V$18)*12),0)</f>
        <v>0</v>
      </c>
      <c r="FB57" s="13" t="n">
        <f aca="false">IF(AND(152&gt;=$U$18,N($V$18)&gt;0,152&lt;$U$18+N($V$18)*12,152&lt;=p_MesFin),$O$18*(1-$W$18)/(N($V$18)*12),0)</f>
        <v>0</v>
      </c>
      <c r="FC57" s="13" t="n">
        <f aca="false">IF(AND(153&gt;=$U$18,N($V$18)&gt;0,153&lt;$U$18+N($V$18)*12,153&lt;=p_MesFin),$O$18*(1-$W$18)/(N($V$18)*12),0)</f>
        <v>0</v>
      </c>
      <c r="FD57" s="13" t="n">
        <f aca="false">IF(AND(154&gt;=$U$18,N($V$18)&gt;0,154&lt;$U$18+N($V$18)*12,154&lt;=p_MesFin),$O$18*(1-$W$18)/(N($V$18)*12),0)</f>
        <v>0</v>
      </c>
      <c r="FE57" s="13" t="n">
        <f aca="false">IF(AND(155&gt;=$U$18,N($V$18)&gt;0,155&lt;$U$18+N($V$18)*12,155&lt;=p_MesFin),$O$18*(1-$W$18)/(N($V$18)*12),0)</f>
        <v>0</v>
      </c>
      <c r="FF57" s="13" t="n">
        <f aca="false">IF(AND(156&gt;=$U$18,N($V$18)&gt;0,156&lt;$U$18+N($V$18)*12,156&lt;=p_MesFin),$O$18*(1-$W$18)/(N($V$18)*12),0)</f>
        <v>0</v>
      </c>
    </row>
    <row r="58" customFormat="false" ht="15" hidden="false" customHeight="false" outlineLevel="0" collapsed="false">
      <c r="A58" s="2" t="s">
        <v>1264</v>
      </c>
      <c r="B58" s="8" t="s">
        <v>1265</v>
      </c>
      <c r="C58" s="8" t="s">
        <v>255</v>
      </c>
      <c r="E58" s="65" t="n">
        <f aca="false">SUM($F58:$FF58)</f>
        <v>90000</v>
      </c>
      <c r="F58" s="13" t="n">
        <f aca="false">IF(AND(0&gt;=$U$19,N($V$19)&gt;0,0&lt;$U$19+N($V$19)*12,0&lt;=p_MesFin),$O$19*(1-$W$19)/(N($V$19)*12),0)</f>
        <v>0</v>
      </c>
      <c r="G58" s="13" t="n">
        <f aca="false">IF(AND(1&gt;=$U$19,N($V$19)&gt;0,1&lt;$U$19+N($V$19)*12,1&lt;=p_MesFin),$O$19*(1-$W$19)/(N($V$19)*12),0)</f>
        <v>0</v>
      </c>
      <c r="H58" s="13" t="n">
        <f aca="false">IF(AND(2&gt;=$U$19,N($V$19)&gt;0,2&lt;$U$19+N($V$19)*12,2&lt;=p_MesFin),$O$19*(1-$W$19)/(N($V$19)*12),0)</f>
        <v>0</v>
      </c>
      <c r="I58" s="13" t="n">
        <f aca="false">IF(AND(3&gt;=$U$19,N($V$19)&gt;0,3&lt;$U$19+N($V$19)*12,3&lt;=p_MesFin),$O$19*(1-$W$19)/(N($V$19)*12),0)</f>
        <v>0</v>
      </c>
      <c r="J58" s="13" t="n">
        <f aca="false">IF(AND(4&gt;=$U$19,N($V$19)&gt;0,4&lt;$U$19+N($V$19)*12,4&lt;=p_MesFin),$O$19*(1-$W$19)/(N($V$19)*12),0)</f>
        <v>0</v>
      </c>
      <c r="K58" s="13" t="n">
        <f aca="false">IF(AND(5&gt;=$U$19,N($V$19)&gt;0,5&lt;$U$19+N($V$19)*12,5&lt;=p_MesFin),$O$19*(1-$W$19)/(N($V$19)*12),0)</f>
        <v>0</v>
      </c>
      <c r="L58" s="13" t="n">
        <f aca="false">IF(AND(6&gt;=$U$19,N($V$19)&gt;0,6&lt;$U$19+N($V$19)*12,6&lt;=p_MesFin),$O$19*(1-$W$19)/(N($V$19)*12),0)</f>
        <v>0</v>
      </c>
      <c r="M58" s="13" t="n">
        <f aca="false">IF(AND(7&gt;=$U$19,N($V$19)&gt;0,7&lt;$U$19+N($V$19)*12,7&lt;=p_MesFin),$O$19*(1-$W$19)/(N($V$19)*12),0)</f>
        <v>0</v>
      </c>
      <c r="N58" s="13" t="n">
        <f aca="false">IF(AND(8&gt;=$U$19,N($V$19)&gt;0,8&lt;$U$19+N($V$19)*12,8&lt;=p_MesFin),$O$19*(1-$W$19)/(N($V$19)*12),0)</f>
        <v>0</v>
      </c>
      <c r="O58" s="13" t="n">
        <f aca="false">IF(AND(9&gt;=$U$19,N($V$19)&gt;0,9&lt;$U$19+N($V$19)*12,9&lt;=p_MesFin),$O$19*(1-$W$19)/(N($V$19)*12),0)</f>
        <v>0</v>
      </c>
      <c r="P58" s="13" t="n">
        <f aca="false">IF(AND(10&gt;=$U$19,N($V$19)&gt;0,10&lt;$U$19+N($V$19)*12,10&lt;=p_MesFin),$O$19*(1-$W$19)/(N($V$19)*12),0)</f>
        <v>0</v>
      </c>
      <c r="Q58" s="13" t="n">
        <f aca="false">IF(AND(11&gt;=$U$19,N($V$19)&gt;0,11&lt;$U$19+N($V$19)*12,11&lt;=p_MesFin),$O$19*(1-$W$19)/(N($V$19)*12),0)</f>
        <v>0</v>
      </c>
      <c r="R58" s="13" t="n">
        <f aca="false">IF(AND(12&gt;=$U$19,N($V$19)&gt;0,12&lt;$U$19+N($V$19)*12,12&lt;=p_MesFin),$O$19*(1-$W$19)/(N($V$19)*12),0)</f>
        <v>0</v>
      </c>
      <c r="S58" s="13" t="n">
        <f aca="false">IF(AND(13&gt;=$U$19,N($V$19)&gt;0,13&lt;$U$19+N($V$19)*12,13&lt;=p_MesFin),$O$19*(1-$W$19)/(N($V$19)*12),0)</f>
        <v>833.333333333333</v>
      </c>
      <c r="T58" s="13" t="n">
        <f aca="false">IF(AND(14&gt;=$U$19,N($V$19)&gt;0,14&lt;$U$19+N($V$19)*12,14&lt;=p_MesFin),$O$19*(1-$W$19)/(N($V$19)*12),0)</f>
        <v>833.333333333333</v>
      </c>
      <c r="U58" s="13" t="n">
        <f aca="false">IF(AND(15&gt;=$U$19,N($V$19)&gt;0,15&lt;$U$19+N($V$19)*12,15&lt;=p_MesFin),$O$19*(1-$W$19)/(N($V$19)*12),0)</f>
        <v>833.333333333333</v>
      </c>
      <c r="V58" s="13" t="n">
        <f aca="false">IF(AND(16&gt;=$U$19,N($V$19)&gt;0,16&lt;$U$19+N($V$19)*12,16&lt;=p_MesFin),$O$19*(1-$W$19)/(N($V$19)*12),0)</f>
        <v>833.333333333333</v>
      </c>
      <c r="W58" s="13" t="n">
        <f aca="false">IF(AND(17&gt;=$U$19,N($V$19)&gt;0,17&lt;$U$19+N($V$19)*12,17&lt;=p_MesFin),$O$19*(1-$W$19)/(N($V$19)*12),0)</f>
        <v>833.333333333333</v>
      </c>
      <c r="X58" s="13" t="n">
        <f aca="false">IF(AND(18&gt;=$U$19,N($V$19)&gt;0,18&lt;$U$19+N($V$19)*12,18&lt;=p_MesFin),$O$19*(1-$W$19)/(N($V$19)*12),0)</f>
        <v>833.333333333333</v>
      </c>
      <c r="Y58" s="13" t="n">
        <f aca="false">IF(AND(19&gt;=$U$19,N($V$19)&gt;0,19&lt;$U$19+N($V$19)*12,19&lt;=p_MesFin),$O$19*(1-$W$19)/(N($V$19)*12),0)</f>
        <v>833.333333333333</v>
      </c>
      <c r="Z58" s="13" t="n">
        <f aca="false">IF(AND(20&gt;=$U$19,N($V$19)&gt;0,20&lt;$U$19+N($V$19)*12,20&lt;=p_MesFin),$O$19*(1-$W$19)/(N($V$19)*12),0)</f>
        <v>833.333333333333</v>
      </c>
      <c r="AA58" s="13" t="n">
        <f aca="false">IF(AND(21&gt;=$U$19,N($V$19)&gt;0,21&lt;$U$19+N($V$19)*12,21&lt;=p_MesFin),$O$19*(1-$W$19)/(N($V$19)*12),0)</f>
        <v>833.333333333333</v>
      </c>
      <c r="AB58" s="13" t="n">
        <f aca="false">IF(AND(22&gt;=$U$19,N($V$19)&gt;0,22&lt;$U$19+N($V$19)*12,22&lt;=p_MesFin),$O$19*(1-$W$19)/(N($V$19)*12),0)</f>
        <v>833.333333333333</v>
      </c>
      <c r="AC58" s="13" t="n">
        <f aca="false">IF(AND(23&gt;=$U$19,N($V$19)&gt;0,23&lt;$U$19+N($V$19)*12,23&lt;=p_MesFin),$O$19*(1-$W$19)/(N($V$19)*12),0)</f>
        <v>833.333333333333</v>
      </c>
      <c r="AD58" s="13" t="n">
        <f aca="false">IF(AND(24&gt;=$U$19,N($V$19)&gt;0,24&lt;$U$19+N($V$19)*12,24&lt;=p_MesFin),$O$19*(1-$W$19)/(N($V$19)*12),0)</f>
        <v>833.333333333333</v>
      </c>
      <c r="AE58" s="13" t="n">
        <f aca="false">IF(AND(25&gt;=$U$19,N($V$19)&gt;0,25&lt;$U$19+N($V$19)*12,25&lt;=p_MesFin),$O$19*(1-$W$19)/(N($V$19)*12),0)</f>
        <v>833.333333333333</v>
      </c>
      <c r="AF58" s="13" t="n">
        <f aca="false">IF(AND(26&gt;=$U$19,N($V$19)&gt;0,26&lt;$U$19+N($V$19)*12,26&lt;=p_MesFin),$O$19*(1-$W$19)/(N($V$19)*12),0)</f>
        <v>833.333333333333</v>
      </c>
      <c r="AG58" s="13" t="n">
        <f aca="false">IF(AND(27&gt;=$U$19,N($V$19)&gt;0,27&lt;$U$19+N($V$19)*12,27&lt;=p_MesFin),$O$19*(1-$W$19)/(N($V$19)*12),0)</f>
        <v>833.333333333333</v>
      </c>
      <c r="AH58" s="13" t="n">
        <f aca="false">IF(AND(28&gt;=$U$19,N($V$19)&gt;0,28&lt;$U$19+N($V$19)*12,28&lt;=p_MesFin),$O$19*(1-$W$19)/(N($V$19)*12),0)</f>
        <v>833.333333333333</v>
      </c>
      <c r="AI58" s="13" t="n">
        <f aca="false">IF(AND(29&gt;=$U$19,N($V$19)&gt;0,29&lt;$U$19+N($V$19)*12,29&lt;=p_MesFin),$O$19*(1-$W$19)/(N($V$19)*12),0)</f>
        <v>833.333333333333</v>
      </c>
      <c r="AJ58" s="13" t="n">
        <f aca="false">IF(AND(30&gt;=$U$19,N($V$19)&gt;0,30&lt;$U$19+N($V$19)*12,30&lt;=p_MesFin),$O$19*(1-$W$19)/(N($V$19)*12),0)</f>
        <v>833.333333333333</v>
      </c>
      <c r="AK58" s="13" t="n">
        <f aca="false">IF(AND(31&gt;=$U$19,N($V$19)&gt;0,31&lt;$U$19+N($V$19)*12,31&lt;=p_MesFin),$O$19*(1-$W$19)/(N($V$19)*12),0)</f>
        <v>833.333333333333</v>
      </c>
      <c r="AL58" s="13" t="n">
        <f aca="false">IF(AND(32&gt;=$U$19,N($V$19)&gt;0,32&lt;$U$19+N($V$19)*12,32&lt;=p_MesFin),$O$19*(1-$W$19)/(N($V$19)*12),0)</f>
        <v>833.333333333333</v>
      </c>
      <c r="AM58" s="13" t="n">
        <f aca="false">IF(AND(33&gt;=$U$19,N($V$19)&gt;0,33&lt;$U$19+N($V$19)*12,33&lt;=p_MesFin),$O$19*(1-$W$19)/(N($V$19)*12),0)</f>
        <v>833.333333333333</v>
      </c>
      <c r="AN58" s="13" t="n">
        <f aca="false">IF(AND(34&gt;=$U$19,N($V$19)&gt;0,34&lt;$U$19+N($V$19)*12,34&lt;=p_MesFin),$O$19*(1-$W$19)/(N($V$19)*12),0)</f>
        <v>833.333333333333</v>
      </c>
      <c r="AO58" s="13" t="n">
        <f aca="false">IF(AND(35&gt;=$U$19,N($V$19)&gt;0,35&lt;$U$19+N($V$19)*12,35&lt;=p_MesFin),$O$19*(1-$W$19)/(N($V$19)*12),0)</f>
        <v>833.333333333333</v>
      </c>
      <c r="AP58" s="13" t="n">
        <f aca="false">IF(AND(36&gt;=$U$19,N($V$19)&gt;0,36&lt;$U$19+N($V$19)*12,36&lt;=p_MesFin),$O$19*(1-$W$19)/(N($V$19)*12),0)</f>
        <v>833.333333333333</v>
      </c>
      <c r="AQ58" s="13" t="n">
        <f aca="false">IF(AND(37&gt;=$U$19,N($V$19)&gt;0,37&lt;$U$19+N($V$19)*12,37&lt;=p_MesFin),$O$19*(1-$W$19)/(N($V$19)*12),0)</f>
        <v>833.333333333333</v>
      </c>
      <c r="AR58" s="13" t="n">
        <f aca="false">IF(AND(38&gt;=$U$19,N($V$19)&gt;0,38&lt;$U$19+N($V$19)*12,38&lt;=p_MesFin),$O$19*(1-$W$19)/(N($V$19)*12),0)</f>
        <v>833.333333333333</v>
      </c>
      <c r="AS58" s="13" t="n">
        <f aca="false">IF(AND(39&gt;=$U$19,N($V$19)&gt;0,39&lt;$U$19+N($V$19)*12,39&lt;=p_MesFin),$O$19*(1-$W$19)/(N($V$19)*12),0)</f>
        <v>833.333333333333</v>
      </c>
      <c r="AT58" s="13" t="n">
        <f aca="false">IF(AND(40&gt;=$U$19,N($V$19)&gt;0,40&lt;$U$19+N($V$19)*12,40&lt;=p_MesFin),$O$19*(1-$W$19)/(N($V$19)*12),0)</f>
        <v>833.333333333333</v>
      </c>
      <c r="AU58" s="13" t="n">
        <f aca="false">IF(AND(41&gt;=$U$19,N($V$19)&gt;0,41&lt;$U$19+N($V$19)*12,41&lt;=p_MesFin),$O$19*(1-$W$19)/(N($V$19)*12),0)</f>
        <v>833.333333333333</v>
      </c>
      <c r="AV58" s="13" t="n">
        <f aca="false">IF(AND(42&gt;=$U$19,N($V$19)&gt;0,42&lt;$U$19+N($V$19)*12,42&lt;=p_MesFin),$O$19*(1-$W$19)/(N($V$19)*12),0)</f>
        <v>833.333333333333</v>
      </c>
      <c r="AW58" s="13" t="n">
        <f aca="false">IF(AND(43&gt;=$U$19,N($V$19)&gt;0,43&lt;$U$19+N($V$19)*12,43&lt;=p_MesFin),$O$19*(1-$W$19)/(N($V$19)*12),0)</f>
        <v>833.333333333333</v>
      </c>
      <c r="AX58" s="13" t="n">
        <f aca="false">IF(AND(44&gt;=$U$19,N($V$19)&gt;0,44&lt;$U$19+N($V$19)*12,44&lt;=p_MesFin),$O$19*(1-$W$19)/(N($V$19)*12),0)</f>
        <v>833.333333333333</v>
      </c>
      <c r="AY58" s="13" t="n">
        <f aca="false">IF(AND(45&gt;=$U$19,N($V$19)&gt;0,45&lt;$U$19+N($V$19)*12,45&lt;=p_MesFin),$O$19*(1-$W$19)/(N($V$19)*12),0)</f>
        <v>833.333333333333</v>
      </c>
      <c r="AZ58" s="13" t="n">
        <f aca="false">IF(AND(46&gt;=$U$19,N($V$19)&gt;0,46&lt;$U$19+N($V$19)*12,46&lt;=p_MesFin),$O$19*(1-$W$19)/(N($V$19)*12),0)</f>
        <v>833.333333333333</v>
      </c>
      <c r="BA58" s="13" t="n">
        <f aca="false">IF(AND(47&gt;=$U$19,N($V$19)&gt;0,47&lt;$U$19+N($V$19)*12,47&lt;=p_MesFin),$O$19*(1-$W$19)/(N($V$19)*12),0)</f>
        <v>833.333333333333</v>
      </c>
      <c r="BB58" s="13" t="n">
        <f aca="false">IF(AND(48&gt;=$U$19,N($V$19)&gt;0,48&lt;$U$19+N($V$19)*12,48&lt;=p_MesFin),$O$19*(1-$W$19)/(N($V$19)*12),0)</f>
        <v>833.333333333333</v>
      </c>
      <c r="BC58" s="13" t="n">
        <f aca="false">IF(AND(49&gt;=$U$19,N($V$19)&gt;0,49&lt;$U$19+N($V$19)*12,49&lt;=p_MesFin),$O$19*(1-$W$19)/(N($V$19)*12),0)</f>
        <v>833.333333333333</v>
      </c>
      <c r="BD58" s="13" t="n">
        <f aca="false">IF(AND(50&gt;=$U$19,N($V$19)&gt;0,50&lt;$U$19+N($V$19)*12,50&lt;=p_MesFin),$O$19*(1-$W$19)/(N($V$19)*12),0)</f>
        <v>833.333333333333</v>
      </c>
      <c r="BE58" s="13" t="n">
        <f aca="false">IF(AND(51&gt;=$U$19,N($V$19)&gt;0,51&lt;$U$19+N($V$19)*12,51&lt;=p_MesFin),$O$19*(1-$W$19)/(N($V$19)*12),0)</f>
        <v>833.333333333333</v>
      </c>
      <c r="BF58" s="13" t="n">
        <f aca="false">IF(AND(52&gt;=$U$19,N($V$19)&gt;0,52&lt;$U$19+N($V$19)*12,52&lt;=p_MesFin),$O$19*(1-$W$19)/(N($V$19)*12),0)</f>
        <v>833.333333333333</v>
      </c>
      <c r="BG58" s="13" t="n">
        <f aca="false">IF(AND(53&gt;=$U$19,N($V$19)&gt;0,53&lt;$U$19+N($V$19)*12,53&lt;=p_MesFin),$O$19*(1-$W$19)/(N($V$19)*12),0)</f>
        <v>833.333333333333</v>
      </c>
      <c r="BH58" s="13" t="n">
        <f aca="false">IF(AND(54&gt;=$U$19,N($V$19)&gt;0,54&lt;$U$19+N($V$19)*12,54&lt;=p_MesFin),$O$19*(1-$W$19)/(N($V$19)*12),0)</f>
        <v>833.333333333333</v>
      </c>
      <c r="BI58" s="13" t="n">
        <f aca="false">IF(AND(55&gt;=$U$19,N($V$19)&gt;0,55&lt;$U$19+N($V$19)*12,55&lt;=p_MesFin),$O$19*(1-$W$19)/(N($V$19)*12),0)</f>
        <v>833.333333333333</v>
      </c>
      <c r="BJ58" s="13" t="n">
        <f aca="false">IF(AND(56&gt;=$U$19,N($V$19)&gt;0,56&lt;$U$19+N($V$19)*12,56&lt;=p_MesFin),$O$19*(1-$W$19)/(N($V$19)*12),0)</f>
        <v>833.333333333333</v>
      </c>
      <c r="BK58" s="13" t="n">
        <f aca="false">IF(AND(57&gt;=$U$19,N($V$19)&gt;0,57&lt;$U$19+N($V$19)*12,57&lt;=p_MesFin),$O$19*(1-$W$19)/(N($V$19)*12),0)</f>
        <v>833.333333333333</v>
      </c>
      <c r="BL58" s="13" t="n">
        <f aca="false">IF(AND(58&gt;=$U$19,N($V$19)&gt;0,58&lt;$U$19+N($V$19)*12,58&lt;=p_MesFin),$O$19*(1-$W$19)/(N($V$19)*12),0)</f>
        <v>833.333333333333</v>
      </c>
      <c r="BM58" s="13" t="n">
        <f aca="false">IF(AND(59&gt;=$U$19,N($V$19)&gt;0,59&lt;$U$19+N($V$19)*12,59&lt;=p_MesFin),$O$19*(1-$W$19)/(N($V$19)*12),0)</f>
        <v>833.333333333333</v>
      </c>
      <c r="BN58" s="13" t="n">
        <f aca="false">IF(AND(60&gt;=$U$19,N($V$19)&gt;0,60&lt;$U$19+N($V$19)*12,60&lt;=p_MesFin),$O$19*(1-$W$19)/(N($V$19)*12),0)</f>
        <v>833.333333333333</v>
      </c>
      <c r="BO58" s="13" t="n">
        <f aca="false">IF(AND(61&gt;=$U$19,N($V$19)&gt;0,61&lt;$U$19+N($V$19)*12,61&lt;=p_MesFin),$O$19*(1-$W$19)/(N($V$19)*12),0)</f>
        <v>833.333333333333</v>
      </c>
      <c r="BP58" s="13" t="n">
        <f aca="false">IF(AND(62&gt;=$U$19,N($V$19)&gt;0,62&lt;$U$19+N($V$19)*12,62&lt;=p_MesFin),$O$19*(1-$W$19)/(N($V$19)*12),0)</f>
        <v>833.333333333333</v>
      </c>
      <c r="BQ58" s="13" t="n">
        <f aca="false">IF(AND(63&gt;=$U$19,N($V$19)&gt;0,63&lt;$U$19+N($V$19)*12,63&lt;=p_MesFin),$O$19*(1-$W$19)/(N($V$19)*12),0)</f>
        <v>833.333333333333</v>
      </c>
      <c r="BR58" s="13" t="n">
        <f aca="false">IF(AND(64&gt;=$U$19,N($V$19)&gt;0,64&lt;$U$19+N($V$19)*12,64&lt;=p_MesFin),$O$19*(1-$W$19)/(N($V$19)*12),0)</f>
        <v>833.333333333333</v>
      </c>
      <c r="BS58" s="13" t="n">
        <f aca="false">IF(AND(65&gt;=$U$19,N($V$19)&gt;0,65&lt;$U$19+N($V$19)*12,65&lt;=p_MesFin),$O$19*(1-$W$19)/(N($V$19)*12),0)</f>
        <v>833.333333333333</v>
      </c>
      <c r="BT58" s="13" t="n">
        <f aca="false">IF(AND(66&gt;=$U$19,N($V$19)&gt;0,66&lt;$U$19+N($V$19)*12,66&lt;=p_MesFin),$O$19*(1-$W$19)/(N($V$19)*12),0)</f>
        <v>833.333333333333</v>
      </c>
      <c r="BU58" s="13" t="n">
        <f aca="false">IF(AND(67&gt;=$U$19,N($V$19)&gt;0,67&lt;$U$19+N($V$19)*12,67&lt;=p_MesFin),$O$19*(1-$W$19)/(N($V$19)*12),0)</f>
        <v>833.333333333333</v>
      </c>
      <c r="BV58" s="13" t="n">
        <f aca="false">IF(AND(68&gt;=$U$19,N($V$19)&gt;0,68&lt;$U$19+N($V$19)*12,68&lt;=p_MesFin),$O$19*(1-$W$19)/(N($V$19)*12),0)</f>
        <v>833.333333333333</v>
      </c>
      <c r="BW58" s="13" t="n">
        <f aca="false">IF(AND(69&gt;=$U$19,N($V$19)&gt;0,69&lt;$U$19+N($V$19)*12,69&lt;=p_MesFin),$O$19*(1-$W$19)/(N($V$19)*12),0)</f>
        <v>833.333333333333</v>
      </c>
      <c r="BX58" s="13" t="n">
        <f aca="false">IF(AND(70&gt;=$U$19,N($V$19)&gt;0,70&lt;$U$19+N($V$19)*12,70&lt;=p_MesFin),$O$19*(1-$W$19)/(N($V$19)*12),0)</f>
        <v>833.333333333333</v>
      </c>
      <c r="BY58" s="13" t="n">
        <f aca="false">IF(AND(71&gt;=$U$19,N($V$19)&gt;0,71&lt;$U$19+N($V$19)*12,71&lt;=p_MesFin),$O$19*(1-$W$19)/(N($V$19)*12),0)</f>
        <v>833.333333333333</v>
      </c>
      <c r="BZ58" s="13" t="n">
        <f aca="false">IF(AND(72&gt;=$U$19,N($V$19)&gt;0,72&lt;$U$19+N($V$19)*12,72&lt;=p_MesFin),$O$19*(1-$W$19)/(N($V$19)*12),0)</f>
        <v>833.333333333333</v>
      </c>
      <c r="CA58" s="13" t="n">
        <f aca="false">IF(AND(73&gt;=$U$19,N($V$19)&gt;0,73&lt;$U$19+N($V$19)*12,73&lt;=p_MesFin),$O$19*(1-$W$19)/(N($V$19)*12),0)</f>
        <v>833.333333333333</v>
      </c>
      <c r="CB58" s="13" t="n">
        <f aca="false">IF(AND(74&gt;=$U$19,N($V$19)&gt;0,74&lt;$U$19+N($V$19)*12,74&lt;=p_MesFin),$O$19*(1-$W$19)/(N($V$19)*12),0)</f>
        <v>833.333333333333</v>
      </c>
      <c r="CC58" s="13" t="n">
        <f aca="false">IF(AND(75&gt;=$U$19,N($V$19)&gt;0,75&lt;$U$19+N($V$19)*12,75&lt;=p_MesFin),$O$19*(1-$W$19)/(N($V$19)*12),0)</f>
        <v>833.333333333333</v>
      </c>
      <c r="CD58" s="13" t="n">
        <f aca="false">IF(AND(76&gt;=$U$19,N($V$19)&gt;0,76&lt;$U$19+N($V$19)*12,76&lt;=p_MesFin),$O$19*(1-$W$19)/(N($V$19)*12),0)</f>
        <v>833.333333333333</v>
      </c>
      <c r="CE58" s="13" t="n">
        <f aca="false">IF(AND(77&gt;=$U$19,N($V$19)&gt;0,77&lt;$U$19+N($V$19)*12,77&lt;=p_MesFin),$O$19*(1-$W$19)/(N($V$19)*12),0)</f>
        <v>833.333333333333</v>
      </c>
      <c r="CF58" s="13" t="n">
        <f aca="false">IF(AND(78&gt;=$U$19,N($V$19)&gt;0,78&lt;$U$19+N($V$19)*12,78&lt;=p_MesFin),$O$19*(1-$W$19)/(N($V$19)*12),0)</f>
        <v>833.333333333333</v>
      </c>
      <c r="CG58" s="13" t="n">
        <f aca="false">IF(AND(79&gt;=$U$19,N($V$19)&gt;0,79&lt;$U$19+N($V$19)*12,79&lt;=p_MesFin),$O$19*(1-$W$19)/(N($V$19)*12),0)</f>
        <v>833.333333333333</v>
      </c>
      <c r="CH58" s="13" t="n">
        <f aca="false">IF(AND(80&gt;=$U$19,N($V$19)&gt;0,80&lt;$U$19+N($V$19)*12,80&lt;=p_MesFin),$O$19*(1-$W$19)/(N($V$19)*12),0)</f>
        <v>833.333333333333</v>
      </c>
      <c r="CI58" s="13" t="n">
        <f aca="false">IF(AND(81&gt;=$U$19,N($V$19)&gt;0,81&lt;$U$19+N($V$19)*12,81&lt;=p_MesFin),$O$19*(1-$W$19)/(N($V$19)*12),0)</f>
        <v>833.333333333333</v>
      </c>
      <c r="CJ58" s="13" t="n">
        <f aca="false">IF(AND(82&gt;=$U$19,N($V$19)&gt;0,82&lt;$U$19+N($V$19)*12,82&lt;=p_MesFin),$O$19*(1-$W$19)/(N($V$19)*12),0)</f>
        <v>833.333333333333</v>
      </c>
      <c r="CK58" s="13" t="n">
        <f aca="false">IF(AND(83&gt;=$U$19,N($V$19)&gt;0,83&lt;$U$19+N($V$19)*12,83&lt;=p_MesFin),$O$19*(1-$W$19)/(N($V$19)*12),0)</f>
        <v>833.333333333333</v>
      </c>
      <c r="CL58" s="13" t="n">
        <f aca="false">IF(AND(84&gt;=$U$19,N($V$19)&gt;0,84&lt;$U$19+N($V$19)*12,84&lt;=p_MesFin),$O$19*(1-$W$19)/(N($V$19)*12),0)</f>
        <v>833.333333333333</v>
      </c>
      <c r="CM58" s="13" t="n">
        <f aca="false">IF(AND(85&gt;=$U$19,N($V$19)&gt;0,85&lt;$U$19+N($V$19)*12,85&lt;=p_MesFin),$O$19*(1-$W$19)/(N($V$19)*12),0)</f>
        <v>833.333333333333</v>
      </c>
      <c r="CN58" s="13" t="n">
        <f aca="false">IF(AND(86&gt;=$U$19,N($V$19)&gt;0,86&lt;$U$19+N($V$19)*12,86&lt;=p_MesFin),$O$19*(1-$W$19)/(N($V$19)*12),0)</f>
        <v>833.333333333333</v>
      </c>
      <c r="CO58" s="13" t="n">
        <f aca="false">IF(AND(87&gt;=$U$19,N($V$19)&gt;0,87&lt;$U$19+N($V$19)*12,87&lt;=p_MesFin),$O$19*(1-$W$19)/(N($V$19)*12),0)</f>
        <v>833.333333333333</v>
      </c>
      <c r="CP58" s="13" t="n">
        <f aca="false">IF(AND(88&gt;=$U$19,N($V$19)&gt;0,88&lt;$U$19+N($V$19)*12,88&lt;=p_MesFin),$O$19*(1-$W$19)/(N($V$19)*12),0)</f>
        <v>833.333333333333</v>
      </c>
      <c r="CQ58" s="13" t="n">
        <f aca="false">IF(AND(89&gt;=$U$19,N($V$19)&gt;0,89&lt;$U$19+N($V$19)*12,89&lt;=p_MesFin),$O$19*(1-$W$19)/(N($V$19)*12),0)</f>
        <v>833.333333333333</v>
      </c>
      <c r="CR58" s="13" t="n">
        <f aca="false">IF(AND(90&gt;=$U$19,N($V$19)&gt;0,90&lt;$U$19+N($V$19)*12,90&lt;=p_MesFin),$O$19*(1-$W$19)/(N($V$19)*12),0)</f>
        <v>833.333333333333</v>
      </c>
      <c r="CS58" s="13" t="n">
        <f aca="false">IF(AND(91&gt;=$U$19,N($V$19)&gt;0,91&lt;$U$19+N($V$19)*12,91&lt;=p_MesFin),$O$19*(1-$W$19)/(N($V$19)*12),0)</f>
        <v>833.333333333333</v>
      </c>
      <c r="CT58" s="13" t="n">
        <f aca="false">IF(AND(92&gt;=$U$19,N($V$19)&gt;0,92&lt;$U$19+N($V$19)*12,92&lt;=p_MesFin),$O$19*(1-$W$19)/(N($V$19)*12),0)</f>
        <v>833.333333333333</v>
      </c>
      <c r="CU58" s="13" t="n">
        <f aca="false">IF(AND(93&gt;=$U$19,N($V$19)&gt;0,93&lt;$U$19+N($V$19)*12,93&lt;=p_MesFin),$O$19*(1-$W$19)/(N($V$19)*12),0)</f>
        <v>833.333333333333</v>
      </c>
      <c r="CV58" s="13" t="n">
        <f aca="false">IF(AND(94&gt;=$U$19,N($V$19)&gt;0,94&lt;$U$19+N($V$19)*12,94&lt;=p_MesFin),$O$19*(1-$W$19)/(N($V$19)*12),0)</f>
        <v>833.333333333333</v>
      </c>
      <c r="CW58" s="13" t="n">
        <f aca="false">IF(AND(95&gt;=$U$19,N($V$19)&gt;0,95&lt;$U$19+N($V$19)*12,95&lt;=p_MesFin),$O$19*(1-$W$19)/(N($V$19)*12),0)</f>
        <v>833.333333333333</v>
      </c>
      <c r="CX58" s="13" t="n">
        <f aca="false">IF(AND(96&gt;=$U$19,N($V$19)&gt;0,96&lt;$U$19+N($V$19)*12,96&lt;=p_MesFin),$O$19*(1-$W$19)/(N($V$19)*12),0)</f>
        <v>833.333333333333</v>
      </c>
      <c r="CY58" s="13" t="n">
        <f aca="false">IF(AND(97&gt;=$U$19,N($V$19)&gt;0,97&lt;$U$19+N($V$19)*12,97&lt;=p_MesFin),$O$19*(1-$W$19)/(N($V$19)*12),0)</f>
        <v>833.333333333333</v>
      </c>
      <c r="CZ58" s="13" t="n">
        <f aca="false">IF(AND(98&gt;=$U$19,N($V$19)&gt;0,98&lt;$U$19+N($V$19)*12,98&lt;=p_MesFin),$O$19*(1-$W$19)/(N($V$19)*12),0)</f>
        <v>833.333333333333</v>
      </c>
      <c r="DA58" s="13" t="n">
        <f aca="false">IF(AND(99&gt;=$U$19,N($V$19)&gt;0,99&lt;$U$19+N($V$19)*12,99&lt;=p_MesFin),$O$19*(1-$W$19)/(N($V$19)*12),0)</f>
        <v>833.333333333333</v>
      </c>
      <c r="DB58" s="13" t="n">
        <f aca="false">IF(AND(100&gt;=$U$19,N($V$19)&gt;0,100&lt;$U$19+N($V$19)*12,100&lt;=p_MesFin),$O$19*(1-$W$19)/(N($V$19)*12),0)</f>
        <v>833.333333333333</v>
      </c>
      <c r="DC58" s="13" t="n">
        <f aca="false">IF(AND(101&gt;=$U$19,N($V$19)&gt;0,101&lt;$U$19+N($V$19)*12,101&lt;=p_MesFin),$O$19*(1-$W$19)/(N($V$19)*12),0)</f>
        <v>833.333333333333</v>
      </c>
      <c r="DD58" s="13" t="n">
        <f aca="false">IF(AND(102&gt;=$U$19,N($V$19)&gt;0,102&lt;$U$19+N($V$19)*12,102&lt;=p_MesFin),$O$19*(1-$W$19)/(N($V$19)*12),0)</f>
        <v>833.333333333333</v>
      </c>
      <c r="DE58" s="13" t="n">
        <f aca="false">IF(AND(103&gt;=$U$19,N($V$19)&gt;0,103&lt;$U$19+N($V$19)*12,103&lt;=p_MesFin),$O$19*(1-$W$19)/(N($V$19)*12),0)</f>
        <v>833.333333333333</v>
      </c>
      <c r="DF58" s="13" t="n">
        <f aca="false">IF(AND(104&gt;=$U$19,N($V$19)&gt;0,104&lt;$U$19+N($V$19)*12,104&lt;=p_MesFin),$O$19*(1-$W$19)/(N($V$19)*12),0)</f>
        <v>833.333333333333</v>
      </c>
      <c r="DG58" s="13" t="n">
        <f aca="false">IF(AND(105&gt;=$U$19,N($V$19)&gt;0,105&lt;$U$19+N($V$19)*12,105&lt;=p_MesFin),$O$19*(1-$W$19)/(N($V$19)*12),0)</f>
        <v>833.333333333333</v>
      </c>
      <c r="DH58" s="13" t="n">
        <f aca="false">IF(AND(106&gt;=$U$19,N($V$19)&gt;0,106&lt;$U$19+N($V$19)*12,106&lt;=p_MesFin),$O$19*(1-$W$19)/(N($V$19)*12),0)</f>
        <v>833.333333333333</v>
      </c>
      <c r="DI58" s="13" t="n">
        <f aca="false">IF(AND(107&gt;=$U$19,N($V$19)&gt;0,107&lt;$U$19+N($V$19)*12,107&lt;=p_MesFin),$O$19*(1-$W$19)/(N($V$19)*12),0)</f>
        <v>833.333333333333</v>
      </c>
      <c r="DJ58" s="13" t="n">
        <f aca="false">IF(AND(108&gt;=$U$19,N($V$19)&gt;0,108&lt;$U$19+N($V$19)*12,108&lt;=p_MesFin),$O$19*(1-$W$19)/(N($V$19)*12),0)</f>
        <v>833.333333333333</v>
      </c>
      <c r="DK58" s="13" t="n">
        <f aca="false">IF(AND(109&gt;=$U$19,N($V$19)&gt;0,109&lt;$U$19+N($V$19)*12,109&lt;=p_MesFin),$O$19*(1-$W$19)/(N($V$19)*12),0)</f>
        <v>833.333333333333</v>
      </c>
      <c r="DL58" s="13" t="n">
        <f aca="false">IF(AND(110&gt;=$U$19,N($V$19)&gt;0,110&lt;$U$19+N($V$19)*12,110&lt;=p_MesFin),$O$19*(1-$W$19)/(N($V$19)*12),0)</f>
        <v>833.333333333333</v>
      </c>
      <c r="DM58" s="13" t="n">
        <f aca="false">IF(AND(111&gt;=$U$19,N($V$19)&gt;0,111&lt;$U$19+N($V$19)*12,111&lt;=p_MesFin),$O$19*(1-$W$19)/(N($V$19)*12),0)</f>
        <v>833.333333333333</v>
      </c>
      <c r="DN58" s="13" t="n">
        <f aca="false">IF(AND(112&gt;=$U$19,N($V$19)&gt;0,112&lt;$U$19+N($V$19)*12,112&lt;=p_MesFin),$O$19*(1-$W$19)/(N($V$19)*12),0)</f>
        <v>833.333333333333</v>
      </c>
      <c r="DO58" s="13" t="n">
        <f aca="false">IF(AND(113&gt;=$U$19,N($V$19)&gt;0,113&lt;$U$19+N($V$19)*12,113&lt;=p_MesFin),$O$19*(1-$W$19)/(N($V$19)*12),0)</f>
        <v>833.333333333333</v>
      </c>
      <c r="DP58" s="13" t="n">
        <f aca="false">IF(AND(114&gt;=$U$19,N($V$19)&gt;0,114&lt;$U$19+N($V$19)*12,114&lt;=p_MesFin),$O$19*(1-$W$19)/(N($V$19)*12),0)</f>
        <v>833.333333333333</v>
      </c>
      <c r="DQ58" s="13" t="n">
        <f aca="false">IF(AND(115&gt;=$U$19,N($V$19)&gt;0,115&lt;$U$19+N($V$19)*12,115&lt;=p_MesFin),$O$19*(1-$W$19)/(N($V$19)*12),0)</f>
        <v>833.333333333333</v>
      </c>
      <c r="DR58" s="13" t="n">
        <f aca="false">IF(AND(116&gt;=$U$19,N($V$19)&gt;0,116&lt;$U$19+N($V$19)*12,116&lt;=p_MesFin),$O$19*(1-$W$19)/(N($V$19)*12),0)</f>
        <v>833.333333333333</v>
      </c>
      <c r="DS58" s="13" t="n">
        <f aca="false">IF(AND(117&gt;=$U$19,N($V$19)&gt;0,117&lt;$U$19+N($V$19)*12,117&lt;=p_MesFin),$O$19*(1-$W$19)/(N($V$19)*12),0)</f>
        <v>833.333333333333</v>
      </c>
      <c r="DT58" s="13" t="n">
        <f aca="false">IF(AND(118&gt;=$U$19,N($V$19)&gt;0,118&lt;$U$19+N($V$19)*12,118&lt;=p_MesFin),$O$19*(1-$W$19)/(N($V$19)*12),0)</f>
        <v>833.333333333333</v>
      </c>
      <c r="DU58" s="13" t="n">
        <f aca="false">IF(AND(119&gt;=$U$19,N($V$19)&gt;0,119&lt;$U$19+N($V$19)*12,119&lt;=p_MesFin),$O$19*(1-$W$19)/(N($V$19)*12),0)</f>
        <v>833.333333333333</v>
      </c>
      <c r="DV58" s="13" t="n">
        <f aca="false">IF(AND(120&gt;=$U$19,N($V$19)&gt;0,120&lt;$U$19+N($V$19)*12,120&lt;=p_MesFin),$O$19*(1-$W$19)/(N($V$19)*12),0)</f>
        <v>833.333333333333</v>
      </c>
      <c r="DW58" s="13" t="n">
        <f aca="false">IF(AND(121&gt;=$U$19,N($V$19)&gt;0,121&lt;$U$19+N($V$19)*12,121&lt;=p_MesFin),$O$19*(1-$W$19)/(N($V$19)*12),0)</f>
        <v>0</v>
      </c>
      <c r="DX58" s="13" t="n">
        <f aca="false">IF(AND(122&gt;=$U$19,N($V$19)&gt;0,122&lt;$U$19+N($V$19)*12,122&lt;=p_MesFin),$O$19*(1-$W$19)/(N($V$19)*12),0)</f>
        <v>0</v>
      </c>
      <c r="DY58" s="13" t="n">
        <f aca="false">IF(AND(123&gt;=$U$19,N($V$19)&gt;0,123&lt;$U$19+N($V$19)*12,123&lt;=p_MesFin),$O$19*(1-$W$19)/(N($V$19)*12),0)</f>
        <v>0</v>
      </c>
      <c r="DZ58" s="13" t="n">
        <f aca="false">IF(AND(124&gt;=$U$19,N($V$19)&gt;0,124&lt;$U$19+N($V$19)*12,124&lt;=p_MesFin),$O$19*(1-$W$19)/(N($V$19)*12),0)</f>
        <v>0</v>
      </c>
      <c r="EA58" s="13" t="n">
        <f aca="false">IF(AND(125&gt;=$U$19,N($V$19)&gt;0,125&lt;$U$19+N($V$19)*12,125&lt;=p_MesFin),$O$19*(1-$W$19)/(N($V$19)*12),0)</f>
        <v>0</v>
      </c>
      <c r="EB58" s="13" t="n">
        <f aca="false">IF(AND(126&gt;=$U$19,N($V$19)&gt;0,126&lt;$U$19+N($V$19)*12,126&lt;=p_MesFin),$O$19*(1-$W$19)/(N($V$19)*12),0)</f>
        <v>0</v>
      </c>
      <c r="EC58" s="13" t="n">
        <f aca="false">IF(AND(127&gt;=$U$19,N($V$19)&gt;0,127&lt;$U$19+N($V$19)*12,127&lt;=p_MesFin),$O$19*(1-$W$19)/(N($V$19)*12),0)</f>
        <v>0</v>
      </c>
      <c r="ED58" s="13" t="n">
        <f aca="false">IF(AND(128&gt;=$U$19,N($V$19)&gt;0,128&lt;$U$19+N($V$19)*12,128&lt;=p_MesFin),$O$19*(1-$W$19)/(N($V$19)*12),0)</f>
        <v>0</v>
      </c>
      <c r="EE58" s="13" t="n">
        <f aca="false">IF(AND(129&gt;=$U$19,N($V$19)&gt;0,129&lt;$U$19+N($V$19)*12,129&lt;=p_MesFin),$O$19*(1-$W$19)/(N($V$19)*12),0)</f>
        <v>0</v>
      </c>
      <c r="EF58" s="13" t="n">
        <f aca="false">IF(AND(130&gt;=$U$19,N($V$19)&gt;0,130&lt;$U$19+N($V$19)*12,130&lt;=p_MesFin),$O$19*(1-$W$19)/(N($V$19)*12),0)</f>
        <v>0</v>
      </c>
      <c r="EG58" s="13" t="n">
        <f aca="false">IF(AND(131&gt;=$U$19,N($V$19)&gt;0,131&lt;$U$19+N($V$19)*12,131&lt;=p_MesFin),$O$19*(1-$W$19)/(N($V$19)*12),0)</f>
        <v>0</v>
      </c>
      <c r="EH58" s="13" t="n">
        <f aca="false">IF(AND(132&gt;=$U$19,N($V$19)&gt;0,132&lt;$U$19+N($V$19)*12,132&lt;=p_MesFin),$O$19*(1-$W$19)/(N($V$19)*12),0)</f>
        <v>0</v>
      </c>
      <c r="EI58" s="13" t="n">
        <f aca="false">IF(AND(133&gt;=$U$19,N($V$19)&gt;0,133&lt;$U$19+N($V$19)*12,133&lt;=p_MesFin),$O$19*(1-$W$19)/(N($V$19)*12),0)</f>
        <v>0</v>
      </c>
      <c r="EJ58" s="13" t="n">
        <f aca="false">IF(AND(134&gt;=$U$19,N($V$19)&gt;0,134&lt;$U$19+N($V$19)*12,134&lt;=p_MesFin),$O$19*(1-$W$19)/(N($V$19)*12),0)</f>
        <v>0</v>
      </c>
      <c r="EK58" s="13" t="n">
        <f aca="false">IF(AND(135&gt;=$U$19,N($V$19)&gt;0,135&lt;$U$19+N($V$19)*12,135&lt;=p_MesFin),$O$19*(1-$W$19)/(N($V$19)*12),0)</f>
        <v>0</v>
      </c>
      <c r="EL58" s="13" t="n">
        <f aca="false">IF(AND(136&gt;=$U$19,N($V$19)&gt;0,136&lt;$U$19+N($V$19)*12,136&lt;=p_MesFin),$O$19*(1-$W$19)/(N($V$19)*12),0)</f>
        <v>0</v>
      </c>
      <c r="EM58" s="13" t="n">
        <f aca="false">IF(AND(137&gt;=$U$19,N($V$19)&gt;0,137&lt;$U$19+N($V$19)*12,137&lt;=p_MesFin),$O$19*(1-$W$19)/(N($V$19)*12),0)</f>
        <v>0</v>
      </c>
      <c r="EN58" s="13" t="n">
        <f aca="false">IF(AND(138&gt;=$U$19,N($V$19)&gt;0,138&lt;$U$19+N($V$19)*12,138&lt;=p_MesFin),$O$19*(1-$W$19)/(N($V$19)*12),0)</f>
        <v>0</v>
      </c>
      <c r="EO58" s="13" t="n">
        <f aca="false">IF(AND(139&gt;=$U$19,N($V$19)&gt;0,139&lt;$U$19+N($V$19)*12,139&lt;=p_MesFin),$O$19*(1-$W$19)/(N($V$19)*12),0)</f>
        <v>0</v>
      </c>
      <c r="EP58" s="13" t="n">
        <f aca="false">IF(AND(140&gt;=$U$19,N($V$19)&gt;0,140&lt;$U$19+N($V$19)*12,140&lt;=p_MesFin),$O$19*(1-$W$19)/(N($V$19)*12),0)</f>
        <v>0</v>
      </c>
      <c r="EQ58" s="13" t="n">
        <f aca="false">IF(AND(141&gt;=$U$19,N($V$19)&gt;0,141&lt;$U$19+N($V$19)*12,141&lt;=p_MesFin),$O$19*(1-$W$19)/(N($V$19)*12),0)</f>
        <v>0</v>
      </c>
      <c r="ER58" s="13" t="n">
        <f aca="false">IF(AND(142&gt;=$U$19,N($V$19)&gt;0,142&lt;$U$19+N($V$19)*12,142&lt;=p_MesFin),$O$19*(1-$W$19)/(N($V$19)*12),0)</f>
        <v>0</v>
      </c>
      <c r="ES58" s="13" t="n">
        <f aca="false">IF(AND(143&gt;=$U$19,N($V$19)&gt;0,143&lt;$U$19+N($V$19)*12,143&lt;=p_MesFin),$O$19*(1-$W$19)/(N($V$19)*12),0)</f>
        <v>0</v>
      </c>
      <c r="ET58" s="13" t="n">
        <f aca="false">IF(AND(144&gt;=$U$19,N($V$19)&gt;0,144&lt;$U$19+N($V$19)*12,144&lt;=p_MesFin),$O$19*(1-$W$19)/(N($V$19)*12),0)</f>
        <v>0</v>
      </c>
      <c r="EU58" s="13" t="n">
        <f aca="false">IF(AND(145&gt;=$U$19,N($V$19)&gt;0,145&lt;$U$19+N($V$19)*12,145&lt;=p_MesFin),$O$19*(1-$W$19)/(N($V$19)*12),0)</f>
        <v>0</v>
      </c>
      <c r="EV58" s="13" t="n">
        <f aca="false">IF(AND(146&gt;=$U$19,N($V$19)&gt;0,146&lt;$U$19+N($V$19)*12,146&lt;=p_MesFin),$O$19*(1-$W$19)/(N($V$19)*12),0)</f>
        <v>0</v>
      </c>
      <c r="EW58" s="13" t="n">
        <f aca="false">IF(AND(147&gt;=$U$19,N($V$19)&gt;0,147&lt;$U$19+N($V$19)*12,147&lt;=p_MesFin),$O$19*(1-$W$19)/(N($V$19)*12),0)</f>
        <v>0</v>
      </c>
      <c r="EX58" s="13" t="n">
        <f aca="false">IF(AND(148&gt;=$U$19,N($V$19)&gt;0,148&lt;$U$19+N($V$19)*12,148&lt;=p_MesFin),$O$19*(1-$W$19)/(N($V$19)*12),0)</f>
        <v>0</v>
      </c>
      <c r="EY58" s="13" t="n">
        <f aca="false">IF(AND(149&gt;=$U$19,N($V$19)&gt;0,149&lt;$U$19+N($V$19)*12,149&lt;=p_MesFin),$O$19*(1-$W$19)/(N($V$19)*12),0)</f>
        <v>0</v>
      </c>
      <c r="EZ58" s="13" t="n">
        <f aca="false">IF(AND(150&gt;=$U$19,N($V$19)&gt;0,150&lt;$U$19+N($V$19)*12,150&lt;=p_MesFin),$O$19*(1-$W$19)/(N($V$19)*12),0)</f>
        <v>0</v>
      </c>
      <c r="FA58" s="13" t="n">
        <f aca="false">IF(AND(151&gt;=$U$19,N($V$19)&gt;0,151&lt;$U$19+N($V$19)*12,151&lt;=p_MesFin),$O$19*(1-$W$19)/(N($V$19)*12),0)</f>
        <v>0</v>
      </c>
      <c r="FB58" s="13" t="n">
        <f aca="false">IF(AND(152&gt;=$U$19,N($V$19)&gt;0,152&lt;$U$19+N($V$19)*12,152&lt;=p_MesFin),$O$19*(1-$W$19)/(N($V$19)*12),0)</f>
        <v>0</v>
      </c>
      <c r="FC58" s="13" t="n">
        <f aca="false">IF(AND(153&gt;=$U$19,N($V$19)&gt;0,153&lt;$U$19+N($V$19)*12,153&lt;=p_MesFin),$O$19*(1-$W$19)/(N($V$19)*12),0)</f>
        <v>0</v>
      </c>
      <c r="FD58" s="13" t="n">
        <f aca="false">IF(AND(154&gt;=$U$19,N($V$19)&gt;0,154&lt;$U$19+N($V$19)*12,154&lt;=p_MesFin),$O$19*(1-$W$19)/(N($V$19)*12),0)</f>
        <v>0</v>
      </c>
      <c r="FE58" s="13" t="n">
        <f aca="false">IF(AND(155&gt;=$U$19,N($V$19)&gt;0,155&lt;$U$19+N($V$19)*12,155&lt;=p_MesFin),$O$19*(1-$W$19)/(N($V$19)*12),0)</f>
        <v>0</v>
      </c>
      <c r="FF58" s="13" t="n">
        <f aca="false">IF(AND(156&gt;=$U$19,N($V$19)&gt;0,156&lt;$U$19+N($V$19)*12,156&lt;=p_MesFin),$O$19*(1-$W$19)/(N($V$19)*12),0)</f>
        <v>0</v>
      </c>
    </row>
    <row r="59" customFormat="false" ht="15" hidden="false" customHeight="false" outlineLevel="0" collapsed="false">
      <c r="A59" s="2" t="s">
        <v>1266</v>
      </c>
      <c r="B59" s="8" t="s">
        <v>1267</v>
      </c>
      <c r="C59" s="8" t="s">
        <v>255</v>
      </c>
      <c r="E59" s="65" t="n">
        <f aca="false">SUM($F59:$FF59)</f>
        <v>0</v>
      </c>
      <c r="F59" s="13" t="n">
        <f aca="false">IF(AND(0&gt;=$U$20,N($V$20)&gt;0,0&lt;$U$20+N($V$20)*12,0&lt;=p_MesFin),$O$20*(1-$W$20)/(N($V$20)*12),0)</f>
        <v>0</v>
      </c>
      <c r="G59" s="13" t="n">
        <f aca="false">IF(AND(1&gt;=$U$20,N($V$20)&gt;0,1&lt;$U$20+N($V$20)*12,1&lt;=p_MesFin),$O$20*(1-$W$20)/(N($V$20)*12),0)</f>
        <v>0</v>
      </c>
      <c r="H59" s="13" t="n">
        <f aca="false">IF(AND(2&gt;=$U$20,N($V$20)&gt;0,2&lt;$U$20+N($V$20)*12,2&lt;=p_MesFin),$O$20*(1-$W$20)/(N($V$20)*12),0)</f>
        <v>0</v>
      </c>
      <c r="I59" s="13" t="n">
        <f aca="false">IF(AND(3&gt;=$U$20,N($V$20)&gt;0,3&lt;$U$20+N($V$20)*12,3&lt;=p_MesFin),$O$20*(1-$W$20)/(N($V$20)*12),0)</f>
        <v>0</v>
      </c>
      <c r="J59" s="13" t="n">
        <f aca="false">IF(AND(4&gt;=$U$20,N($V$20)&gt;0,4&lt;$U$20+N($V$20)*12,4&lt;=p_MesFin),$O$20*(1-$W$20)/(N($V$20)*12),0)</f>
        <v>0</v>
      </c>
      <c r="K59" s="13" t="n">
        <f aca="false">IF(AND(5&gt;=$U$20,N($V$20)&gt;0,5&lt;$U$20+N($V$20)*12,5&lt;=p_MesFin),$O$20*(1-$W$20)/(N($V$20)*12),0)</f>
        <v>0</v>
      </c>
      <c r="L59" s="13" t="n">
        <f aca="false">IF(AND(6&gt;=$U$20,N($V$20)&gt;0,6&lt;$U$20+N($V$20)*12,6&lt;=p_MesFin),$O$20*(1-$W$20)/(N($V$20)*12),0)</f>
        <v>0</v>
      </c>
      <c r="M59" s="13" t="n">
        <f aca="false">IF(AND(7&gt;=$U$20,N($V$20)&gt;0,7&lt;$U$20+N($V$20)*12,7&lt;=p_MesFin),$O$20*(1-$W$20)/(N($V$20)*12),0)</f>
        <v>0</v>
      </c>
      <c r="N59" s="13" t="n">
        <f aca="false">IF(AND(8&gt;=$U$20,N($V$20)&gt;0,8&lt;$U$20+N($V$20)*12,8&lt;=p_MesFin),$O$20*(1-$W$20)/(N($V$20)*12),0)</f>
        <v>0</v>
      </c>
      <c r="O59" s="13" t="n">
        <f aca="false">IF(AND(9&gt;=$U$20,N($V$20)&gt;0,9&lt;$U$20+N($V$20)*12,9&lt;=p_MesFin),$O$20*(1-$W$20)/(N($V$20)*12),0)</f>
        <v>0</v>
      </c>
      <c r="P59" s="13" t="n">
        <f aca="false">IF(AND(10&gt;=$U$20,N($V$20)&gt;0,10&lt;$U$20+N($V$20)*12,10&lt;=p_MesFin),$O$20*(1-$W$20)/(N($V$20)*12),0)</f>
        <v>0</v>
      </c>
      <c r="Q59" s="13" t="n">
        <f aca="false">IF(AND(11&gt;=$U$20,N($V$20)&gt;0,11&lt;$U$20+N($V$20)*12,11&lt;=p_MesFin),$O$20*(1-$W$20)/(N($V$20)*12),0)</f>
        <v>0</v>
      </c>
      <c r="R59" s="13" t="n">
        <f aca="false">IF(AND(12&gt;=$U$20,N($V$20)&gt;0,12&lt;$U$20+N($V$20)*12,12&lt;=p_MesFin),$O$20*(1-$W$20)/(N($V$20)*12),0)</f>
        <v>0</v>
      </c>
      <c r="S59" s="13" t="n">
        <f aca="false">IF(AND(13&gt;=$U$20,N($V$20)&gt;0,13&lt;$U$20+N($V$20)*12,13&lt;=p_MesFin),$O$20*(1-$W$20)/(N($V$20)*12),0)</f>
        <v>0</v>
      </c>
      <c r="T59" s="13" t="n">
        <f aca="false">IF(AND(14&gt;=$U$20,N($V$20)&gt;0,14&lt;$U$20+N($V$20)*12,14&lt;=p_MesFin),$O$20*(1-$W$20)/(N($V$20)*12),0)</f>
        <v>0</v>
      </c>
      <c r="U59" s="13" t="n">
        <f aca="false">IF(AND(15&gt;=$U$20,N($V$20)&gt;0,15&lt;$U$20+N($V$20)*12,15&lt;=p_MesFin),$O$20*(1-$W$20)/(N($V$20)*12),0)</f>
        <v>0</v>
      </c>
      <c r="V59" s="13" t="n">
        <f aca="false">IF(AND(16&gt;=$U$20,N($V$20)&gt;0,16&lt;$U$20+N($V$20)*12,16&lt;=p_MesFin),$O$20*(1-$W$20)/(N($V$20)*12),0)</f>
        <v>0</v>
      </c>
      <c r="W59" s="13" t="n">
        <f aca="false">IF(AND(17&gt;=$U$20,N($V$20)&gt;0,17&lt;$U$20+N($V$20)*12,17&lt;=p_MesFin),$O$20*(1-$W$20)/(N($V$20)*12),0)</f>
        <v>0</v>
      </c>
      <c r="X59" s="13" t="n">
        <f aca="false">IF(AND(18&gt;=$U$20,N($V$20)&gt;0,18&lt;$U$20+N($V$20)*12,18&lt;=p_MesFin),$O$20*(1-$W$20)/(N($V$20)*12),0)</f>
        <v>0</v>
      </c>
      <c r="Y59" s="13" t="n">
        <f aca="false">IF(AND(19&gt;=$U$20,N($V$20)&gt;0,19&lt;$U$20+N($V$20)*12,19&lt;=p_MesFin),$O$20*(1-$W$20)/(N($V$20)*12),0)</f>
        <v>0</v>
      </c>
      <c r="Z59" s="13" t="n">
        <f aca="false">IF(AND(20&gt;=$U$20,N($V$20)&gt;0,20&lt;$U$20+N($V$20)*12,20&lt;=p_MesFin),$O$20*(1-$W$20)/(N($V$20)*12),0)</f>
        <v>0</v>
      </c>
      <c r="AA59" s="13" t="n">
        <f aca="false">IF(AND(21&gt;=$U$20,N($V$20)&gt;0,21&lt;$U$20+N($V$20)*12,21&lt;=p_MesFin),$O$20*(1-$W$20)/(N($V$20)*12),0)</f>
        <v>0</v>
      </c>
      <c r="AB59" s="13" t="n">
        <f aca="false">IF(AND(22&gt;=$U$20,N($V$20)&gt;0,22&lt;$U$20+N($V$20)*12,22&lt;=p_MesFin),$O$20*(1-$W$20)/(N($V$20)*12),0)</f>
        <v>0</v>
      </c>
      <c r="AC59" s="13" t="n">
        <f aca="false">IF(AND(23&gt;=$U$20,N($V$20)&gt;0,23&lt;$U$20+N($V$20)*12,23&lt;=p_MesFin),$O$20*(1-$W$20)/(N($V$20)*12),0)</f>
        <v>0</v>
      </c>
      <c r="AD59" s="13" t="n">
        <f aca="false">IF(AND(24&gt;=$U$20,N($V$20)&gt;0,24&lt;$U$20+N($V$20)*12,24&lt;=p_MesFin),$O$20*(1-$W$20)/(N($V$20)*12),0)</f>
        <v>0</v>
      </c>
      <c r="AE59" s="13" t="n">
        <f aca="false">IF(AND(25&gt;=$U$20,N($V$20)&gt;0,25&lt;$U$20+N($V$20)*12,25&lt;=p_MesFin),$O$20*(1-$W$20)/(N($V$20)*12),0)</f>
        <v>0</v>
      </c>
      <c r="AF59" s="13" t="n">
        <f aca="false">IF(AND(26&gt;=$U$20,N($V$20)&gt;0,26&lt;$U$20+N($V$20)*12,26&lt;=p_MesFin),$O$20*(1-$W$20)/(N($V$20)*12),0)</f>
        <v>0</v>
      </c>
      <c r="AG59" s="13" t="n">
        <f aca="false">IF(AND(27&gt;=$U$20,N($V$20)&gt;0,27&lt;$U$20+N($V$20)*12,27&lt;=p_MesFin),$O$20*(1-$W$20)/(N($V$20)*12),0)</f>
        <v>0</v>
      </c>
      <c r="AH59" s="13" t="n">
        <f aca="false">IF(AND(28&gt;=$U$20,N($V$20)&gt;0,28&lt;$U$20+N($V$20)*12,28&lt;=p_MesFin),$O$20*(1-$W$20)/(N($V$20)*12),0)</f>
        <v>0</v>
      </c>
      <c r="AI59" s="13" t="n">
        <f aca="false">IF(AND(29&gt;=$U$20,N($V$20)&gt;0,29&lt;$U$20+N($V$20)*12,29&lt;=p_MesFin),$O$20*(1-$W$20)/(N($V$20)*12),0)</f>
        <v>0</v>
      </c>
      <c r="AJ59" s="13" t="n">
        <f aca="false">IF(AND(30&gt;=$U$20,N($V$20)&gt;0,30&lt;$U$20+N($V$20)*12,30&lt;=p_MesFin),$O$20*(1-$W$20)/(N($V$20)*12),0)</f>
        <v>0</v>
      </c>
      <c r="AK59" s="13" t="n">
        <f aca="false">IF(AND(31&gt;=$U$20,N($V$20)&gt;0,31&lt;$U$20+N($V$20)*12,31&lt;=p_MesFin),$O$20*(1-$W$20)/(N($V$20)*12),0)</f>
        <v>0</v>
      </c>
      <c r="AL59" s="13" t="n">
        <f aca="false">IF(AND(32&gt;=$U$20,N($V$20)&gt;0,32&lt;$U$20+N($V$20)*12,32&lt;=p_MesFin),$O$20*(1-$W$20)/(N($V$20)*12),0)</f>
        <v>0</v>
      </c>
      <c r="AM59" s="13" t="n">
        <f aca="false">IF(AND(33&gt;=$U$20,N($V$20)&gt;0,33&lt;$U$20+N($V$20)*12,33&lt;=p_MesFin),$O$20*(1-$W$20)/(N($V$20)*12),0)</f>
        <v>0</v>
      </c>
      <c r="AN59" s="13" t="n">
        <f aca="false">IF(AND(34&gt;=$U$20,N($V$20)&gt;0,34&lt;$U$20+N($V$20)*12,34&lt;=p_MesFin),$O$20*(1-$W$20)/(N($V$20)*12),0)</f>
        <v>0</v>
      </c>
      <c r="AO59" s="13" t="n">
        <f aca="false">IF(AND(35&gt;=$U$20,N($V$20)&gt;0,35&lt;$U$20+N($V$20)*12,35&lt;=p_MesFin),$O$20*(1-$W$20)/(N($V$20)*12),0)</f>
        <v>0</v>
      </c>
      <c r="AP59" s="13" t="n">
        <f aca="false">IF(AND(36&gt;=$U$20,N($V$20)&gt;0,36&lt;$U$20+N($V$20)*12,36&lt;=p_MesFin),$O$20*(1-$W$20)/(N($V$20)*12),0)</f>
        <v>0</v>
      </c>
      <c r="AQ59" s="13" t="n">
        <f aca="false">IF(AND(37&gt;=$U$20,N($V$20)&gt;0,37&lt;$U$20+N($V$20)*12,37&lt;=p_MesFin),$O$20*(1-$W$20)/(N($V$20)*12),0)</f>
        <v>0</v>
      </c>
      <c r="AR59" s="13" t="n">
        <f aca="false">IF(AND(38&gt;=$U$20,N($V$20)&gt;0,38&lt;$U$20+N($V$20)*12,38&lt;=p_MesFin),$O$20*(1-$W$20)/(N($V$20)*12),0)</f>
        <v>0</v>
      </c>
      <c r="AS59" s="13" t="n">
        <f aca="false">IF(AND(39&gt;=$U$20,N($V$20)&gt;0,39&lt;$U$20+N($V$20)*12,39&lt;=p_MesFin),$O$20*(1-$W$20)/(N($V$20)*12),0)</f>
        <v>0</v>
      </c>
      <c r="AT59" s="13" t="n">
        <f aca="false">IF(AND(40&gt;=$U$20,N($V$20)&gt;0,40&lt;$U$20+N($V$20)*12,40&lt;=p_MesFin),$O$20*(1-$W$20)/(N($V$20)*12),0)</f>
        <v>0</v>
      </c>
      <c r="AU59" s="13" t="n">
        <f aca="false">IF(AND(41&gt;=$U$20,N($V$20)&gt;0,41&lt;$U$20+N($V$20)*12,41&lt;=p_MesFin),$O$20*(1-$W$20)/(N($V$20)*12),0)</f>
        <v>0</v>
      </c>
      <c r="AV59" s="13" t="n">
        <f aca="false">IF(AND(42&gt;=$U$20,N($V$20)&gt;0,42&lt;$U$20+N($V$20)*12,42&lt;=p_MesFin),$O$20*(1-$W$20)/(N($V$20)*12),0)</f>
        <v>0</v>
      </c>
      <c r="AW59" s="13" t="n">
        <f aca="false">IF(AND(43&gt;=$U$20,N($V$20)&gt;0,43&lt;$U$20+N($V$20)*12,43&lt;=p_MesFin),$O$20*(1-$W$20)/(N($V$20)*12),0)</f>
        <v>0</v>
      </c>
      <c r="AX59" s="13" t="n">
        <f aca="false">IF(AND(44&gt;=$U$20,N($V$20)&gt;0,44&lt;$U$20+N($V$20)*12,44&lt;=p_MesFin),$O$20*(1-$W$20)/(N($V$20)*12),0)</f>
        <v>0</v>
      </c>
      <c r="AY59" s="13" t="n">
        <f aca="false">IF(AND(45&gt;=$U$20,N($V$20)&gt;0,45&lt;$U$20+N($V$20)*12,45&lt;=p_MesFin),$O$20*(1-$W$20)/(N($V$20)*12),0)</f>
        <v>0</v>
      </c>
      <c r="AZ59" s="13" t="n">
        <f aca="false">IF(AND(46&gt;=$U$20,N($V$20)&gt;0,46&lt;$U$20+N($V$20)*12,46&lt;=p_MesFin),$O$20*(1-$W$20)/(N($V$20)*12),0)</f>
        <v>0</v>
      </c>
      <c r="BA59" s="13" t="n">
        <f aca="false">IF(AND(47&gt;=$U$20,N($V$20)&gt;0,47&lt;$U$20+N($V$20)*12,47&lt;=p_MesFin),$O$20*(1-$W$20)/(N($V$20)*12),0)</f>
        <v>0</v>
      </c>
      <c r="BB59" s="13" t="n">
        <f aca="false">IF(AND(48&gt;=$U$20,N($V$20)&gt;0,48&lt;$U$20+N($V$20)*12,48&lt;=p_MesFin),$O$20*(1-$W$20)/(N($V$20)*12),0)</f>
        <v>0</v>
      </c>
      <c r="BC59" s="13" t="n">
        <f aca="false">IF(AND(49&gt;=$U$20,N($V$20)&gt;0,49&lt;$U$20+N($V$20)*12,49&lt;=p_MesFin),$O$20*(1-$W$20)/(N($V$20)*12),0)</f>
        <v>0</v>
      </c>
      <c r="BD59" s="13" t="n">
        <f aca="false">IF(AND(50&gt;=$U$20,N($V$20)&gt;0,50&lt;$U$20+N($V$20)*12,50&lt;=p_MesFin),$O$20*(1-$W$20)/(N($V$20)*12),0)</f>
        <v>0</v>
      </c>
      <c r="BE59" s="13" t="n">
        <f aca="false">IF(AND(51&gt;=$U$20,N($V$20)&gt;0,51&lt;$U$20+N($V$20)*12,51&lt;=p_MesFin),$O$20*(1-$W$20)/(N($V$20)*12),0)</f>
        <v>0</v>
      </c>
      <c r="BF59" s="13" t="n">
        <f aca="false">IF(AND(52&gt;=$U$20,N($V$20)&gt;0,52&lt;$U$20+N($V$20)*12,52&lt;=p_MesFin),$O$20*(1-$W$20)/(N($V$20)*12),0)</f>
        <v>0</v>
      </c>
      <c r="BG59" s="13" t="n">
        <f aca="false">IF(AND(53&gt;=$U$20,N($V$20)&gt;0,53&lt;$U$20+N($V$20)*12,53&lt;=p_MesFin),$O$20*(1-$W$20)/(N($V$20)*12),0)</f>
        <v>0</v>
      </c>
      <c r="BH59" s="13" t="n">
        <f aca="false">IF(AND(54&gt;=$U$20,N($V$20)&gt;0,54&lt;$U$20+N($V$20)*12,54&lt;=p_MesFin),$O$20*(1-$W$20)/(N($V$20)*12),0)</f>
        <v>0</v>
      </c>
      <c r="BI59" s="13" t="n">
        <f aca="false">IF(AND(55&gt;=$U$20,N($V$20)&gt;0,55&lt;$U$20+N($V$20)*12,55&lt;=p_MesFin),$O$20*(1-$W$20)/(N($V$20)*12),0)</f>
        <v>0</v>
      </c>
      <c r="BJ59" s="13" t="n">
        <f aca="false">IF(AND(56&gt;=$U$20,N($V$20)&gt;0,56&lt;$U$20+N($V$20)*12,56&lt;=p_MesFin),$O$20*(1-$W$20)/(N($V$20)*12),0)</f>
        <v>0</v>
      </c>
      <c r="BK59" s="13" t="n">
        <f aca="false">IF(AND(57&gt;=$U$20,N($V$20)&gt;0,57&lt;$U$20+N($V$20)*12,57&lt;=p_MesFin),$O$20*(1-$W$20)/(N($V$20)*12),0)</f>
        <v>0</v>
      </c>
      <c r="BL59" s="13" t="n">
        <f aca="false">IF(AND(58&gt;=$U$20,N($V$20)&gt;0,58&lt;$U$20+N($V$20)*12,58&lt;=p_MesFin),$O$20*(1-$W$20)/(N($V$20)*12),0)</f>
        <v>0</v>
      </c>
      <c r="BM59" s="13" t="n">
        <f aca="false">IF(AND(59&gt;=$U$20,N($V$20)&gt;0,59&lt;$U$20+N($V$20)*12,59&lt;=p_MesFin),$O$20*(1-$W$20)/(N($V$20)*12),0)</f>
        <v>0</v>
      </c>
      <c r="BN59" s="13" t="n">
        <f aca="false">IF(AND(60&gt;=$U$20,N($V$20)&gt;0,60&lt;$U$20+N($V$20)*12,60&lt;=p_MesFin),$O$20*(1-$W$20)/(N($V$20)*12),0)</f>
        <v>0</v>
      </c>
      <c r="BO59" s="13" t="n">
        <f aca="false">IF(AND(61&gt;=$U$20,N($V$20)&gt;0,61&lt;$U$20+N($V$20)*12,61&lt;=p_MesFin),$O$20*(1-$W$20)/(N($V$20)*12),0)</f>
        <v>0</v>
      </c>
      <c r="BP59" s="13" t="n">
        <f aca="false">IF(AND(62&gt;=$U$20,N($V$20)&gt;0,62&lt;$U$20+N($V$20)*12,62&lt;=p_MesFin),$O$20*(1-$W$20)/(N($V$20)*12),0)</f>
        <v>0</v>
      </c>
      <c r="BQ59" s="13" t="n">
        <f aca="false">IF(AND(63&gt;=$U$20,N($V$20)&gt;0,63&lt;$U$20+N($V$20)*12,63&lt;=p_MesFin),$O$20*(1-$W$20)/(N($V$20)*12),0)</f>
        <v>0</v>
      </c>
      <c r="BR59" s="13" t="n">
        <f aca="false">IF(AND(64&gt;=$U$20,N($V$20)&gt;0,64&lt;$U$20+N($V$20)*12,64&lt;=p_MesFin),$O$20*(1-$W$20)/(N($V$20)*12),0)</f>
        <v>0</v>
      </c>
      <c r="BS59" s="13" t="n">
        <f aca="false">IF(AND(65&gt;=$U$20,N($V$20)&gt;0,65&lt;$U$20+N($V$20)*12,65&lt;=p_MesFin),$O$20*(1-$W$20)/(N($V$20)*12),0)</f>
        <v>0</v>
      </c>
      <c r="BT59" s="13" t="n">
        <f aca="false">IF(AND(66&gt;=$U$20,N($V$20)&gt;0,66&lt;$U$20+N($V$20)*12,66&lt;=p_MesFin),$O$20*(1-$W$20)/(N($V$20)*12),0)</f>
        <v>0</v>
      </c>
      <c r="BU59" s="13" t="n">
        <f aca="false">IF(AND(67&gt;=$U$20,N($V$20)&gt;0,67&lt;$U$20+N($V$20)*12,67&lt;=p_MesFin),$O$20*(1-$W$20)/(N($V$20)*12),0)</f>
        <v>0</v>
      </c>
      <c r="BV59" s="13" t="n">
        <f aca="false">IF(AND(68&gt;=$U$20,N($V$20)&gt;0,68&lt;$U$20+N($V$20)*12,68&lt;=p_MesFin),$O$20*(1-$W$20)/(N($V$20)*12),0)</f>
        <v>0</v>
      </c>
      <c r="BW59" s="13" t="n">
        <f aca="false">IF(AND(69&gt;=$U$20,N($V$20)&gt;0,69&lt;$U$20+N($V$20)*12,69&lt;=p_MesFin),$O$20*(1-$W$20)/(N($V$20)*12),0)</f>
        <v>0</v>
      </c>
      <c r="BX59" s="13" t="n">
        <f aca="false">IF(AND(70&gt;=$U$20,N($V$20)&gt;0,70&lt;$U$20+N($V$20)*12,70&lt;=p_MesFin),$O$20*(1-$W$20)/(N($V$20)*12),0)</f>
        <v>0</v>
      </c>
      <c r="BY59" s="13" t="n">
        <f aca="false">IF(AND(71&gt;=$U$20,N($V$20)&gt;0,71&lt;$U$20+N($V$20)*12,71&lt;=p_MesFin),$O$20*(1-$W$20)/(N($V$20)*12),0)</f>
        <v>0</v>
      </c>
      <c r="BZ59" s="13" t="n">
        <f aca="false">IF(AND(72&gt;=$U$20,N($V$20)&gt;0,72&lt;$U$20+N($V$20)*12,72&lt;=p_MesFin),$O$20*(1-$W$20)/(N($V$20)*12),0)</f>
        <v>0</v>
      </c>
      <c r="CA59" s="13" t="n">
        <f aca="false">IF(AND(73&gt;=$U$20,N($V$20)&gt;0,73&lt;$U$20+N($V$20)*12,73&lt;=p_MesFin),$O$20*(1-$W$20)/(N($V$20)*12),0)</f>
        <v>0</v>
      </c>
      <c r="CB59" s="13" t="n">
        <f aca="false">IF(AND(74&gt;=$U$20,N($V$20)&gt;0,74&lt;$U$20+N($V$20)*12,74&lt;=p_MesFin),$O$20*(1-$W$20)/(N($V$20)*12),0)</f>
        <v>0</v>
      </c>
      <c r="CC59" s="13" t="n">
        <f aca="false">IF(AND(75&gt;=$U$20,N($V$20)&gt;0,75&lt;$U$20+N($V$20)*12,75&lt;=p_MesFin),$O$20*(1-$W$20)/(N($V$20)*12),0)</f>
        <v>0</v>
      </c>
      <c r="CD59" s="13" t="n">
        <f aca="false">IF(AND(76&gt;=$U$20,N($V$20)&gt;0,76&lt;$U$20+N($V$20)*12,76&lt;=p_MesFin),$O$20*(1-$W$20)/(N($V$20)*12),0)</f>
        <v>0</v>
      </c>
      <c r="CE59" s="13" t="n">
        <f aca="false">IF(AND(77&gt;=$U$20,N($V$20)&gt;0,77&lt;$U$20+N($V$20)*12,77&lt;=p_MesFin),$O$20*(1-$W$20)/(N($V$20)*12),0)</f>
        <v>0</v>
      </c>
      <c r="CF59" s="13" t="n">
        <f aca="false">IF(AND(78&gt;=$U$20,N($V$20)&gt;0,78&lt;$U$20+N($V$20)*12,78&lt;=p_MesFin),$O$20*(1-$W$20)/(N($V$20)*12),0)</f>
        <v>0</v>
      </c>
      <c r="CG59" s="13" t="n">
        <f aca="false">IF(AND(79&gt;=$U$20,N($V$20)&gt;0,79&lt;$U$20+N($V$20)*12,79&lt;=p_MesFin),$O$20*(1-$W$20)/(N($V$20)*12),0)</f>
        <v>0</v>
      </c>
      <c r="CH59" s="13" t="n">
        <f aca="false">IF(AND(80&gt;=$U$20,N($V$20)&gt;0,80&lt;$U$20+N($V$20)*12,80&lt;=p_MesFin),$O$20*(1-$W$20)/(N($V$20)*12),0)</f>
        <v>0</v>
      </c>
      <c r="CI59" s="13" t="n">
        <f aca="false">IF(AND(81&gt;=$U$20,N($V$20)&gt;0,81&lt;$U$20+N($V$20)*12,81&lt;=p_MesFin),$O$20*(1-$W$20)/(N($V$20)*12),0)</f>
        <v>0</v>
      </c>
      <c r="CJ59" s="13" t="n">
        <f aca="false">IF(AND(82&gt;=$U$20,N($V$20)&gt;0,82&lt;$U$20+N($V$20)*12,82&lt;=p_MesFin),$O$20*(1-$W$20)/(N($V$20)*12),0)</f>
        <v>0</v>
      </c>
      <c r="CK59" s="13" t="n">
        <f aca="false">IF(AND(83&gt;=$U$20,N($V$20)&gt;0,83&lt;$U$20+N($V$20)*12,83&lt;=p_MesFin),$O$20*(1-$W$20)/(N($V$20)*12),0)</f>
        <v>0</v>
      </c>
      <c r="CL59" s="13" t="n">
        <f aca="false">IF(AND(84&gt;=$U$20,N($V$20)&gt;0,84&lt;$U$20+N($V$20)*12,84&lt;=p_MesFin),$O$20*(1-$W$20)/(N($V$20)*12),0)</f>
        <v>0</v>
      </c>
      <c r="CM59" s="13" t="n">
        <f aca="false">IF(AND(85&gt;=$U$20,N($V$20)&gt;0,85&lt;$U$20+N($V$20)*12,85&lt;=p_MesFin),$O$20*(1-$W$20)/(N($V$20)*12),0)</f>
        <v>0</v>
      </c>
      <c r="CN59" s="13" t="n">
        <f aca="false">IF(AND(86&gt;=$U$20,N($V$20)&gt;0,86&lt;$U$20+N($V$20)*12,86&lt;=p_MesFin),$O$20*(1-$W$20)/(N($V$20)*12),0)</f>
        <v>0</v>
      </c>
      <c r="CO59" s="13" t="n">
        <f aca="false">IF(AND(87&gt;=$U$20,N($V$20)&gt;0,87&lt;$U$20+N($V$20)*12,87&lt;=p_MesFin),$O$20*(1-$W$20)/(N($V$20)*12),0)</f>
        <v>0</v>
      </c>
      <c r="CP59" s="13" t="n">
        <f aca="false">IF(AND(88&gt;=$U$20,N($V$20)&gt;0,88&lt;$U$20+N($V$20)*12,88&lt;=p_MesFin),$O$20*(1-$W$20)/(N($V$20)*12),0)</f>
        <v>0</v>
      </c>
      <c r="CQ59" s="13" t="n">
        <f aca="false">IF(AND(89&gt;=$U$20,N($V$20)&gt;0,89&lt;$U$20+N($V$20)*12,89&lt;=p_MesFin),$O$20*(1-$W$20)/(N($V$20)*12),0)</f>
        <v>0</v>
      </c>
      <c r="CR59" s="13" t="n">
        <f aca="false">IF(AND(90&gt;=$U$20,N($V$20)&gt;0,90&lt;$U$20+N($V$20)*12,90&lt;=p_MesFin),$O$20*(1-$W$20)/(N($V$20)*12),0)</f>
        <v>0</v>
      </c>
      <c r="CS59" s="13" t="n">
        <f aca="false">IF(AND(91&gt;=$U$20,N($V$20)&gt;0,91&lt;$U$20+N($V$20)*12,91&lt;=p_MesFin),$O$20*(1-$W$20)/(N($V$20)*12),0)</f>
        <v>0</v>
      </c>
      <c r="CT59" s="13" t="n">
        <f aca="false">IF(AND(92&gt;=$U$20,N($V$20)&gt;0,92&lt;$U$20+N($V$20)*12,92&lt;=p_MesFin),$O$20*(1-$W$20)/(N($V$20)*12),0)</f>
        <v>0</v>
      </c>
      <c r="CU59" s="13" t="n">
        <f aca="false">IF(AND(93&gt;=$U$20,N($V$20)&gt;0,93&lt;$U$20+N($V$20)*12,93&lt;=p_MesFin),$O$20*(1-$W$20)/(N($V$20)*12),0)</f>
        <v>0</v>
      </c>
      <c r="CV59" s="13" t="n">
        <f aca="false">IF(AND(94&gt;=$U$20,N($V$20)&gt;0,94&lt;$U$20+N($V$20)*12,94&lt;=p_MesFin),$O$20*(1-$W$20)/(N($V$20)*12),0)</f>
        <v>0</v>
      </c>
      <c r="CW59" s="13" t="n">
        <f aca="false">IF(AND(95&gt;=$U$20,N($V$20)&gt;0,95&lt;$U$20+N($V$20)*12,95&lt;=p_MesFin),$O$20*(1-$W$20)/(N($V$20)*12),0)</f>
        <v>0</v>
      </c>
      <c r="CX59" s="13" t="n">
        <f aca="false">IF(AND(96&gt;=$U$20,N($V$20)&gt;0,96&lt;$U$20+N($V$20)*12,96&lt;=p_MesFin),$O$20*(1-$W$20)/(N($V$20)*12),0)</f>
        <v>0</v>
      </c>
      <c r="CY59" s="13" t="n">
        <f aca="false">IF(AND(97&gt;=$U$20,N($V$20)&gt;0,97&lt;$U$20+N($V$20)*12,97&lt;=p_MesFin),$O$20*(1-$W$20)/(N($V$20)*12),0)</f>
        <v>0</v>
      </c>
      <c r="CZ59" s="13" t="n">
        <f aca="false">IF(AND(98&gt;=$U$20,N($V$20)&gt;0,98&lt;$U$20+N($V$20)*12,98&lt;=p_MesFin),$O$20*(1-$W$20)/(N($V$20)*12),0)</f>
        <v>0</v>
      </c>
      <c r="DA59" s="13" t="n">
        <f aca="false">IF(AND(99&gt;=$U$20,N($V$20)&gt;0,99&lt;$U$20+N($V$20)*12,99&lt;=p_MesFin),$O$20*(1-$W$20)/(N($V$20)*12),0)</f>
        <v>0</v>
      </c>
      <c r="DB59" s="13" t="n">
        <f aca="false">IF(AND(100&gt;=$U$20,N($V$20)&gt;0,100&lt;$U$20+N($V$20)*12,100&lt;=p_MesFin),$O$20*(1-$W$20)/(N($V$20)*12),0)</f>
        <v>0</v>
      </c>
      <c r="DC59" s="13" t="n">
        <f aca="false">IF(AND(101&gt;=$U$20,N($V$20)&gt;0,101&lt;$U$20+N($V$20)*12,101&lt;=p_MesFin),$O$20*(1-$W$20)/(N($V$20)*12),0)</f>
        <v>0</v>
      </c>
      <c r="DD59" s="13" t="n">
        <f aca="false">IF(AND(102&gt;=$U$20,N($V$20)&gt;0,102&lt;$U$20+N($V$20)*12,102&lt;=p_MesFin),$O$20*(1-$W$20)/(N($V$20)*12),0)</f>
        <v>0</v>
      </c>
      <c r="DE59" s="13" t="n">
        <f aca="false">IF(AND(103&gt;=$U$20,N($V$20)&gt;0,103&lt;$U$20+N($V$20)*12,103&lt;=p_MesFin),$O$20*(1-$W$20)/(N($V$20)*12),0)</f>
        <v>0</v>
      </c>
      <c r="DF59" s="13" t="n">
        <f aca="false">IF(AND(104&gt;=$U$20,N($V$20)&gt;0,104&lt;$U$20+N($V$20)*12,104&lt;=p_MesFin),$O$20*(1-$W$20)/(N($V$20)*12),0)</f>
        <v>0</v>
      </c>
      <c r="DG59" s="13" t="n">
        <f aca="false">IF(AND(105&gt;=$U$20,N($V$20)&gt;0,105&lt;$U$20+N($V$20)*12,105&lt;=p_MesFin),$O$20*(1-$W$20)/(N($V$20)*12),0)</f>
        <v>0</v>
      </c>
      <c r="DH59" s="13" t="n">
        <f aca="false">IF(AND(106&gt;=$U$20,N($V$20)&gt;0,106&lt;$U$20+N($V$20)*12,106&lt;=p_MesFin),$O$20*(1-$W$20)/(N($V$20)*12),0)</f>
        <v>0</v>
      </c>
      <c r="DI59" s="13" t="n">
        <f aca="false">IF(AND(107&gt;=$U$20,N($V$20)&gt;0,107&lt;$U$20+N($V$20)*12,107&lt;=p_MesFin),$O$20*(1-$W$20)/(N($V$20)*12),0)</f>
        <v>0</v>
      </c>
      <c r="DJ59" s="13" t="n">
        <f aca="false">IF(AND(108&gt;=$U$20,N($V$20)&gt;0,108&lt;$U$20+N($V$20)*12,108&lt;=p_MesFin),$O$20*(1-$W$20)/(N($V$20)*12),0)</f>
        <v>0</v>
      </c>
      <c r="DK59" s="13" t="n">
        <f aca="false">IF(AND(109&gt;=$U$20,N($V$20)&gt;0,109&lt;$U$20+N($V$20)*12,109&lt;=p_MesFin),$O$20*(1-$W$20)/(N($V$20)*12),0)</f>
        <v>0</v>
      </c>
      <c r="DL59" s="13" t="n">
        <f aca="false">IF(AND(110&gt;=$U$20,N($V$20)&gt;0,110&lt;$U$20+N($V$20)*12,110&lt;=p_MesFin),$O$20*(1-$W$20)/(N($V$20)*12),0)</f>
        <v>0</v>
      </c>
      <c r="DM59" s="13" t="n">
        <f aca="false">IF(AND(111&gt;=$U$20,N($V$20)&gt;0,111&lt;$U$20+N($V$20)*12,111&lt;=p_MesFin),$O$20*(1-$W$20)/(N($V$20)*12),0)</f>
        <v>0</v>
      </c>
      <c r="DN59" s="13" t="n">
        <f aca="false">IF(AND(112&gt;=$U$20,N($V$20)&gt;0,112&lt;$U$20+N($V$20)*12,112&lt;=p_MesFin),$O$20*(1-$W$20)/(N($V$20)*12),0)</f>
        <v>0</v>
      </c>
      <c r="DO59" s="13" t="n">
        <f aca="false">IF(AND(113&gt;=$U$20,N($V$20)&gt;0,113&lt;$U$20+N($V$20)*12,113&lt;=p_MesFin),$O$20*(1-$W$20)/(N($V$20)*12),0)</f>
        <v>0</v>
      </c>
      <c r="DP59" s="13" t="n">
        <f aca="false">IF(AND(114&gt;=$U$20,N($V$20)&gt;0,114&lt;$U$20+N($V$20)*12,114&lt;=p_MesFin),$O$20*(1-$W$20)/(N($V$20)*12),0)</f>
        <v>0</v>
      </c>
      <c r="DQ59" s="13" t="n">
        <f aca="false">IF(AND(115&gt;=$U$20,N($V$20)&gt;0,115&lt;$U$20+N($V$20)*12,115&lt;=p_MesFin),$O$20*(1-$W$20)/(N($V$20)*12),0)</f>
        <v>0</v>
      </c>
      <c r="DR59" s="13" t="n">
        <f aca="false">IF(AND(116&gt;=$U$20,N($V$20)&gt;0,116&lt;$U$20+N($V$20)*12,116&lt;=p_MesFin),$O$20*(1-$W$20)/(N($V$20)*12),0)</f>
        <v>0</v>
      </c>
      <c r="DS59" s="13" t="n">
        <f aca="false">IF(AND(117&gt;=$U$20,N($V$20)&gt;0,117&lt;$U$20+N($V$20)*12,117&lt;=p_MesFin),$O$20*(1-$W$20)/(N($V$20)*12),0)</f>
        <v>0</v>
      </c>
      <c r="DT59" s="13" t="n">
        <f aca="false">IF(AND(118&gt;=$U$20,N($V$20)&gt;0,118&lt;$U$20+N($V$20)*12,118&lt;=p_MesFin),$O$20*(1-$W$20)/(N($V$20)*12),0)</f>
        <v>0</v>
      </c>
      <c r="DU59" s="13" t="n">
        <f aca="false">IF(AND(119&gt;=$U$20,N($V$20)&gt;0,119&lt;$U$20+N($V$20)*12,119&lt;=p_MesFin),$O$20*(1-$W$20)/(N($V$20)*12),0)</f>
        <v>0</v>
      </c>
      <c r="DV59" s="13" t="n">
        <f aca="false">IF(AND(120&gt;=$U$20,N($V$20)&gt;0,120&lt;$U$20+N($V$20)*12,120&lt;=p_MesFin),$O$20*(1-$W$20)/(N($V$20)*12),0)</f>
        <v>0</v>
      </c>
      <c r="DW59" s="13" t="n">
        <f aca="false">IF(AND(121&gt;=$U$20,N($V$20)&gt;0,121&lt;$U$20+N($V$20)*12,121&lt;=p_MesFin),$O$20*(1-$W$20)/(N($V$20)*12),0)</f>
        <v>0</v>
      </c>
      <c r="DX59" s="13" t="n">
        <f aca="false">IF(AND(122&gt;=$U$20,N($V$20)&gt;0,122&lt;$U$20+N($V$20)*12,122&lt;=p_MesFin),$O$20*(1-$W$20)/(N($V$20)*12),0)</f>
        <v>0</v>
      </c>
      <c r="DY59" s="13" t="n">
        <f aca="false">IF(AND(123&gt;=$U$20,N($V$20)&gt;0,123&lt;$U$20+N($V$20)*12,123&lt;=p_MesFin),$O$20*(1-$W$20)/(N($V$20)*12),0)</f>
        <v>0</v>
      </c>
      <c r="DZ59" s="13" t="n">
        <f aca="false">IF(AND(124&gt;=$U$20,N($V$20)&gt;0,124&lt;$U$20+N($V$20)*12,124&lt;=p_MesFin),$O$20*(1-$W$20)/(N($V$20)*12),0)</f>
        <v>0</v>
      </c>
      <c r="EA59" s="13" t="n">
        <f aca="false">IF(AND(125&gt;=$U$20,N($V$20)&gt;0,125&lt;$U$20+N($V$20)*12,125&lt;=p_MesFin),$O$20*(1-$W$20)/(N($V$20)*12),0)</f>
        <v>0</v>
      </c>
      <c r="EB59" s="13" t="n">
        <f aca="false">IF(AND(126&gt;=$U$20,N($V$20)&gt;0,126&lt;$U$20+N($V$20)*12,126&lt;=p_MesFin),$O$20*(1-$W$20)/(N($V$20)*12),0)</f>
        <v>0</v>
      </c>
      <c r="EC59" s="13" t="n">
        <f aca="false">IF(AND(127&gt;=$U$20,N($V$20)&gt;0,127&lt;$U$20+N($V$20)*12,127&lt;=p_MesFin),$O$20*(1-$W$20)/(N($V$20)*12),0)</f>
        <v>0</v>
      </c>
      <c r="ED59" s="13" t="n">
        <f aca="false">IF(AND(128&gt;=$U$20,N($V$20)&gt;0,128&lt;$U$20+N($V$20)*12,128&lt;=p_MesFin),$O$20*(1-$W$20)/(N($V$20)*12),0)</f>
        <v>0</v>
      </c>
      <c r="EE59" s="13" t="n">
        <f aca="false">IF(AND(129&gt;=$U$20,N($V$20)&gt;0,129&lt;$U$20+N($V$20)*12,129&lt;=p_MesFin),$O$20*(1-$W$20)/(N($V$20)*12),0)</f>
        <v>0</v>
      </c>
      <c r="EF59" s="13" t="n">
        <f aca="false">IF(AND(130&gt;=$U$20,N($V$20)&gt;0,130&lt;$U$20+N($V$20)*12,130&lt;=p_MesFin),$O$20*(1-$W$20)/(N($V$20)*12),0)</f>
        <v>0</v>
      </c>
      <c r="EG59" s="13" t="n">
        <f aca="false">IF(AND(131&gt;=$U$20,N($V$20)&gt;0,131&lt;$U$20+N($V$20)*12,131&lt;=p_MesFin),$O$20*(1-$W$20)/(N($V$20)*12),0)</f>
        <v>0</v>
      </c>
      <c r="EH59" s="13" t="n">
        <f aca="false">IF(AND(132&gt;=$U$20,N($V$20)&gt;0,132&lt;$U$20+N($V$20)*12,132&lt;=p_MesFin),$O$20*(1-$W$20)/(N($V$20)*12),0)</f>
        <v>0</v>
      </c>
      <c r="EI59" s="13" t="n">
        <f aca="false">IF(AND(133&gt;=$U$20,N($V$20)&gt;0,133&lt;$U$20+N($V$20)*12,133&lt;=p_MesFin),$O$20*(1-$W$20)/(N($V$20)*12),0)</f>
        <v>0</v>
      </c>
      <c r="EJ59" s="13" t="n">
        <f aca="false">IF(AND(134&gt;=$U$20,N($V$20)&gt;0,134&lt;$U$20+N($V$20)*12,134&lt;=p_MesFin),$O$20*(1-$W$20)/(N($V$20)*12),0)</f>
        <v>0</v>
      </c>
      <c r="EK59" s="13" t="n">
        <f aca="false">IF(AND(135&gt;=$U$20,N($V$20)&gt;0,135&lt;$U$20+N($V$20)*12,135&lt;=p_MesFin),$O$20*(1-$W$20)/(N($V$20)*12),0)</f>
        <v>0</v>
      </c>
      <c r="EL59" s="13" t="n">
        <f aca="false">IF(AND(136&gt;=$U$20,N($V$20)&gt;0,136&lt;$U$20+N($V$20)*12,136&lt;=p_MesFin),$O$20*(1-$W$20)/(N($V$20)*12),0)</f>
        <v>0</v>
      </c>
      <c r="EM59" s="13" t="n">
        <f aca="false">IF(AND(137&gt;=$U$20,N($V$20)&gt;0,137&lt;$U$20+N($V$20)*12,137&lt;=p_MesFin),$O$20*(1-$W$20)/(N($V$20)*12),0)</f>
        <v>0</v>
      </c>
      <c r="EN59" s="13" t="n">
        <f aca="false">IF(AND(138&gt;=$U$20,N($V$20)&gt;0,138&lt;$U$20+N($V$20)*12,138&lt;=p_MesFin),$O$20*(1-$W$20)/(N($V$20)*12),0)</f>
        <v>0</v>
      </c>
      <c r="EO59" s="13" t="n">
        <f aca="false">IF(AND(139&gt;=$U$20,N($V$20)&gt;0,139&lt;$U$20+N($V$20)*12,139&lt;=p_MesFin),$O$20*(1-$W$20)/(N($V$20)*12),0)</f>
        <v>0</v>
      </c>
      <c r="EP59" s="13" t="n">
        <f aca="false">IF(AND(140&gt;=$U$20,N($V$20)&gt;0,140&lt;$U$20+N($V$20)*12,140&lt;=p_MesFin),$O$20*(1-$W$20)/(N($V$20)*12),0)</f>
        <v>0</v>
      </c>
      <c r="EQ59" s="13" t="n">
        <f aca="false">IF(AND(141&gt;=$U$20,N($V$20)&gt;0,141&lt;$U$20+N($V$20)*12,141&lt;=p_MesFin),$O$20*(1-$W$20)/(N($V$20)*12),0)</f>
        <v>0</v>
      </c>
      <c r="ER59" s="13" t="n">
        <f aca="false">IF(AND(142&gt;=$U$20,N($V$20)&gt;0,142&lt;$U$20+N($V$20)*12,142&lt;=p_MesFin),$O$20*(1-$W$20)/(N($V$20)*12),0)</f>
        <v>0</v>
      </c>
      <c r="ES59" s="13" t="n">
        <f aca="false">IF(AND(143&gt;=$U$20,N($V$20)&gt;0,143&lt;$U$20+N($V$20)*12,143&lt;=p_MesFin),$O$20*(1-$W$20)/(N($V$20)*12),0)</f>
        <v>0</v>
      </c>
      <c r="ET59" s="13" t="n">
        <f aca="false">IF(AND(144&gt;=$U$20,N($V$20)&gt;0,144&lt;$U$20+N($V$20)*12,144&lt;=p_MesFin),$O$20*(1-$W$20)/(N($V$20)*12),0)</f>
        <v>0</v>
      </c>
      <c r="EU59" s="13" t="n">
        <f aca="false">IF(AND(145&gt;=$U$20,N($V$20)&gt;0,145&lt;$U$20+N($V$20)*12,145&lt;=p_MesFin),$O$20*(1-$W$20)/(N($V$20)*12),0)</f>
        <v>0</v>
      </c>
      <c r="EV59" s="13" t="n">
        <f aca="false">IF(AND(146&gt;=$U$20,N($V$20)&gt;0,146&lt;$U$20+N($V$20)*12,146&lt;=p_MesFin),$O$20*(1-$W$20)/(N($V$20)*12),0)</f>
        <v>0</v>
      </c>
      <c r="EW59" s="13" t="n">
        <f aca="false">IF(AND(147&gt;=$U$20,N($V$20)&gt;0,147&lt;$U$20+N($V$20)*12,147&lt;=p_MesFin),$O$20*(1-$W$20)/(N($V$20)*12),0)</f>
        <v>0</v>
      </c>
      <c r="EX59" s="13" t="n">
        <f aca="false">IF(AND(148&gt;=$U$20,N($V$20)&gt;0,148&lt;$U$20+N($V$20)*12,148&lt;=p_MesFin),$O$20*(1-$W$20)/(N($V$20)*12),0)</f>
        <v>0</v>
      </c>
      <c r="EY59" s="13" t="n">
        <f aca="false">IF(AND(149&gt;=$U$20,N($V$20)&gt;0,149&lt;$U$20+N($V$20)*12,149&lt;=p_MesFin),$O$20*(1-$W$20)/(N($V$20)*12),0)</f>
        <v>0</v>
      </c>
      <c r="EZ59" s="13" t="n">
        <f aca="false">IF(AND(150&gt;=$U$20,N($V$20)&gt;0,150&lt;$U$20+N($V$20)*12,150&lt;=p_MesFin),$O$20*(1-$W$20)/(N($V$20)*12),0)</f>
        <v>0</v>
      </c>
      <c r="FA59" s="13" t="n">
        <f aca="false">IF(AND(151&gt;=$U$20,N($V$20)&gt;0,151&lt;$U$20+N($V$20)*12,151&lt;=p_MesFin),$O$20*(1-$W$20)/(N($V$20)*12),0)</f>
        <v>0</v>
      </c>
      <c r="FB59" s="13" t="n">
        <f aca="false">IF(AND(152&gt;=$U$20,N($V$20)&gt;0,152&lt;$U$20+N($V$20)*12,152&lt;=p_MesFin),$O$20*(1-$W$20)/(N($V$20)*12),0)</f>
        <v>0</v>
      </c>
      <c r="FC59" s="13" t="n">
        <f aca="false">IF(AND(153&gt;=$U$20,N($V$20)&gt;0,153&lt;$U$20+N($V$20)*12,153&lt;=p_MesFin),$O$20*(1-$W$20)/(N($V$20)*12),0)</f>
        <v>0</v>
      </c>
      <c r="FD59" s="13" t="n">
        <f aca="false">IF(AND(154&gt;=$U$20,N($V$20)&gt;0,154&lt;$U$20+N($V$20)*12,154&lt;=p_MesFin),$O$20*(1-$W$20)/(N($V$20)*12),0)</f>
        <v>0</v>
      </c>
      <c r="FE59" s="13" t="n">
        <f aca="false">IF(AND(155&gt;=$U$20,N($V$20)&gt;0,155&lt;$U$20+N($V$20)*12,155&lt;=p_MesFin),$O$20*(1-$W$20)/(N($V$20)*12),0)</f>
        <v>0</v>
      </c>
      <c r="FF59" s="13" t="n">
        <f aca="false">IF(AND(156&gt;=$U$20,N($V$20)&gt;0,156&lt;$U$20+N($V$20)*12,156&lt;=p_MesFin),$O$20*(1-$W$20)/(N($V$20)*12),0)</f>
        <v>0</v>
      </c>
    </row>
    <row r="60" customFormat="false" ht="15" hidden="false" customHeight="false" outlineLevel="0" collapsed="false">
      <c r="A60" s="2" t="s">
        <v>1268</v>
      </c>
      <c r="B60" s="8" t="s">
        <v>1269</v>
      </c>
      <c r="C60" s="8" t="s">
        <v>255</v>
      </c>
      <c r="E60" s="65" t="n">
        <f aca="false">SUM($F60:$FF60)</f>
        <v>0</v>
      </c>
      <c r="F60" s="13" t="n">
        <f aca="false">IF(AND(0&gt;=$U$21,N($V$21)&gt;0,0&lt;$U$21+N($V$21)*12,0&lt;=p_MesFin),$O$21*(1-$W$21)/(N($V$21)*12),0)</f>
        <v>0</v>
      </c>
      <c r="G60" s="13" t="n">
        <f aca="false">IF(AND(1&gt;=$U$21,N($V$21)&gt;0,1&lt;$U$21+N($V$21)*12,1&lt;=p_MesFin),$O$21*(1-$W$21)/(N($V$21)*12),0)</f>
        <v>0</v>
      </c>
      <c r="H60" s="13" t="n">
        <f aca="false">IF(AND(2&gt;=$U$21,N($V$21)&gt;0,2&lt;$U$21+N($V$21)*12,2&lt;=p_MesFin),$O$21*(1-$W$21)/(N($V$21)*12),0)</f>
        <v>0</v>
      </c>
      <c r="I60" s="13" t="n">
        <f aca="false">IF(AND(3&gt;=$U$21,N($V$21)&gt;0,3&lt;$U$21+N($V$21)*12,3&lt;=p_MesFin),$O$21*(1-$W$21)/(N($V$21)*12),0)</f>
        <v>0</v>
      </c>
      <c r="J60" s="13" t="n">
        <f aca="false">IF(AND(4&gt;=$U$21,N($V$21)&gt;0,4&lt;$U$21+N($V$21)*12,4&lt;=p_MesFin),$O$21*(1-$W$21)/(N($V$21)*12),0)</f>
        <v>0</v>
      </c>
      <c r="K60" s="13" t="n">
        <f aca="false">IF(AND(5&gt;=$U$21,N($V$21)&gt;0,5&lt;$U$21+N($V$21)*12,5&lt;=p_MesFin),$O$21*(1-$W$21)/(N($V$21)*12),0)</f>
        <v>0</v>
      </c>
      <c r="L60" s="13" t="n">
        <f aca="false">IF(AND(6&gt;=$U$21,N($V$21)&gt;0,6&lt;$U$21+N($V$21)*12,6&lt;=p_MesFin),$O$21*(1-$W$21)/(N($V$21)*12),0)</f>
        <v>0</v>
      </c>
      <c r="M60" s="13" t="n">
        <f aca="false">IF(AND(7&gt;=$U$21,N($V$21)&gt;0,7&lt;$U$21+N($V$21)*12,7&lt;=p_MesFin),$O$21*(1-$W$21)/(N($V$21)*12),0)</f>
        <v>0</v>
      </c>
      <c r="N60" s="13" t="n">
        <f aca="false">IF(AND(8&gt;=$U$21,N($V$21)&gt;0,8&lt;$U$21+N($V$21)*12,8&lt;=p_MesFin),$O$21*(1-$W$21)/(N($V$21)*12),0)</f>
        <v>0</v>
      </c>
      <c r="O60" s="13" t="n">
        <f aca="false">IF(AND(9&gt;=$U$21,N($V$21)&gt;0,9&lt;$U$21+N($V$21)*12,9&lt;=p_MesFin),$O$21*(1-$W$21)/(N($V$21)*12),0)</f>
        <v>0</v>
      </c>
      <c r="P60" s="13" t="n">
        <f aca="false">IF(AND(10&gt;=$U$21,N($V$21)&gt;0,10&lt;$U$21+N($V$21)*12,10&lt;=p_MesFin),$O$21*(1-$W$21)/(N($V$21)*12),0)</f>
        <v>0</v>
      </c>
      <c r="Q60" s="13" t="n">
        <f aca="false">IF(AND(11&gt;=$U$21,N($V$21)&gt;0,11&lt;$U$21+N($V$21)*12,11&lt;=p_MesFin),$O$21*(1-$W$21)/(N($V$21)*12),0)</f>
        <v>0</v>
      </c>
      <c r="R60" s="13" t="n">
        <f aca="false">IF(AND(12&gt;=$U$21,N($V$21)&gt;0,12&lt;$U$21+N($V$21)*12,12&lt;=p_MesFin),$O$21*(1-$W$21)/(N($V$21)*12),0)</f>
        <v>0</v>
      </c>
      <c r="S60" s="13" t="n">
        <f aca="false">IF(AND(13&gt;=$U$21,N($V$21)&gt;0,13&lt;$U$21+N($V$21)*12,13&lt;=p_MesFin),$O$21*(1-$W$21)/(N($V$21)*12),0)</f>
        <v>0</v>
      </c>
      <c r="T60" s="13" t="n">
        <f aca="false">IF(AND(14&gt;=$U$21,N($V$21)&gt;0,14&lt;$U$21+N($V$21)*12,14&lt;=p_MesFin),$O$21*(1-$W$21)/(N($V$21)*12),0)</f>
        <v>0</v>
      </c>
      <c r="U60" s="13" t="n">
        <f aca="false">IF(AND(15&gt;=$U$21,N($V$21)&gt;0,15&lt;$U$21+N($V$21)*12,15&lt;=p_MesFin),$O$21*(1-$W$21)/(N($V$21)*12),0)</f>
        <v>0</v>
      </c>
      <c r="V60" s="13" t="n">
        <f aca="false">IF(AND(16&gt;=$U$21,N($V$21)&gt;0,16&lt;$U$21+N($V$21)*12,16&lt;=p_MesFin),$O$21*(1-$W$21)/(N($V$21)*12),0)</f>
        <v>0</v>
      </c>
      <c r="W60" s="13" t="n">
        <f aca="false">IF(AND(17&gt;=$U$21,N($V$21)&gt;0,17&lt;$U$21+N($V$21)*12,17&lt;=p_MesFin),$O$21*(1-$W$21)/(N($V$21)*12),0)</f>
        <v>0</v>
      </c>
      <c r="X60" s="13" t="n">
        <f aca="false">IF(AND(18&gt;=$U$21,N($V$21)&gt;0,18&lt;$U$21+N($V$21)*12,18&lt;=p_MesFin),$O$21*(1-$W$21)/(N($V$21)*12),0)</f>
        <v>0</v>
      </c>
      <c r="Y60" s="13" t="n">
        <f aca="false">IF(AND(19&gt;=$U$21,N($V$21)&gt;0,19&lt;$U$21+N($V$21)*12,19&lt;=p_MesFin),$O$21*(1-$W$21)/(N($V$21)*12),0)</f>
        <v>0</v>
      </c>
      <c r="Z60" s="13" t="n">
        <f aca="false">IF(AND(20&gt;=$U$21,N($V$21)&gt;0,20&lt;$U$21+N($V$21)*12,20&lt;=p_MesFin),$O$21*(1-$W$21)/(N($V$21)*12),0)</f>
        <v>0</v>
      </c>
      <c r="AA60" s="13" t="n">
        <f aca="false">IF(AND(21&gt;=$U$21,N($V$21)&gt;0,21&lt;$U$21+N($V$21)*12,21&lt;=p_MesFin),$O$21*(1-$W$21)/(N($V$21)*12),0)</f>
        <v>0</v>
      </c>
      <c r="AB60" s="13" t="n">
        <f aca="false">IF(AND(22&gt;=$U$21,N($V$21)&gt;0,22&lt;$U$21+N($V$21)*12,22&lt;=p_MesFin),$O$21*(1-$W$21)/(N($V$21)*12),0)</f>
        <v>0</v>
      </c>
      <c r="AC60" s="13" t="n">
        <f aca="false">IF(AND(23&gt;=$U$21,N($V$21)&gt;0,23&lt;$U$21+N($V$21)*12,23&lt;=p_MesFin),$O$21*(1-$W$21)/(N($V$21)*12),0)</f>
        <v>0</v>
      </c>
      <c r="AD60" s="13" t="n">
        <f aca="false">IF(AND(24&gt;=$U$21,N($V$21)&gt;0,24&lt;$U$21+N($V$21)*12,24&lt;=p_MesFin),$O$21*(1-$W$21)/(N($V$21)*12),0)</f>
        <v>0</v>
      </c>
      <c r="AE60" s="13" t="n">
        <f aca="false">IF(AND(25&gt;=$U$21,N($V$21)&gt;0,25&lt;$U$21+N($V$21)*12,25&lt;=p_MesFin),$O$21*(1-$W$21)/(N($V$21)*12),0)</f>
        <v>0</v>
      </c>
      <c r="AF60" s="13" t="n">
        <f aca="false">IF(AND(26&gt;=$U$21,N($V$21)&gt;0,26&lt;$U$21+N($V$21)*12,26&lt;=p_MesFin),$O$21*(1-$W$21)/(N($V$21)*12),0)</f>
        <v>0</v>
      </c>
      <c r="AG60" s="13" t="n">
        <f aca="false">IF(AND(27&gt;=$U$21,N($V$21)&gt;0,27&lt;$U$21+N($V$21)*12,27&lt;=p_MesFin),$O$21*(1-$W$21)/(N($V$21)*12),0)</f>
        <v>0</v>
      </c>
      <c r="AH60" s="13" t="n">
        <f aca="false">IF(AND(28&gt;=$U$21,N($V$21)&gt;0,28&lt;$U$21+N($V$21)*12,28&lt;=p_MesFin),$O$21*(1-$W$21)/(N($V$21)*12),0)</f>
        <v>0</v>
      </c>
      <c r="AI60" s="13" t="n">
        <f aca="false">IF(AND(29&gt;=$U$21,N($V$21)&gt;0,29&lt;$U$21+N($V$21)*12,29&lt;=p_MesFin),$O$21*(1-$W$21)/(N($V$21)*12),0)</f>
        <v>0</v>
      </c>
      <c r="AJ60" s="13" t="n">
        <f aca="false">IF(AND(30&gt;=$U$21,N($V$21)&gt;0,30&lt;$U$21+N($V$21)*12,30&lt;=p_MesFin),$O$21*(1-$W$21)/(N($V$21)*12),0)</f>
        <v>0</v>
      </c>
      <c r="AK60" s="13" t="n">
        <f aca="false">IF(AND(31&gt;=$U$21,N($V$21)&gt;0,31&lt;$U$21+N($V$21)*12,31&lt;=p_MesFin),$O$21*(1-$W$21)/(N($V$21)*12),0)</f>
        <v>0</v>
      </c>
      <c r="AL60" s="13" t="n">
        <f aca="false">IF(AND(32&gt;=$U$21,N($V$21)&gt;0,32&lt;$U$21+N($V$21)*12,32&lt;=p_MesFin),$O$21*(1-$W$21)/(N($V$21)*12),0)</f>
        <v>0</v>
      </c>
      <c r="AM60" s="13" t="n">
        <f aca="false">IF(AND(33&gt;=$U$21,N($V$21)&gt;0,33&lt;$U$21+N($V$21)*12,33&lt;=p_MesFin),$O$21*(1-$W$21)/(N($V$21)*12),0)</f>
        <v>0</v>
      </c>
      <c r="AN60" s="13" t="n">
        <f aca="false">IF(AND(34&gt;=$U$21,N($V$21)&gt;0,34&lt;$U$21+N($V$21)*12,34&lt;=p_MesFin),$O$21*(1-$W$21)/(N($V$21)*12),0)</f>
        <v>0</v>
      </c>
      <c r="AO60" s="13" t="n">
        <f aca="false">IF(AND(35&gt;=$U$21,N($V$21)&gt;0,35&lt;$U$21+N($V$21)*12,35&lt;=p_MesFin),$O$21*(1-$W$21)/(N($V$21)*12),0)</f>
        <v>0</v>
      </c>
      <c r="AP60" s="13" t="n">
        <f aca="false">IF(AND(36&gt;=$U$21,N($V$21)&gt;0,36&lt;$U$21+N($V$21)*12,36&lt;=p_MesFin),$O$21*(1-$W$21)/(N($V$21)*12),0)</f>
        <v>0</v>
      </c>
      <c r="AQ60" s="13" t="n">
        <f aca="false">IF(AND(37&gt;=$U$21,N($V$21)&gt;0,37&lt;$U$21+N($V$21)*12,37&lt;=p_MesFin),$O$21*(1-$W$21)/(N($V$21)*12),0)</f>
        <v>0</v>
      </c>
      <c r="AR60" s="13" t="n">
        <f aca="false">IF(AND(38&gt;=$U$21,N($V$21)&gt;0,38&lt;$U$21+N($V$21)*12,38&lt;=p_MesFin),$O$21*(1-$W$21)/(N($V$21)*12),0)</f>
        <v>0</v>
      </c>
      <c r="AS60" s="13" t="n">
        <f aca="false">IF(AND(39&gt;=$U$21,N($V$21)&gt;0,39&lt;$U$21+N($V$21)*12,39&lt;=p_MesFin),$O$21*(1-$W$21)/(N($V$21)*12),0)</f>
        <v>0</v>
      </c>
      <c r="AT60" s="13" t="n">
        <f aca="false">IF(AND(40&gt;=$U$21,N($V$21)&gt;0,40&lt;$U$21+N($V$21)*12,40&lt;=p_MesFin),$O$21*(1-$W$21)/(N($V$21)*12),0)</f>
        <v>0</v>
      </c>
      <c r="AU60" s="13" t="n">
        <f aca="false">IF(AND(41&gt;=$U$21,N($V$21)&gt;0,41&lt;$U$21+N($V$21)*12,41&lt;=p_MesFin),$O$21*(1-$W$21)/(N($V$21)*12),0)</f>
        <v>0</v>
      </c>
      <c r="AV60" s="13" t="n">
        <f aca="false">IF(AND(42&gt;=$U$21,N($V$21)&gt;0,42&lt;$U$21+N($V$21)*12,42&lt;=p_MesFin),$O$21*(1-$W$21)/(N($V$21)*12),0)</f>
        <v>0</v>
      </c>
      <c r="AW60" s="13" t="n">
        <f aca="false">IF(AND(43&gt;=$U$21,N($V$21)&gt;0,43&lt;$U$21+N($V$21)*12,43&lt;=p_MesFin),$O$21*(1-$W$21)/(N($V$21)*12),0)</f>
        <v>0</v>
      </c>
      <c r="AX60" s="13" t="n">
        <f aca="false">IF(AND(44&gt;=$U$21,N($V$21)&gt;0,44&lt;$U$21+N($V$21)*12,44&lt;=p_MesFin),$O$21*(1-$W$21)/(N($V$21)*12),0)</f>
        <v>0</v>
      </c>
      <c r="AY60" s="13" t="n">
        <f aca="false">IF(AND(45&gt;=$U$21,N($V$21)&gt;0,45&lt;$U$21+N($V$21)*12,45&lt;=p_MesFin),$O$21*(1-$W$21)/(N($V$21)*12),0)</f>
        <v>0</v>
      </c>
      <c r="AZ60" s="13" t="n">
        <f aca="false">IF(AND(46&gt;=$U$21,N($V$21)&gt;0,46&lt;$U$21+N($V$21)*12,46&lt;=p_MesFin),$O$21*(1-$W$21)/(N($V$21)*12),0)</f>
        <v>0</v>
      </c>
      <c r="BA60" s="13" t="n">
        <f aca="false">IF(AND(47&gt;=$U$21,N($V$21)&gt;0,47&lt;$U$21+N($V$21)*12,47&lt;=p_MesFin),$O$21*(1-$W$21)/(N($V$21)*12),0)</f>
        <v>0</v>
      </c>
      <c r="BB60" s="13" t="n">
        <f aca="false">IF(AND(48&gt;=$U$21,N($V$21)&gt;0,48&lt;$U$21+N($V$21)*12,48&lt;=p_MesFin),$O$21*(1-$W$21)/(N($V$21)*12),0)</f>
        <v>0</v>
      </c>
      <c r="BC60" s="13" t="n">
        <f aca="false">IF(AND(49&gt;=$U$21,N($V$21)&gt;0,49&lt;$U$21+N($V$21)*12,49&lt;=p_MesFin),$O$21*(1-$W$21)/(N($V$21)*12),0)</f>
        <v>0</v>
      </c>
      <c r="BD60" s="13" t="n">
        <f aca="false">IF(AND(50&gt;=$U$21,N($V$21)&gt;0,50&lt;$U$21+N($V$21)*12,50&lt;=p_MesFin),$O$21*(1-$W$21)/(N($V$21)*12),0)</f>
        <v>0</v>
      </c>
      <c r="BE60" s="13" t="n">
        <f aca="false">IF(AND(51&gt;=$U$21,N($V$21)&gt;0,51&lt;$U$21+N($V$21)*12,51&lt;=p_MesFin),$O$21*(1-$W$21)/(N($V$21)*12),0)</f>
        <v>0</v>
      </c>
      <c r="BF60" s="13" t="n">
        <f aca="false">IF(AND(52&gt;=$U$21,N($V$21)&gt;0,52&lt;$U$21+N($V$21)*12,52&lt;=p_MesFin),$O$21*(1-$W$21)/(N($V$21)*12),0)</f>
        <v>0</v>
      </c>
      <c r="BG60" s="13" t="n">
        <f aca="false">IF(AND(53&gt;=$U$21,N($V$21)&gt;0,53&lt;$U$21+N($V$21)*12,53&lt;=p_MesFin),$O$21*(1-$W$21)/(N($V$21)*12),0)</f>
        <v>0</v>
      </c>
      <c r="BH60" s="13" t="n">
        <f aca="false">IF(AND(54&gt;=$U$21,N($V$21)&gt;0,54&lt;$U$21+N($V$21)*12,54&lt;=p_MesFin),$O$21*(1-$W$21)/(N($V$21)*12),0)</f>
        <v>0</v>
      </c>
      <c r="BI60" s="13" t="n">
        <f aca="false">IF(AND(55&gt;=$U$21,N($V$21)&gt;0,55&lt;$U$21+N($V$21)*12,55&lt;=p_MesFin),$O$21*(1-$W$21)/(N($V$21)*12),0)</f>
        <v>0</v>
      </c>
      <c r="BJ60" s="13" t="n">
        <f aca="false">IF(AND(56&gt;=$U$21,N($V$21)&gt;0,56&lt;$U$21+N($V$21)*12,56&lt;=p_MesFin),$O$21*(1-$W$21)/(N($V$21)*12),0)</f>
        <v>0</v>
      </c>
      <c r="BK60" s="13" t="n">
        <f aca="false">IF(AND(57&gt;=$U$21,N($V$21)&gt;0,57&lt;$U$21+N($V$21)*12,57&lt;=p_MesFin),$O$21*(1-$W$21)/(N($V$21)*12),0)</f>
        <v>0</v>
      </c>
      <c r="BL60" s="13" t="n">
        <f aca="false">IF(AND(58&gt;=$U$21,N($V$21)&gt;0,58&lt;$U$21+N($V$21)*12,58&lt;=p_MesFin),$O$21*(1-$W$21)/(N($V$21)*12),0)</f>
        <v>0</v>
      </c>
      <c r="BM60" s="13" t="n">
        <f aca="false">IF(AND(59&gt;=$U$21,N($V$21)&gt;0,59&lt;$U$21+N($V$21)*12,59&lt;=p_MesFin),$O$21*(1-$W$21)/(N($V$21)*12),0)</f>
        <v>0</v>
      </c>
      <c r="BN60" s="13" t="n">
        <f aca="false">IF(AND(60&gt;=$U$21,N($V$21)&gt;0,60&lt;$U$21+N($V$21)*12,60&lt;=p_MesFin),$O$21*(1-$W$21)/(N($V$21)*12),0)</f>
        <v>0</v>
      </c>
      <c r="BO60" s="13" t="n">
        <f aca="false">IF(AND(61&gt;=$U$21,N($V$21)&gt;0,61&lt;$U$21+N($V$21)*12,61&lt;=p_MesFin),$O$21*(1-$W$21)/(N($V$21)*12),0)</f>
        <v>0</v>
      </c>
      <c r="BP60" s="13" t="n">
        <f aca="false">IF(AND(62&gt;=$U$21,N($V$21)&gt;0,62&lt;$U$21+N($V$21)*12,62&lt;=p_MesFin),$O$21*(1-$W$21)/(N($V$21)*12),0)</f>
        <v>0</v>
      </c>
      <c r="BQ60" s="13" t="n">
        <f aca="false">IF(AND(63&gt;=$U$21,N($V$21)&gt;0,63&lt;$U$21+N($V$21)*12,63&lt;=p_MesFin),$O$21*(1-$W$21)/(N($V$21)*12),0)</f>
        <v>0</v>
      </c>
      <c r="BR60" s="13" t="n">
        <f aca="false">IF(AND(64&gt;=$U$21,N($V$21)&gt;0,64&lt;$U$21+N($V$21)*12,64&lt;=p_MesFin),$O$21*(1-$W$21)/(N($V$21)*12),0)</f>
        <v>0</v>
      </c>
      <c r="BS60" s="13" t="n">
        <f aca="false">IF(AND(65&gt;=$U$21,N($V$21)&gt;0,65&lt;$U$21+N($V$21)*12,65&lt;=p_MesFin),$O$21*(1-$W$21)/(N($V$21)*12),0)</f>
        <v>0</v>
      </c>
      <c r="BT60" s="13" t="n">
        <f aca="false">IF(AND(66&gt;=$U$21,N($V$21)&gt;0,66&lt;$U$21+N($V$21)*12,66&lt;=p_MesFin),$O$21*(1-$W$21)/(N($V$21)*12),0)</f>
        <v>0</v>
      </c>
      <c r="BU60" s="13" t="n">
        <f aca="false">IF(AND(67&gt;=$U$21,N($V$21)&gt;0,67&lt;$U$21+N($V$21)*12,67&lt;=p_MesFin),$O$21*(1-$W$21)/(N($V$21)*12),0)</f>
        <v>0</v>
      </c>
      <c r="BV60" s="13" t="n">
        <f aca="false">IF(AND(68&gt;=$U$21,N($V$21)&gt;0,68&lt;$U$21+N($V$21)*12,68&lt;=p_MesFin),$O$21*(1-$W$21)/(N($V$21)*12),0)</f>
        <v>0</v>
      </c>
      <c r="BW60" s="13" t="n">
        <f aca="false">IF(AND(69&gt;=$U$21,N($V$21)&gt;0,69&lt;$U$21+N($V$21)*12,69&lt;=p_MesFin),$O$21*(1-$W$21)/(N($V$21)*12),0)</f>
        <v>0</v>
      </c>
      <c r="BX60" s="13" t="n">
        <f aca="false">IF(AND(70&gt;=$U$21,N($V$21)&gt;0,70&lt;$U$21+N($V$21)*12,70&lt;=p_MesFin),$O$21*(1-$W$21)/(N($V$21)*12),0)</f>
        <v>0</v>
      </c>
      <c r="BY60" s="13" t="n">
        <f aca="false">IF(AND(71&gt;=$U$21,N($V$21)&gt;0,71&lt;$U$21+N($V$21)*12,71&lt;=p_MesFin),$O$21*(1-$W$21)/(N($V$21)*12),0)</f>
        <v>0</v>
      </c>
      <c r="BZ60" s="13" t="n">
        <f aca="false">IF(AND(72&gt;=$U$21,N($V$21)&gt;0,72&lt;$U$21+N($V$21)*12,72&lt;=p_MesFin),$O$21*(1-$W$21)/(N($V$21)*12),0)</f>
        <v>0</v>
      </c>
      <c r="CA60" s="13" t="n">
        <f aca="false">IF(AND(73&gt;=$U$21,N($V$21)&gt;0,73&lt;$U$21+N($V$21)*12,73&lt;=p_MesFin),$O$21*(1-$W$21)/(N($V$21)*12),0)</f>
        <v>0</v>
      </c>
      <c r="CB60" s="13" t="n">
        <f aca="false">IF(AND(74&gt;=$U$21,N($V$21)&gt;0,74&lt;$U$21+N($V$21)*12,74&lt;=p_MesFin),$O$21*(1-$W$21)/(N($V$21)*12),0)</f>
        <v>0</v>
      </c>
      <c r="CC60" s="13" t="n">
        <f aca="false">IF(AND(75&gt;=$U$21,N($V$21)&gt;0,75&lt;$U$21+N($V$21)*12,75&lt;=p_MesFin),$O$21*(1-$W$21)/(N($V$21)*12),0)</f>
        <v>0</v>
      </c>
      <c r="CD60" s="13" t="n">
        <f aca="false">IF(AND(76&gt;=$U$21,N($V$21)&gt;0,76&lt;$U$21+N($V$21)*12,76&lt;=p_MesFin),$O$21*(1-$W$21)/(N($V$21)*12),0)</f>
        <v>0</v>
      </c>
      <c r="CE60" s="13" t="n">
        <f aca="false">IF(AND(77&gt;=$U$21,N($V$21)&gt;0,77&lt;$U$21+N($V$21)*12,77&lt;=p_MesFin),$O$21*(1-$W$21)/(N($V$21)*12),0)</f>
        <v>0</v>
      </c>
      <c r="CF60" s="13" t="n">
        <f aca="false">IF(AND(78&gt;=$U$21,N($V$21)&gt;0,78&lt;$U$21+N($V$21)*12,78&lt;=p_MesFin),$O$21*(1-$W$21)/(N($V$21)*12),0)</f>
        <v>0</v>
      </c>
      <c r="CG60" s="13" t="n">
        <f aca="false">IF(AND(79&gt;=$U$21,N($V$21)&gt;0,79&lt;$U$21+N($V$21)*12,79&lt;=p_MesFin),$O$21*(1-$W$21)/(N($V$21)*12),0)</f>
        <v>0</v>
      </c>
      <c r="CH60" s="13" t="n">
        <f aca="false">IF(AND(80&gt;=$U$21,N($V$21)&gt;0,80&lt;$U$21+N($V$21)*12,80&lt;=p_MesFin),$O$21*(1-$W$21)/(N($V$21)*12),0)</f>
        <v>0</v>
      </c>
      <c r="CI60" s="13" t="n">
        <f aca="false">IF(AND(81&gt;=$U$21,N($V$21)&gt;0,81&lt;$U$21+N($V$21)*12,81&lt;=p_MesFin),$O$21*(1-$W$21)/(N($V$21)*12),0)</f>
        <v>0</v>
      </c>
      <c r="CJ60" s="13" t="n">
        <f aca="false">IF(AND(82&gt;=$U$21,N($V$21)&gt;0,82&lt;$U$21+N($V$21)*12,82&lt;=p_MesFin),$O$21*(1-$W$21)/(N($V$21)*12),0)</f>
        <v>0</v>
      </c>
      <c r="CK60" s="13" t="n">
        <f aca="false">IF(AND(83&gt;=$U$21,N($V$21)&gt;0,83&lt;$U$21+N($V$21)*12,83&lt;=p_MesFin),$O$21*(1-$W$21)/(N($V$21)*12),0)</f>
        <v>0</v>
      </c>
      <c r="CL60" s="13" t="n">
        <f aca="false">IF(AND(84&gt;=$U$21,N($V$21)&gt;0,84&lt;$U$21+N($V$21)*12,84&lt;=p_MesFin),$O$21*(1-$W$21)/(N($V$21)*12),0)</f>
        <v>0</v>
      </c>
      <c r="CM60" s="13" t="n">
        <f aca="false">IF(AND(85&gt;=$U$21,N($V$21)&gt;0,85&lt;$U$21+N($V$21)*12,85&lt;=p_MesFin),$O$21*(1-$W$21)/(N($V$21)*12),0)</f>
        <v>0</v>
      </c>
      <c r="CN60" s="13" t="n">
        <f aca="false">IF(AND(86&gt;=$U$21,N($V$21)&gt;0,86&lt;$U$21+N($V$21)*12,86&lt;=p_MesFin),$O$21*(1-$W$21)/(N($V$21)*12),0)</f>
        <v>0</v>
      </c>
      <c r="CO60" s="13" t="n">
        <f aca="false">IF(AND(87&gt;=$U$21,N($V$21)&gt;0,87&lt;$U$21+N($V$21)*12,87&lt;=p_MesFin),$O$21*(1-$W$21)/(N($V$21)*12),0)</f>
        <v>0</v>
      </c>
      <c r="CP60" s="13" t="n">
        <f aca="false">IF(AND(88&gt;=$U$21,N($V$21)&gt;0,88&lt;$U$21+N($V$21)*12,88&lt;=p_MesFin),$O$21*(1-$W$21)/(N($V$21)*12),0)</f>
        <v>0</v>
      </c>
      <c r="CQ60" s="13" t="n">
        <f aca="false">IF(AND(89&gt;=$U$21,N($V$21)&gt;0,89&lt;$U$21+N($V$21)*12,89&lt;=p_MesFin),$O$21*(1-$W$21)/(N($V$21)*12),0)</f>
        <v>0</v>
      </c>
      <c r="CR60" s="13" t="n">
        <f aca="false">IF(AND(90&gt;=$U$21,N($V$21)&gt;0,90&lt;$U$21+N($V$21)*12,90&lt;=p_MesFin),$O$21*(1-$W$21)/(N($V$21)*12),0)</f>
        <v>0</v>
      </c>
      <c r="CS60" s="13" t="n">
        <f aca="false">IF(AND(91&gt;=$U$21,N($V$21)&gt;0,91&lt;$U$21+N($V$21)*12,91&lt;=p_MesFin),$O$21*(1-$W$21)/(N($V$21)*12),0)</f>
        <v>0</v>
      </c>
      <c r="CT60" s="13" t="n">
        <f aca="false">IF(AND(92&gt;=$U$21,N($V$21)&gt;0,92&lt;$U$21+N($V$21)*12,92&lt;=p_MesFin),$O$21*(1-$W$21)/(N($V$21)*12),0)</f>
        <v>0</v>
      </c>
      <c r="CU60" s="13" t="n">
        <f aca="false">IF(AND(93&gt;=$U$21,N($V$21)&gt;0,93&lt;$U$21+N($V$21)*12,93&lt;=p_MesFin),$O$21*(1-$W$21)/(N($V$21)*12),0)</f>
        <v>0</v>
      </c>
      <c r="CV60" s="13" t="n">
        <f aca="false">IF(AND(94&gt;=$U$21,N($V$21)&gt;0,94&lt;$U$21+N($V$21)*12,94&lt;=p_MesFin),$O$21*(1-$W$21)/(N($V$21)*12),0)</f>
        <v>0</v>
      </c>
      <c r="CW60" s="13" t="n">
        <f aca="false">IF(AND(95&gt;=$U$21,N($V$21)&gt;0,95&lt;$U$21+N($V$21)*12,95&lt;=p_MesFin),$O$21*(1-$W$21)/(N($V$21)*12),0)</f>
        <v>0</v>
      </c>
      <c r="CX60" s="13" t="n">
        <f aca="false">IF(AND(96&gt;=$U$21,N($V$21)&gt;0,96&lt;$U$21+N($V$21)*12,96&lt;=p_MesFin),$O$21*(1-$W$21)/(N($V$21)*12),0)</f>
        <v>0</v>
      </c>
      <c r="CY60" s="13" t="n">
        <f aca="false">IF(AND(97&gt;=$U$21,N($V$21)&gt;0,97&lt;$U$21+N($V$21)*12,97&lt;=p_MesFin),$O$21*(1-$W$21)/(N($V$21)*12),0)</f>
        <v>0</v>
      </c>
      <c r="CZ60" s="13" t="n">
        <f aca="false">IF(AND(98&gt;=$U$21,N($V$21)&gt;0,98&lt;$U$21+N($V$21)*12,98&lt;=p_MesFin),$O$21*(1-$W$21)/(N($V$21)*12),0)</f>
        <v>0</v>
      </c>
      <c r="DA60" s="13" t="n">
        <f aca="false">IF(AND(99&gt;=$U$21,N($V$21)&gt;0,99&lt;$U$21+N($V$21)*12,99&lt;=p_MesFin),$O$21*(1-$W$21)/(N($V$21)*12),0)</f>
        <v>0</v>
      </c>
      <c r="DB60" s="13" t="n">
        <f aca="false">IF(AND(100&gt;=$U$21,N($V$21)&gt;0,100&lt;$U$21+N($V$21)*12,100&lt;=p_MesFin),$O$21*(1-$W$21)/(N($V$21)*12),0)</f>
        <v>0</v>
      </c>
      <c r="DC60" s="13" t="n">
        <f aca="false">IF(AND(101&gt;=$U$21,N($V$21)&gt;0,101&lt;$U$21+N($V$21)*12,101&lt;=p_MesFin),$O$21*(1-$W$21)/(N($V$21)*12),0)</f>
        <v>0</v>
      </c>
      <c r="DD60" s="13" t="n">
        <f aca="false">IF(AND(102&gt;=$U$21,N($V$21)&gt;0,102&lt;$U$21+N($V$21)*12,102&lt;=p_MesFin),$O$21*(1-$W$21)/(N($V$21)*12),0)</f>
        <v>0</v>
      </c>
      <c r="DE60" s="13" t="n">
        <f aca="false">IF(AND(103&gt;=$U$21,N($V$21)&gt;0,103&lt;$U$21+N($V$21)*12,103&lt;=p_MesFin),$O$21*(1-$W$21)/(N($V$21)*12),0)</f>
        <v>0</v>
      </c>
      <c r="DF60" s="13" t="n">
        <f aca="false">IF(AND(104&gt;=$U$21,N($V$21)&gt;0,104&lt;$U$21+N($V$21)*12,104&lt;=p_MesFin),$O$21*(1-$W$21)/(N($V$21)*12),0)</f>
        <v>0</v>
      </c>
      <c r="DG60" s="13" t="n">
        <f aca="false">IF(AND(105&gt;=$U$21,N($V$21)&gt;0,105&lt;$U$21+N($V$21)*12,105&lt;=p_MesFin),$O$21*(1-$W$21)/(N($V$21)*12),0)</f>
        <v>0</v>
      </c>
      <c r="DH60" s="13" t="n">
        <f aca="false">IF(AND(106&gt;=$U$21,N($V$21)&gt;0,106&lt;$U$21+N($V$21)*12,106&lt;=p_MesFin),$O$21*(1-$W$21)/(N($V$21)*12),0)</f>
        <v>0</v>
      </c>
      <c r="DI60" s="13" t="n">
        <f aca="false">IF(AND(107&gt;=$U$21,N($V$21)&gt;0,107&lt;$U$21+N($V$21)*12,107&lt;=p_MesFin),$O$21*(1-$W$21)/(N($V$21)*12),0)</f>
        <v>0</v>
      </c>
      <c r="DJ60" s="13" t="n">
        <f aca="false">IF(AND(108&gt;=$U$21,N($V$21)&gt;0,108&lt;$U$21+N($V$21)*12,108&lt;=p_MesFin),$O$21*(1-$W$21)/(N($V$21)*12),0)</f>
        <v>0</v>
      </c>
      <c r="DK60" s="13" t="n">
        <f aca="false">IF(AND(109&gt;=$U$21,N($V$21)&gt;0,109&lt;$U$21+N($V$21)*12,109&lt;=p_MesFin),$O$21*(1-$W$21)/(N($V$21)*12),0)</f>
        <v>0</v>
      </c>
      <c r="DL60" s="13" t="n">
        <f aca="false">IF(AND(110&gt;=$U$21,N($V$21)&gt;0,110&lt;$U$21+N($V$21)*12,110&lt;=p_MesFin),$O$21*(1-$W$21)/(N($V$21)*12),0)</f>
        <v>0</v>
      </c>
      <c r="DM60" s="13" t="n">
        <f aca="false">IF(AND(111&gt;=$U$21,N($V$21)&gt;0,111&lt;$U$21+N($V$21)*12,111&lt;=p_MesFin),$O$21*(1-$W$21)/(N($V$21)*12),0)</f>
        <v>0</v>
      </c>
      <c r="DN60" s="13" t="n">
        <f aca="false">IF(AND(112&gt;=$U$21,N($V$21)&gt;0,112&lt;$U$21+N($V$21)*12,112&lt;=p_MesFin),$O$21*(1-$W$21)/(N($V$21)*12),0)</f>
        <v>0</v>
      </c>
      <c r="DO60" s="13" t="n">
        <f aca="false">IF(AND(113&gt;=$U$21,N($V$21)&gt;0,113&lt;$U$21+N($V$21)*12,113&lt;=p_MesFin),$O$21*(1-$W$21)/(N($V$21)*12),0)</f>
        <v>0</v>
      </c>
      <c r="DP60" s="13" t="n">
        <f aca="false">IF(AND(114&gt;=$U$21,N($V$21)&gt;0,114&lt;$U$21+N($V$21)*12,114&lt;=p_MesFin),$O$21*(1-$W$21)/(N($V$21)*12),0)</f>
        <v>0</v>
      </c>
      <c r="DQ60" s="13" t="n">
        <f aca="false">IF(AND(115&gt;=$U$21,N($V$21)&gt;0,115&lt;$U$21+N($V$21)*12,115&lt;=p_MesFin),$O$21*(1-$W$21)/(N($V$21)*12),0)</f>
        <v>0</v>
      </c>
      <c r="DR60" s="13" t="n">
        <f aca="false">IF(AND(116&gt;=$U$21,N($V$21)&gt;0,116&lt;$U$21+N($V$21)*12,116&lt;=p_MesFin),$O$21*(1-$W$21)/(N($V$21)*12),0)</f>
        <v>0</v>
      </c>
      <c r="DS60" s="13" t="n">
        <f aca="false">IF(AND(117&gt;=$U$21,N($V$21)&gt;0,117&lt;$U$21+N($V$21)*12,117&lt;=p_MesFin),$O$21*(1-$W$21)/(N($V$21)*12),0)</f>
        <v>0</v>
      </c>
      <c r="DT60" s="13" t="n">
        <f aca="false">IF(AND(118&gt;=$U$21,N($V$21)&gt;0,118&lt;$U$21+N($V$21)*12,118&lt;=p_MesFin),$O$21*(1-$W$21)/(N($V$21)*12),0)</f>
        <v>0</v>
      </c>
      <c r="DU60" s="13" t="n">
        <f aca="false">IF(AND(119&gt;=$U$21,N($V$21)&gt;0,119&lt;$U$21+N($V$21)*12,119&lt;=p_MesFin),$O$21*(1-$W$21)/(N($V$21)*12),0)</f>
        <v>0</v>
      </c>
      <c r="DV60" s="13" t="n">
        <f aca="false">IF(AND(120&gt;=$U$21,N($V$21)&gt;0,120&lt;$U$21+N($V$21)*12,120&lt;=p_MesFin),$O$21*(1-$W$21)/(N($V$21)*12),0)</f>
        <v>0</v>
      </c>
      <c r="DW60" s="13" t="n">
        <f aca="false">IF(AND(121&gt;=$U$21,N($V$21)&gt;0,121&lt;$U$21+N($V$21)*12,121&lt;=p_MesFin),$O$21*(1-$W$21)/(N($V$21)*12),0)</f>
        <v>0</v>
      </c>
      <c r="DX60" s="13" t="n">
        <f aca="false">IF(AND(122&gt;=$U$21,N($V$21)&gt;0,122&lt;$U$21+N($V$21)*12,122&lt;=p_MesFin),$O$21*(1-$W$21)/(N($V$21)*12),0)</f>
        <v>0</v>
      </c>
      <c r="DY60" s="13" t="n">
        <f aca="false">IF(AND(123&gt;=$U$21,N($V$21)&gt;0,123&lt;$U$21+N($V$21)*12,123&lt;=p_MesFin),$O$21*(1-$W$21)/(N($V$21)*12),0)</f>
        <v>0</v>
      </c>
      <c r="DZ60" s="13" t="n">
        <f aca="false">IF(AND(124&gt;=$U$21,N($V$21)&gt;0,124&lt;$U$21+N($V$21)*12,124&lt;=p_MesFin),$O$21*(1-$W$21)/(N($V$21)*12),0)</f>
        <v>0</v>
      </c>
      <c r="EA60" s="13" t="n">
        <f aca="false">IF(AND(125&gt;=$U$21,N($V$21)&gt;0,125&lt;$U$21+N($V$21)*12,125&lt;=p_MesFin),$O$21*(1-$W$21)/(N($V$21)*12),0)</f>
        <v>0</v>
      </c>
      <c r="EB60" s="13" t="n">
        <f aca="false">IF(AND(126&gt;=$U$21,N($V$21)&gt;0,126&lt;$U$21+N($V$21)*12,126&lt;=p_MesFin),$O$21*(1-$W$21)/(N($V$21)*12),0)</f>
        <v>0</v>
      </c>
      <c r="EC60" s="13" t="n">
        <f aca="false">IF(AND(127&gt;=$U$21,N($V$21)&gt;0,127&lt;$U$21+N($V$21)*12,127&lt;=p_MesFin),$O$21*(1-$W$21)/(N($V$21)*12),0)</f>
        <v>0</v>
      </c>
      <c r="ED60" s="13" t="n">
        <f aca="false">IF(AND(128&gt;=$U$21,N($V$21)&gt;0,128&lt;$U$21+N($V$21)*12,128&lt;=p_MesFin),$O$21*(1-$W$21)/(N($V$21)*12),0)</f>
        <v>0</v>
      </c>
      <c r="EE60" s="13" t="n">
        <f aca="false">IF(AND(129&gt;=$U$21,N($V$21)&gt;0,129&lt;$U$21+N($V$21)*12,129&lt;=p_MesFin),$O$21*(1-$W$21)/(N($V$21)*12),0)</f>
        <v>0</v>
      </c>
      <c r="EF60" s="13" t="n">
        <f aca="false">IF(AND(130&gt;=$U$21,N($V$21)&gt;0,130&lt;$U$21+N($V$21)*12,130&lt;=p_MesFin),$O$21*(1-$W$21)/(N($V$21)*12),0)</f>
        <v>0</v>
      </c>
      <c r="EG60" s="13" t="n">
        <f aca="false">IF(AND(131&gt;=$U$21,N($V$21)&gt;0,131&lt;$U$21+N($V$21)*12,131&lt;=p_MesFin),$O$21*(1-$W$21)/(N($V$21)*12),0)</f>
        <v>0</v>
      </c>
      <c r="EH60" s="13" t="n">
        <f aca="false">IF(AND(132&gt;=$U$21,N($V$21)&gt;0,132&lt;$U$21+N($V$21)*12,132&lt;=p_MesFin),$O$21*(1-$W$21)/(N($V$21)*12),0)</f>
        <v>0</v>
      </c>
      <c r="EI60" s="13" t="n">
        <f aca="false">IF(AND(133&gt;=$U$21,N($V$21)&gt;0,133&lt;$U$21+N($V$21)*12,133&lt;=p_MesFin),$O$21*(1-$W$21)/(N($V$21)*12),0)</f>
        <v>0</v>
      </c>
      <c r="EJ60" s="13" t="n">
        <f aca="false">IF(AND(134&gt;=$U$21,N($V$21)&gt;0,134&lt;$U$21+N($V$21)*12,134&lt;=p_MesFin),$O$21*(1-$W$21)/(N($V$21)*12),0)</f>
        <v>0</v>
      </c>
      <c r="EK60" s="13" t="n">
        <f aca="false">IF(AND(135&gt;=$U$21,N($V$21)&gt;0,135&lt;$U$21+N($V$21)*12,135&lt;=p_MesFin),$O$21*(1-$W$21)/(N($V$21)*12),0)</f>
        <v>0</v>
      </c>
      <c r="EL60" s="13" t="n">
        <f aca="false">IF(AND(136&gt;=$U$21,N($V$21)&gt;0,136&lt;$U$21+N($V$21)*12,136&lt;=p_MesFin),$O$21*(1-$W$21)/(N($V$21)*12),0)</f>
        <v>0</v>
      </c>
      <c r="EM60" s="13" t="n">
        <f aca="false">IF(AND(137&gt;=$U$21,N($V$21)&gt;0,137&lt;$U$21+N($V$21)*12,137&lt;=p_MesFin),$O$21*(1-$W$21)/(N($V$21)*12),0)</f>
        <v>0</v>
      </c>
      <c r="EN60" s="13" t="n">
        <f aca="false">IF(AND(138&gt;=$U$21,N($V$21)&gt;0,138&lt;$U$21+N($V$21)*12,138&lt;=p_MesFin),$O$21*(1-$W$21)/(N($V$21)*12),0)</f>
        <v>0</v>
      </c>
      <c r="EO60" s="13" t="n">
        <f aca="false">IF(AND(139&gt;=$U$21,N($V$21)&gt;0,139&lt;$U$21+N($V$21)*12,139&lt;=p_MesFin),$O$21*(1-$W$21)/(N($V$21)*12),0)</f>
        <v>0</v>
      </c>
      <c r="EP60" s="13" t="n">
        <f aca="false">IF(AND(140&gt;=$U$21,N($V$21)&gt;0,140&lt;$U$21+N($V$21)*12,140&lt;=p_MesFin),$O$21*(1-$W$21)/(N($V$21)*12),0)</f>
        <v>0</v>
      </c>
      <c r="EQ60" s="13" t="n">
        <f aca="false">IF(AND(141&gt;=$U$21,N($V$21)&gt;0,141&lt;$U$21+N($V$21)*12,141&lt;=p_MesFin),$O$21*(1-$W$21)/(N($V$21)*12),0)</f>
        <v>0</v>
      </c>
      <c r="ER60" s="13" t="n">
        <f aca="false">IF(AND(142&gt;=$U$21,N($V$21)&gt;0,142&lt;$U$21+N($V$21)*12,142&lt;=p_MesFin),$O$21*(1-$W$21)/(N($V$21)*12),0)</f>
        <v>0</v>
      </c>
      <c r="ES60" s="13" t="n">
        <f aca="false">IF(AND(143&gt;=$U$21,N($V$21)&gt;0,143&lt;$U$21+N($V$21)*12,143&lt;=p_MesFin),$O$21*(1-$W$21)/(N($V$21)*12),0)</f>
        <v>0</v>
      </c>
      <c r="ET60" s="13" t="n">
        <f aca="false">IF(AND(144&gt;=$U$21,N($V$21)&gt;0,144&lt;$U$21+N($V$21)*12,144&lt;=p_MesFin),$O$21*(1-$W$21)/(N($V$21)*12),0)</f>
        <v>0</v>
      </c>
      <c r="EU60" s="13" t="n">
        <f aca="false">IF(AND(145&gt;=$U$21,N($V$21)&gt;0,145&lt;$U$21+N($V$21)*12,145&lt;=p_MesFin),$O$21*(1-$W$21)/(N($V$21)*12),0)</f>
        <v>0</v>
      </c>
      <c r="EV60" s="13" t="n">
        <f aca="false">IF(AND(146&gt;=$U$21,N($V$21)&gt;0,146&lt;$U$21+N($V$21)*12,146&lt;=p_MesFin),$O$21*(1-$W$21)/(N($V$21)*12),0)</f>
        <v>0</v>
      </c>
      <c r="EW60" s="13" t="n">
        <f aca="false">IF(AND(147&gt;=$U$21,N($V$21)&gt;0,147&lt;$U$21+N($V$21)*12,147&lt;=p_MesFin),$O$21*(1-$W$21)/(N($V$21)*12),0)</f>
        <v>0</v>
      </c>
      <c r="EX60" s="13" t="n">
        <f aca="false">IF(AND(148&gt;=$U$21,N($V$21)&gt;0,148&lt;$U$21+N($V$21)*12,148&lt;=p_MesFin),$O$21*(1-$W$21)/(N($V$21)*12),0)</f>
        <v>0</v>
      </c>
      <c r="EY60" s="13" t="n">
        <f aca="false">IF(AND(149&gt;=$U$21,N($V$21)&gt;0,149&lt;$U$21+N($V$21)*12,149&lt;=p_MesFin),$O$21*(1-$W$21)/(N($V$21)*12),0)</f>
        <v>0</v>
      </c>
      <c r="EZ60" s="13" t="n">
        <f aca="false">IF(AND(150&gt;=$U$21,N($V$21)&gt;0,150&lt;$U$21+N($V$21)*12,150&lt;=p_MesFin),$O$21*(1-$W$21)/(N($V$21)*12),0)</f>
        <v>0</v>
      </c>
      <c r="FA60" s="13" t="n">
        <f aca="false">IF(AND(151&gt;=$U$21,N($V$21)&gt;0,151&lt;$U$21+N($V$21)*12,151&lt;=p_MesFin),$O$21*(1-$W$21)/(N($V$21)*12),0)</f>
        <v>0</v>
      </c>
      <c r="FB60" s="13" t="n">
        <f aca="false">IF(AND(152&gt;=$U$21,N($V$21)&gt;0,152&lt;$U$21+N($V$21)*12,152&lt;=p_MesFin),$O$21*(1-$W$21)/(N($V$21)*12),0)</f>
        <v>0</v>
      </c>
      <c r="FC60" s="13" t="n">
        <f aca="false">IF(AND(153&gt;=$U$21,N($V$21)&gt;0,153&lt;$U$21+N($V$21)*12,153&lt;=p_MesFin),$O$21*(1-$W$21)/(N($V$21)*12),0)</f>
        <v>0</v>
      </c>
      <c r="FD60" s="13" t="n">
        <f aca="false">IF(AND(154&gt;=$U$21,N($V$21)&gt;0,154&lt;$U$21+N($V$21)*12,154&lt;=p_MesFin),$O$21*(1-$W$21)/(N($V$21)*12),0)</f>
        <v>0</v>
      </c>
      <c r="FE60" s="13" t="n">
        <f aca="false">IF(AND(155&gt;=$U$21,N($V$21)&gt;0,155&lt;$U$21+N($V$21)*12,155&lt;=p_MesFin),$O$21*(1-$W$21)/(N($V$21)*12),0)</f>
        <v>0</v>
      </c>
      <c r="FF60" s="13" t="n">
        <f aca="false">IF(AND(156&gt;=$U$21,N($V$21)&gt;0,156&lt;$U$21+N($V$21)*12,156&lt;=p_MesFin),$O$21*(1-$W$21)/(N($V$21)*12),0)</f>
        <v>0</v>
      </c>
    </row>
    <row r="61" customFormat="false" ht="15" hidden="false" customHeight="false" outlineLevel="0" collapsed="false">
      <c r="A61" s="2" t="s">
        <v>1270</v>
      </c>
      <c r="B61" s="8" t="s">
        <v>1271</v>
      </c>
      <c r="C61" s="8" t="s">
        <v>255</v>
      </c>
      <c r="E61" s="65" t="n">
        <f aca="false">SUM($F61:$FF61)</f>
        <v>0</v>
      </c>
      <c r="F61" s="13" t="n">
        <f aca="false">IF(AND(0&gt;=$U$22,N($V$22)&gt;0,0&lt;$U$22+N($V$22)*12,0&lt;=p_MesFin),$O$22*(1-$W$22)/(N($V$22)*12),0)</f>
        <v>0</v>
      </c>
      <c r="G61" s="13" t="n">
        <f aca="false">IF(AND(1&gt;=$U$22,N($V$22)&gt;0,1&lt;$U$22+N($V$22)*12,1&lt;=p_MesFin),$O$22*(1-$W$22)/(N($V$22)*12),0)</f>
        <v>0</v>
      </c>
      <c r="H61" s="13" t="n">
        <f aca="false">IF(AND(2&gt;=$U$22,N($V$22)&gt;0,2&lt;$U$22+N($V$22)*12,2&lt;=p_MesFin),$O$22*(1-$W$22)/(N($V$22)*12),0)</f>
        <v>0</v>
      </c>
      <c r="I61" s="13" t="n">
        <f aca="false">IF(AND(3&gt;=$U$22,N($V$22)&gt;0,3&lt;$U$22+N($V$22)*12,3&lt;=p_MesFin),$O$22*(1-$W$22)/(N($V$22)*12),0)</f>
        <v>0</v>
      </c>
      <c r="J61" s="13" t="n">
        <f aca="false">IF(AND(4&gt;=$U$22,N($V$22)&gt;0,4&lt;$U$22+N($V$22)*12,4&lt;=p_MesFin),$O$22*(1-$W$22)/(N($V$22)*12),0)</f>
        <v>0</v>
      </c>
      <c r="K61" s="13" t="n">
        <f aca="false">IF(AND(5&gt;=$U$22,N($V$22)&gt;0,5&lt;$U$22+N($V$22)*12,5&lt;=p_MesFin),$O$22*(1-$W$22)/(N($V$22)*12),0)</f>
        <v>0</v>
      </c>
      <c r="L61" s="13" t="n">
        <f aca="false">IF(AND(6&gt;=$U$22,N($V$22)&gt;0,6&lt;$U$22+N($V$22)*12,6&lt;=p_MesFin),$O$22*(1-$W$22)/(N($V$22)*12),0)</f>
        <v>0</v>
      </c>
      <c r="M61" s="13" t="n">
        <f aca="false">IF(AND(7&gt;=$U$22,N($V$22)&gt;0,7&lt;$U$22+N($V$22)*12,7&lt;=p_MesFin),$O$22*(1-$W$22)/(N($V$22)*12),0)</f>
        <v>0</v>
      </c>
      <c r="N61" s="13" t="n">
        <f aca="false">IF(AND(8&gt;=$U$22,N($V$22)&gt;0,8&lt;$U$22+N($V$22)*12,8&lt;=p_MesFin),$O$22*(1-$W$22)/(N($V$22)*12),0)</f>
        <v>0</v>
      </c>
      <c r="O61" s="13" t="n">
        <f aca="false">IF(AND(9&gt;=$U$22,N($V$22)&gt;0,9&lt;$U$22+N($V$22)*12,9&lt;=p_MesFin),$O$22*(1-$W$22)/(N($V$22)*12),0)</f>
        <v>0</v>
      </c>
      <c r="P61" s="13" t="n">
        <f aca="false">IF(AND(10&gt;=$U$22,N($V$22)&gt;0,10&lt;$U$22+N($V$22)*12,10&lt;=p_MesFin),$O$22*(1-$W$22)/(N($V$22)*12),0)</f>
        <v>0</v>
      </c>
      <c r="Q61" s="13" t="n">
        <f aca="false">IF(AND(11&gt;=$U$22,N($V$22)&gt;0,11&lt;$U$22+N($V$22)*12,11&lt;=p_MesFin),$O$22*(1-$W$22)/(N($V$22)*12),0)</f>
        <v>0</v>
      </c>
      <c r="R61" s="13" t="n">
        <f aca="false">IF(AND(12&gt;=$U$22,N($V$22)&gt;0,12&lt;$U$22+N($V$22)*12,12&lt;=p_MesFin),$O$22*(1-$W$22)/(N($V$22)*12),0)</f>
        <v>0</v>
      </c>
      <c r="S61" s="13" t="n">
        <f aca="false">IF(AND(13&gt;=$U$22,N($V$22)&gt;0,13&lt;$U$22+N($V$22)*12,13&lt;=p_MesFin),$O$22*(1-$W$22)/(N($V$22)*12),0)</f>
        <v>0</v>
      </c>
      <c r="T61" s="13" t="n">
        <f aca="false">IF(AND(14&gt;=$U$22,N($V$22)&gt;0,14&lt;$U$22+N($V$22)*12,14&lt;=p_MesFin),$O$22*(1-$W$22)/(N($V$22)*12),0)</f>
        <v>0</v>
      </c>
      <c r="U61" s="13" t="n">
        <f aca="false">IF(AND(15&gt;=$U$22,N($V$22)&gt;0,15&lt;$U$22+N($V$22)*12,15&lt;=p_MesFin),$O$22*(1-$W$22)/(N($V$22)*12),0)</f>
        <v>0</v>
      </c>
      <c r="V61" s="13" t="n">
        <f aca="false">IF(AND(16&gt;=$U$22,N($V$22)&gt;0,16&lt;$U$22+N($V$22)*12,16&lt;=p_MesFin),$O$22*(1-$W$22)/(N($V$22)*12),0)</f>
        <v>0</v>
      </c>
      <c r="W61" s="13" t="n">
        <f aca="false">IF(AND(17&gt;=$U$22,N($V$22)&gt;0,17&lt;$U$22+N($V$22)*12,17&lt;=p_MesFin),$O$22*(1-$W$22)/(N($V$22)*12),0)</f>
        <v>0</v>
      </c>
      <c r="X61" s="13" t="n">
        <f aca="false">IF(AND(18&gt;=$U$22,N($V$22)&gt;0,18&lt;$U$22+N($V$22)*12,18&lt;=p_MesFin),$O$22*(1-$W$22)/(N($V$22)*12),0)</f>
        <v>0</v>
      </c>
      <c r="Y61" s="13" t="n">
        <f aca="false">IF(AND(19&gt;=$U$22,N($V$22)&gt;0,19&lt;$U$22+N($V$22)*12,19&lt;=p_MesFin),$O$22*(1-$W$22)/(N($V$22)*12),0)</f>
        <v>0</v>
      </c>
      <c r="Z61" s="13" t="n">
        <f aca="false">IF(AND(20&gt;=$U$22,N($V$22)&gt;0,20&lt;$U$22+N($V$22)*12,20&lt;=p_MesFin),$O$22*(1-$W$22)/(N($V$22)*12),0)</f>
        <v>0</v>
      </c>
      <c r="AA61" s="13" t="n">
        <f aca="false">IF(AND(21&gt;=$U$22,N($V$22)&gt;0,21&lt;$U$22+N($V$22)*12,21&lt;=p_MesFin),$O$22*(1-$W$22)/(N($V$22)*12),0)</f>
        <v>0</v>
      </c>
      <c r="AB61" s="13" t="n">
        <f aca="false">IF(AND(22&gt;=$U$22,N($V$22)&gt;0,22&lt;$U$22+N($V$22)*12,22&lt;=p_MesFin),$O$22*(1-$W$22)/(N($V$22)*12),0)</f>
        <v>0</v>
      </c>
      <c r="AC61" s="13" t="n">
        <f aca="false">IF(AND(23&gt;=$U$22,N($V$22)&gt;0,23&lt;$U$22+N($V$22)*12,23&lt;=p_MesFin),$O$22*(1-$W$22)/(N($V$22)*12),0)</f>
        <v>0</v>
      </c>
      <c r="AD61" s="13" t="n">
        <f aca="false">IF(AND(24&gt;=$U$22,N($V$22)&gt;0,24&lt;$U$22+N($V$22)*12,24&lt;=p_MesFin),$O$22*(1-$W$22)/(N($V$22)*12),0)</f>
        <v>0</v>
      </c>
      <c r="AE61" s="13" t="n">
        <f aca="false">IF(AND(25&gt;=$U$22,N($V$22)&gt;0,25&lt;$U$22+N($V$22)*12,25&lt;=p_MesFin),$O$22*(1-$W$22)/(N($V$22)*12),0)</f>
        <v>0</v>
      </c>
      <c r="AF61" s="13" t="n">
        <f aca="false">IF(AND(26&gt;=$U$22,N($V$22)&gt;0,26&lt;$U$22+N($V$22)*12,26&lt;=p_MesFin),$O$22*(1-$W$22)/(N($V$22)*12),0)</f>
        <v>0</v>
      </c>
      <c r="AG61" s="13" t="n">
        <f aca="false">IF(AND(27&gt;=$U$22,N($V$22)&gt;0,27&lt;$U$22+N($V$22)*12,27&lt;=p_MesFin),$O$22*(1-$W$22)/(N($V$22)*12),0)</f>
        <v>0</v>
      </c>
      <c r="AH61" s="13" t="n">
        <f aca="false">IF(AND(28&gt;=$U$22,N($V$22)&gt;0,28&lt;$U$22+N($V$22)*12,28&lt;=p_MesFin),$O$22*(1-$W$22)/(N($V$22)*12),0)</f>
        <v>0</v>
      </c>
      <c r="AI61" s="13" t="n">
        <f aca="false">IF(AND(29&gt;=$U$22,N($V$22)&gt;0,29&lt;$U$22+N($V$22)*12,29&lt;=p_MesFin),$O$22*(1-$W$22)/(N($V$22)*12),0)</f>
        <v>0</v>
      </c>
      <c r="AJ61" s="13" t="n">
        <f aca="false">IF(AND(30&gt;=$U$22,N($V$22)&gt;0,30&lt;$U$22+N($V$22)*12,30&lt;=p_MesFin),$O$22*(1-$W$22)/(N($V$22)*12),0)</f>
        <v>0</v>
      </c>
      <c r="AK61" s="13" t="n">
        <f aca="false">IF(AND(31&gt;=$U$22,N($V$22)&gt;0,31&lt;$U$22+N($V$22)*12,31&lt;=p_MesFin),$O$22*(1-$W$22)/(N($V$22)*12),0)</f>
        <v>0</v>
      </c>
      <c r="AL61" s="13" t="n">
        <f aca="false">IF(AND(32&gt;=$U$22,N($V$22)&gt;0,32&lt;$U$22+N($V$22)*12,32&lt;=p_MesFin),$O$22*(1-$W$22)/(N($V$22)*12),0)</f>
        <v>0</v>
      </c>
      <c r="AM61" s="13" t="n">
        <f aca="false">IF(AND(33&gt;=$U$22,N($V$22)&gt;0,33&lt;$U$22+N($V$22)*12,33&lt;=p_MesFin),$O$22*(1-$W$22)/(N($V$22)*12),0)</f>
        <v>0</v>
      </c>
      <c r="AN61" s="13" t="n">
        <f aca="false">IF(AND(34&gt;=$U$22,N($V$22)&gt;0,34&lt;$U$22+N($V$22)*12,34&lt;=p_MesFin),$O$22*(1-$W$22)/(N($V$22)*12),0)</f>
        <v>0</v>
      </c>
      <c r="AO61" s="13" t="n">
        <f aca="false">IF(AND(35&gt;=$U$22,N($V$22)&gt;0,35&lt;$U$22+N($V$22)*12,35&lt;=p_MesFin),$O$22*(1-$W$22)/(N($V$22)*12),0)</f>
        <v>0</v>
      </c>
      <c r="AP61" s="13" t="n">
        <f aca="false">IF(AND(36&gt;=$U$22,N($V$22)&gt;0,36&lt;$U$22+N($V$22)*12,36&lt;=p_MesFin),$O$22*(1-$W$22)/(N($V$22)*12),0)</f>
        <v>0</v>
      </c>
      <c r="AQ61" s="13" t="n">
        <f aca="false">IF(AND(37&gt;=$U$22,N($V$22)&gt;0,37&lt;$U$22+N($V$22)*12,37&lt;=p_MesFin),$O$22*(1-$W$22)/(N($V$22)*12),0)</f>
        <v>0</v>
      </c>
      <c r="AR61" s="13" t="n">
        <f aca="false">IF(AND(38&gt;=$U$22,N($V$22)&gt;0,38&lt;$U$22+N($V$22)*12,38&lt;=p_MesFin),$O$22*(1-$W$22)/(N($V$22)*12),0)</f>
        <v>0</v>
      </c>
      <c r="AS61" s="13" t="n">
        <f aca="false">IF(AND(39&gt;=$U$22,N($V$22)&gt;0,39&lt;$U$22+N($V$22)*12,39&lt;=p_MesFin),$O$22*(1-$W$22)/(N($V$22)*12),0)</f>
        <v>0</v>
      </c>
      <c r="AT61" s="13" t="n">
        <f aca="false">IF(AND(40&gt;=$U$22,N($V$22)&gt;0,40&lt;$U$22+N($V$22)*12,40&lt;=p_MesFin),$O$22*(1-$W$22)/(N($V$22)*12),0)</f>
        <v>0</v>
      </c>
      <c r="AU61" s="13" t="n">
        <f aca="false">IF(AND(41&gt;=$U$22,N($V$22)&gt;0,41&lt;$U$22+N($V$22)*12,41&lt;=p_MesFin),$O$22*(1-$W$22)/(N($V$22)*12),0)</f>
        <v>0</v>
      </c>
      <c r="AV61" s="13" t="n">
        <f aca="false">IF(AND(42&gt;=$U$22,N($V$22)&gt;0,42&lt;$U$22+N($V$22)*12,42&lt;=p_MesFin),$O$22*(1-$W$22)/(N($V$22)*12),0)</f>
        <v>0</v>
      </c>
      <c r="AW61" s="13" t="n">
        <f aca="false">IF(AND(43&gt;=$U$22,N($V$22)&gt;0,43&lt;$U$22+N($V$22)*12,43&lt;=p_MesFin),$O$22*(1-$W$22)/(N($V$22)*12),0)</f>
        <v>0</v>
      </c>
      <c r="AX61" s="13" t="n">
        <f aca="false">IF(AND(44&gt;=$U$22,N($V$22)&gt;0,44&lt;$U$22+N($V$22)*12,44&lt;=p_MesFin),$O$22*(1-$W$22)/(N($V$22)*12),0)</f>
        <v>0</v>
      </c>
      <c r="AY61" s="13" t="n">
        <f aca="false">IF(AND(45&gt;=$U$22,N($V$22)&gt;0,45&lt;$U$22+N($V$22)*12,45&lt;=p_MesFin),$O$22*(1-$W$22)/(N($V$22)*12),0)</f>
        <v>0</v>
      </c>
      <c r="AZ61" s="13" t="n">
        <f aca="false">IF(AND(46&gt;=$U$22,N($V$22)&gt;0,46&lt;$U$22+N($V$22)*12,46&lt;=p_MesFin),$O$22*(1-$W$22)/(N($V$22)*12),0)</f>
        <v>0</v>
      </c>
      <c r="BA61" s="13" t="n">
        <f aca="false">IF(AND(47&gt;=$U$22,N($V$22)&gt;0,47&lt;$U$22+N($V$22)*12,47&lt;=p_MesFin),$O$22*(1-$W$22)/(N($V$22)*12),0)</f>
        <v>0</v>
      </c>
      <c r="BB61" s="13" t="n">
        <f aca="false">IF(AND(48&gt;=$U$22,N($V$22)&gt;0,48&lt;$U$22+N($V$22)*12,48&lt;=p_MesFin),$O$22*(1-$W$22)/(N($V$22)*12),0)</f>
        <v>0</v>
      </c>
      <c r="BC61" s="13" t="n">
        <f aca="false">IF(AND(49&gt;=$U$22,N($V$22)&gt;0,49&lt;$U$22+N($V$22)*12,49&lt;=p_MesFin),$O$22*(1-$W$22)/(N($V$22)*12),0)</f>
        <v>0</v>
      </c>
      <c r="BD61" s="13" t="n">
        <f aca="false">IF(AND(50&gt;=$U$22,N($V$22)&gt;0,50&lt;$U$22+N($V$22)*12,50&lt;=p_MesFin),$O$22*(1-$W$22)/(N($V$22)*12),0)</f>
        <v>0</v>
      </c>
      <c r="BE61" s="13" t="n">
        <f aca="false">IF(AND(51&gt;=$U$22,N($V$22)&gt;0,51&lt;$U$22+N($V$22)*12,51&lt;=p_MesFin),$O$22*(1-$W$22)/(N($V$22)*12),0)</f>
        <v>0</v>
      </c>
      <c r="BF61" s="13" t="n">
        <f aca="false">IF(AND(52&gt;=$U$22,N($V$22)&gt;0,52&lt;$U$22+N($V$22)*12,52&lt;=p_MesFin),$O$22*(1-$W$22)/(N($V$22)*12),0)</f>
        <v>0</v>
      </c>
      <c r="BG61" s="13" t="n">
        <f aca="false">IF(AND(53&gt;=$U$22,N($V$22)&gt;0,53&lt;$U$22+N($V$22)*12,53&lt;=p_MesFin),$O$22*(1-$W$22)/(N($V$22)*12),0)</f>
        <v>0</v>
      </c>
      <c r="BH61" s="13" t="n">
        <f aca="false">IF(AND(54&gt;=$U$22,N($V$22)&gt;0,54&lt;$U$22+N($V$22)*12,54&lt;=p_MesFin),$O$22*(1-$W$22)/(N($V$22)*12),0)</f>
        <v>0</v>
      </c>
      <c r="BI61" s="13" t="n">
        <f aca="false">IF(AND(55&gt;=$U$22,N($V$22)&gt;0,55&lt;$U$22+N($V$22)*12,55&lt;=p_MesFin),$O$22*(1-$W$22)/(N($V$22)*12),0)</f>
        <v>0</v>
      </c>
      <c r="BJ61" s="13" t="n">
        <f aca="false">IF(AND(56&gt;=$U$22,N($V$22)&gt;0,56&lt;$U$22+N($V$22)*12,56&lt;=p_MesFin),$O$22*(1-$W$22)/(N($V$22)*12),0)</f>
        <v>0</v>
      </c>
      <c r="BK61" s="13" t="n">
        <f aca="false">IF(AND(57&gt;=$U$22,N($V$22)&gt;0,57&lt;$U$22+N($V$22)*12,57&lt;=p_MesFin),$O$22*(1-$W$22)/(N($V$22)*12),0)</f>
        <v>0</v>
      </c>
      <c r="BL61" s="13" t="n">
        <f aca="false">IF(AND(58&gt;=$U$22,N($V$22)&gt;0,58&lt;$U$22+N($V$22)*12,58&lt;=p_MesFin),$O$22*(1-$W$22)/(N($V$22)*12),0)</f>
        <v>0</v>
      </c>
      <c r="BM61" s="13" t="n">
        <f aca="false">IF(AND(59&gt;=$U$22,N($V$22)&gt;0,59&lt;$U$22+N($V$22)*12,59&lt;=p_MesFin),$O$22*(1-$W$22)/(N($V$22)*12),0)</f>
        <v>0</v>
      </c>
      <c r="BN61" s="13" t="n">
        <f aca="false">IF(AND(60&gt;=$U$22,N($V$22)&gt;0,60&lt;$U$22+N($V$22)*12,60&lt;=p_MesFin),$O$22*(1-$W$22)/(N($V$22)*12),0)</f>
        <v>0</v>
      </c>
      <c r="BO61" s="13" t="n">
        <f aca="false">IF(AND(61&gt;=$U$22,N($V$22)&gt;0,61&lt;$U$22+N($V$22)*12,61&lt;=p_MesFin),$O$22*(1-$W$22)/(N($V$22)*12),0)</f>
        <v>0</v>
      </c>
      <c r="BP61" s="13" t="n">
        <f aca="false">IF(AND(62&gt;=$U$22,N($V$22)&gt;0,62&lt;$U$22+N($V$22)*12,62&lt;=p_MesFin),$O$22*(1-$W$22)/(N($V$22)*12),0)</f>
        <v>0</v>
      </c>
      <c r="BQ61" s="13" t="n">
        <f aca="false">IF(AND(63&gt;=$U$22,N($V$22)&gt;0,63&lt;$U$22+N($V$22)*12,63&lt;=p_MesFin),$O$22*(1-$W$22)/(N($V$22)*12),0)</f>
        <v>0</v>
      </c>
      <c r="BR61" s="13" t="n">
        <f aca="false">IF(AND(64&gt;=$U$22,N($V$22)&gt;0,64&lt;$U$22+N($V$22)*12,64&lt;=p_MesFin),$O$22*(1-$W$22)/(N($V$22)*12),0)</f>
        <v>0</v>
      </c>
      <c r="BS61" s="13" t="n">
        <f aca="false">IF(AND(65&gt;=$U$22,N($V$22)&gt;0,65&lt;$U$22+N($V$22)*12,65&lt;=p_MesFin),$O$22*(1-$W$22)/(N($V$22)*12),0)</f>
        <v>0</v>
      </c>
      <c r="BT61" s="13" t="n">
        <f aca="false">IF(AND(66&gt;=$U$22,N($V$22)&gt;0,66&lt;$U$22+N($V$22)*12,66&lt;=p_MesFin),$O$22*(1-$W$22)/(N($V$22)*12),0)</f>
        <v>0</v>
      </c>
      <c r="BU61" s="13" t="n">
        <f aca="false">IF(AND(67&gt;=$U$22,N($V$22)&gt;0,67&lt;$U$22+N($V$22)*12,67&lt;=p_MesFin),$O$22*(1-$W$22)/(N($V$22)*12),0)</f>
        <v>0</v>
      </c>
      <c r="BV61" s="13" t="n">
        <f aca="false">IF(AND(68&gt;=$U$22,N($V$22)&gt;0,68&lt;$U$22+N($V$22)*12,68&lt;=p_MesFin),$O$22*(1-$W$22)/(N($V$22)*12),0)</f>
        <v>0</v>
      </c>
      <c r="BW61" s="13" t="n">
        <f aca="false">IF(AND(69&gt;=$U$22,N($V$22)&gt;0,69&lt;$U$22+N($V$22)*12,69&lt;=p_MesFin),$O$22*(1-$W$22)/(N($V$22)*12),0)</f>
        <v>0</v>
      </c>
      <c r="BX61" s="13" t="n">
        <f aca="false">IF(AND(70&gt;=$U$22,N($V$22)&gt;0,70&lt;$U$22+N($V$22)*12,70&lt;=p_MesFin),$O$22*(1-$W$22)/(N($V$22)*12),0)</f>
        <v>0</v>
      </c>
      <c r="BY61" s="13" t="n">
        <f aca="false">IF(AND(71&gt;=$U$22,N($V$22)&gt;0,71&lt;$U$22+N($V$22)*12,71&lt;=p_MesFin),$O$22*(1-$W$22)/(N($V$22)*12),0)</f>
        <v>0</v>
      </c>
      <c r="BZ61" s="13" t="n">
        <f aca="false">IF(AND(72&gt;=$U$22,N($V$22)&gt;0,72&lt;$U$22+N($V$22)*12,72&lt;=p_MesFin),$O$22*(1-$W$22)/(N($V$22)*12),0)</f>
        <v>0</v>
      </c>
      <c r="CA61" s="13" t="n">
        <f aca="false">IF(AND(73&gt;=$U$22,N($V$22)&gt;0,73&lt;$U$22+N($V$22)*12,73&lt;=p_MesFin),$O$22*(1-$W$22)/(N($V$22)*12),0)</f>
        <v>0</v>
      </c>
      <c r="CB61" s="13" t="n">
        <f aca="false">IF(AND(74&gt;=$U$22,N($V$22)&gt;0,74&lt;$U$22+N($V$22)*12,74&lt;=p_MesFin),$O$22*(1-$W$22)/(N($V$22)*12),0)</f>
        <v>0</v>
      </c>
      <c r="CC61" s="13" t="n">
        <f aca="false">IF(AND(75&gt;=$U$22,N($V$22)&gt;0,75&lt;$U$22+N($V$22)*12,75&lt;=p_MesFin),$O$22*(1-$W$22)/(N($V$22)*12),0)</f>
        <v>0</v>
      </c>
      <c r="CD61" s="13" t="n">
        <f aca="false">IF(AND(76&gt;=$U$22,N($V$22)&gt;0,76&lt;$U$22+N($V$22)*12,76&lt;=p_MesFin),$O$22*(1-$W$22)/(N($V$22)*12),0)</f>
        <v>0</v>
      </c>
      <c r="CE61" s="13" t="n">
        <f aca="false">IF(AND(77&gt;=$U$22,N($V$22)&gt;0,77&lt;$U$22+N($V$22)*12,77&lt;=p_MesFin),$O$22*(1-$W$22)/(N($V$22)*12),0)</f>
        <v>0</v>
      </c>
      <c r="CF61" s="13" t="n">
        <f aca="false">IF(AND(78&gt;=$U$22,N($V$22)&gt;0,78&lt;$U$22+N($V$22)*12,78&lt;=p_MesFin),$O$22*(1-$W$22)/(N($V$22)*12),0)</f>
        <v>0</v>
      </c>
      <c r="CG61" s="13" t="n">
        <f aca="false">IF(AND(79&gt;=$U$22,N($V$22)&gt;0,79&lt;$U$22+N($V$22)*12,79&lt;=p_MesFin),$O$22*(1-$W$22)/(N($V$22)*12),0)</f>
        <v>0</v>
      </c>
      <c r="CH61" s="13" t="n">
        <f aca="false">IF(AND(80&gt;=$U$22,N($V$22)&gt;0,80&lt;$U$22+N($V$22)*12,80&lt;=p_MesFin),$O$22*(1-$W$22)/(N($V$22)*12),0)</f>
        <v>0</v>
      </c>
      <c r="CI61" s="13" t="n">
        <f aca="false">IF(AND(81&gt;=$U$22,N($V$22)&gt;0,81&lt;$U$22+N($V$22)*12,81&lt;=p_MesFin),$O$22*(1-$W$22)/(N($V$22)*12),0)</f>
        <v>0</v>
      </c>
      <c r="CJ61" s="13" t="n">
        <f aca="false">IF(AND(82&gt;=$U$22,N($V$22)&gt;0,82&lt;$U$22+N($V$22)*12,82&lt;=p_MesFin),$O$22*(1-$W$22)/(N($V$22)*12),0)</f>
        <v>0</v>
      </c>
      <c r="CK61" s="13" t="n">
        <f aca="false">IF(AND(83&gt;=$U$22,N($V$22)&gt;0,83&lt;$U$22+N($V$22)*12,83&lt;=p_MesFin),$O$22*(1-$W$22)/(N($V$22)*12),0)</f>
        <v>0</v>
      </c>
      <c r="CL61" s="13" t="n">
        <f aca="false">IF(AND(84&gt;=$U$22,N($V$22)&gt;0,84&lt;$U$22+N($V$22)*12,84&lt;=p_MesFin),$O$22*(1-$W$22)/(N($V$22)*12),0)</f>
        <v>0</v>
      </c>
      <c r="CM61" s="13" t="n">
        <f aca="false">IF(AND(85&gt;=$U$22,N($V$22)&gt;0,85&lt;$U$22+N($V$22)*12,85&lt;=p_MesFin),$O$22*(1-$W$22)/(N($V$22)*12),0)</f>
        <v>0</v>
      </c>
      <c r="CN61" s="13" t="n">
        <f aca="false">IF(AND(86&gt;=$U$22,N($V$22)&gt;0,86&lt;$U$22+N($V$22)*12,86&lt;=p_MesFin),$O$22*(1-$W$22)/(N($V$22)*12),0)</f>
        <v>0</v>
      </c>
      <c r="CO61" s="13" t="n">
        <f aca="false">IF(AND(87&gt;=$U$22,N($V$22)&gt;0,87&lt;$U$22+N($V$22)*12,87&lt;=p_MesFin),$O$22*(1-$W$22)/(N($V$22)*12),0)</f>
        <v>0</v>
      </c>
      <c r="CP61" s="13" t="n">
        <f aca="false">IF(AND(88&gt;=$U$22,N($V$22)&gt;0,88&lt;$U$22+N($V$22)*12,88&lt;=p_MesFin),$O$22*(1-$W$22)/(N($V$22)*12),0)</f>
        <v>0</v>
      </c>
      <c r="CQ61" s="13" t="n">
        <f aca="false">IF(AND(89&gt;=$U$22,N($V$22)&gt;0,89&lt;$U$22+N($V$22)*12,89&lt;=p_MesFin),$O$22*(1-$W$22)/(N($V$22)*12),0)</f>
        <v>0</v>
      </c>
      <c r="CR61" s="13" t="n">
        <f aca="false">IF(AND(90&gt;=$U$22,N($V$22)&gt;0,90&lt;$U$22+N($V$22)*12,90&lt;=p_MesFin),$O$22*(1-$W$22)/(N($V$22)*12),0)</f>
        <v>0</v>
      </c>
      <c r="CS61" s="13" t="n">
        <f aca="false">IF(AND(91&gt;=$U$22,N($V$22)&gt;0,91&lt;$U$22+N($V$22)*12,91&lt;=p_MesFin),$O$22*(1-$W$22)/(N($V$22)*12),0)</f>
        <v>0</v>
      </c>
      <c r="CT61" s="13" t="n">
        <f aca="false">IF(AND(92&gt;=$U$22,N($V$22)&gt;0,92&lt;$U$22+N($V$22)*12,92&lt;=p_MesFin),$O$22*(1-$W$22)/(N($V$22)*12),0)</f>
        <v>0</v>
      </c>
      <c r="CU61" s="13" t="n">
        <f aca="false">IF(AND(93&gt;=$U$22,N($V$22)&gt;0,93&lt;$U$22+N($V$22)*12,93&lt;=p_MesFin),$O$22*(1-$W$22)/(N($V$22)*12),0)</f>
        <v>0</v>
      </c>
      <c r="CV61" s="13" t="n">
        <f aca="false">IF(AND(94&gt;=$U$22,N($V$22)&gt;0,94&lt;$U$22+N($V$22)*12,94&lt;=p_MesFin),$O$22*(1-$W$22)/(N($V$22)*12),0)</f>
        <v>0</v>
      </c>
      <c r="CW61" s="13" t="n">
        <f aca="false">IF(AND(95&gt;=$U$22,N($V$22)&gt;0,95&lt;$U$22+N($V$22)*12,95&lt;=p_MesFin),$O$22*(1-$W$22)/(N($V$22)*12),0)</f>
        <v>0</v>
      </c>
      <c r="CX61" s="13" t="n">
        <f aca="false">IF(AND(96&gt;=$U$22,N($V$22)&gt;0,96&lt;$U$22+N($V$22)*12,96&lt;=p_MesFin),$O$22*(1-$W$22)/(N($V$22)*12),0)</f>
        <v>0</v>
      </c>
      <c r="CY61" s="13" t="n">
        <f aca="false">IF(AND(97&gt;=$U$22,N($V$22)&gt;0,97&lt;$U$22+N($V$22)*12,97&lt;=p_MesFin),$O$22*(1-$W$22)/(N($V$22)*12),0)</f>
        <v>0</v>
      </c>
      <c r="CZ61" s="13" t="n">
        <f aca="false">IF(AND(98&gt;=$U$22,N($V$22)&gt;0,98&lt;$U$22+N($V$22)*12,98&lt;=p_MesFin),$O$22*(1-$W$22)/(N($V$22)*12),0)</f>
        <v>0</v>
      </c>
      <c r="DA61" s="13" t="n">
        <f aca="false">IF(AND(99&gt;=$U$22,N($V$22)&gt;0,99&lt;$U$22+N($V$22)*12,99&lt;=p_MesFin),$O$22*(1-$W$22)/(N($V$22)*12),0)</f>
        <v>0</v>
      </c>
      <c r="DB61" s="13" t="n">
        <f aca="false">IF(AND(100&gt;=$U$22,N($V$22)&gt;0,100&lt;$U$22+N($V$22)*12,100&lt;=p_MesFin),$O$22*(1-$W$22)/(N($V$22)*12),0)</f>
        <v>0</v>
      </c>
      <c r="DC61" s="13" t="n">
        <f aca="false">IF(AND(101&gt;=$U$22,N($V$22)&gt;0,101&lt;$U$22+N($V$22)*12,101&lt;=p_MesFin),$O$22*(1-$W$22)/(N($V$22)*12),0)</f>
        <v>0</v>
      </c>
      <c r="DD61" s="13" t="n">
        <f aca="false">IF(AND(102&gt;=$U$22,N($V$22)&gt;0,102&lt;$U$22+N($V$22)*12,102&lt;=p_MesFin),$O$22*(1-$W$22)/(N($V$22)*12),0)</f>
        <v>0</v>
      </c>
      <c r="DE61" s="13" t="n">
        <f aca="false">IF(AND(103&gt;=$U$22,N($V$22)&gt;0,103&lt;$U$22+N($V$22)*12,103&lt;=p_MesFin),$O$22*(1-$W$22)/(N($V$22)*12),0)</f>
        <v>0</v>
      </c>
      <c r="DF61" s="13" t="n">
        <f aca="false">IF(AND(104&gt;=$U$22,N($V$22)&gt;0,104&lt;$U$22+N($V$22)*12,104&lt;=p_MesFin),$O$22*(1-$W$22)/(N($V$22)*12),0)</f>
        <v>0</v>
      </c>
      <c r="DG61" s="13" t="n">
        <f aca="false">IF(AND(105&gt;=$U$22,N($V$22)&gt;0,105&lt;$U$22+N($V$22)*12,105&lt;=p_MesFin),$O$22*(1-$W$22)/(N($V$22)*12),0)</f>
        <v>0</v>
      </c>
      <c r="DH61" s="13" t="n">
        <f aca="false">IF(AND(106&gt;=$U$22,N($V$22)&gt;0,106&lt;$U$22+N($V$22)*12,106&lt;=p_MesFin),$O$22*(1-$W$22)/(N($V$22)*12),0)</f>
        <v>0</v>
      </c>
      <c r="DI61" s="13" t="n">
        <f aca="false">IF(AND(107&gt;=$U$22,N($V$22)&gt;0,107&lt;$U$22+N($V$22)*12,107&lt;=p_MesFin),$O$22*(1-$W$22)/(N($V$22)*12),0)</f>
        <v>0</v>
      </c>
      <c r="DJ61" s="13" t="n">
        <f aca="false">IF(AND(108&gt;=$U$22,N($V$22)&gt;0,108&lt;$U$22+N($V$22)*12,108&lt;=p_MesFin),$O$22*(1-$W$22)/(N($V$22)*12),0)</f>
        <v>0</v>
      </c>
      <c r="DK61" s="13" t="n">
        <f aca="false">IF(AND(109&gt;=$U$22,N($V$22)&gt;0,109&lt;$U$22+N($V$22)*12,109&lt;=p_MesFin),$O$22*(1-$W$22)/(N($V$22)*12),0)</f>
        <v>0</v>
      </c>
      <c r="DL61" s="13" t="n">
        <f aca="false">IF(AND(110&gt;=$U$22,N($V$22)&gt;0,110&lt;$U$22+N($V$22)*12,110&lt;=p_MesFin),$O$22*(1-$W$22)/(N($V$22)*12),0)</f>
        <v>0</v>
      </c>
      <c r="DM61" s="13" t="n">
        <f aca="false">IF(AND(111&gt;=$U$22,N($V$22)&gt;0,111&lt;$U$22+N($V$22)*12,111&lt;=p_MesFin),$O$22*(1-$W$22)/(N($V$22)*12),0)</f>
        <v>0</v>
      </c>
      <c r="DN61" s="13" t="n">
        <f aca="false">IF(AND(112&gt;=$U$22,N($V$22)&gt;0,112&lt;$U$22+N($V$22)*12,112&lt;=p_MesFin),$O$22*(1-$W$22)/(N($V$22)*12),0)</f>
        <v>0</v>
      </c>
      <c r="DO61" s="13" t="n">
        <f aca="false">IF(AND(113&gt;=$U$22,N($V$22)&gt;0,113&lt;$U$22+N($V$22)*12,113&lt;=p_MesFin),$O$22*(1-$W$22)/(N($V$22)*12),0)</f>
        <v>0</v>
      </c>
      <c r="DP61" s="13" t="n">
        <f aca="false">IF(AND(114&gt;=$U$22,N($V$22)&gt;0,114&lt;$U$22+N($V$22)*12,114&lt;=p_MesFin),$O$22*(1-$W$22)/(N($V$22)*12),0)</f>
        <v>0</v>
      </c>
      <c r="DQ61" s="13" t="n">
        <f aca="false">IF(AND(115&gt;=$U$22,N($V$22)&gt;0,115&lt;$U$22+N($V$22)*12,115&lt;=p_MesFin),$O$22*(1-$W$22)/(N($V$22)*12),0)</f>
        <v>0</v>
      </c>
      <c r="DR61" s="13" t="n">
        <f aca="false">IF(AND(116&gt;=$U$22,N($V$22)&gt;0,116&lt;$U$22+N($V$22)*12,116&lt;=p_MesFin),$O$22*(1-$W$22)/(N($V$22)*12),0)</f>
        <v>0</v>
      </c>
      <c r="DS61" s="13" t="n">
        <f aca="false">IF(AND(117&gt;=$U$22,N($V$22)&gt;0,117&lt;$U$22+N($V$22)*12,117&lt;=p_MesFin),$O$22*(1-$W$22)/(N($V$22)*12),0)</f>
        <v>0</v>
      </c>
      <c r="DT61" s="13" t="n">
        <f aca="false">IF(AND(118&gt;=$U$22,N($V$22)&gt;0,118&lt;$U$22+N($V$22)*12,118&lt;=p_MesFin),$O$22*(1-$W$22)/(N($V$22)*12),0)</f>
        <v>0</v>
      </c>
      <c r="DU61" s="13" t="n">
        <f aca="false">IF(AND(119&gt;=$U$22,N($V$22)&gt;0,119&lt;$U$22+N($V$22)*12,119&lt;=p_MesFin),$O$22*(1-$W$22)/(N($V$22)*12),0)</f>
        <v>0</v>
      </c>
      <c r="DV61" s="13" t="n">
        <f aca="false">IF(AND(120&gt;=$U$22,N($V$22)&gt;0,120&lt;$U$22+N($V$22)*12,120&lt;=p_MesFin),$O$22*(1-$W$22)/(N($V$22)*12),0)</f>
        <v>0</v>
      </c>
      <c r="DW61" s="13" t="n">
        <f aca="false">IF(AND(121&gt;=$U$22,N($V$22)&gt;0,121&lt;$U$22+N($V$22)*12,121&lt;=p_MesFin),$O$22*(1-$W$22)/(N($V$22)*12),0)</f>
        <v>0</v>
      </c>
      <c r="DX61" s="13" t="n">
        <f aca="false">IF(AND(122&gt;=$U$22,N($V$22)&gt;0,122&lt;$U$22+N($V$22)*12,122&lt;=p_MesFin),$O$22*(1-$W$22)/(N($V$22)*12),0)</f>
        <v>0</v>
      </c>
      <c r="DY61" s="13" t="n">
        <f aca="false">IF(AND(123&gt;=$U$22,N($V$22)&gt;0,123&lt;$U$22+N($V$22)*12,123&lt;=p_MesFin),$O$22*(1-$W$22)/(N($V$22)*12),0)</f>
        <v>0</v>
      </c>
      <c r="DZ61" s="13" t="n">
        <f aca="false">IF(AND(124&gt;=$U$22,N($V$22)&gt;0,124&lt;$U$22+N($V$22)*12,124&lt;=p_MesFin),$O$22*(1-$W$22)/(N($V$22)*12),0)</f>
        <v>0</v>
      </c>
      <c r="EA61" s="13" t="n">
        <f aca="false">IF(AND(125&gt;=$U$22,N($V$22)&gt;0,125&lt;$U$22+N($V$22)*12,125&lt;=p_MesFin),$O$22*(1-$W$22)/(N($V$22)*12),0)</f>
        <v>0</v>
      </c>
      <c r="EB61" s="13" t="n">
        <f aca="false">IF(AND(126&gt;=$U$22,N($V$22)&gt;0,126&lt;$U$22+N($V$22)*12,126&lt;=p_MesFin),$O$22*(1-$W$22)/(N($V$22)*12),0)</f>
        <v>0</v>
      </c>
      <c r="EC61" s="13" t="n">
        <f aca="false">IF(AND(127&gt;=$U$22,N($V$22)&gt;0,127&lt;$U$22+N($V$22)*12,127&lt;=p_MesFin),$O$22*(1-$W$22)/(N($V$22)*12),0)</f>
        <v>0</v>
      </c>
      <c r="ED61" s="13" t="n">
        <f aca="false">IF(AND(128&gt;=$U$22,N($V$22)&gt;0,128&lt;$U$22+N($V$22)*12,128&lt;=p_MesFin),$O$22*(1-$W$22)/(N($V$22)*12),0)</f>
        <v>0</v>
      </c>
      <c r="EE61" s="13" t="n">
        <f aca="false">IF(AND(129&gt;=$U$22,N($V$22)&gt;0,129&lt;$U$22+N($V$22)*12,129&lt;=p_MesFin),$O$22*(1-$W$22)/(N($V$22)*12),0)</f>
        <v>0</v>
      </c>
      <c r="EF61" s="13" t="n">
        <f aca="false">IF(AND(130&gt;=$U$22,N($V$22)&gt;0,130&lt;$U$22+N($V$22)*12,130&lt;=p_MesFin),$O$22*(1-$W$22)/(N($V$22)*12),0)</f>
        <v>0</v>
      </c>
      <c r="EG61" s="13" t="n">
        <f aca="false">IF(AND(131&gt;=$U$22,N($V$22)&gt;0,131&lt;$U$22+N($V$22)*12,131&lt;=p_MesFin),$O$22*(1-$W$22)/(N($V$22)*12),0)</f>
        <v>0</v>
      </c>
      <c r="EH61" s="13" t="n">
        <f aca="false">IF(AND(132&gt;=$U$22,N($V$22)&gt;0,132&lt;$U$22+N($V$22)*12,132&lt;=p_MesFin),$O$22*(1-$W$22)/(N($V$22)*12),0)</f>
        <v>0</v>
      </c>
      <c r="EI61" s="13" t="n">
        <f aca="false">IF(AND(133&gt;=$U$22,N($V$22)&gt;0,133&lt;$U$22+N($V$22)*12,133&lt;=p_MesFin),$O$22*(1-$W$22)/(N($V$22)*12),0)</f>
        <v>0</v>
      </c>
      <c r="EJ61" s="13" t="n">
        <f aca="false">IF(AND(134&gt;=$U$22,N($V$22)&gt;0,134&lt;$U$22+N($V$22)*12,134&lt;=p_MesFin),$O$22*(1-$W$22)/(N($V$22)*12),0)</f>
        <v>0</v>
      </c>
      <c r="EK61" s="13" t="n">
        <f aca="false">IF(AND(135&gt;=$U$22,N($V$22)&gt;0,135&lt;$U$22+N($V$22)*12,135&lt;=p_MesFin),$O$22*(1-$W$22)/(N($V$22)*12),0)</f>
        <v>0</v>
      </c>
      <c r="EL61" s="13" t="n">
        <f aca="false">IF(AND(136&gt;=$U$22,N($V$22)&gt;0,136&lt;$U$22+N($V$22)*12,136&lt;=p_MesFin),$O$22*(1-$W$22)/(N($V$22)*12),0)</f>
        <v>0</v>
      </c>
      <c r="EM61" s="13" t="n">
        <f aca="false">IF(AND(137&gt;=$U$22,N($V$22)&gt;0,137&lt;$U$22+N($V$22)*12,137&lt;=p_MesFin),$O$22*(1-$W$22)/(N($V$22)*12),0)</f>
        <v>0</v>
      </c>
      <c r="EN61" s="13" t="n">
        <f aca="false">IF(AND(138&gt;=$U$22,N($V$22)&gt;0,138&lt;$U$22+N($V$22)*12,138&lt;=p_MesFin),$O$22*(1-$W$22)/(N($V$22)*12),0)</f>
        <v>0</v>
      </c>
      <c r="EO61" s="13" t="n">
        <f aca="false">IF(AND(139&gt;=$U$22,N($V$22)&gt;0,139&lt;$U$22+N($V$22)*12,139&lt;=p_MesFin),$O$22*(1-$W$22)/(N($V$22)*12),0)</f>
        <v>0</v>
      </c>
      <c r="EP61" s="13" t="n">
        <f aca="false">IF(AND(140&gt;=$U$22,N($V$22)&gt;0,140&lt;$U$22+N($V$22)*12,140&lt;=p_MesFin),$O$22*(1-$W$22)/(N($V$22)*12),0)</f>
        <v>0</v>
      </c>
      <c r="EQ61" s="13" t="n">
        <f aca="false">IF(AND(141&gt;=$U$22,N($V$22)&gt;0,141&lt;$U$22+N($V$22)*12,141&lt;=p_MesFin),$O$22*(1-$W$22)/(N($V$22)*12),0)</f>
        <v>0</v>
      </c>
      <c r="ER61" s="13" t="n">
        <f aca="false">IF(AND(142&gt;=$U$22,N($V$22)&gt;0,142&lt;$U$22+N($V$22)*12,142&lt;=p_MesFin),$O$22*(1-$W$22)/(N($V$22)*12),0)</f>
        <v>0</v>
      </c>
      <c r="ES61" s="13" t="n">
        <f aca="false">IF(AND(143&gt;=$U$22,N($V$22)&gt;0,143&lt;$U$22+N($V$22)*12,143&lt;=p_MesFin),$O$22*(1-$W$22)/(N($V$22)*12),0)</f>
        <v>0</v>
      </c>
      <c r="ET61" s="13" t="n">
        <f aca="false">IF(AND(144&gt;=$U$22,N($V$22)&gt;0,144&lt;$U$22+N($V$22)*12,144&lt;=p_MesFin),$O$22*(1-$W$22)/(N($V$22)*12),0)</f>
        <v>0</v>
      </c>
      <c r="EU61" s="13" t="n">
        <f aca="false">IF(AND(145&gt;=$U$22,N($V$22)&gt;0,145&lt;$U$22+N($V$22)*12,145&lt;=p_MesFin),$O$22*(1-$W$22)/(N($V$22)*12),0)</f>
        <v>0</v>
      </c>
      <c r="EV61" s="13" t="n">
        <f aca="false">IF(AND(146&gt;=$U$22,N($V$22)&gt;0,146&lt;$U$22+N($V$22)*12,146&lt;=p_MesFin),$O$22*(1-$W$22)/(N($V$22)*12),0)</f>
        <v>0</v>
      </c>
      <c r="EW61" s="13" t="n">
        <f aca="false">IF(AND(147&gt;=$U$22,N($V$22)&gt;0,147&lt;$U$22+N($V$22)*12,147&lt;=p_MesFin),$O$22*(1-$W$22)/(N($V$22)*12),0)</f>
        <v>0</v>
      </c>
      <c r="EX61" s="13" t="n">
        <f aca="false">IF(AND(148&gt;=$U$22,N($V$22)&gt;0,148&lt;$U$22+N($V$22)*12,148&lt;=p_MesFin),$O$22*(1-$W$22)/(N($V$22)*12),0)</f>
        <v>0</v>
      </c>
      <c r="EY61" s="13" t="n">
        <f aca="false">IF(AND(149&gt;=$U$22,N($V$22)&gt;0,149&lt;$U$22+N($V$22)*12,149&lt;=p_MesFin),$O$22*(1-$W$22)/(N($V$22)*12),0)</f>
        <v>0</v>
      </c>
      <c r="EZ61" s="13" t="n">
        <f aca="false">IF(AND(150&gt;=$U$22,N($V$22)&gt;0,150&lt;$U$22+N($V$22)*12,150&lt;=p_MesFin),$O$22*(1-$W$22)/(N($V$22)*12),0)</f>
        <v>0</v>
      </c>
      <c r="FA61" s="13" t="n">
        <f aca="false">IF(AND(151&gt;=$U$22,N($V$22)&gt;0,151&lt;$U$22+N($V$22)*12,151&lt;=p_MesFin),$O$22*(1-$W$22)/(N($V$22)*12),0)</f>
        <v>0</v>
      </c>
      <c r="FB61" s="13" t="n">
        <f aca="false">IF(AND(152&gt;=$U$22,N($V$22)&gt;0,152&lt;$U$22+N($V$22)*12,152&lt;=p_MesFin),$O$22*(1-$W$22)/(N($V$22)*12),0)</f>
        <v>0</v>
      </c>
      <c r="FC61" s="13" t="n">
        <f aca="false">IF(AND(153&gt;=$U$22,N($V$22)&gt;0,153&lt;$U$22+N($V$22)*12,153&lt;=p_MesFin),$O$22*(1-$W$22)/(N($V$22)*12),0)</f>
        <v>0</v>
      </c>
      <c r="FD61" s="13" t="n">
        <f aca="false">IF(AND(154&gt;=$U$22,N($V$22)&gt;0,154&lt;$U$22+N($V$22)*12,154&lt;=p_MesFin),$O$22*(1-$W$22)/(N($V$22)*12),0)</f>
        <v>0</v>
      </c>
      <c r="FE61" s="13" t="n">
        <f aca="false">IF(AND(155&gt;=$U$22,N($V$22)&gt;0,155&lt;$U$22+N($V$22)*12,155&lt;=p_MesFin),$O$22*(1-$W$22)/(N($V$22)*12),0)</f>
        <v>0</v>
      </c>
      <c r="FF61" s="13" t="n">
        <f aca="false">IF(AND(156&gt;=$U$22,N($V$22)&gt;0,156&lt;$U$22+N($V$22)*12,156&lt;=p_MesFin),$O$22*(1-$W$22)/(N($V$22)*12),0)</f>
        <v>0</v>
      </c>
    </row>
    <row r="62" customFormat="false" ht="15" hidden="false" customHeight="false" outlineLevel="0" collapsed="false">
      <c r="A62" s="4"/>
      <c r="B62" s="3" t="s">
        <v>1272</v>
      </c>
      <c r="C62" s="4"/>
      <c r="D62" s="4"/>
      <c r="E62" s="4"/>
    </row>
    <row r="63" customFormat="false" ht="15" hidden="false" customHeight="false" outlineLevel="0" collapsed="false">
      <c r="A63" s="2" t="s">
        <v>1273</v>
      </c>
      <c r="B63" s="66" t="s">
        <v>1274</v>
      </c>
      <c r="C63" s="8" t="s">
        <v>255</v>
      </c>
      <c r="E63" s="67" t="n">
        <f aca="false">SUM($F63:$FF63)</f>
        <v>745044.1</v>
      </c>
      <c r="F63" s="12" t="n">
        <f aca="false">SUM(F45:F61)</f>
        <v>0</v>
      </c>
      <c r="G63" s="12" t="n">
        <f aca="false">SUM(G45:G61)</f>
        <v>5966.0175</v>
      </c>
      <c r="H63" s="12" t="n">
        <f aca="false">SUM(H45:H61)</f>
        <v>5966.0175</v>
      </c>
      <c r="I63" s="12" t="n">
        <f aca="false">SUM(I45:I61)</f>
        <v>5966.0175</v>
      </c>
      <c r="J63" s="12" t="n">
        <f aca="false">SUM(J45:J61)</f>
        <v>5966.0175</v>
      </c>
      <c r="K63" s="12" t="n">
        <f aca="false">SUM(K45:K61)</f>
        <v>5966.0175</v>
      </c>
      <c r="L63" s="12" t="n">
        <f aca="false">SUM(L45:L61)</f>
        <v>5966.0175</v>
      </c>
      <c r="M63" s="12" t="n">
        <f aca="false">SUM(M45:M61)</f>
        <v>5966.0175</v>
      </c>
      <c r="N63" s="12" t="n">
        <f aca="false">SUM(N45:N61)</f>
        <v>5966.0175</v>
      </c>
      <c r="O63" s="12" t="n">
        <f aca="false">SUM(O45:O61)</f>
        <v>5966.0175</v>
      </c>
      <c r="P63" s="12" t="n">
        <f aca="false">SUM(P45:P61)</f>
        <v>5966.0175</v>
      </c>
      <c r="Q63" s="12" t="n">
        <f aca="false">SUM(Q45:Q61)</f>
        <v>5966.0175</v>
      </c>
      <c r="R63" s="12" t="n">
        <f aca="false">SUM(R45:R61)</f>
        <v>5966.0175</v>
      </c>
      <c r="S63" s="12" t="n">
        <f aca="false">SUM(S45:S61)</f>
        <v>6799.35083333333</v>
      </c>
      <c r="T63" s="12" t="n">
        <f aca="false">SUM(T45:T61)</f>
        <v>6799.35083333333</v>
      </c>
      <c r="U63" s="12" t="n">
        <f aca="false">SUM(U45:U61)</f>
        <v>6799.35083333333</v>
      </c>
      <c r="V63" s="12" t="n">
        <f aca="false">SUM(V45:V61)</f>
        <v>6799.35083333333</v>
      </c>
      <c r="W63" s="12" t="n">
        <f aca="false">SUM(W45:W61)</f>
        <v>6799.35083333333</v>
      </c>
      <c r="X63" s="12" t="n">
        <f aca="false">SUM(X45:X61)</f>
        <v>6799.35083333333</v>
      </c>
      <c r="Y63" s="12" t="n">
        <f aca="false">SUM(Y45:Y61)</f>
        <v>6799.35083333333</v>
      </c>
      <c r="Z63" s="12" t="n">
        <f aca="false">SUM(Z45:Z61)</f>
        <v>6799.35083333333</v>
      </c>
      <c r="AA63" s="12" t="n">
        <f aca="false">SUM(AA45:AA61)</f>
        <v>6799.35083333333</v>
      </c>
      <c r="AB63" s="12" t="n">
        <f aca="false">SUM(AB45:AB61)</f>
        <v>6799.35083333333</v>
      </c>
      <c r="AC63" s="12" t="n">
        <f aca="false">SUM(AC45:AC61)</f>
        <v>6799.35083333333</v>
      </c>
      <c r="AD63" s="12" t="n">
        <f aca="false">SUM(AD45:AD61)</f>
        <v>6799.35083333333</v>
      </c>
      <c r="AE63" s="12" t="n">
        <f aca="false">SUM(AE45:AE61)</f>
        <v>6799.35083333333</v>
      </c>
      <c r="AF63" s="12" t="n">
        <f aca="false">SUM(AF45:AF61)</f>
        <v>6799.35083333333</v>
      </c>
      <c r="AG63" s="12" t="n">
        <f aca="false">SUM(AG45:AG61)</f>
        <v>6799.35083333333</v>
      </c>
      <c r="AH63" s="12" t="n">
        <f aca="false">SUM(AH45:AH61)</f>
        <v>6799.35083333333</v>
      </c>
      <c r="AI63" s="12" t="n">
        <f aca="false">SUM(AI45:AI61)</f>
        <v>6799.35083333333</v>
      </c>
      <c r="AJ63" s="12" t="n">
        <f aca="false">SUM(AJ45:AJ61)</f>
        <v>6799.35083333333</v>
      </c>
      <c r="AK63" s="12" t="n">
        <f aca="false">SUM(AK45:AK61)</f>
        <v>6799.35083333333</v>
      </c>
      <c r="AL63" s="12" t="n">
        <f aca="false">SUM(AL45:AL61)</f>
        <v>6799.35083333333</v>
      </c>
      <c r="AM63" s="12" t="n">
        <f aca="false">SUM(AM45:AM61)</f>
        <v>6799.35083333333</v>
      </c>
      <c r="AN63" s="12" t="n">
        <f aca="false">SUM(AN45:AN61)</f>
        <v>6799.35083333333</v>
      </c>
      <c r="AO63" s="12" t="n">
        <f aca="false">SUM(AO45:AO61)</f>
        <v>6799.35083333333</v>
      </c>
      <c r="AP63" s="12" t="n">
        <f aca="false">SUM(AP45:AP61)</f>
        <v>6799.35083333333</v>
      </c>
      <c r="AQ63" s="12" t="n">
        <f aca="false">SUM(AQ45:AQ61)</f>
        <v>6799.35083333333</v>
      </c>
      <c r="AR63" s="12" t="n">
        <f aca="false">SUM(AR45:AR61)</f>
        <v>6799.35083333333</v>
      </c>
      <c r="AS63" s="12" t="n">
        <f aca="false">SUM(AS45:AS61)</f>
        <v>6799.35083333333</v>
      </c>
      <c r="AT63" s="12" t="n">
        <f aca="false">SUM(AT45:AT61)</f>
        <v>6799.35083333333</v>
      </c>
      <c r="AU63" s="12" t="n">
        <f aca="false">SUM(AU45:AU61)</f>
        <v>6799.35083333333</v>
      </c>
      <c r="AV63" s="12" t="n">
        <f aca="false">SUM(AV45:AV61)</f>
        <v>6799.35083333333</v>
      </c>
      <c r="AW63" s="12" t="n">
        <f aca="false">SUM(AW45:AW61)</f>
        <v>6799.35083333333</v>
      </c>
      <c r="AX63" s="12" t="n">
        <f aca="false">SUM(AX45:AX61)</f>
        <v>6799.35083333333</v>
      </c>
      <c r="AY63" s="12" t="n">
        <f aca="false">SUM(AY45:AY61)</f>
        <v>6799.35083333333</v>
      </c>
      <c r="AZ63" s="12" t="n">
        <f aca="false">SUM(AZ45:AZ61)</f>
        <v>6799.35083333333</v>
      </c>
      <c r="BA63" s="12" t="n">
        <f aca="false">SUM(BA45:BA61)</f>
        <v>6799.35083333333</v>
      </c>
      <c r="BB63" s="12" t="n">
        <f aca="false">SUM(BB45:BB61)</f>
        <v>6799.35083333333</v>
      </c>
      <c r="BC63" s="12" t="n">
        <f aca="false">SUM(BC45:BC61)</f>
        <v>6799.35083333333</v>
      </c>
      <c r="BD63" s="12" t="n">
        <f aca="false">SUM(BD45:BD61)</f>
        <v>6799.35083333333</v>
      </c>
      <c r="BE63" s="12" t="n">
        <f aca="false">SUM(BE45:BE61)</f>
        <v>6799.35083333333</v>
      </c>
      <c r="BF63" s="12" t="n">
        <f aca="false">SUM(BF45:BF61)</f>
        <v>6799.35083333333</v>
      </c>
      <c r="BG63" s="12" t="n">
        <f aca="false">SUM(BG45:BG61)</f>
        <v>6799.35083333333</v>
      </c>
      <c r="BH63" s="12" t="n">
        <f aca="false">SUM(BH45:BH61)</f>
        <v>6799.35083333333</v>
      </c>
      <c r="BI63" s="12" t="n">
        <f aca="false">SUM(BI45:BI61)</f>
        <v>6799.35083333333</v>
      </c>
      <c r="BJ63" s="12" t="n">
        <f aca="false">SUM(BJ45:BJ61)</f>
        <v>6799.35083333333</v>
      </c>
      <c r="BK63" s="12" t="n">
        <f aca="false">SUM(BK45:BK61)</f>
        <v>6799.35083333333</v>
      </c>
      <c r="BL63" s="12" t="n">
        <f aca="false">SUM(BL45:BL61)</f>
        <v>6799.35083333333</v>
      </c>
      <c r="BM63" s="12" t="n">
        <f aca="false">SUM(BM45:BM61)</f>
        <v>6799.35083333333</v>
      </c>
      <c r="BN63" s="12" t="n">
        <f aca="false">SUM(BN45:BN61)</f>
        <v>6799.35083333333</v>
      </c>
      <c r="BO63" s="12" t="n">
        <f aca="false">SUM(BO45:BO61)</f>
        <v>5784.7175</v>
      </c>
      <c r="BP63" s="12" t="n">
        <f aca="false">SUM(BP45:BP61)</f>
        <v>5784.7175</v>
      </c>
      <c r="BQ63" s="12" t="n">
        <f aca="false">SUM(BQ45:BQ61)</f>
        <v>5784.7175</v>
      </c>
      <c r="BR63" s="12" t="n">
        <f aca="false">SUM(BR45:BR61)</f>
        <v>5784.7175</v>
      </c>
      <c r="BS63" s="12" t="n">
        <f aca="false">SUM(BS45:BS61)</f>
        <v>5784.7175</v>
      </c>
      <c r="BT63" s="12" t="n">
        <f aca="false">SUM(BT45:BT61)</f>
        <v>5784.7175</v>
      </c>
      <c r="BU63" s="12" t="n">
        <f aca="false">SUM(BU45:BU61)</f>
        <v>5784.7175</v>
      </c>
      <c r="BV63" s="12" t="n">
        <f aca="false">SUM(BV45:BV61)</f>
        <v>5784.7175</v>
      </c>
      <c r="BW63" s="12" t="n">
        <f aca="false">SUM(BW45:BW61)</f>
        <v>5784.7175</v>
      </c>
      <c r="BX63" s="12" t="n">
        <f aca="false">SUM(BX45:BX61)</f>
        <v>5784.7175</v>
      </c>
      <c r="BY63" s="12" t="n">
        <f aca="false">SUM(BY45:BY61)</f>
        <v>5784.7175</v>
      </c>
      <c r="BZ63" s="12" t="n">
        <f aca="false">SUM(BZ45:BZ61)</f>
        <v>5784.7175</v>
      </c>
      <c r="CA63" s="12" t="n">
        <f aca="false">SUM(CA45:CA61)</f>
        <v>5784.7175</v>
      </c>
      <c r="CB63" s="12" t="n">
        <f aca="false">SUM(CB45:CB61)</f>
        <v>5784.7175</v>
      </c>
      <c r="CC63" s="12" t="n">
        <f aca="false">SUM(CC45:CC61)</f>
        <v>5784.7175</v>
      </c>
      <c r="CD63" s="12" t="n">
        <f aca="false">SUM(CD45:CD61)</f>
        <v>5784.7175</v>
      </c>
      <c r="CE63" s="12" t="n">
        <f aca="false">SUM(CE45:CE61)</f>
        <v>5784.7175</v>
      </c>
      <c r="CF63" s="12" t="n">
        <f aca="false">SUM(CF45:CF61)</f>
        <v>5784.7175</v>
      </c>
      <c r="CG63" s="12" t="n">
        <f aca="false">SUM(CG45:CG61)</f>
        <v>5784.7175</v>
      </c>
      <c r="CH63" s="12" t="n">
        <f aca="false">SUM(CH45:CH61)</f>
        <v>5784.7175</v>
      </c>
      <c r="CI63" s="12" t="n">
        <f aca="false">SUM(CI45:CI61)</f>
        <v>5784.7175</v>
      </c>
      <c r="CJ63" s="12" t="n">
        <f aca="false">SUM(CJ45:CJ61)</f>
        <v>5784.7175</v>
      </c>
      <c r="CK63" s="12" t="n">
        <f aca="false">SUM(CK45:CK61)</f>
        <v>5784.7175</v>
      </c>
      <c r="CL63" s="12" t="n">
        <f aca="false">SUM(CL45:CL61)</f>
        <v>5784.7175</v>
      </c>
      <c r="CM63" s="12" t="n">
        <f aca="false">SUM(CM45:CM61)</f>
        <v>5784.7175</v>
      </c>
      <c r="CN63" s="12" t="n">
        <f aca="false">SUM(CN45:CN61)</f>
        <v>5784.7175</v>
      </c>
      <c r="CO63" s="12" t="n">
        <f aca="false">SUM(CO45:CO61)</f>
        <v>5784.7175</v>
      </c>
      <c r="CP63" s="12" t="n">
        <f aca="false">SUM(CP45:CP61)</f>
        <v>5784.7175</v>
      </c>
      <c r="CQ63" s="12" t="n">
        <f aca="false">SUM(CQ45:CQ61)</f>
        <v>5784.7175</v>
      </c>
      <c r="CR63" s="12" t="n">
        <f aca="false">SUM(CR45:CR61)</f>
        <v>5784.7175</v>
      </c>
      <c r="CS63" s="12" t="n">
        <f aca="false">SUM(CS45:CS61)</f>
        <v>5784.7175</v>
      </c>
      <c r="CT63" s="12" t="n">
        <f aca="false">SUM(CT45:CT61)</f>
        <v>5784.7175</v>
      </c>
      <c r="CU63" s="12" t="n">
        <f aca="false">SUM(CU45:CU61)</f>
        <v>5784.7175</v>
      </c>
      <c r="CV63" s="12" t="n">
        <f aca="false">SUM(CV45:CV61)</f>
        <v>5784.7175</v>
      </c>
      <c r="CW63" s="12" t="n">
        <f aca="false">SUM(CW45:CW61)</f>
        <v>5784.7175</v>
      </c>
      <c r="CX63" s="12" t="n">
        <f aca="false">SUM(CX45:CX61)</f>
        <v>5784.7175</v>
      </c>
      <c r="CY63" s="12" t="n">
        <f aca="false">SUM(CY45:CY61)</f>
        <v>5784.7175</v>
      </c>
      <c r="CZ63" s="12" t="n">
        <f aca="false">SUM(CZ45:CZ61)</f>
        <v>5784.7175</v>
      </c>
      <c r="DA63" s="12" t="n">
        <f aca="false">SUM(DA45:DA61)</f>
        <v>5784.7175</v>
      </c>
      <c r="DB63" s="12" t="n">
        <f aca="false">SUM(DB45:DB61)</f>
        <v>5784.7175</v>
      </c>
      <c r="DC63" s="12" t="n">
        <f aca="false">SUM(DC45:DC61)</f>
        <v>5784.7175</v>
      </c>
      <c r="DD63" s="12" t="n">
        <f aca="false">SUM(DD45:DD61)</f>
        <v>5784.7175</v>
      </c>
      <c r="DE63" s="12" t="n">
        <f aca="false">SUM(DE45:DE61)</f>
        <v>5784.7175</v>
      </c>
      <c r="DF63" s="12" t="n">
        <f aca="false">SUM(DF45:DF61)</f>
        <v>5784.7175</v>
      </c>
      <c r="DG63" s="12" t="n">
        <f aca="false">SUM(DG45:DG61)</f>
        <v>5784.7175</v>
      </c>
      <c r="DH63" s="12" t="n">
        <f aca="false">SUM(DH45:DH61)</f>
        <v>5784.7175</v>
      </c>
      <c r="DI63" s="12" t="n">
        <f aca="false">SUM(DI45:DI61)</f>
        <v>5784.7175</v>
      </c>
      <c r="DJ63" s="12" t="n">
        <f aca="false">SUM(DJ45:DJ61)</f>
        <v>5784.7175</v>
      </c>
      <c r="DK63" s="12" t="n">
        <f aca="false">SUM(DK45:DK61)</f>
        <v>5784.7175</v>
      </c>
      <c r="DL63" s="12" t="n">
        <f aca="false">SUM(DL45:DL61)</f>
        <v>5784.7175</v>
      </c>
      <c r="DM63" s="12" t="n">
        <f aca="false">SUM(DM45:DM61)</f>
        <v>5784.7175</v>
      </c>
      <c r="DN63" s="12" t="n">
        <f aca="false">SUM(DN45:DN61)</f>
        <v>5784.7175</v>
      </c>
      <c r="DO63" s="12" t="n">
        <f aca="false">SUM(DO45:DO61)</f>
        <v>5784.7175</v>
      </c>
      <c r="DP63" s="12" t="n">
        <f aca="false">SUM(DP45:DP61)</f>
        <v>5784.7175</v>
      </c>
      <c r="DQ63" s="12" t="n">
        <f aca="false">SUM(DQ45:DQ61)</f>
        <v>5784.7175</v>
      </c>
      <c r="DR63" s="12" t="n">
        <f aca="false">SUM(DR45:DR61)</f>
        <v>5784.7175</v>
      </c>
      <c r="DS63" s="12" t="n">
        <f aca="false">SUM(DS45:DS61)</f>
        <v>5784.7175</v>
      </c>
      <c r="DT63" s="12" t="n">
        <f aca="false">SUM(DT45:DT61)</f>
        <v>5784.7175</v>
      </c>
      <c r="DU63" s="12" t="n">
        <f aca="false">SUM(DU45:DU61)</f>
        <v>5784.7175</v>
      </c>
      <c r="DV63" s="12" t="n">
        <f aca="false">SUM(DV45:DV61)</f>
        <v>5784.7175</v>
      </c>
      <c r="DW63" s="12" t="n">
        <f aca="false">SUM(DW45:DW61)</f>
        <v>0</v>
      </c>
      <c r="DX63" s="12" t="n">
        <f aca="false">SUM(DX45:DX61)</f>
        <v>0</v>
      </c>
      <c r="DY63" s="12" t="n">
        <f aca="false">SUM(DY45:DY61)</f>
        <v>0</v>
      </c>
      <c r="DZ63" s="12" t="n">
        <f aca="false">SUM(DZ45:DZ61)</f>
        <v>0</v>
      </c>
      <c r="EA63" s="12" t="n">
        <f aca="false">SUM(EA45:EA61)</f>
        <v>0</v>
      </c>
      <c r="EB63" s="12" t="n">
        <f aca="false">SUM(EB45:EB61)</f>
        <v>0</v>
      </c>
      <c r="EC63" s="12" t="n">
        <f aca="false">SUM(EC45:EC61)</f>
        <v>0</v>
      </c>
      <c r="ED63" s="12" t="n">
        <f aca="false">SUM(ED45:ED61)</f>
        <v>0</v>
      </c>
      <c r="EE63" s="12" t="n">
        <f aca="false">SUM(EE45:EE61)</f>
        <v>0</v>
      </c>
      <c r="EF63" s="12" t="n">
        <f aca="false">SUM(EF45:EF61)</f>
        <v>0</v>
      </c>
      <c r="EG63" s="12" t="n">
        <f aca="false">SUM(EG45:EG61)</f>
        <v>0</v>
      </c>
      <c r="EH63" s="12" t="n">
        <f aca="false">SUM(EH45:EH61)</f>
        <v>0</v>
      </c>
      <c r="EI63" s="12" t="n">
        <f aca="false">SUM(EI45:EI61)</f>
        <v>0</v>
      </c>
      <c r="EJ63" s="12" t="n">
        <f aca="false">SUM(EJ45:EJ61)</f>
        <v>0</v>
      </c>
      <c r="EK63" s="12" t="n">
        <f aca="false">SUM(EK45:EK61)</f>
        <v>0</v>
      </c>
      <c r="EL63" s="12" t="n">
        <f aca="false">SUM(EL45:EL61)</f>
        <v>0</v>
      </c>
      <c r="EM63" s="12" t="n">
        <f aca="false">SUM(EM45:EM61)</f>
        <v>0</v>
      </c>
      <c r="EN63" s="12" t="n">
        <f aca="false">SUM(EN45:EN61)</f>
        <v>0</v>
      </c>
      <c r="EO63" s="12" t="n">
        <f aca="false">SUM(EO45:EO61)</f>
        <v>0</v>
      </c>
      <c r="EP63" s="12" t="n">
        <f aca="false">SUM(EP45:EP61)</f>
        <v>0</v>
      </c>
      <c r="EQ63" s="12" t="n">
        <f aca="false">SUM(EQ45:EQ61)</f>
        <v>0</v>
      </c>
      <c r="ER63" s="12" t="n">
        <f aca="false">SUM(ER45:ER61)</f>
        <v>0</v>
      </c>
      <c r="ES63" s="12" t="n">
        <f aca="false">SUM(ES45:ES61)</f>
        <v>0</v>
      </c>
      <c r="ET63" s="12" t="n">
        <f aca="false">SUM(ET45:ET61)</f>
        <v>0</v>
      </c>
      <c r="EU63" s="12" t="n">
        <f aca="false">SUM(EU45:EU61)</f>
        <v>0</v>
      </c>
      <c r="EV63" s="12" t="n">
        <f aca="false">SUM(EV45:EV61)</f>
        <v>0</v>
      </c>
      <c r="EW63" s="12" t="n">
        <f aca="false">SUM(EW45:EW61)</f>
        <v>0</v>
      </c>
      <c r="EX63" s="12" t="n">
        <f aca="false">SUM(EX45:EX61)</f>
        <v>0</v>
      </c>
      <c r="EY63" s="12" t="n">
        <f aca="false">SUM(EY45:EY61)</f>
        <v>0</v>
      </c>
      <c r="EZ63" s="12" t="n">
        <f aca="false">SUM(EZ45:EZ61)</f>
        <v>0</v>
      </c>
      <c r="FA63" s="12" t="n">
        <f aca="false">SUM(FA45:FA61)</f>
        <v>0</v>
      </c>
      <c r="FB63" s="12" t="n">
        <f aca="false">SUM(FB45:FB61)</f>
        <v>0</v>
      </c>
      <c r="FC63" s="12" t="n">
        <f aca="false">SUM(FC45:FC61)</f>
        <v>0</v>
      </c>
      <c r="FD63" s="12" t="n">
        <f aca="false">SUM(FD45:FD61)</f>
        <v>0</v>
      </c>
      <c r="FE63" s="12" t="n">
        <f aca="false">SUM(FE45:FE61)</f>
        <v>0</v>
      </c>
      <c r="FF63" s="12" t="n">
        <f aca="false">SUM(FF45:FF61)</f>
        <v>0</v>
      </c>
    </row>
    <row r="64" customFormat="false" ht="15" hidden="false" customHeight="false" outlineLevel="0" collapsed="false">
      <c r="A64" s="2" t="s">
        <v>1275</v>
      </c>
      <c r="B64" s="8" t="s">
        <v>1276</v>
      </c>
      <c r="C64" s="8" t="s">
        <v>255</v>
      </c>
      <c r="E64" s="65" t="n">
        <f aca="false">INDEX($F64:$FF64,1,p_MesFin+1)</f>
        <v>745044.100000002</v>
      </c>
      <c r="F64" s="13" t="n">
        <f aca="false">0+F$63</f>
        <v>0</v>
      </c>
      <c r="G64" s="13" t="n">
        <f aca="false">F$64+G$63</f>
        <v>5966.0175</v>
      </c>
      <c r="H64" s="13" t="n">
        <f aca="false">G$64+H$63</f>
        <v>11932.035</v>
      </c>
      <c r="I64" s="13" t="n">
        <f aca="false">H$64+I$63</f>
        <v>17898.0525</v>
      </c>
      <c r="J64" s="13" t="n">
        <f aca="false">I$64+J$63</f>
        <v>23864.07</v>
      </c>
      <c r="K64" s="13" t="n">
        <f aca="false">J$64+K$63</f>
        <v>29830.0875</v>
      </c>
      <c r="L64" s="13" t="n">
        <f aca="false">K$64+L$63</f>
        <v>35796.105</v>
      </c>
      <c r="M64" s="13" t="n">
        <f aca="false">L$64+M$63</f>
        <v>41762.1225</v>
      </c>
      <c r="N64" s="13" t="n">
        <f aca="false">M$64+N$63</f>
        <v>47728.14</v>
      </c>
      <c r="O64" s="13" t="n">
        <f aca="false">N$64+O$63</f>
        <v>53694.1575</v>
      </c>
      <c r="P64" s="13" t="n">
        <f aca="false">O$64+P$63</f>
        <v>59660.175</v>
      </c>
      <c r="Q64" s="13" t="n">
        <f aca="false">P$64+Q$63</f>
        <v>65626.1925</v>
      </c>
      <c r="R64" s="13" t="n">
        <f aca="false">Q$64+R$63</f>
        <v>71592.21</v>
      </c>
      <c r="S64" s="13" t="n">
        <f aca="false">R$64+S$63</f>
        <v>78391.5608333333</v>
      </c>
      <c r="T64" s="13" t="n">
        <f aca="false">S$64+T$63</f>
        <v>85190.9116666667</v>
      </c>
      <c r="U64" s="13" t="n">
        <f aca="false">T$64+U$63</f>
        <v>91990.2625</v>
      </c>
      <c r="V64" s="13" t="n">
        <f aca="false">U$64+V$63</f>
        <v>98789.6133333333</v>
      </c>
      <c r="W64" s="13" t="n">
        <f aca="false">V$64+W$63</f>
        <v>105588.964166667</v>
      </c>
      <c r="X64" s="13" t="n">
        <f aca="false">W$64+X$63</f>
        <v>112388.315</v>
      </c>
      <c r="Y64" s="13" t="n">
        <f aca="false">X$64+Y$63</f>
        <v>119187.665833333</v>
      </c>
      <c r="Z64" s="13" t="n">
        <f aca="false">Y$64+Z$63</f>
        <v>125987.016666667</v>
      </c>
      <c r="AA64" s="13" t="n">
        <f aca="false">Z$64+AA$63</f>
        <v>132786.3675</v>
      </c>
      <c r="AB64" s="13" t="n">
        <f aca="false">AA$64+AB$63</f>
        <v>139585.718333333</v>
      </c>
      <c r="AC64" s="13" t="n">
        <f aca="false">AB$64+AC$63</f>
        <v>146385.069166667</v>
      </c>
      <c r="AD64" s="13" t="n">
        <f aca="false">AC$64+AD$63</f>
        <v>153184.42</v>
      </c>
      <c r="AE64" s="13" t="n">
        <f aca="false">AD$64+AE$63</f>
        <v>159983.770833333</v>
      </c>
      <c r="AF64" s="13" t="n">
        <f aca="false">AE$64+AF$63</f>
        <v>166783.121666667</v>
      </c>
      <c r="AG64" s="13" t="n">
        <f aca="false">AF$64+AG$63</f>
        <v>173582.4725</v>
      </c>
      <c r="AH64" s="13" t="n">
        <f aca="false">AG$64+AH$63</f>
        <v>180381.823333333</v>
      </c>
      <c r="AI64" s="13" t="n">
        <f aca="false">AH$64+AI$63</f>
        <v>187181.174166667</v>
      </c>
      <c r="AJ64" s="13" t="n">
        <f aca="false">AI$64+AJ$63</f>
        <v>193980.525</v>
      </c>
      <c r="AK64" s="13" t="n">
        <f aca="false">AJ$64+AK$63</f>
        <v>200779.875833333</v>
      </c>
      <c r="AL64" s="13" t="n">
        <f aca="false">AK$64+AL$63</f>
        <v>207579.226666667</v>
      </c>
      <c r="AM64" s="13" t="n">
        <f aca="false">AL$64+AM$63</f>
        <v>214378.5775</v>
      </c>
      <c r="AN64" s="13" t="n">
        <f aca="false">AM$64+AN$63</f>
        <v>221177.928333333</v>
      </c>
      <c r="AO64" s="13" t="n">
        <f aca="false">AN$64+AO$63</f>
        <v>227977.279166667</v>
      </c>
      <c r="AP64" s="13" t="n">
        <f aca="false">AO$64+AP$63</f>
        <v>234776.63</v>
      </c>
      <c r="AQ64" s="13" t="n">
        <f aca="false">AP$64+AQ$63</f>
        <v>241575.980833333</v>
      </c>
      <c r="AR64" s="13" t="n">
        <f aca="false">AQ$64+AR$63</f>
        <v>248375.331666667</v>
      </c>
      <c r="AS64" s="13" t="n">
        <f aca="false">AR$64+AS$63</f>
        <v>255174.6825</v>
      </c>
      <c r="AT64" s="13" t="n">
        <f aca="false">AS$64+AT$63</f>
        <v>261974.033333333</v>
      </c>
      <c r="AU64" s="13" t="n">
        <f aca="false">AT$64+AU$63</f>
        <v>268773.384166667</v>
      </c>
      <c r="AV64" s="13" t="n">
        <f aca="false">AU$64+AV$63</f>
        <v>275572.735</v>
      </c>
      <c r="AW64" s="13" t="n">
        <f aca="false">AV$64+AW$63</f>
        <v>282372.085833333</v>
      </c>
      <c r="AX64" s="13" t="n">
        <f aca="false">AW$64+AX$63</f>
        <v>289171.436666667</v>
      </c>
      <c r="AY64" s="13" t="n">
        <f aca="false">AX$64+AY$63</f>
        <v>295970.7875</v>
      </c>
      <c r="AZ64" s="13" t="n">
        <f aca="false">AY$64+AZ$63</f>
        <v>302770.138333333</v>
      </c>
      <c r="BA64" s="13" t="n">
        <f aca="false">AZ$64+BA$63</f>
        <v>309569.489166667</v>
      </c>
      <c r="BB64" s="13" t="n">
        <f aca="false">BA$64+BB$63</f>
        <v>316368.84</v>
      </c>
      <c r="BC64" s="13" t="n">
        <f aca="false">BB$64+BC$63</f>
        <v>323168.190833333</v>
      </c>
      <c r="BD64" s="13" t="n">
        <f aca="false">BC$64+BD$63</f>
        <v>329967.541666667</v>
      </c>
      <c r="BE64" s="13" t="n">
        <f aca="false">BD$64+BE$63</f>
        <v>336766.8925</v>
      </c>
      <c r="BF64" s="13" t="n">
        <f aca="false">BE$64+BF$63</f>
        <v>343566.243333333</v>
      </c>
      <c r="BG64" s="13" t="n">
        <f aca="false">BF$64+BG$63</f>
        <v>350365.594166667</v>
      </c>
      <c r="BH64" s="13" t="n">
        <f aca="false">BG$64+BH$63</f>
        <v>357164.945</v>
      </c>
      <c r="BI64" s="13" t="n">
        <f aca="false">BH$64+BI$63</f>
        <v>363964.295833333</v>
      </c>
      <c r="BJ64" s="13" t="n">
        <f aca="false">BI$64+BJ$63</f>
        <v>370763.646666667</v>
      </c>
      <c r="BK64" s="13" t="n">
        <f aca="false">BJ$64+BK$63</f>
        <v>377562.9975</v>
      </c>
      <c r="BL64" s="13" t="n">
        <f aca="false">BK$64+BL$63</f>
        <v>384362.348333333</v>
      </c>
      <c r="BM64" s="13" t="n">
        <f aca="false">BL$64+BM$63</f>
        <v>391161.699166667</v>
      </c>
      <c r="BN64" s="13" t="n">
        <f aca="false">BM$64+BN$63</f>
        <v>397961.05</v>
      </c>
      <c r="BO64" s="13" t="n">
        <f aca="false">BN$64+BO$63</f>
        <v>403745.7675</v>
      </c>
      <c r="BP64" s="13" t="n">
        <f aca="false">BO$64+BP$63</f>
        <v>409530.485</v>
      </c>
      <c r="BQ64" s="13" t="n">
        <f aca="false">BP$64+BQ$63</f>
        <v>415315.2025</v>
      </c>
      <c r="BR64" s="13" t="n">
        <f aca="false">BQ$64+BR$63</f>
        <v>421099.92</v>
      </c>
      <c r="BS64" s="13" t="n">
        <f aca="false">BR$64+BS$63</f>
        <v>426884.6375</v>
      </c>
      <c r="BT64" s="13" t="n">
        <f aca="false">BS$64+BT$63</f>
        <v>432669.355</v>
      </c>
      <c r="BU64" s="13" t="n">
        <f aca="false">BT$64+BU$63</f>
        <v>438454.0725</v>
      </c>
      <c r="BV64" s="13" t="n">
        <f aca="false">BU$64+BV$63</f>
        <v>444238.79</v>
      </c>
      <c r="BW64" s="13" t="n">
        <f aca="false">BV$64+BW$63</f>
        <v>450023.5075</v>
      </c>
      <c r="BX64" s="13" t="n">
        <f aca="false">BW$64+BX$63</f>
        <v>455808.225</v>
      </c>
      <c r="BY64" s="13" t="n">
        <f aca="false">BX$64+BY$63</f>
        <v>461592.9425</v>
      </c>
      <c r="BZ64" s="13" t="n">
        <f aca="false">BY$64+BZ$63</f>
        <v>467377.66</v>
      </c>
      <c r="CA64" s="13" t="n">
        <f aca="false">BZ$64+CA$63</f>
        <v>473162.3775</v>
      </c>
      <c r="CB64" s="13" t="n">
        <f aca="false">CA$64+CB$63</f>
        <v>478947.095</v>
      </c>
      <c r="CC64" s="13" t="n">
        <f aca="false">CB$64+CC$63</f>
        <v>484731.8125</v>
      </c>
      <c r="CD64" s="13" t="n">
        <f aca="false">CC$64+CD$63</f>
        <v>490516.53</v>
      </c>
      <c r="CE64" s="13" t="n">
        <f aca="false">CD$64+CE$63</f>
        <v>496301.2475</v>
      </c>
      <c r="CF64" s="13" t="n">
        <f aca="false">CE$64+CF$63</f>
        <v>502085.965</v>
      </c>
      <c r="CG64" s="13" t="n">
        <f aca="false">CF$64+CG$63</f>
        <v>507870.6825</v>
      </c>
      <c r="CH64" s="13" t="n">
        <f aca="false">CG$64+CH$63</f>
        <v>513655.4</v>
      </c>
      <c r="CI64" s="13" t="n">
        <f aca="false">CH$64+CI$63</f>
        <v>519440.1175</v>
      </c>
      <c r="CJ64" s="13" t="n">
        <f aca="false">CI$64+CJ$63</f>
        <v>525224.835</v>
      </c>
      <c r="CK64" s="13" t="n">
        <f aca="false">CJ$64+CK$63</f>
        <v>531009.552500001</v>
      </c>
      <c r="CL64" s="13" t="n">
        <f aca="false">CK$64+CL$63</f>
        <v>536794.270000001</v>
      </c>
      <c r="CM64" s="13" t="n">
        <f aca="false">CL$64+CM$63</f>
        <v>542578.987500001</v>
      </c>
      <c r="CN64" s="13" t="n">
        <f aca="false">CM$64+CN$63</f>
        <v>548363.705000001</v>
      </c>
      <c r="CO64" s="13" t="n">
        <f aca="false">CN$64+CO$63</f>
        <v>554148.422500001</v>
      </c>
      <c r="CP64" s="13" t="n">
        <f aca="false">CO$64+CP$63</f>
        <v>559933.140000001</v>
      </c>
      <c r="CQ64" s="13" t="n">
        <f aca="false">CP$64+CQ$63</f>
        <v>565717.857500001</v>
      </c>
      <c r="CR64" s="13" t="n">
        <f aca="false">CQ$64+CR$63</f>
        <v>571502.575000001</v>
      </c>
      <c r="CS64" s="13" t="n">
        <f aca="false">CR$64+CS$63</f>
        <v>577287.292500001</v>
      </c>
      <c r="CT64" s="13" t="n">
        <f aca="false">CS$64+CT$63</f>
        <v>583072.010000001</v>
      </c>
      <c r="CU64" s="13" t="n">
        <f aca="false">CT$64+CU$63</f>
        <v>588856.727500001</v>
      </c>
      <c r="CV64" s="13" t="n">
        <f aca="false">CU$64+CV$63</f>
        <v>594641.445000001</v>
      </c>
      <c r="CW64" s="13" t="n">
        <f aca="false">CV$64+CW$63</f>
        <v>600426.162500001</v>
      </c>
      <c r="CX64" s="13" t="n">
        <f aca="false">CW$64+CX$63</f>
        <v>606210.880000001</v>
      </c>
      <c r="CY64" s="13" t="n">
        <f aca="false">CX$64+CY$63</f>
        <v>611995.597500001</v>
      </c>
      <c r="CZ64" s="13" t="n">
        <f aca="false">CY$64+CZ$63</f>
        <v>617780.315000001</v>
      </c>
      <c r="DA64" s="13" t="n">
        <f aca="false">CZ$64+DA$63</f>
        <v>623565.032500001</v>
      </c>
      <c r="DB64" s="13" t="n">
        <f aca="false">DA$64+DB$63</f>
        <v>629349.750000001</v>
      </c>
      <c r="DC64" s="13" t="n">
        <f aca="false">DB$64+DC$63</f>
        <v>635134.467500001</v>
      </c>
      <c r="DD64" s="13" t="n">
        <f aca="false">DC$64+DD$63</f>
        <v>640919.185000001</v>
      </c>
      <c r="DE64" s="13" t="n">
        <f aca="false">DD$64+DE$63</f>
        <v>646703.902500001</v>
      </c>
      <c r="DF64" s="13" t="n">
        <f aca="false">DE$64+DF$63</f>
        <v>652488.620000001</v>
      </c>
      <c r="DG64" s="13" t="n">
        <f aca="false">DF$64+DG$63</f>
        <v>658273.337500001</v>
      </c>
      <c r="DH64" s="13" t="n">
        <f aca="false">DG$64+DH$63</f>
        <v>664058.055000001</v>
      </c>
      <c r="DI64" s="13" t="n">
        <f aca="false">DH$64+DI$63</f>
        <v>669842.772500001</v>
      </c>
      <c r="DJ64" s="13" t="n">
        <f aca="false">DI$64+DJ$63</f>
        <v>675627.490000001</v>
      </c>
      <c r="DK64" s="13" t="n">
        <f aca="false">DJ$64+DK$63</f>
        <v>681412.207500001</v>
      </c>
      <c r="DL64" s="13" t="n">
        <f aca="false">DK$64+DL$63</f>
        <v>687196.925000001</v>
      </c>
      <c r="DM64" s="13" t="n">
        <f aca="false">DL$64+DM$63</f>
        <v>692981.642500001</v>
      </c>
      <c r="DN64" s="13" t="n">
        <f aca="false">DM$64+DN$63</f>
        <v>698766.360000001</v>
      </c>
      <c r="DO64" s="13" t="n">
        <f aca="false">DN$64+DO$63</f>
        <v>704551.077500001</v>
      </c>
      <c r="DP64" s="13" t="n">
        <f aca="false">DO$64+DP$63</f>
        <v>710335.795000001</v>
      </c>
      <c r="DQ64" s="13" t="n">
        <f aca="false">DP$64+DQ$63</f>
        <v>716120.512500001</v>
      </c>
      <c r="DR64" s="13" t="n">
        <f aca="false">DQ$64+DR$63</f>
        <v>721905.230000001</v>
      </c>
      <c r="DS64" s="13" t="n">
        <f aca="false">DR$64+DS$63</f>
        <v>727689.947500001</v>
      </c>
      <c r="DT64" s="13" t="n">
        <f aca="false">DS$64+DT$63</f>
        <v>733474.665000001</v>
      </c>
      <c r="DU64" s="13" t="n">
        <f aca="false">DT$64+DU$63</f>
        <v>739259.382500002</v>
      </c>
      <c r="DV64" s="13" t="n">
        <f aca="false">DU$64+DV$63</f>
        <v>745044.100000002</v>
      </c>
      <c r="DW64" s="13" t="n">
        <f aca="false">DV$64+DW$63</f>
        <v>745044.100000002</v>
      </c>
      <c r="DX64" s="13" t="n">
        <f aca="false">DW$64+DX$63</f>
        <v>745044.100000002</v>
      </c>
      <c r="DY64" s="13" t="n">
        <f aca="false">DX$64+DY$63</f>
        <v>745044.100000002</v>
      </c>
      <c r="DZ64" s="13" t="n">
        <f aca="false">DY$64+DZ$63</f>
        <v>745044.100000002</v>
      </c>
      <c r="EA64" s="13" t="n">
        <f aca="false">DZ$64+EA$63</f>
        <v>745044.100000002</v>
      </c>
      <c r="EB64" s="13" t="n">
        <f aca="false">EA$64+EB$63</f>
        <v>745044.100000002</v>
      </c>
      <c r="EC64" s="13" t="n">
        <f aca="false">EB$64+EC$63</f>
        <v>745044.100000002</v>
      </c>
      <c r="ED64" s="13" t="n">
        <f aca="false">EC$64+ED$63</f>
        <v>745044.100000002</v>
      </c>
      <c r="EE64" s="13" t="n">
        <f aca="false">ED$64+EE$63</f>
        <v>745044.100000002</v>
      </c>
      <c r="EF64" s="13" t="n">
        <f aca="false">EE$64+EF$63</f>
        <v>745044.100000002</v>
      </c>
      <c r="EG64" s="13" t="n">
        <f aca="false">EF$64+EG$63</f>
        <v>745044.100000002</v>
      </c>
      <c r="EH64" s="13" t="n">
        <f aca="false">EG$64+EH$63</f>
        <v>745044.100000002</v>
      </c>
      <c r="EI64" s="13" t="n">
        <f aca="false">EH$64+EI$63</f>
        <v>745044.100000002</v>
      </c>
      <c r="EJ64" s="13" t="n">
        <f aca="false">EI$64+EJ$63</f>
        <v>745044.100000002</v>
      </c>
      <c r="EK64" s="13" t="n">
        <f aca="false">EJ$64+EK$63</f>
        <v>745044.100000002</v>
      </c>
      <c r="EL64" s="13" t="n">
        <f aca="false">EK$64+EL$63</f>
        <v>745044.100000002</v>
      </c>
      <c r="EM64" s="13" t="n">
        <f aca="false">EL$64+EM$63</f>
        <v>745044.100000002</v>
      </c>
      <c r="EN64" s="13" t="n">
        <f aca="false">EM$64+EN$63</f>
        <v>745044.100000002</v>
      </c>
      <c r="EO64" s="13" t="n">
        <f aca="false">EN$64+EO$63</f>
        <v>745044.100000002</v>
      </c>
      <c r="EP64" s="13" t="n">
        <f aca="false">EO$64+EP$63</f>
        <v>745044.100000002</v>
      </c>
      <c r="EQ64" s="13" t="n">
        <f aca="false">EP$64+EQ$63</f>
        <v>745044.100000002</v>
      </c>
      <c r="ER64" s="13" t="n">
        <f aca="false">EQ$64+ER$63</f>
        <v>745044.100000002</v>
      </c>
      <c r="ES64" s="13" t="n">
        <f aca="false">ER$64+ES$63</f>
        <v>745044.100000002</v>
      </c>
      <c r="ET64" s="13" t="n">
        <f aca="false">ES$64+ET$63</f>
        <v>745044.100000002</v>
      </c>
      <c r="EU64" s="13" t="n">
        <f aca="false">ET$64+EU$63</f>
        <v>745044.100000002</v>
      </c>
      <c r="EV64" s="13" t="n">
        <f aca="false">EU$64+EV$63</f>
        <v>745044.100000002</v>
      </c>
      <c r="EW64" s="13" t="n">
        <f aca="false">EV$64+EW$63</f>
        <v>745044.100000002</v>
      </c>
      <c r="EX64" s="13" t="n">
        <f aca="false">EW$64+EX$63</f>
        <v>745044.100000002</v>
      </c>
      <c r="EY64" s="13" t="n">
        <f aca="false">EX$64+EY$63</f>
        <v>745044.100000002</v>
      </c>
      <c r="EZ64" s="13" t="n">
        <f aca="false">EY$64+EZ$63</f>
        <v>745044.100000002</v>
      </c>
      <c r="FA64" s="13" t="n">
        <f aca="false">EZ$64+FA$63</f>
        <v>745044.100000002</v>
      </c>
      <c r="FB64" s="13" t="n">
        <f aca="false">FA$64+FB$63</f>
        <v>745044.100000002</v>
      </c>
      <c r="FC64" s="13" t="n">
        <f aca="false">FB$64+FC$63</f>
        <v>745044.100000002</v>
      </c>
      <c r="FD64" s="13" t="n">
        <f aca="false">FC$64+FD$63</f>
        <v>745044.100000002</v>
      </c>
      <c r="FE64" s="13" t="n">
        <f aca="false">FD$64+FE$63</f>
        <v>745044.100000002</v>
      </c>
      <c r="FF64" s="13" t="n">
        <f aca="false">FE$64+FF$63</f>
        <v>745044.100000002</v>
      </c>
    </row>
    <row r="65" customFormat="false" ht="15" hidden="false" customHeight="false" outlineLevel="0" collapsed="false">
      <c r="A65" s="2" t="s">
        <v>1277</v>
      </c>
      <c r="B65" s="8" t="s">
        <v>1278</v>
      </c>
      <c r="C65" s="8" t="s">
        <v>255</v>
      </c>
      <c r="E65" s="65" t="n">
        <f aca="false">INDEX($F65:$FF65,1,p_MesFin+1)</f>
        <v>755044.1</v>
      </c>
      <c r="F65" s="13" t="n">
        <f aca="false">SUMIF($U$6:$U$22,"&lt;="&amp;0,$O$6:$O$22)</f>
        <v>0</v>
      </c>
      <c r="G65" s="13" t="n">
        <f aca="false">SUMIF($U$6:$U$22,"&lt;="&amp;1,$O$6:$O$22)</f>
        <v>655044.1</v>
      </c>
      <c r="H65" s="13" t="n">
        <f aca="false">SUMIF($U$6:$U$22,"&lt;="&amp;2,$O$6:$O$22)</f>
        <v>655044.1</v>
      </c>
      <c r="I65" s="13" t="n">
        <f aca="false">SUMIF($U$6:$U$22,"&lt;="&amp;3,$O$6:$O$22)</f>
        <v>655044.1</v>
      </c>
      <c r="J65" s="13" t="n">
        <f aca="false">SUMIF($U$6:$U$22,"&lt;="&amp;4,$O$6:$O$22)</f>
        <v>655044.1</v>
      </c>
      <c r="K65" s="13" t="n">
        <f aca="false">SUMIF($U$6:$U$22,"&lt;="&amp;5,$O$6:$O$22)</f>
        <v>655044.1</v>
      </c>
      <c r="L65" s="13" t="n">
        <f aca="false">SUMIF($U$6:$U$22,"&lt;="&amp;6,$O$6:$O$22)</f>
        <v>655044.1</v>
      </c>
      <c r="M65" s="13" t="n">
        <f aca="false">SUMIF($U$6:$U$22,"&lt;="&amp;7,$O$6:$O$22)</f>
        <v>655044.1</v>
      </c>
      <c r="N65" s="13" t="n">
        <f aca="false">SUMIF($U$6:$U$22,"&lt;="&amp;8,$O$6:$O$22)</f>
        <v>655044.1</v>
      </c>
      <c r="O65" s="13" t="n">
        <f aca="false">SUMIF($U$6:$U$22,"&lt;="&amp;9,$O$6:$O$22)</f>
        <v>655044.1</v>
      </c>
      <c r="P65" s="13" t="n">
        <f aca="false">SUMIF($U$6:$U$22,"&lt;="&amp;10,$O$6:$O$22)</f>
        <v>655044.1</v>
      </c>
      <c r="Q65" s="13" t="n">
        <f aca="false">SUMIF($U$6:$U$22,"&lt;="&amp;11,$O$6:$O$22)</f>
        <v>655044.1</v>
      </c>
      <c r="R65" s="13" t="n">
        <f aca="false">SUMIF($U$6:$U$22,"&lt;="&amp;12,$O$6:$O$22)</f>
        <v>655044.1</v>
      </c>
      <c r="S65" s="13" t="n">
        <f aca="false">SUMIF($U$6:$U$22,"&lt;="&amp;13,$O$6:$O$22)</f>
        <v>755044.1</v>
      </c>
      <c r="T65" s="13" t="n">
        <f aca="false">SUMIF($U$6:$U$22,"&lt;="&amp;14,$O$6:$O$22)</f>
        <v>755044.1</v>
      </c>
      <c r="U65" s="13" t="n">
        <f aca="false">SUMIF($U$6:$U$22,"&lt;="&amp;15,$O$6:$O$22)</f>
        <v>755044.1</v>
      </c>
      <c r="V65" s="13" t="n">
        <f aca="false">SUMIF($U$6:$U$22,"&lt;="&amp;16,$O$6:$O$22)</f>
        <v>755044.1</v>
      </c>
      <c r="W65" s="13" t="n">
        <f aca="false">SUMIF($U$6:$U$22,"&lt;="&amp;17,$O$6:$O$22)</f>
        <v>755044.1</v>
      </c>
      <c r="X65" s="13" t="n">
        <f aca="false">SUMIF($U$6:$U$22,"&lt;="&amp;18,$O$6:$O$22)</f>
        <v>755044.1</v>
      </c>
      <c r="Y65" s="13" t="n">
        <f aca="false">SUMIF($U$6:$U$22,"&lt;="&amp;19,$O$6:$O$22)</f>
        <v>755044.1</v>
      </c>
      <c r="Z65" s="13" t="n">
        <f aca="false">SUMIF($U$6:$U$22,"&lt;="&amp;20,$O$6:$O$22)</f>
        <v>755044.1</v>
      </c>
      <c r="AA65" s="13" t="n">
        <f aca="false">SUMIF($U$6:$U$22,"&lt;="&amp;21,$O$6:$O$22)</f>
        <v>755044.1</v>
      </c>
      <c r="AB65" s="13" t="n">
        <f aca="false">SUMIF($U$6:$U$22,"&lt;="&amp;22,$O$6:$O$22)</f>
        <v>755044.1</v>
      </c>
      <c r="AC65" s="13" t="n">
        <f aca="false">SUMIF($U$6:$U$22,"&lt;="&amp;23,$O$6:$O$22)</f>
        <v>755044.1</v>
      </c>
      <c r="AD65" s="13" t="n">
        <f aca="false">SUMIF($U$6:$U$22,"&lt;="&amp;24,$O$6:$O$22)</f>
        <v>755044.1</v>
      </c>
      <c r="AE65" s="13" t="n">
        <f aca="false">SUMIF($U$6:$U$22,"&lt;="&amp;25,$O$6:$O$22)</f>
        <v>755044.1</v>
      </c>
      <c r="AF65" s="13" t="n">
        <f aca="false">SUMIF($U$6:$U$22,"&lt;="&amp;26,$O$6:$O$22)</f>
        <v>755044.1</v>
      </c>
      <c r="AG65" s="13" t="n">
        <f aca="false">SUMIF($U$6:$U$22,"&lt;="&amp;27,$O$6:$O$22)</f>
        <v>755044.1</v>
      </c>
      <c r="AH65" s="13" t="n">
        <f aca="false">SUMIF($U$6:$U$22,"&lt;="&amp;28,$O$6:$O$22)</f>
        <v>755044.1</v>
      </c>
      <c r="AI65" s="13" t="n">
        <f aca="false">SUMIF($U$6:$U$22,"&lt;="&amp;29,$O$6:$O$22)</f>
        <v>755044.1</v>
      </c>
      <c r="AJ65" s="13" t="n">
        <f aca="false">SUMIF($U$6:$U$22,"&lt;="&amp;30,$O$6:$O$22)</f>
        <v>755044.1</v>
      </c>
      <c r="AK65" s="13" t="n">
        <f aca="false">SUMIF($U$6:$U$22,"&lt;="&amp;31,$O$6:$O$22)</f>
        <v>755044.1</v>
      </c>
      <c r="AL65" s="13" t="n">
        <f aca="false">SUMIF($U$6:$U$22,"&lt;="&amp;32,$O$6:$O$22)</f>
        <v>755044.1</v>
      </c>
      <c r="AM65" s="13" t="n">
        <f aca="false">SUMIF($U$6:$U$22,"&lt;="&amp;33,$O$6:$O$22)</f>
        <v>755044.1</v>
      </c>
      <c r="AN65" s="13" t="n">
        <f aca="false">SUMIF($U$6:$U$22,"&lt;="&amp;34,$O$6:$O$22)</f>
        <v>755044.1</v>
      </c>
      <c r="AO65" s="13" t="n">
        <f aca="false">SUMIF($U$6:$U$22,"&lt;="&amp;35,$O$6:$O$22)</f>
        <v>755044.1</v>
      </c>
      <c r="AP65" s="13" t="n">
        <f aca="false">SUMIF($U$6:$U$22,"&lt;="&amp;36,$O$6:$O$22)</f>
        <v>755044.1</v>
      </c>
      <c r="AQ65" s="13" t="n">
        <f aca="false">SUMIF($U$6:$U$22,"&lt;="&amp;37,$O$6:$O$22)</f>
        <v>755044.1</v>
      </c>
      <c r="AR65" s="13" t="n">
        <f aca="false">SUMIF($U$6:$U$22,"&lt;="&amp;38,$O$6:$O$22)</f>
        <v>755044.1</v>
      </c>
      <c r="AS65" s="13" t="n">
        <f aca="false">SUMIF($U$6:$U$22,"&lt;="&amp;39,$O$6:$O$22)</f>
        <v>755044.1</v>
      </c>
      <c r="AT65" s="13" t="n">
        <f aca="false">SUMIF($U$6:$U$22,"&lt;="&amp;40,$O$6:$O$22)</f>
        <v>755044.1</v>
      </c>
      <c r="AU65" s="13" t="n">
        <f aca="false">SUMIF($U$6:$U$22,"&lt;="&amp;41,$O$6:$O$22)</f>
        <v>755044.1</v>
      </c>
      <c r="AV65" s="13" t="n">
        <f aca="false">SUMIF($U$6:$U$22,"&lt;="&amp;42,$O$6:$O$22)</f>
        <v>755044.1</v>
      </c>
      <c r="AW65" s="13" t="n">
        <f aca="false">SUMIF($U$6:$U$22,"&lt;="&amp;43,$O$6:$O$22)</f>
        <v>755044.1</v>
      </c>
      <c r="AX65" s="13" t="n">
        <f aca="false">SUMIF($U$6:$U$22,"&lt;="&amp;44,$O$6:$O$22)</f>
        <v>755044.1</v>
      </c>
      <c r="AY65" s="13" t="n">
        <f aca="false">SUMIF($U$6:$U$22,"&lt;="&amp;45,$O$6:$O$22)</f>
        <v>755044.1</v>
      </c>
      <c r="AZ65" s="13" t="n">
        <f aca="false">SUMIF($U$6:$U$22,"&lt;="&amp;46,$O$6:$O$22)</f>
        <v>755044.1</v>
      </c>
      <c r="BA65" s="13" t="n">
        <f aca="false">SUMIF($U$6:$U$22,"&lt;="&amp;47,$O$6:$O$22)</f>
        <v>755044.1</v>
      </c>
      <c r="BB65" s="13" t="n">
        <f aca="false">SUMIF($U$6:$U$22,"&lt;="&amp;48,$O$6:$O$22)</f>
        <v>755044.1</v>
      </c>
      <c r="BC65" s="13" t="n">
        <f aca="false">SUMIF($U$6:$U$22,"&lt;="&amp;49,$O$6:$O$22)</f>
        <v>755044.1</v>
      </c>
      <c r="BD65" s="13" t="n">
        <f aca="false">SUMIF($U$6:$U$22,"&lt;="&amp;50,$O$6:$O$22)</f>
        <v>755044.1</v>
      </c>
      <c r="BE65" s="13" t="n">
        <f aca="false">SUMIF($U$6:$U$22,"&lt;="&amp;51,$O$6:$O$22)</f>
        <v>755044.1</v>
      </c>
      <c r="BF65" s="13" t="n">
        <f aca="false">SUMIF($U$6:$U$22,"&lt;="&amp;52,$O$6:$O$22)</f>
        <v>755044.1</v>
      </c>
      <c r="BG65" s="13" t="n">
        <f aca="false">SUMIF($U$6:$U$22,"&lt;="&amp;53,$O$6:$O$22)</f>
        <v>755044.1</v>
      </c>
      <c r="BH65" s="13" t="n">
        <f aca="false">SUMIF($U$6:$U$22,"&lt;="&amp;54,$O$6:$O$22)</f>
        <v>755044.1</v>
      </c>
      <c r="BI65" s="13" t="n">
        <f aca="false">SUMIF($U$6:$U$22,"&lt;="&amp;55,$O$6:$O$22)</f>
        <v>755044.1</v>
      </c>
      <c r="BJ65" s="13" t="n">
        <f aca="false">SUMIF($U$6:$U$22,"&lt;="&amp;56,$O$6:$O$22)</f>
        <v>755044.1</v>
      </c>
      <c r="BK65" s="13" t="n">
        <f aca="false">SUMIF($U$6:$U$22,"&lt;="&amp;57,$O$6:$O$22)</f>
        <v>755044.1</v>
      </c>
      <c r="BL65" s="13" t="n">
        <f aca="false">SUMIF($U$6:$U$22,"&lt;="&amp;58,$O$6:$O$22)</f>
        <v>755044.1</v>
      </c>
      <c r="BM65" s="13" t="n">
        <f aca="false">SUMIF($U$6:$U$22,"&lt;="&amp;59,$O$6:$O$22)</f>
        <v>755044.1</v>
      </c>
      <c r="BN65" s="13" t="n">
        <f aca="false">SUMIF($U$6:$U$22,"&lt;="&amp;60,$O$6:$O$22)</f>
        <v>755044.1</v>
      </c>
      <c r="BO65" s="13" t="n">
        <f aca="false">SUMIF($U$6:$U$22,"&lt;="&amp;61,$O$6:$O$22)</f>
        <v>755044.1</v>
      </c>
      <c r="BP65" s="13" t="n">
        <f aca="false">SUMIF($U$6:$U$22,"&lt;="&amp;62,$O$6:$O$22)</f>
        <v>755044.1</v>
      </c>
      <c r="BQ65" s="13" t="n">
        <f aca="false">SUMIF($U$6:$U$22,"&lt;="&amp;63,$O$6:$O$22)</f>
        <v>755044.1</v>
      </c>
      <c r="BR65" s="13" t="n">
        <f aca="false">SUMIF($U$6:$U$22,"&lt;="&amp;64,$O$6:$O$22)</f>
        <v>755044.1</v>
      </c>
      <c r="BS65" s="13" t="n">
        <f aca="false">SUMIF($U$6:$U$22,"&lt;="&amp;65,$O$6:$O$22)</f>
        <v>755044.1</v>
      </c>
      <c r="BT65" s="13" t="n">
        <f aca="false">SUMIF($U$6:$U$22,"&lt;="&amp;66,$O$6:$O$22)</f>
        <v>755044.1</v>
      </c>
      <c r="BU65" s="13" t="n">
        <f aca="false">SUMIF($U$6:$U$22,"&lt;="&amp;67,$O$6:$O$22)</f>
        <v>755044.1</v>
      </c>
      <c r="BV65" s="13" t="n">
        <f aca="false">SUMIF($U$6:$U$22,"&lt;="&amp;68,$O$6:$O$22)</f>
        <v>755044.1</v>
      </c>
      <c r="BW65" s="13" t="n">
        <f aca="false">SUMIF($U$6:$U$22,"&lt;="&amp;69,$O$6:$O$22)</f>
        <v>755044.1</v>
      </c>
      <c r="BX65" s="13" t="n">
        <f aca="false">SUMIF($U$6:$U$22,"&lt;="&amp;70,$O$6:$O$22)</f>
        <v>755044.1</v>
      </c>
      <c r="BY65" s="13" t="n">
        <f aca="false">SUMIF($U$6:$U$22,"&lt;="&amp;71,$O$6:$O$22)</f>
        <v>755044.1</v>
      </c>
      <c r="BZ65" s="13" t="n">
        <f aca="false">SUMIF($U$6:$U$22,"&lt;="&amp;72,$O$6:$O$22)</f>
        <v>755044.1</v>
      </c>
      <c r="CA65" s="13" t="n">
        <f aca="false">SUMIF($U$6:$U$22,"&lt;="&amp;73,$O$6:$O$22)</f>
        <v>755044.1</v>
      </c>
      <c r="CB65" s="13" t="n">
        <f aca="false">SUMIF($U$6:$U$22,"&lt;="&amp;74,$O$6:$O$22)</f>
        <v>755044.1</v>
      </c>
      <c r="CC65" s="13" t="n">
        <f aca="false">SUMIF($U$6:$U$22,"&lt;="&amp;75,$O$6:$O$22)</f>
        <v>755044.1</v>
      </c>
      <c r="CD65" s="13" t="n">
        <f aca="false">SUMIF($U$6:$U$22,"&lt;="&amp;76,$O$6:$O$22)</f>
        <v>755044.1</v>
      </c>
      <c r="CE65" s="13" t="n">
        <f aca="false">SUMIF($U$6:$U$22,"&lt;="&amp;77,$O$6:$O$22)</f>
        <v>755044.1</v>
      </c>
      <c r="CF65" s="13" t="n">
        <f aca="false">SUMIF($U$6:$U$22,"&lt;="&amp;78,$O$6:$O$22)</f>
        <v>755044.1</v>
      </c>
      <c r="CG65" s="13" t="n">
        <f aca="false">SUMIF($U$6:$U$22,"&lt;="&amp;79,$O$6:$O$22)</f>
        <v>755044.1</v>
      </c>
      <c r="CH65" s="13" t="n">
        <f aca="false">SUMIF($U$6:$U$22,"&lt;="&amp;80,$O$6:$O$22)</f>
        <v>755044.1</v>
      </c>
      <c r="CI65" s="13" t="n">
        <f aca="false">SUMIF($U$6:$U$22,"&lt;="&amp;81,$O$6:$O$22)</f>
        <v>755044.1</v>
      </c>
      <c r="CJ65" s="13" t="n">
        <f aca="false">SUMIF($U$6:$U$22,"&lt;="&amp;82,$O$6:$O$22)</f>
        <v>755044.1</v>
      </c>
      <c r="CK65" s="13" t="n">
        <f aca="false">SUMIF($U$6:$U$22,"&lt;="&amp;83,$O$6:$O$22)</f>
        <v>755044.1</v>
      </c>
      <c r="CL65" s="13" t="n">
        <f aca="false">SUMIF($U$6:$U$22,"&lt;="&amp;84,$O$6:$O$22)</f>
        <v>755044.1</v>
      </c>
      <c r="CM65" s="13" t="n">
        <f aca="false">SUMIF($U$6:$U$22,"&lt;="&amp;85,$O$6:$O$22)</f>
        <v>755044.1</v>
      </c>
      <c r="CN65" s="13" t="n">
        <f aca="false">SUMIF($U$6:$U$22,"&lt;="&amp;86,$O$6:$O$22)</f>
        <v>755044.1</v>
      </c>
      <c r="CO65" s="13" t="n">
        <f aca="false">SUMIF($U$6:$U$22,"&lt;="&amp;87,$O$6:$O$22)</f>
        <v>755044.1</v>
      </c>
      <c r="CP65" s="13" t="n">
        <f aca="false">SUMIF($U$6:$U$22,"&lt;="&amp;88,$O$6:$O$22)</f>
        <v>755044.1</v>
      </c>
      <c r="CQ65" s="13" t="n">
        <f aca="false">SUMIF($U$6:$U$22,"&lt;="&amp;89,$O$6:$O$22)</f>
        <v>755044.1</v>
      </c>
      <c r="CR65" s="13" t="n">
        <f aca="false">SUMIF($U$6:$U$22,"&lt;="&amp;90,$O$6:$O$22)</f>
        <v>755044.1</v>
      </c>
      <c r="CS65" s="13" t="n">
        <f aca="false">SUMIF($U$6:$U$22,"&lt;="&amp;91,$O$6:$O$22)</f>
        <v>755044.1</v>
      </c>
      <c r="CT65" s="13" t="n">
        <f aca="false">SUMIF($U$6:$U$22,"&lt;="&amp;92,$O$6:$O$22)</f>
        <v>755044.1</v>
      </c>
      <c r="CU65" s="13" t="n">
        <f aca="false">SUMIF($U$6:$U$22,"&lt;="&amp;93,$O$6:$O$22)</f>
        <v>755044.1</v>
      </c>
      <c r="CV65" s="13" t="n">
        <f aca="false">SUMIF($U$6:$U$22,"&lt;="&amp;94,$O$6:$O$22)</f>
        <v>755044.1</v>
      </c>
      <c r="CW65" s="13" t="n">
        <f aca="false">SUMIF($U$6:$U$22,"&lt;="&amp;95,$O$6:$O$22)</f>
        <v>755044.1</v>
      </c>
      <c r="CX65" s="13" t="n">
        <f aca="false">SUMIF($U$6:$U$22,"&lt;="&amp;96,$O$6:$O$22)</f>
        <v>755044.1</v>
      </c>
      <c r="CY65" s="13" t="n">
        <f aca="false">SUMIF($U$6:$U$22,"&lt;="&amp;97,$O$6:$O$22)</f>
        <v>755044.1</v>
      </c>
      <c r="CZ65" s="13" t="n">
        <f aca="false">SUMIF($U$6:$U$22,"&lt;="&amp;98,$O$6:$O$22)</f>
        <v>755044.1</v>
      </c>
      <c r="DA65" s="13" t="n">
        <f aca="false">SUMIF($U$6:$U$22,"&lt;="&amp;99,$O$6:$O$22)</f>
        <v>755044.1</v>
      </c>
      <c r="DB65" s="13" t="n">
        <f aca="false">SUMIF($U$6:$U$22,"&lt;="&amp;100,$O$6:$O$22)</f>
        <v>755044.1</v>
      </c>
      <c r="DC65" s="13" t="n">
        <f aca="false">SUMIF($U$6:$U$22,"&lt;="&amp;101,$O$6:$O$22)</f>
        <v>755044.1</v>
      </c>
      <c r="DD65" s="13" t="n">
        <f aca="false">SUMIF($U$6:$U$22,"&lt;="&amp;102,$O$6:$O$22)</f>
        <v>755044.1</v>
      </c>
      <c r="DE65" s="13" t="n">
        <f aca="false">SUMIF($U$6:$U$22,"&lt;="&amp;103,$O$6:$O$22)</f>
        <v>755044.1</v>
      </c>
      <c r="DF65" s="13" t="n">
        <f aca="false">SUMIF($U$6:$U$22,"&lt;="&amp;104,$O$6:$O$22)</f>
        <v>755044.1</v>
      </c>
      <c r="DG65" s="13" t="n">
        <f aca="false">SUMIF($U$6:$U$22,"&lt;="&amp;105,$O$6:$O$22)</f>
        <v>755044.1</v>
      </c>
      <c r="DH65" s="13" t="n">
        <f aca="false">SUMIF($U$6:$U$22,"&lt;="&amp;106,$O$6:$O$22)</f>
        <v>755044.1</v>
      </c>
      <c r="DI65" s="13" t="n">
        <f aca="false">SUMIF($U$6:$U$22,"&lt;="&amp;107,$O$6:$O$22)</f>
        <v>755044.1</v>
      </c>
      <c r="DJ65" s="13" t="n">
        <f aca="false">SUMIF($U$6:$U$22,"&lt;="&amp;108,$O$6:$O$22)</f>
        <v>755044.1</v>
      </c>
      <c r="DK65" s="13" t="n">
        <f aca="false">SUMIF($U$6:$U$22,"&lt;="&amp;109,$O$6:$O$22)</f>
        <v>755044.1</v>
      </c>
      <c r="DL65" s="13" t="n">
        <f aca="false">SUMIF($U$6:$U$22,"&lt;="&amp;110,$O$6:$O$22)</f>
        <v>755044.1</v>
      </c>
      <c r="DM65" s="13" t="n">
        <f aca="false">SUMIF($U$6:$U$22,"&lt;="&amp;111,$O$6:$O$22)</f>
        <v>755044.1</v>
      </c>
      <c r="DN65" s="13" t="n">
        <f aca="false">SUMIF($U$6:$U$22,"&lt;="&amp;112,$O$6:$O$22)</f>
        <v>755044.1</v>
      </c>
      <c r="DO65" s="13" t="n">
        <f aca="false">SUMIF($U$6:$U$22,"&lt;="&amp;113,$O$6:$O$22)</f>
        <v>755044.1</v>
      </c>
      <c r="DP65" s="13" t="n">
        <f aca="false">SUMIF($U$6:$U$22,"&lt;="&amp;114,$O$6:$O$22)</f>
        <v>755044.1</v>
      </c>
      <c r="DQ65" s="13" t="n">
        <f aca="false">SUMIF($U$6:$U$22,"&lt;="&amp;115,$O$6:$O$22)</f>
        <v>755044.1</v>
      </c>
      <c r="DR65" s="13" t="n">
        <f aca="false">SUMIF($U$6:$U$22,"&lt;="&amp;116,$O$6:$O$22)</f>
        <v>755044.1</v>
      </c>
      <c r="DS65" s="13" t="n">
        <f aca="false">SUMIF($U$6:$U$22,"&lt;="&amp;117,$O$6:$O$22)</f>
        <v>755044.1</v>
      </c>
      <c r="DT65" s="13" t="n">
        <f aca="false">SUMIF($U$6:$U$22,"&lt;="&amp;118,$O$6:$O$22)</f>
        <v>755044.1</v>
      </c>
      <c r="DU65" s="13" t="n">
        <f aca="false">SUMIF($U$6:$U$22,"&lt;="&amp;119,$O$6:$O$22)</f>
        <v>755044.1</v>
      </c>
      <c r="DV65" s="13" t="n">
        <f aca="false">SUMIF($U$6:$U$22,"&lt;="&amp;120,$O$6:$O$22)</f>
        <v>755044.1</v>
      </c>
      <c r="DW65" s="13" t="n">
        <f aca="false">SUMIF($U$6:$U$22,"&lt;="&amp;121,$O$6:$O$22)</f>
        <v>755044.1</v>
      </c>
      <c r="DX65" s="13" t="n">
        <f aca="false">SUMIF($U$6:$U$22,"&lt;="&amp;122,$O$6:$O$22)</f>
        <v>755044.1</v>
      </c>
      <c r="DY65" s="13" t="n">
        <f aca="false">SUMIF($U$6:$U$22,"&lt;="&amp;123,$O$6:$O$22)</f>
        <v>755044.1</v>
      </c>
      <c r="DZ65" s="13" t="n">
        <f aca="false">SUMIF($U$6:$U$22,"&lt;="&amp;124,$O$6:$O$22)</f>
        <v>755044.1</v>
      </c>
      <c r="EA65" s="13" t="n">
        <f aca="false">SUMIF($U$6:$U$22,"&lt;="&amp;125,$O$6:$O$22)</f>
        <v>755044.1</v>
      </c>
      <c r="EB65" s="13" t="n">
        <f aca="false">SUMIF($U$6:$U$22,"&lt;="&amp;126,$O$6:$O$22)</f>
        <v>755044.1</v>
      </c>
      <c r="EC65" s="13" t="n">
        <f aca="false">SUMIF($U$6:$U$22,"&lt;="&amp;127,$O$6:$O$22)</f>
        <v>755044.1</v>
      </c>
      <c r="ED65" s="13" t="n">
        <f aca="false">SUMIF($U$6:$U$22,"&lt;="&amp;128,$O$6:$O$22)</f>
        <v>755044.1</v>
      </c>
      <c r="EE65" s="13" t="n">
        <f aca="false">SUMIF($U$6:$U$22,"&lt;="&amp;129,$O$6:$O$22)</f>
        <v>755044.1</v>
      </c>
      <c r="EF65" s="13" t="n">
        <f aca="false">SUMIF($U$6:$U$22,"&lt;="&amp;130,$O$6:$O$22)</f>
        <v>755044.1</v>
      </c>
      <c r="EG65" s="13" t="n">
        <f aca="false">SUMIF($U$6:$U$22,"&lt;="&amp;131,$O$6:$O$22)</f>
        <v>755044.1</v>
      </c>
      <c r="EH65" s="13" t="n">
        <f aca="false">SUMIF($U$6:$U$22,"&lt;="&amp;132,$O$6:$O$22)</f>
        <v>755044.1</v>
      </c>
      <c r="EI65" s="13" t="n">
        <f aca="false">SUMIF($U$6:$U$22,"&lt;="&amp;133,$O$6:$O$22)</f>
        <v>755044.1</v>
      </c>
      <c r="EJ65" s="13" t="n">
        <f aca="false">SUMIF($U$6:$U$22,"&lt;="&amp;134,$O$6:$O$22)</f>
        <v>755044.1</v>
      </c>
      <c r="EK65" s="13" t="n">
        <f aca="false">SUMIF($U$6:$U$22,"&lt;="&amp;135,$O$6:$O$22)</f>
        <v>755044.1</v>
      </c>
      <c r="EL65" s="13" t="n">
        <f aca="false">SUMIF($U$6:$U$22,"&lt;="&amp;136,$O$6:$O$22)</f>
        <v>755044.1</v>
      </c>
      <c r="EM65" s="13" t="n">
        <f aca="false">SUMIF($U$6:$U$22,"&lt;="&amp;137,$O$6:$O$22)</f>
        <v>755044.1</v>
      </c>
      <c r="EN65" s="13" t="n">
        <f aca="false">SUMIF($U$6:$U$22,"&lt;="&amp;138,$O$6:$O$22)</f>
        <v>755044.1</v>
      </c>
      <c r="EO65" s="13" t="n">
        <f aca="false">SUMIF($U$6:$U$22,"&lt;="&amp;139,$O$6:$O$22)</f>
        <v>755044.1</v>
      </c>
      <c r="EP65" s="13" t="n">
        <f aca="false">SUMIF($U$6:$U$22,"&lt;="&amp;140,$O$6:$O$22)</f>
        <v>755044.1</v>
      </c>
      <c r="EQ65" s="13" t="n">
        <f aca="false">SUMIF($U$6:$U$22,"&lt;="&amp;141,$O$6:$O$22)</f>
        <v>755044.1</v>
      </c>
      <c r="ER65" s="13" t="n">
        <f aca="false">SUMIF($U$6:$U$22,"&lt;="&amp;142,$O$6:$O$22)</f>
        <v>755044.1</v>
      </c>
      <c r="ES65" s="13" t="n">
        <f aca="false">SUMIF($U$6:$U$22,"&lt;="&amp;143,$O$6:$O$22)</f>
        <v>755044.1</v>
      </c>
      <c r="ET65" s="13" t="n">
        <f aca="false">SUMIF($U$6:$U$22,"&lt;="&amp;144,$O$6:$O$22)</f>
        <v>755044.1</v>
      </c>
      <c r="EU65" s="13" t="n">
        <f aca="false">SUMIF($U$6:$U$22,"&lt;="&amp;145,$O$6:$O$22)</f>
        <v>755044.1</v>
      </c>
      <c r="EV65" s="13" t="n">
        <f aca="false">SUMIF($U$6:$U$22,"&lt;="&amp;146,$O$6:$O$22)</f>
        <v>755044.1</v>
      </c>
      <c r="EW65" s="13" t="n">
        <f aca="false">SUMIF($U$6:$U$22,"&lt;="&amp;147,$O$6:$O$22)</f>
        <v>755044.1</v>
      </c>
      <c r="EX65" s="13" t="n">
        <f aca="false">SUMIF($U$6:$U$22,"&lt;="&amp;148,$O$6:$O$22)</f>
        <v>755044.1</v>
      </c>
      <c r="EY65" s="13" t="n">
        <f aca="false">SUMIF($U$6:$U$22,"&lt;="&amp;149,$O$6:$O$22)</f>
        <v>755044.1</v>
      </c>
      <c r="EZ65" s="13" t="n">
        <f aca="false">SUMIF($U$6:$U$22,"&lt;="&amp;150,$O$6:$O$22)</f>
        <v>755044.1</v>
      </c>
      <c r="FA65" s="13" t="n">
        <f aca="false">SUMIF($U$6:$U$22,"&lt;="&amp;151,$O$6:$O$22)</f>
        <v>755044.1</v>
      </c>
      <c r="FB65" s="13" t="n">
        <f aca="false">SUMIF($U$6:$U$22,"&lt;="&amp;152,$O$6:$O$22)</f>
        <v>755044.1</v>
      </c>
      <c r="FC65" s="13" t="n">
        <f aca="false">SUMIF($U$6:$U$22,"&lt;="&amp;153,$O$6:$O$22)</f>
        <v>755044.1</v>
      </c>
      <c r="FD65" s="13" t="n">
        <f aca="false">SUMIF($U$6:$U$22,"&lt;="&amp;154,$O$6:$O$22)</f>
        <v>755044.1</v>
      </c>
      <c r="FE65" s="13" t="n">
        <f aca="false">SUMIF($U$6:$U$22,"&lt;="&amp;155,$O$6:$O$22)</f>
        <v>755044.1</v>
      </c>
      <c r="FF65" s="13" t="n">
        <f aca="false">SUMIF($U$6:$U$22,"&lt;="&amp;156,$O$6:$O$22)</f>
        <v>755044.1</v>
      </c>
    </row>
    <row r="66" customFormat="false" ht="15" hidden="false" customHeight="false" outlineLevel="0" collapsed="false">
      <c r="A66" s="2" t="s">
        <v>1279</v>
      </c>
      <c r="B66" s="66" t="s">
        <v>1280</v>
      </c>
      <c r="C66" s="8" t="s">
        <v>255</v>
      </c>
      <c r="E66" s="67" t="n">
        <f aca="false">INDEX($F66:$FF66,1,p_MesFin+1)</f>
        <v>9999.99999999849</v>
      </c>
      <c r="F66" s="12" t="n">
        <f aca="false">F$41-F$64</f>
        <v>655044.1</v>
      </c>
      <c r="G66" s="12" t="n">
        <f aca="false">G$41-G$64</f>
        <v>649078.0825</v>
      </c>
      <c r="H66" s="12" t="n">
        <f aca="false">H$41-H$64</f>
        <v>643112.065</v>
      </c>
      <c r="I66" s="12" t="n">
        <f aca="false">I$41-I$64</f>
        <v>637146.0475</v>
      </c>
      <c r="J66" s="12" t="n">
        <f aca="false">J$41-J$64</f>
        <v>631180.03</v>
      </c>
      <c r="K66" s="12" t="n">
        <f aca="false">K$41-K$64</f>
        <v>625214.0125</v>
      </c>
      <c r="L66" s="12" t="n">
        <f aca="false">L$41-L$64</f>
        <v>619247.995</v>
      </c>
      <c r="M66" s="12" t="n">
        <f aca="false">M$41-M$64</f>
        <v>613281.9775</v>
      </c>
      <c r="N66" s="12" t="n">
        <f aca="false">N$41-N$64</f>
        <v>607315.96</v>
      </c>
      <c r="O66" s="12" t="n">
        <f aca="false">O$41-O$64</f>
        <v>601349.9425</v>
      </c>
      <c r="P66" s="12" t="n">
        <f aca="false">P$41-P$64</f>
        <v>595383.925</v>
      </c>
      <c r="Q66" s="12" t="n">
        <f aca="false">Q$41-Q$64</f>
        <v>589417.9075</v>
      </c>
      <c r="R66" s="12" t="n">
        <f aca="false">R$41-R$64</f>
        <v>583451.89</v>
      </c>
      <c r="S66" s="12" t="n">
        <f aca="false">S$41-S$64</f>
        <v>676652.539166667</v>
      </c>
      <c r="T66" s="12" t="n">
        <f aca="false">T$41-T$64</f>
        <v>669853.188333333</v>
      </c>
      <c r="U66" s="12" t="n">
        <f aca="false">U$41-U$64</f>
        <v>663053.8375</v>
      </c>
      <c r="V66" s="12" t="n">
        <f aca="false">V$41-V$64</f>
        <v>656254.486666667</v>
      </c>
      <c r="W66" s="12" t="n">
        <f aca="false">W$41-W$64</f>
        <v>649455.135833333</v>
      </c>
      <c r="X66" s="12" t="n">
        <f aca="false">X$41-X$64</f>
        <v>642655.785</v>
      </c>
      <c r="Y66" s="12" t="n">
        <f aca="false">Y$41-Y$64</f>
        <v>635856.434166667</v>
      </c>
      <c r="Z66" s="12" t="n">
        <f aca="false">Z$41-Z$64</f>
        <v>629057.083333333</v>
      </c>
      <c r="AA66" s="12" t="n">
        <f aca="false">AA$41-AA$64</f>
        <v>622257.7325</v>
      </c>
      <c r="AB66" s="12" t="n">
        <f aca="false">AB$41-AB$64</f>
        <v>615458.381666667</v>
      </c>
      <c r="AC66" s="12" t="n">
        <f aca="false">AC$41-AC$64</f>
        <v>608659.030833333</v>
      </c>
      <c r="AD66" s="12" t="n">
        <f aca="false">AD$41-AD$64</f>
        <v>601859.68</v>
      </c>
      <c r="AE66" s="12" t="n">
        <f aca="false">AE$41-AE$64</f>
        <v>595060.329166667</v>
      </c>
      <c r="AF66" s="12" t="n">
        <f aca="false">AF$41-AF$64</f>
        <v>588260.978333333</v>
      </c>
      <c r="AG66" s="12" t="n">
        <f aca="false">AG$41-AG$64</f>
        <v>581461.6275</v>
      </c>
      <c r="AH66" s="12" t="n">
        <f aca="false">AH$41-AH$64</f>
        <v>574662.276666667</v>
      </c>
      <c r="AI66" s="12" t="n">
        <f aca="false">AI$41-AI$64</f>
        <v>567862.925833333</v>
      </c>
      <c r="AJ66" s="12" t="n">
        <f aca="false">AJ$41-AJ$64</f>
        <v>561063.575</v>
      </c>
      <c r="AK66" s="12" t="n">
        <f aca="false">AK$41-AK$64</f>
        <v>554264.224166667</v>
      </c>
      <c r="AL66" s="12" t="n">
        <f aca="false">AL$41-AL$64</f>
        <v>547464.873333333</v>
      </c>
      <c r="AM66" s="12" t="n">
        <f aca="false">AM$41-AM$64</f>
        <v>540665.5225</v>
      </c>
      <c r="AN66" s="12" t="n">
        <f aca="false">AN$41-AN$64</f>
        <v>533866.171666667</v>
      </c>
      <c r="AO66" s="12" t="n">
        <f aca="false">AO$41-AO$64</f>
        <v>527066.820833333</v>
      </c>
      <c r="AP66" s="12" t="n">
        <f aca="false">AP$41-AP$64</f>
        <v>520267.47</v>
      </c>
      <c r="AQ66" s="12" t="n">
        <f aca="false">AQ$41-AQ$64</f>
        <v>513468.119166667</v>
      </c>
      <c r="AR66" s="12" t="n">
        <f aca="false">AR$41-AR$64</f>
        <v>506668.768333333</v>
      </c>
      <c r="AS66" s="12" t="n">
        <f aca="false">AS$41-AS$64</f>
        <v>499869.4175</v>
      </c>
      <c r="AT66" s="12" t="n">
        <f aca="false">AT$41-AT$64</f>
        <v>493070.066666667</v>
      </c>
      <c r="AU66" s="12" t="n">
        <f aca="false">AU$41-AU$64</f>
        <v>486270.715833333</v>
      </c>
      <c r="AV66" s="12" t="n">
        <f aca="false">AV$41-AV$64</f>
        <v>479471.365</v>
      </c>
      <c r="AW66" s="12" t="n">
        <f aca="false">AW$41-AW$64</f>
        <v>472672.014166667</v>
      </c>
      <c r="AX66" s="12" t="n">
        <f aca="false">AX$41-AX$64</f>
        <v>465872.663333333</v>
      </c>
      <c r="AY66" s="12" t="n">
        <f aca="false">AY$41-AY$64</f>
        <v>459073.3125</v>
      </c>
      <c r="AZ66" s="12" t="n">
        <f aca="false">AZ$41-AZ$64</f>
        <v>452273.961666667</v>
      </c>
      <c r="BA66" s="12" t="n">
        <f aca="false">BA$41-BA$64</f>
        <v>445474.610833333</v>
      </c>
      <c r="BB66" s="12" t="n">
        <f aca="false">BB$41-BB$64</f>
        <v>438675.26</v>
      </c>
      <c r="BC66" s="12" t="n">
        <f aca="false">BC$41-BC$64</f>
        <v>431875.909166667</v>
      </c>
      <c r="BD66" s="12" t="n">
        <f aca="false">BD$41-BD$64</f>
        <v>425076.558333333</v>
      </c>
      <c r="BE66" s="12" t="n">
        <f aca="false">BE$41-BE$64</f>
        <v>418277.2075</v>
      </c>
      <c r="BF66" s="12" t="n">
        <f aca="false">BF$41-BF$64</f>
        <v>411477.856666667</v>
      </c>
      <c r="BG66" s="12" t="n">
        <f aca="false">BG$41-BG$64</f>
        <v>404678.505833333</v>
      </c>
      <c r="BH66" s="12" t="n">
        <f aca="false">BH$41-BH$64</f>
        <v>397879.155</v>
      </c>
      <c r="BI66" s="12" t="n">
        <f aca="false">BI$41-BI$64</f>
        <v>391079.804166667</v>
      </c>
      <c r="BJ66" s="12" t="n">
        <f aca="false">BJ$41-BJ$64</f>
        <v>384280.453333333</v>
      </c>
      <c r="BK66" s="12" t="n">
        <f aca="false">BK$41-BK$64</f>
        <v>377481.1025</v>
      </c>
      <c r="BL66" s="12" t="n">
        <f aca="false">BL$41-BL$64</f>
        <v>370681.751666667</v>
      </c>
      <c r="BM66" s="12" t="n">
        <f aca="false">BM$41-BM$64</f>
        <v>363882.400833333</v>
      </c>
      <c r="BN66" s="12" t="n">
        <f aca="false">BN$41-BN$64</f>
        <v>357083.05</v>
      </c>
      <c r="BO66" s="12" t="n">
        <f aca="false">BO$41-BO$64</f>
        <v>351298.3325</v>
      </c>
      <c r="BP66" s="12" t="n">
        <f aca="false">BP$41-BP$64</f>
        <v>345513.615</v>
      </c>
      <c r="BQ66" s="12" t="n">
        <f aca="false">BQ$41-BQ$64</f>
        <v>339728.8975</v>
      </c>
      <c r="BR66" s="12" t="n">
        <f aca="false">BR$41-BR$64</f>
        <v>333944.18</v>
      </c>
      <c r="BS66" s="12" t="n">
        <f aca="false">BS$41-BS$64</f>
        <v>328159.4625</v>
      </c>
      <c r="BT66" s="12" t="n">
        <f aca="false">BT$41-BT$64</f>
        <v>322374.745</v>
      </c>
      <c r="BU66" s="12" t="n">
        <f aca="false">BU$41-BU$64</f>
        <v>316590.0275</v>
      </c>
      <c r="BV66" s="12" t="n">
        <f aca="false">BV$41-BV$64</f>
        <v>310805.31</v>
      </c>
      <c r="BW66" s="12" t="n">
        <f aca="false">BW$41-BW$64</f>
        <v>305020.5925</v>
      </c>
      <c r="BX66" s="12" t="n">
        <f aca="false">BX$41-BX$64</f>
        <v>299235.875</v>
      </c>
      <c r="BY66" s="12" t="n">
        <f aca="false">BY$41-BY$64</f>
        <v>293451.1575</v>
      </c>
      <c r="BZ66" s="12" t="n">
        <f aca="false">BZ$41-BZ$64</f>
        <v>287666.44</v>
      </c>
      <c r="CA66" s="12" t="n">
        <f aca="false">CA$41-CA$64</f>
        <v>281881.7225</v>
      </c>
      <c r="CB66" s="12" t="n">
        <f aca="false">CB$41-CB$64</f>
        <v>276097.005</v>
      </c>
      <c r="CC66" s="12" t="n">
        <f aca="false">CC$41-CC$64</f>
        <v>270312.2875</v>
      </c>
      <c r="CD66" s="12" t="n">
        <f aca="false">CD$41-CD$64</f>
        <v>264527.57</v>
      </c>
      <c r="CE66" s="12" t="n">
        <f aca="false">CE$41-CE$64</f>
        <v>258742.8525</v>
      </c>
      <c r="CF66" s="12" t="n">
        <f aca="false">CF$41-CF$64</f>
        <v>252958.135</v>
      </c>
      <c r="CG66" s="12" t="n">
        <f aca="false">CG$41-CG$64</f>
        <v>247173.4175</v>
      </c>
      <c r="CH66" s="12" t="n">
        <f aca="false">CH$41-CH$64</f>
        <v>241388.7</v>
      </c>
      <c r="CI66" s="12" t="n">
        <f aca="false">CI$41-CI$64</f>
        <v>235603.9825</v>
      </c>
      <c r="CJ66" s="12" t="n">
        <f aca="false">CJ$41-CJ$64</f>
        <v>229819.265</v>
      </c>
      <c r="CK66" s="12" t="n">
        <f aca="false">CK$41-CK$64</f>
        <v>224034.5475</v>
      </c>
      <c r="CL66" s="12" t="n">
        <f aca="false">CL$41-CL$64</f>
        <v>218249.83</v>
      </c>
      <c r="CM66" s="12" t="n">
        <f aca="false">CM$41-CM$64</f>
        <v>212465.112499999</v>
      </c>
      <c r="CN66" s="12" t="n">
        <f aca="false">CN$41-CN$64</f>
        <v>206680.394999999</v>
      </c>
      <c r="CO66" s="12" t="n">
        <f aca="false">CO$41-CO$64</f>
        <v>200895.677499999</v>
      </c>
      <c r="CP66" s="12" t="n">
        <f aca="false">CP$41-CP$64</f>
        <v>195110.959999999</v>
      </c>
      <c r="CQ66" s="12" t="n">
        <f aca="false">CQ$41-CQ$64</f>
        <v>189326.242499999</v>
      </c>
      <c r="CR66" s="12" t="n">
        <f aca="false">CR$41-CR$64</f>
        <v>183541.524999999</v>
      </c>
      <c r="CS66" s="12" t="n">
        <f aca="false">CS$41-CS$64</f>
        <v>177756.807499999</v>
      </c>
      <c r="CT66" s="12" t="n">
        <f aca="false">CT$41-CT$64</f>
        <v>171972.089999999</v>
      </c>
      <c r="CU66" s="12" t="n">
        <f aca="false">CU$41-CU$64</f>
        <v>166187.372499999</v>
      </c>
      <c r="CV66" s="12" t="n">
        <f aca="false">CV$41-CV$64</f>
        <v>160402.654999999</v>
      </c>
      <c r="CW66" s="12" t="n">
        <f aca="false">CW$41-CW$64</f>
        <v>154617.937499999</v>
      </c>
      <c r="CX66" s="12" t="n">
        <f aca="false">CX$41-CX$64</f>
        <v>148833.219999999</v>
      </c>
      <c r="CY66" s="12" t="n">
        <f aca="false">CY$41-CY$64</f>
        <v>143048.502499999</v>
      </c>
      <c r="CZ66" s="12" t="n">
        <f aca="false">CZ$41-CZ$64</f>
        <v>137263.784999999</v>
      </c>
      <c r="DA66" s="12" t="n">
        <f aca="false">DA$41-DA$64</f>
        <v>131479.067499999</v>
      </c>
      <c r="DB66" s="12" t="n">
        <f aca="false">DB$41-DB$64</f>
        <v>125694.349999999</v>
      </c>
      <c r="DC66" s="12" t="n">
        <f aca="false">DC$41-DC$64</f>
        <v>119909.632499999</v>
      </c>
      <c r="DD66" s="12" t="n">
        <f aca="false">DD$41-DD$64</f>
        <v>114124.914999999</v>
      </c>
      <c r="DE66" s="12" t="n">
        <f aca="false">DE$41-DE$64</f>
        <v>108340.197499999</v>
      </c>
      <c r="DF66" s="12" t="n">
        <f aca="false">DF$41-DF$64</f>
        <v>102555.479999999</v>
      </c>
      <c r="DG66" s="12" t="n">
        <f aca="false">DG$41-DG$64</f>
        <v>96770.7624999989</v>
      </c>
      <c r="DH66" s="12" t="n">
        <f aca="false">DH$41-DH$64</f>
        <v>90986.0449999989</v>
      </c>
      <c r="DI66" s="12" t="n">
        <f aca="false">DI$41-DI$64</f>
        <v>85201.3274999989</v>
      </c>
      <c r="DJ66" s="12" t="n">
        <f aca="false">DJ$41-DJ$64</f>
        <v>79416.6099999988</v>
      </c>
      <c r="DK66" s="12" t="n">
        <f aca="false">DK$41-DK$64</f>
        <v>73631.8924999988</v>
      </c>
      <c r="DL66" s="12" t="n">
        <f aca="false">DL$41-DL$64</f>
        <v>67847.1749999988</v>
      </c>
      <c r="DM66" s="12" t="n">
        <f aca="false">DM$41-DM$64</f>
        <v>62062.4574999987</v>
      </c>
      <c r="DN66" s="12" t="n">
        <f aca="false">DN$41-DN$64</f>
        <v>56277.7399999987</v>
      </c>
      <c r="DO66" s="12" t="n">
        <f aca="false">DO$41-DO$64</f>
        <v>50493.0224999987</v>
      </c>
      <c r="DP66" s="12" t="n">
        <f aca="false">DP$41-DP$64</f>
        <v>44708.3049999987</v>
      </c>
      <c r="DQ66" s="12" t="n">
        <f aca="false">DQ$41-DQ$64</f>
        <v>38923.5874999986</v>
      </c>
      <c r="DR66" s="12" t="n">
        <f aca="false">DR$41-DR$64</f>
        <v>33138.8699999986</v>
      </c>
      <c r="DS66" s="12" t="n">
        <f aca="false">DS$41-DS$64</f>
        <v>27354.1524999986</v>
      </c>
      <c r="DT66" s="12" t="n">
        <f aca="false">DT$41-DT$64</f>
        <v>21569.4349999985</v>
      </c>
      <c r="DU66" s="12" t="n">
        <f aca="false">DU$41-DU$64</f>
        <v>15784.7174999985</v>
      </c>
      <c r="DV66" s="12" t="n">
        <f aca="false">DV$41-DV$64</f>
        <v>9999.99999999849</v>
      </c>
      <c r="DW66" s="12" t="n">
        <f aca="false">DW$41-DW$64</f>
        <v>9999.99999999849</v>
      </c>
      <c r="DX66" s="12" t="n">
        <f aca="false">DX$41-DX$64</f>
        <v>9999.99999999849</v>
      </c>
      <c r="DY66" s="12" t="n">
        <f aca="false">DY$41-DY$64</f>
        <v>9999.99999999849</v>
      </c>
      <c r="DZ66" s="12" t="n">
        <f aca="false">DZ$41-DZ$64</f>
        <v>9999.99999999849</v>
      </c>
      <c r="EA66" s="12" t="n">
        <f aca="false">EA$41-EA$64</f>
        <v>9999.99999999849</v>
      </c>
      <c r="EB66" s="12" t="n">
        <f aca="false">EB$41-EB$64</f>
        <v>9999.99999999849</v>
      </c>
      <c r="EC66" s="12" t="n">
        <f aca="false">EC$41-EC$64</f>
        <v>9999.99999999849</v>
      </c>
      <c r="ED66" s="12" t="n">
        <f aca="false">ED$41-ED$64</f>
        <v>9999.99999999849</v>
      </c>
      <c r="EE66" s="12" t="n">
        <f aca="false">EE$41-EE$64</f>
        <v>9999.99999999849</v>
      </c>
      <c r="EF66" s="12" t="n">
        <f aca="false">EF$41-EF$64</f>
        <v>9999.99999999849</v>
      </c>
      <c r="EG66" s="12" t="n">
        <f aca="false">EG$41-EG$64</f>
        <v>9999.99999999849</v>
      </c>
      <c r="EH66" s="12" t="n">
        <f aca="false">EH$41-EH$64</f>
        <v>9999.99999999849</v>
      </c>
      <c r="EI66" s="12" t="n">
        <f aca="false">EI$41-EI$64</f>
        <v>9999.99999999849</v>
      </c>
      <c r="EJ66" s="12" t="n">
        <f aca="false">EJ$41-EJ$64</f>
        <v>9999.99999999849</v>
      </c>
      <c r="EK66" s="12" t="n">
        <f aca="false">EK$41-EK$64</f>
        <v>9999.99999999849</v>
      </c>
      <c r="EL66" s="12" t="n">
        <f aca="false">EL$41-EL$64</f>
        <v>9999.99999999849</v>
      </c>
      <c r="EM66" s="12" t="n">
        <f aca="false">EM$41-EM$64</f>
        <v>9999.99999999849</v>
      </c>
      <c r="EN66" s="12" t="n">
        <f aca="false">EN$41-EN$64</f>
        <v>9999.99999999849</v>
      </c>
      <c r="EO66" s="12" t="n">
        <f aca="false">EO$41-EO$64</f>
        <v>9999.99999999849</v>
      </c>
      <c r="EP66" s="12" t="n">
        <f aca="false">EP$41-EP$64</f>
        <v>9999.99999999849</v>
      </c>
      <c r="EQ66" s="12" t="n">
        <f aca="false">EQ$41-EQ$64</f>
        <v>9999.99999999849</v>
      </c>
      <c r="ER66" s="12" t="n">
        <f aca="false">ER$41-ER$64</f>
        <v>9999.99999999849</v>
      </c>
      <c r="ES66" s="12" t="n">
        <f aca="false">ES$41-ES$64</f>
        <v>9999.99999999849</v>
      </c>
      <c r="ET66" s="12" t="n">
        <f aca="false">ET$41-ET$64</f>
        <v>9999.99999999849</v>
      </c>
      <c r="EU66" s="12" t="n">
        <f aca="false">EU$41-EU$64</f>
        <v>9999.99999999849</v>
      </c>
      <c r="EV66" s="12" t="n">
        <f aca="false">EV$41-EV$64</f>
        <v>9999.99999999849</v>
      </c>
      <c r="EW66" s="12" t="n">
        <f aca="false">EW$41-EW$64</f>
        <v>9999.99999999849</v>
      </c>
      <c r="EX66" s="12" t="n">
        <f aca="false">EX$41-EX$64</f>
        <v>9999.99999999849</v>
      </c>
      <c r="EY66" s="12" t="n">
        <f aca="false">EY$41-EY$64</f>
        <v>9999.99999999849</v>
      </c>
      <c r="EZ66" s="12" t="n">
        <f aca="false">EZ$41-EZ$64</f>
        <v>9999.99999999849</v>
      </c>
      <c r="FA66" s="12" t="n">
        <f aca="false">FA$41-FA$64</f>
        <v>9999.99999999849</v>
      </c>
      <c r="FB66" s="12" t="n">
        <f aca="false">FB$41-FB$64</f>
        <v>9999.99999999849</v>
      </c>
      <c r="FC66" s="12" t="n">
        <f aca="false">FC$41-FC$64</f>
        <v>9999.99999999849</v>
      </c>
      <c r="FD66" s="12" t="n">
        <f aca="false">FD$41-FD$64</f>
        <v>9999.99999999849</v>
      </c>
      <c r="FE66" s="12" t="n">
        <f aca="false">FE$41-FE$64</f>
        <v>9999.99999999849</v>
      </c>
      <c r="FF66" s="12" t="n">
        <f aca="false">FF$41-FF$64</f>
        <v>9999.99999999849</v>
      </c>
    </row>
    <row r="67" customFormat="false" ht="15" hidden="false" customHeight="false" outlineLevel="0" collapsed="false">
      <c r="A67" s="2" t="s">
        <v>1281</v>
      </c>
      <c r="B67" s="8" t="s">
        <v>1282</v>
      </c>
      <c r="C67" s="8" t="s">
        <v>255</v>
      </c>
      <c r="E67" s="70" t="n">
        <f aca="false">MAX($F67:$FF67)</f>
        <v>0</v>
      </c>
      <c r="F67" s="19" t="n">
        <f aca="false">MAX(0,F$64-F$65)</f>
        <v>0</v>
      </c>
      <c r="G67" s="19" t="n">
        <f aca="false">MAX(0,G$64-G$65)</f>
        <v>0</v>
      </c>
      <c r="H67" s="19" t="n">
        <f aca="false">MAX(0,H$64-H$65)</f>
        <v>0</v>
      </c>
      <c r="I67" s="19" t="n">
        <f aca="false">MAX(0,I$64-I$65)</f>
        <v>0</v>
      </c>
      <c r="J67" s="19" t="n">
        <f aca="false">MAX(0,J$64-J$65)</f>
        <v>0</v>
      </c>
      <c r="K67" s="19" t="n">
        <f aca="false">MAX(0,K$64-K$65)</f>
        <v>0</v>
      </c>
      <c r="L67" s="19" t="n">
        <f aca="false">MAX(0,L$64-L$65)</f>
        <v>0</v>
      </c>
      <c r="M67" s="19" t="n">
        <f aca="false">MAX(0,M$64-M$65)</f>
        <v>0</v>
      </c>
      <c r="N67" s="19" t="n">
        <f aca="false">MAX(0,N$64-N$65)</f>
        <v>0</v>
      </c>
      <c r="O67" s="19" t="n">
        <f aca="false">MAX(0,O$64-O$65)</f>
        <v>0</v>
      </c>
      <c r="P67" s="19" t="n">
        <f aca="false">MAX(0,P$64-P$65)</f>
        <v>0</v>
      </c>
      <c r="Q67" s="19" t="n">
        <f aca="false">MAX(0,Q$64-Q$65)</f>
        <v>0</v>
      </c>
      <c r="R67" s="19" t="n">
        <f aca="false">MAX(0,R$64-R$65)</f>
        <v>0</v>
      </c>
      <c r="S67" s="19" t="n">
        <f aca="false">MAX(0,S$64-S$65)</f>
        <v>0</v>
      </c>
      <c r="T67" s="19" t="n">
        <f aca="false">MAX(0,T$64-T$65)</f>
        <v>0</v>
      </c>
      <c r="U67" s="19" t="n">
        <f aca="false">MAX(0,U$64-U$65)</f>
        <v>0</v>
      </c>
      <c r="V67" s="19" t="n">
        <f aca="false">MAX(0,V$64-V$65)</f>
        <v>0</v>
      </c>
      <c r="W67" s="19" t="n">
        <f aca="false">MAX(0,W$64-W$65)</f>
        <v>0</v>
      </c>
      <c r="X67" s="19" t="n">
        <f aca="false">MAX(0,X$64-X$65)</f>
        <v>0</v>
      </c>
      <c r="Y67" s="19" t="n">
        <f aca="false">MAX(0,Y$64-Y$65)</f>
        <v>0</v>
      </c>
      <c r="Z67" s="19" t="n">
        <f aca="false">MAX(0,Z$64-Z$65)</f>
        <v>0</v>
      </c>
      <c r="AA67" s="19" t="n">
        <f aca="false">MAX(0,AA$64-AA$65)</f>
        <v>0</v>
      </c>
      <c r="AB67" s="19" t="n">
        <f aca="false">MAX(0,AB$64-AB$65)</f>
        <v>0</v>
      </c>
      <c r="AC67" s="19" t="n">
        <f aca="false">MAX(0,AC$64-AC$65)</f>
        <v>0</v>
      </c>
      <c r="AD67" s="19" t="n">
        <f aca="false">MAX(0,AD$64-AD$65)</f>
        <v>0</v>
      </c>
      <c r="AE67" s="19" t="n">
        <f aca="false">MAX(0,AE$64-AE$65)</f>
        <v>0</v>
      </c>
      <c r="AF67" s="19" t="n">
        <f aca="false">MAX(0,AF$64-AF$65)</f>
        <v>0</v>
      </c>
      <c r="AG67" s="19" t="n">
        <f aca="false">MAX(0,AG$64-AG$65)</f>
        <v>0</v>
      </c>
      <c r="AH67" s="19" t="n">
        <f aca="false">MAX(0,AH$64-AH$65)</f>
        <v>0</v>
      </c>
      <c r="AI67" s="19" t="n">
        <f aca="false">MAX(0,AI$64-AI$65)</f>
        <v>0</v>
      </c>
      <c r="AJ67" s="19" t="n">
        <f aca="false">MAX(0,AJ$64-AJ$65)</f>
        <v>0</v>
      </c>
      <c r="AK67" s="19" t="n">
        <f aca="false">MAX(0,AK$64-AK$65)</f>
        <v>0</v>
      </c>
      <c r="AL67" s="19" t="n">
        <f aca="false">MAX(0,AL$64-AL$65)</f>
        <v>0</v>
      </c>
      <c r="AM67" s="19" t="n">
        <f aca="false">MAX(0,AM$64-AM$65)</f>
        <v>0</v>
      </c>
      <c r="AN67" s="19" t="n">
        <f aca="false">MAX(0,AN$64-AN$65)</f>
        <v>0</v>
      </c>
      <c r="AO67" s="19" t="n">
        <f aca="false">MAX(0,AO$64-AO$65)</f>
        <v>0</v>
      </c>
      <c r="AP67" s="19" t="n">
        <f aca="false">MAX(0,AP$64-AP$65)</f>
        <v>0</v>
      </c>
      <c r="AQ67" s="19" t="n">
        <f aca="false">MAX(0,AQ$64-AQ$65)</f>
        <v>0</v>
      </c>
      <c r="AR67" s="19" t="n">
        <f aca="false">MAX(0,AR$64-AR$65)</f>
        <v>0</v>
      </c>
      <c r="AS67" s="19" t="n">
        <f aca="false">MAX(0,AS$64-AS$65)</f>
        <v>0</v>
      </c>
      <c r="AT67" s="19" t="n">
        <f aca="false">MAX(0,AT$64-AT$65)</f>
        <v>0</v>
      </c>
      <c r="AU67" s="19" t="n">
        <f aca="false">MAX(0,AU$64-AU$65)</f>
        <v>0</v>
      </c>
      <c r="AV67" s="19" t="n">
        <f aca="false">MAX(0,AV$64-AV$65)</f>
        <v>0</v>
      </c>
      <c r="AW67" s="19" t="n">
        <f aca="false">MAX(0,AW$64-AW$65)</f>
        <v>0</v>
      </c>
      <c r="AX67" s="19" t="n">
        <f aca="false">MAX(0,AX$64-AX$65)</f>
        <v>0</v>
      </c>
      <c r="AY67" s="19" t="n">
        <f aca="false">MAX(0,AY$64-AY$65)</f>
        <v>0</v>
      </c>
      <c r="AZ67" s="19" t="n">
        <f aca="false">MAX(0,AZ$64-AZ$65)</f>
        <v>0</v>
      </c>
      <c r="BA67" s="19" t="n">
        <f aca="false">MAX(0,BA$64-BA$65)</f>
        <v>0</v>
      </c>
      <c r="BB67" s="19" t="n">
        <f aca="false">MAX(0,BB$64-BB$65)</f>
        <v>0</v>
      </c>
      <c r="BC67" s="19" t="n">
        <f aca="false">MAX(0,BC$64-BC$65)</f>
        <v>0</v>
      </c>
      <c r="BD67" s="19" t="n">
        <f aca="false">MAX(0,BD$64-BD$65)</f>
        <v>0</v>
      </c>
      <c r="BE67" s="19" t="n">
        <f aca="false">MAX(0,BE$64-BE$65)</f>
        <v>0</v>
      </c>
      <c r="BF67" s="19" t="n">
        <f aca="false">MAX(0,BF$64-BF$65)</f>
        <v>0</v>
      </c>
      <c r="BG67" s="19" t="n">
        <f aca="false">MAX(0,BG$64-BG$65)</f>
        <v>0</v>
      </c>
      <c r="BH67" s="19" t="n">
        <f aca="false">MAX(0,BH$64-BH$65)</f>
        <v>0</v>
      </c>
      <c r="BI67" s="19" t="n">
        <f aca="false">MAX(0,BI$64-BI$65)</f>
        <v>0</v>
      </c>
      <c r="BJ67" s="19" t="n">
        <f aca="false">MAX(0,BJ$64-BJ$65)</f>
        <v>0</v>
      </c>
      <c r="BK67" s="19" t="n">
        <f aca="false">MAX(0,BK$64-BK$65)</f>
        <v>0</v>
      </c>
      <c r="BL67" s="19" t="n">
        <f aca="false">MAX(0,BL$64-BL$65)</f>
        <v>0</v>
      </c>
      <c r="BM67" s="19" t="n">
        <f aca="false">MAX(0,BM$64-BM$65)</f>
        <v>0</v>
      </c>
      <c r="BN67" s="19" t="n">
        <f aca="false">MAX(0,BN$64-BN$65)</f>
        <v>0</v>
      </c>
      <c r="BO67" s="19" t="n">
        <f aca="false">MAX(0,BO$64-BO$65)</f>
        <v>0</v>
      </c>
      <c r="BP67" s="19" t="n">
        <f aca="false">MAX(0,BP$64-BP$65)</f>
        <v>0</v>
      </c>
      <c r="BQ67" s="19" t="n">
        <f aca="false">MAX(0,BQ$64-BQ$65)</f>
        <v>0</v>
      </c>
      <c r="BR67" s="19" t="n">
        <f aca="false">MAX(0,BR$64-BR$65)</f>
        <v>0</v>
      </c>
      <c r="BS67" s="19" t="n">
        <f aca="false">MAX(0,BS$64-BS$65)</f>
        <v>0</v>
      </c>
      <c r="BT67" s="19" t="n">
        <f aca="false">MAX(0,BT$64-BT$65)</f>
        <v>0</v>
      </c>
      <c r="BU67" s="19" t="n">
        <f aca="false">MAX(0,BU$64-BU$65)</f>
        <v>0</v>
      </c>
      <c r="BV67" s="19" t="n">
        <f aca="false">MAX(0,BV$64-BV$65)</f>
        <v>0</v>
      </c>
      <c r="BW67" s="19" t="n">
        <f aca="false">MAX(0,BW$64-BW$65)</f>
        <v>0</v>
      </c>
      <c r="BX67" s="19" t="n">
        <f aca="false">MAX(0,BX$64-BX$65)</f>
        <v>0</v>
      </c>
      <c r="BY67" s="19" t="n">
        <f aca="false">MAX(0,BY$64-BY$65)</f>
        <v>0</v>
      </c>
      <c r="BZ67" s="19" t="n">
        <f aca="false">MAX(0,BZ$64-BZ$65)</f>
        <v>0</v>
      </c>
      <c r="CA67" s="19" t="n">
        <f aca="false">MAX(0,CA$64-CA$65)</f>
        <v>0</v>
      </c>
      <c r="CB67" s="19" t="n">
        <f aca="false">MAX(0,CB$64-CB$65)</f>
        <v>0</v>
      </c>
      <c r="CC67" s="19" t="n">
        <f aca="false">MAX(0,CC$64-CC$65)</f>
        <v>0</v>
      </c>
      <c r="CD67" s="19" t="n">
        <f aca="false">MAX(0,CD$64-CD$65)</f>
        <v>0</v>
      </c>
      <c r="CE67" s="19" t="n">
        <f aca="false">MAX(0,CE$64-CE$65)</f>
        <v>0</v>
      </c>
      <c r="CF67" s="19" t="n">
        <f aca="false">MAX(0,CF$64-CF$65)</f>
        <v>0</v>
      </c>
      <c r="CG67" s="19" t="n">
        <f aca="false">MAX(0,CG$64-CG$65)</f>
        <v>0</v>
      </c>
      <c r="CH67" s="19" t="n">
        <f aca="false">MAX(0,CH$64-CH$65)</f>
        <v>0</v>
      </c>
      <c r="CI67" s="19" t="n">
        <f aca="false">MAX(0,CI$64-CI$65)</f>
        <v>0</v>
      </c>
      <c r="CJ67" s="19" t="n">
        <f aca="false">MAX(0,CJ$64-CJ$65)</f>
        <v>0</v>
      </c>
      <c r="CK67" s="19" t="n">
        <f aca="false">MAX(0,CK$64-CK$65)</f>
        <v>0</v>
      </c>
      <c r="CL67" s="19" t="n">
        <f aca="false">MAX(0,CL$64-CL$65)</f>
        <v>0</v>
      </c>
      <c r="CM67" s="19" t="n">
        <f aca="false">MAX(0,CM$64-CM$65)</f>
        <v>0</v>
      </c>
      <c r="CN67" s="19" t="n">
        <f aca="false">MAX(0,CN$64-CN$65)</f>
        <v>0</v>
      </c>
      <c r="CO67" s="19" t="n">
        <f aca="false">MAX(0,CO$64-CO$65)</f>
        <v>0</v>
      </c>
      <c r="CP67" s="19" t="n">
        <f aca="false">MAX(0,CP$64-CP$65)</f>
        <v>0</v>
      </c>
      <c r="CQ67" s="19" t="n">
        <f aca="false">MAX(0,CQ$64-CQ$65)</f>
        <v>0</v>
      </c>
      <c r="CR67" s="19" t="n">
        <f aca="false">MAX(0,CR$64-CR$65)</f>
        <v>0</v>
      </c>
      <c r="CS67" s="19" t="n">
        <f aca="false">MAX(0,CS$64-CS$65)</f>
        <v>0</v>
      </c>
      <c r="CT67" s="19" t="n">
        <f aca="false">MAX(0,CT$64-CT$65)</f>
        <v>0</v>
      </c>
      <c r="CU67" s="19" t="n">
        <f aca="false">MAX(0,CU$64-CU$65)</f>
        <v>0</v>
      </c>
      <c r="CV67" s="19" t="n">
        <f aca="false">MAX(0,CV$64-CV$65)</f>
        <v>0</v>
      </c>
      <c r="CW67" s="19" t="n">
        <f aca="false">MAX(0,CW$64-CW$65)</f>
        <v>0</v>
      </c>
      <c r="CX67" s="19" t="n">
        <f aca="false">MAX(0,CX$64-CX$65)</f>
        <v>0</v>
      </c>
      <c r="CY67" s="19" t="n">
        <f aca="false">MAX(0,CY$64-CY$65)</f>
        <v>0</v>
      </c>
      <c r="CZ67" s="19" t="n">
        <f aca="false">MAX(0,CZ$64-CZ$65)</f>
        <v>0</v>
      </c>
      <c r="DA67" s="19" t="n">
        <f aca="false">MAX(0,DA$64-DA$65)</f>
        <v>0</v>
      </c>
      <c r="DB67" s="19" t="n">
        <f aca="false">MAX(0,DB$64-DB$65)</f>
        <v>0</v>
      </c>
      <c r="DC67" s="19" t="n">
        <f aca="false">MAX(0,DC$64-DC$65)</f>
        <v>0</v>
      </c>
      <c r="DD67" s="19" t="n">
        <f aca="false">MAX(0,DD$64-DD$65)</f>
        <v>0</v>
      </c>
      <c r="DE67" s="19" t="n">
        <f aca="false">MAX(0,DE$64-DE$65)</f>
        <v>0</v>
      </c>
      <c r="DF67" s="19" t="n">
        <f aca="false">MAX(0,DF$64-DF$65)</f>
        <v>0</v>
      </c>
      <c r="DG67" s="19" t="n">
        <f aca="false">MAX(0,DG$64-DG$65)</f>
        <v>0</v>
      </c>
      <c r="DH67" s="19" t="n">
        <f aca="false">MAX(0,DH$64-DH$65)</f>
        <v>0</v>
      </c>
      <c r="DI67" s="19" t="n">
        <f aca="false">MAX(0,DI$64-DI$65)</f>
        <v>0</v>
      </c>
      <c r="DJ67" s="19" t="n">
        <f aca="false">MAX(0,DJ$64-DJ$65)</f>
        <v>0</v>
      </c>
      <c r="DK67" s="19" t="n">
        <f aca="false">MAX(0,DK$64-DK$65)</f>
        <v>0</v>
      </c>
      <c r="DL67" s="19" t="n">
        <f aca="false">MAX(0,DL$64-DL$65)</f>
        <v>0</v>
      </c>
      <c r="DM67" s="19" t="n">
        <f aca="false">MAX(0,DM$64-DM$65)</f>
        <v>0</v>
      </c>
      <c r="DN67" s="19" t="n">
        <f aca="false">MAX(0,DN$64-DN$65)</f>
        <v>0</v>
      </c>
      <c r="DO67" s="19" t="n">
        <f aca="false">MAX(0,DO$64-DO$65)</f>
        <v>0</v>
      </c>
      <c r="DP67" s="19" t="n">
        <f aca="false">MAX(0,DP$64-DP$65)</f>
        <v>0</v>
      </c>
      <c r="DQ67" s="19" t="n">
        <f aca="false">MAX(0,DQ$64-DQ$65)</f>
        <v>0</v>
      </c>
      <c r="DR67" s="19" t="n">
        <f aca="false">MAX(0,DR$64-DR$65)</f>
        <v>0</v>
      </c>
      <c r="DS67" s="19" t="n">
        <f aca="false">MAX(0,DS$64-DS$65)</f>
        <v>0</v>
      </c>
      <c r="DT67" s="19" t="n">
        <f aca="false">MAX(0,DT$64-DT$65)</f>
        <v>0</v>
      </c>
      <c r="DU67" s="19" t="n">
        <f aca="false">MAX(0,DU$64-DU$65)</f>
        <v>0</v>
      </c>
      <c r="DV67" s="19" t="n">
        <f aca="false">MAX(0,DV$64-DV$65)</f>
        <v>0</v>
      </c>
      <c r="DW67" s="19" t="n">
        <f aca="false">MAX(0,DW$64-DW$65)</f>
        <v>0</v>
      </c>
      <c r="DX67" s="19" t="n">
        <f aca="false">MAX(0,DX$64-DX$65)</f>
        <v>0</v>
      </c>
      <c r="DY67" s="19" t="n">
        <f aca="false">MAX(0,DY$64-DY$65)</f>
        <v>0</v>
      </c>
      <c r="DZ67" s="19" t="n">
        <f aca="false">MAX(0,DZ$64-DZ$65)</f>
        <v>0</v>
      </c>
      <c r="EA67" s="19" t="n">
        <f aca="false">MAX(0,EA$64-EA$65)</f>
        <v>0</v>
      </c>
      <c r="EB67" s="19" t="n">
        <f aca="false">MAX(0,EB$64-EB$65)</f>
        <v>0</v>
      </c>
      <c r="EC67" s="19" t="n">
        <f aca="false">MAX(0,EC$64-EC$65)</f>
        <v>0</v>
      </c>
      <c r="ED67" s="19" t="n">
        <f aca="false">MAX(0,ED$64-ED$65)</f>
        <v>0</v>
      </c>
      <c r="EE67" s="19" t="n">
        <f aca="false">MAX(0,EE$64-EE$65)</f>
        <v>0</v>
      </c>
      <c r="EF67" s="19" t="n">
        <f aca="false">MAX(0,EF$64-EF$65)</f>
        <v>0</v>
      </c>
      <c r="EG67" s="19" t="n">
        <f aca="false">MAX(0,EG$64-EG$65)</f>
        <v>0</v>
      </c>
      <c r="EH67" s="19" t="n">
        <f aca="false">MAX(0,EH$64-EH$65)</f>
        <v>0</v>
      </c>
      <c r="EI67" s="19" t="n">
        <f aca="false">MAX(0,EI$64-EI$65)</f>
        <v>0</v>
      </c>
      <c r="EJ67" s="19" t="n">
        <f aca="false">MAX(0,EJ$64-EJ$65)</f>
        <v>0</v>
      </c>
      <c r="EK67" s="19" t="n">
        <f aca="false">MAX(0,EK$64-EK$65)</f>
        <v>0</v>
      </c>
      <c r="EL67" s="19" t="n">
        <f aca="false">MAX(0,EL$64-EL$65)</f>
        <v>0</v>
      </c>
      <c r="EM67" s="19" t="n">
        <f aca="false">MAX(0,EM$64-EM$65)</f>
        <v>0</v>
      </c>
      <c r="EN67" s="19" t="n">
        <f aca="false">MAX(0,EN$64-EN$65)</f>
        <v>0</v>
      </c>
      <c r="EO67" s="19" t="n">
        <f aca="false">MAX(0,EO$64-EO$65)</f>
        <v>0</v>
      </c>
      <c r="EP67" s="19" t="n">
        <f aca="false">MAX(0,EP$64-EP$65)</f>
        <v>0</v>
      </c>
      <c r="EQ67" s="19" t="n">
        <f aca="false">MAX(0,EQ$64-EQ$65)</f>
        <v>0</v>
      </c>
      <c r="ER67" s="19" t="n">
        <f aca="false">MAX(0,ER$64-ER$65)</f>
        <v>0</v>
      </c>
      <c r="ES67" s="19" t="n">
        <f aca="false">MAX(0,ES$64-ES$65)</f>
        <v>0</v>
      </c>
      <c r="ET67" s="19" t="n">
        <f aca="false">MAX(0,ET$64-ET$65)</f>
        <v>0</v>
      </c>
      <c r="EU67" s="19" t="n">
        <f aca="false">MAX(0,EU$64-EU$65)</f>
        <v>0</v>
      </c>
      <c r="EV67" s="19" t="n">
        <f aca="false">MAX(0,EV$64-EV$65)</f>
        <v>0</v>
      </c>
      <c r="EW67" s="19" t="n">
        <f aca="false">MAX(0,EW$64-EW$65)</f>
        <v>0</v>
      </c>
      <c r="EX67" s="19" t="n">
        <f aca="false">MAX(0,EX$64-EX$65)</f>
        <v>0</v>
      </c>
      <c r="EY67" s="19" t="n">
        <f aca="false">MAX(0,EY$64-EY$65)</f>
        <v>0</v>
      </c>
      <c r="EZ67" s="19" t="n">
        <f aca="false">MAX(0,EZ$64-EZ$65)</f>
        <v>0</v>
      </c>
      <c r="FA67" s="19" t="n">
        <f aca="false">MAX(0,FA$64-FA$65)</f>
        <v>0</v>
      </c>
      <c r="FB67" s="19" t="n">
        <f aca="false">MAX(0,FB$64-FB$65)</f>
        <v>0</v>
      </c>
      <c r="FC67" s="19" t="n">
        <f aca="false">MAX(0,FC$64-FC$65)</f>
        <v>0</v>
      </c>
      <c r="FD67" s="19" t="n">
        <f aca="false">MAX(0,FD$64-FD$65)</f>
        <v>0</v>
      </c>
      <c r="FE67" s="19" t="n">
        <f aca="false">MAX(0,FE$64-FE$65)</f>
        <v>0</v>
      </c>
      <c r="FF67" s="19" t="n">
        <f aca="false">MAX(0,FF$64-FF$65)</f>
        <v>0</v>
      </c>
    </row>
  </sheetData>
  <dataValidations count="1">
    <dataValidation allowBlank="true" errorStyle="stop" operator="between" showDropDown="false" showErrorMessage="false" showInputMessage="false" sqref="D6:D22" type="list">
      <formula1>"Inicial,Expansión,Mantenimiento/Reposición"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F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9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162" min="6" style="0" width="11.5"/>
  </cols>
  <sheetData>
    <row r="1" customFormat="false" ht="16.15" hidden="false" customHeight="false" outlineLevel="0" collapsed="false">
      <c r="A1" s="1" t="s">
        <v>1283</v>
      </c>
    </row>
    <row r="2" customFormat="false" ht="15" hidden="false" customHeight="false" outlineLevel="0" collapsed="false">
      <c r="A2" s="2" t="s">
        <v>767</v>
      </c>
    </row>
    <row r="4" customFormat="false" ht="15" hidden="false" customHeight="false" outlineLevel="0" collapsed="false">
      <c r="A4" s="62" t="s">
        <v>807</v>
      </c>
      <c r="B4" s="58" t="s">
        <v>808</v>
      </c>
      <c r="C4" s="63"/>
      <c r="D4" s="63"/>
      <c r="E4" s="58" t="s">
        <v>809</v>
      </c>
      <c r="F4" s="59" t="n">
        <f aca="false">Calendario!F$5</f>
        <v>0</v>
      </c>
      <c r="G4" s="59" t="n">
        <f aca="false">Calendario!G$5</f>
        <v>1</v>
      </c>
      <c r="H4" s="59" t="n">
        <f aca="false">Calendario!H$5</f>
        <v>2</v>
      </c>
      <c r="I4" s="59" t="n">
        <f aca="false">Calendario!I$5</f>
        <v>3</v>
      </c>
      <c r="J4" s="59" t="n">
        <f aca="false">Calendario!J$5</f>
        <v>4</v>
      </c>
      <c r="K4" s="59" t="n">
        <f aca="false">Calendario!K$5</f>
        <v>5</v>
      </c>
      <c r="L4" s="59" t="n">
        <f aca="false">Calendario!L$5</f>
        <v>6</v>
      </c>
      <c r="M4" s="59" t="n">
        <f aca="false">Calendario!M$5</f>
        <v>7</v>
      </c>
      <c r="N4" s="59" t="n">
        <f aca="false">Calendario!N$5</f>
        <v>8</v>
      </c>
      <c r="O4" s="59" t="n">
        <f aca="false">Calendario!O$5</f>
        <v>9</v>
      </c>
      <c r="P4" s="59" t="n">
        <f aca="false">Calendario!P$5</f>
        <v>10</v>
      </c>
      <c r="Q4" s="59" t="n">
        <f aca="false">Calendario!Q$5</f>
        <v>11</v>
      </c>
      <c r="R4" s="59" t="n">
        <f aca="false">Calendario!R$5</f>
        <v>12</v>
      </c>
      <c r="S4" s="59" t="n">
        <f aca="false">Calendario!S$5</f>
        <v>13</v>
      </c>
      <c r="T4" s="59" t="n">
        <f aca="false">Calendario!T$5</f>
        <v>14</v>
      </c>
      <c r="U4" s="59" t="n">
        <f aca="false">Calendario!U$5</f>
        <v>15</v>
      </c>
      <c r="V4" s="59" t="n">
        <f aca="false">Calendario!V$5</f>
        <v>16</v>
      </c>
      <c r="W4" s="59" t="n">
        <f aca="false">Calendario!W$5</f>
        <v>17</v>
      </c>
      <c r="X4" s="59" t="n">
        <f aca="false">Calendario!X$5</f>
        <v>18</v>
      </c>
      <c r="Y4" s="59" t="n">
        <f aca="false">Calendario!Y$5</f>
        <v>19</v>
      </c>
      <c r="Z4" s="59" t="n">
        <f aca="false">Calendario!Z$5</f>
        <v>20</v>
      </c>
      <c r="AA4" s="59" t="n">
        <f aca="false">Calendario!AA$5</f>
        <v>21</v>
      </c>
      <c r="AB4" s="59" t="n">
        <f aca="false">Calendario!AB$5</f>
        <v>22</v>
      </c>
      <c r="AC4" s="59" t="n">
        <f aca="false">Calendario!AC$5</f>
        <v>23</v>
      </c>
      <c r="AD4" s="59" t="n">
        <f aca="false">Calendario!AD$5</f>
        <v>24</v>
      </c>
      <c r="AE4" s="59" t="n">
        <f aca="false">Calendario!AE$5</f>
        <v>25</v>
      </c>
      <c r="AF4" s="59" t="n">
        <f aca="false">Calendario!AF$5</f>
        <v>26</v>
      </c>
      <c r="AG4" s="59" t="n">
        <f aca="false">Calendario!AG$5</f>
        <v>27</v>
      </c>
      <c r="AH4" s="59" t="n">
        <f aca="false">Calendario!AH$5</f>
        <v>28</v>
      </c>
      <c r="AI4" s="59" t="n">
        <f aca="false">Calendario!AI$5</f>
        <v>29</v>
      </c>
      <c r="AJ4" s="59" t="n">
        <f aca="false">Calendario!AJ$5</f>
        <v>30</v>
      </c>
      <c r="AK4" s="59" t="n">
        <f aca="false">Calendario!AK$5</f>
        <v>31</v>
      </c>
      <c r="AL4" s="59" t="n">
        <f aca="false">Calendario!AL$5</f>
        <v>32</v>
      </c>
      <c r="AM4" s="59" t="n">
        <f aca="false">Calendario!AM$5</f>
        <v>33</v>
      </c>
      <c r="AN4" s="59" t="n">
        <f aca="false">Calendario!AN$5</f>
        <v>34</v>
      </c>
      <c r="AO4" s="59" t="n">
        <f aca="false">Calendario!AO$5</f>
        <v>35</v>
      </c>
      <c r="AP4" s="59" t="n">
        <f aca="false">Calendario!AP$5</f>
        <v>36</v>
      </c>
      <c r="AQ4" s="59" t="n">
        <f aca="false">Calendario!AQ$5</f>
        <v>37</v>
      </c>
      <c r="AR4" s="59" t="n">
        <f aca="false">Calendario!AR$5</f>
        <v>38</v>
      </c>
      <c r="AS4" s="59" t="n">
        <f aca="false">Calendario!AS$5</f>
        <v>39</v>
      </c>
      <c r="AT4" s="59" t="n">
        <f aca="false">Calendario!AT$5</f>
        <v>40</v>
      </c>
      <c r="AU4" s="59" t="n">
        <f aca="false">Calendario!AU$5</f>
        <v>41</v>
      </c>
      <c r="AV4" s="59" t="n">
        <f aca="false">Calendario!AV$5</f>
        <v>42</v>
      </c>
      <c r="AW4" s="59" t="n">
        <f aca="false">Calendario!AW$5</f>
        <v>43</v>
      </c>
      <c r="AX4" s="59" t="n">
        <f aca="false">Calendario!AX$5</f>
        <v>44</v>
      </c>
      <c r="AY4" s="59" t="n">
        <f aca="false">Calendario!AY$5</f>
        <v>45</v>
      </c>
      <c r="AZ4" s="59" t="n">
        <f aca="false">Calendario!AZ$5</f>
        <v>46</v>
      </c>
      <c r="BA4" s="59" t="n">
        <f aca="false">Calendario!BA$5</f>
        <v>47</v>
      </c>
      <c r="BB4" s="59" t="n">
        <f aca="false">Calendario!BB$5</f>
        <v>48</v>
      </c>
      <c r="BC4" s="59" t="n">
        <f aca="false">Calendario!BC$5</f>
        <v>49</v>
      </c>
      <c r="BD4" s="59" t="n">
        <f aca="false">Calendario!BD$5</f>
        <v>50</v>
      </c>
      <c r="BE4" s="59" t="n">
        <f aca="false">Calendario!BE$5</f>
        <v>51</v>
      </c>
      <c r="BF4" s="59" t="n">
        <f aca="false">Calendario!BF$5</f>
        <v>52</v>
      </c>
      <c r="BG4" s="59" t="n">
        <f aca="false">Calendario!BG$5</f>
        <v>53</v>
      </c>
      <c r="BH4" s="59" t="n">
        <f aca="false">Calendario!BH$5</f>
        <v>54</v>
      </c>
      <c r="BI4" s="59" t="n">
        <f aca="false">Calendario!BI$5</f>
        <v>55</v>
      </c>
      <c r="BJ4" s="59" t="n">
        <f aca="false">Calendario!BJ$5</f>
        <v>56</v>
      </c>
      <c r="BK4" s="59" t="n">
        <f aca="false">Calendario!BK$5</f>
        <v>57</v>
      </c>
      <c r="BL4" s="59" t="n">
        <f aca="false">Calendario!BL$5</f>
        <v>58</v>
      </c>
      <c r="BM4" s="59" t="n">
        <f aca="false">Calendario!BM$5</f>
        <v>59</v>
      </c>
      <c r="BN4" s="59" t="n">
        <f aca="false">Calendario!BN$5</f>
        <v>60</v>
      </c>
      <c r="BO4" s="59" t="n">
        <f aca="false">Calendario!BO$5</f>
        <v>61</v>
      </c>
      <c r="BP4" s="59" t="n">
        <f aca="false">Calendario!BP$5</f>
        <v>62</v>
      </c>
      <c r="BQ4" s="59" t="n">
        <f aca="false">Calendario!BQ$5</f>
        <v>63</v>
      </c>
      <c r="BR4" s="59" t="n">
        <f aca="false">Calendario!BR$5</f>
        <v>64</v>
      </c>
      <c r="BS4" s="59" t="n">
        <f aca="false">Calendario!BS$5</f>
        <v>65</v>
      </c>
      <c r="BT4" s="59" t="n">
        <f aca="false">Calendario!BT$5</f>
        <v>66</v>
      </c>
      <c r="BU4" s="59" t="n">
        <f aca="false">Calendario!BU$5</f>
        <v>67</v>
      </c>
      <c r="BV4" s="59" t="n">
        <f aca="false">Calendario!BV$5</f>
        <v>68</v>
      </c>
      <c r="BW4" s="59" t="n">
        <f aca="false">Calendario!BW$5</f>
        <v>69</v>
      </c>
      <c r="BX4" s="59" t="n">
        <f aca="false">Calendario!BX$5</f>
        <v>70</v>
      </c>
      <c r="BY4" s="59" t="n">
        <f aca="false">Calendario!BY$5</f>
        <v>71</v>
      </c>
      <c r="BZ4" s="59" t="n">
        <f aca="false">Calendario!BZ$5</f>
        <v>72</v>
      </c>
      <c r="CA4" s="59" t="n">
        <f aca="false">Calendario!CA$5</f>
        <v>73</v>
      </c>
      <c r="CB4" s="59" t="n">
        <f aca="false">Calendario!CB$5</f>
        <v>74</v>
      </c>
      <c r="CC4" s="59" t="n">
        <f aca="false">Calendario!CC$5</f>
        <v>75</v>
      </c>
      <c r="CD4" s="59" t="n">
        <f aca="false">Calendario!CD$5</f>
        <v>76</v>
      </c>
      <c r="CE4" s="59" t="n">
        <f aca="false">Calendario!CE$5</f>
        <v>77</v>
      </c>
      <c r="CF4" s="59" t="n">
        <f aca="false">Calendario!CF$5</f>
        <v>78</v>
      </c>
      <c r="CG4" s="59" t="n">
        <f aca="false">Calendario!CG$5</f>
        <v>79</v>
      </c>
      <c r="CH4" s="59" t="n">
        <f aca="false">Calendario!CH$5</f>
        <v>80</v>
      </c>
      <c r="CI4" s="59" t="n">
        <f aca="false">Calendario!CI$5</f>
        <v>81</v>
      </c>
      <c r="CJ4" s="59" t="n">
        <f aca="false">Calendario!CJ$5</f>
        <v>82</v>
      </c>
      <c r="CK4" s="59" t="n">
        <f aca="false">Calendario!CK$5</f>
        <v>83</v>
      </c>
      <c r="CL4" s="59" t="n">
        <f aca="false">Calendario!CL$5</f>
        <v>84</v>
      </c>
      <c r="CM4" s="59" t="n">
        <f aca="false">Calendario!CM$5</f>
        <v>85</v>
      </c>
      <c r="CN4" s="59" t="n">
        <f aca="false">Calendario!CN$5</f>
        <v>86</v>
      </c>
      <c r="CO4" s="59" t="n">
        <f aca="false">Calendario!CO$5</f>
        <v>87</v>
      </c>
      <c r="CP4" s="59" t="n">
        <f aca="false">Calendario!CP$5</f>
        <v>88</v>
      </c>
      <c r="CQ4" s="59" t="n">
        <f aca="false">Calendario!CQ$5</f>
        <v>89</v>
      </c>
      <c r="CR4" s="59" t="n">
        <f aca="false">Calendario!CR$5</f>
        <v>90</v>
      </c>
      <c r="CS4" s="59" t="n">
        <f aca="false">Calendario!CS$5</f>
        <v>91</v>
      </c>
      <c r="CT4" s="59" t="n">
        <f aca="false">Calendario!CT$5</f>
        <v>92</v>
      </c>
      <c r="CU4" s="59" t="n">
        <f aca="false">Calendario!CU$5</f>
        <v>93</v>
      </c>
      <c r="CV4" s="59" t="n">
        <f aca="false">Calendario!CV$5</f>
        <v>94</v>
      </c>
      <c r="CW4" s="59" t="n">
        <f aca="false">Calendario!CW$5</f>
        <v>95</v>
      </c>
      <c r="CX4" s="59" t="n">
        <f aca="false">Calendario!CX$5</f>
        <v>96</v>
      </c>
      <c r="CY4" s="59" t="n">
        <f aca="false">Calendario!CY$5</f>
        <v>97</v>
      </c>
      <c r="CZ4" s="59" t="n">
        <f aca="false">Calendario!CZ$5</f>
        <v>98</v>
      </c>
      <c r="DA4" s="59" t="n">
        <f aca="false">Calendario!DA$5</f>
        <v>99</v>
      </c>
      <c r="DB4" s="59" t="n">
        <f aca="false">Calendario!DB$5</f>
        <v>100</v>
      </c>
      <c r="DC4" s="59" t="n">
        <f aca="false">Calendario!DC$5</f>
        <v>101</v>
      </c>
      <c r="DD4" s="59" t="n">
        <f aca="false">Calendario!DD$5</f>
        <v>102</v>
      </c>
      <c r="DE4" s="59" t="n">
        <f aca="false">Calendario!DE$5</f>
        <v>103</v>
      </c>
      <c r="DF4" s="59" t="n">
        <f aca="false">Calendario!DF$5</f>
        <v>104</v>
      </c>
      <c r="DG4" s="59" t="n">
        <f aca="false">Calendario!DG$5</f>
        <v>105</v>
      </c>
      <c r="DH4" s="59" t="n">
        <f aca="false">Calendario!DH$5</f>
        <v>106</v>
      </c>
      <c r="DI4" s="59" t="n">
        <f aca="false">Calendario!DI$5</f>
        <v>107</v>
      </c>
      <c r="DJ4" s="59" t="n">
        <f aca="false">Calendario!DJ$5</f>
        <v>108</v>
      </c>
      <c r="DK4" s="59" t="n">
        <f aca="false">Calendario!DK$5</f>
        <v>109</v>
      </c>
      <c r="DL4" s="59" t="n">
        <f aca="false">Calendario!DL$5</f>
        <v>110</v>
      </c>
      <c r="DM4" s="59" t="n">
        <f aca="false">Calendario!DM$5</f>
        <v>111</v>
      </c>
      <c r="DN4" s="59" t="n">
        <f aca="false">Calendario!DN$5</f>
        <v>112</v>
      </c>
      <c r="DO4" s="59" t="n">
        <f aca="false">Calendario!DO$5</f>
        <v>113</v>
      </c>
      <c r="DP4" s="59" t="n">
        <f aca="false">Calendario!DP$5</f>
        <v>114</v>
      </c>
      <c r="DQ4" s="59" t="n">
        <f aca="false">Calendario!DQ$5</f>
        <v>115</v>
      </c>
      <c r="DR4" s="59" t="n">
        <f aca="false">Calendario!DR$5</f>
        <v>116</v>
      </c>
      <c r="DS4" s="59" t="n">
        <f aca="false">Calendario!DS$5</f>
        <v>117</v>
      </c>
      <c r="DT4" s="59" t="n">
        <f aca="false">Calendario!DT$5</f>
        <v>118</v>
      </c>
      <c r="DU4" s="59" t="n">
        <f aca="false">Calendario!DU$5</f>
        <v>119</v>
      </c>
      <c r="DV4" s="59" t="n">
        <f aca="false">Calendario!DV$5</f>
        <v>120</v>
      </c>
      <c r="DW4" s="59" t="n">
        <f aca="false">Calendario!DW$5</f>
        <v>121</v>
      </c>
      <c r="DX4" s="59" t="n">
        <f aca="false">Calendario!DX$5</f>
        <v>122</v>
      </c>
      <c r="DY4" s="59" t="n">
        <f aca="false">Calendario!DY$5</f>
        <v>123</v>
      </c>
      <c r="DZ4" s="59" t="n">
        <f aca="false">Calendario!DZ$5</f>
        <v>124</v>
      </c>
      <c r="EA4" s="59" t="n">
        <f aca="false">Calendario!EA$5</f>
        <v>125</v>
      </c>
      <c r="EB4" s="59" t="n">
        <f aca="false">Calendario!EB$5</f>
        <v>126</v>
      </c>
      <c r="EC4" s="59" t="n">
        <f aca="false">Calendario!EC$5</f>
        <v>127</v>
      </c>
      <c r="ED4" s="59" t="n">
        <f aca="false">Calendario!ED$5</f>
        <v>128</v>
      </c>
      <c r="EE4" s="59" t="n">
        <f aca="false">Calendario!EE$5</f>
        <v>129</v>
      </c>
      <c r="EF4" s="59" t="n">
        <f aca="false">Calendario!EF$5</f>
        <v>130</v>
      </c>
      <c r="EG4" s="59" t="n">
        <f aca="false">Calendario!EG$5</f>
        <v>131</v>
      </c>
      <c r="EH4" s="59" t="n">
        <f aca="false">Calendario!EH$5</f>
        <v>132</v>
      </c>
      <c r="EI4" s="59" t="n">
        <f aca="false">Calendario!EI$5</f>
        <v>133</v>
      </c>
      <c r="EJ4" s="59" t="n">
        <f aca="false">Calendario!EJ$5</f>
        <v>134</v>
      </c>
      <c r="EK4" s="59" t="n">
        <f aca="false">Calendario!EK$5</f>
        <v>135</v>
      </c>
      <c r="EL4" s="59" t="n">
        <f aca="false">Calendario!EL$5</f>
        <v>136</v>
      </c>
      <c r="EM4" s="59" t="n">
        <f aca="false">Calendario!EM$5</f>
        <v>137</v>
      </c>
      <c r="EN4" s="59" t="n">
        <f aca="false">Calendario!EN$5</f>
        <v>138</v>
      </c>
      <c r="EO4" s="59" t="n">
        <f aca="false">Calendario!EO$5</f>
        <v>139</v>
      </c>
      <c r="EP4" s="59" t="n">
        <f aca="false">Calendario!EP$5</f>
        <v>140</v>
      </c>
      <c r="EQ4" s="59" t="n">
        <f aca="false">Calendario!EQ$5</f>
        <v>141</v>
      </c>
      <c r="ER4" s="59" t="n">
        <f aca="false">Calendario!ER$5</f>
        <v>142</v>
      </c>
      <c r="ES4" s="59" t="n">
        <f aca="false">Calendario!ES$5</f>
        <v>143</v>
      </c>
      <c r="ET4" s="59" t="n">
        <f aca="false">Calendario!ET$5</f>
        <v>144</v>
      </c>
      <c r="EU4" s="59" t="n">
        <f aca="false">Calendario!EU$5</f>
        <v>145</v>
      </c>
      <c r="EV4" s="59" t="n">
        <f aca="false">Calendario!EV$5</f>
        <v>146</v>
      </c>
      <c r="EW4" s="59" t="n">
        <f aca="false">Calendario!EW$5</f>
        <v>147</v>
      </c>
      <c r="EX4" s="59" t="n">
        <f aca="false">Calendario!EX$5</f>
        <v>148</v>
      </c>
      <c r="EY4" s="59" t="n">
        <f aca="false">Calendario!EY$5</f>
        <v>149</v>
      </c>
      <c r="EZ4" s="59" t="n">
        <f aca="false">Calendario!EZ$5</f>
        <v>150</v>
      </c>
      <c r="FA4" s="59" t="n">
        <f aca="false">Calendario!FA$5</f>
        <v>151</v>
      </c>
      <c r="FB4" s="59" t="n">
        <f aca="false">Calendario!FB$5</f>
        <v>152</v>
      </c>
      <c r="FC4" s="59" t="n">
        <f aca="false">Calendario!FC$5</f>
        <v>153</v>
      </c>
      <c r="FD4" s="59" t="n">
        <f aca="false">Calendario!FD$5</f>
        <v>154</v>
      </c>
      <c r="FE4" s="59" t="n">
        <f aca="false">Calendario!FE$5</f>
        <v>155</v>
      </c>
      <c r="FF4" s="59" t="n">
        <f aca="false">Calendario!FF$5</f>
        <v>156</v>
      </c>
    </row>
    <row r="5" customFormat="false" ht="15" hidden="false" customHeight="false" outlineLevel="0" collapsed="false">
      <c r="A5" s="8" t="s">
        <v>810</v>
      </c>
      <c r="B5" s="5" t="s">
        <v>811</v>
      </c>
      <c r="F5" s="64" t="str">
        <f aca="false">Calendario!F$6</f>
        <v>s/f</v>
      </c>
      <c r="G5" s="64" t="str">
        <f aca="false">Calendario!G$6</f>
        <v>s/f</v>
      </c>
      <c r="H5" s="64" t="str">
        <f aca="false">Calendario!H$6</f>
        <v>s/f</v>
      </c>
      <c r="I5" s="64" t="str">
        <f aca="false">Calendario!I$6</f>
        <v>s/f</v>
      </c>
      <c r="J5" s="64" t="str">
        <f aca="false">Calendario!J$6</f>
        <v>s/f</v>
      </c>
      <c r="K5" s="64" t="str">
        <f aca="false">Calendario!K$6</f>
        <v>s/f</v>
      </c>
      <c r="L5" s="64" t="str">
        <f aca="false">Calendario!L$6</f>
        <v>s/f</v>
      </c>
      <c r="M5" s="64" t="str">
        <f aca="false">Calendario!M$6</f>
        <v>s/f</v>
      </c>
      <c r="N5" s="64" t="str">
        <f aca="false">Calendario!N$6</f>
        <v>s/f</v>
      </c>
      <c r="O5" s="64" t="str">
        <f aca="false">Calendario!O$6</f>
        <v>s/f</v>
      </c>
      <c r="P5" s="64" t="str">
        <f aca="false">Calendario!P$6</f>
        <v>s/f</v>
      </c>
      <c r="Q5" s="64" t="str">
        <f aca="false">Calendario!Q$6</f>
        <v>s/f</v>
      </c>
      <c r="R5" s="64" t="str">
        <f aca="false">Calendario!R$6</f>
        <v>s/f</v>
      </c>
      <c r="S5" s="64" t="str">
        <f aca="false">Calendario!S$6</f>
        <v>s/f</v>
      </c>
      <c r="T5" s="64" t="str">
        <f aca="false">Calendario!T$6</f>
        <v>s/f</v>
      </c>
      <c r="U5" s="64" t="str">
        <f aca="false">Calendario!U$6</f>
        <v>s/f</v>
      </c>
      <c r="V5" s="64" t="str">
        <f aca="false">Calendario!V$6</f>
        <v>s/f</v>
      </c>
      <c r="W5" s="64" t="str">
        <f aca="false">Calendario!W$6</f>
        <v>s/f</v>
      </c>
      <c r="X5" s="64" t="str">
        <f aca="false">Calendario!X$6</f>
        <v>s/f</v>
      </c>
      <c r="Y5" s="64" t="str">
        <f aca="false">Calendario!Y$6</f>
        <v>s/f</v>
      </c>
      <c r="Z5" s="64" t="str">
        <f aca="false">Calendario!Z$6</f>
        <v>s/f</v>
      </c>
      <c r="AA5" s="64" t="str">
        <f aca="false">Calendario!AA$6</f>
        <v>s/f</v>
      </c>
      <c r="AB5" s="64" t="str">
        <f aca="false">Calendario!AB$6</f>
        <v>s/f</v>
      </c>
      <c r="AC5" s="64" t="str">
        <f aca="false">Calendario!AC$6</f>
        <v>s/f</v>
      </c>
      <c r="AD5" s="64" t="str">
        <f aca="false">Calendario!AD$6</f>
        <v>s/f</v>
      </c>
      <c r="AE5" s="64" t="str">
        <f aca="false">Calendario!AE$6</f>
        <v>s/f</v>
      </c>
      <c r="AF5" s="64" t="str">
        <f aca="false">Calendario!AF$6</f>
        <v>s/f</v>
      </c>
      <c r="AG5" s="64" t="str">
        <f aca="false">Calendario!AG$6</f>
        <v>s/f</v>
      </c>
      <c r="AH5" s="64" t="str">
        <f aca="false">Calendario!AH$6</f>
        <v>s/f</v>
      </c>
      <c r="AI5" s="64" t="str">
        <f aca="false">Calendario!AI$6</f>
        <v>s/f</v>
      </c>
      <c r="AJ5" s="64" t="str">
        <f aca="false">Calendario!AJ$6</f>
        <v>s/f</v>
      </c>
      <c r="AK5" s="64" t="str">
        <f aca="false">Calendario!AK$6</f>
        <v>s/f</v>
      </c>
      <c r="AL5" s="64" t="str">
        <f aca="false">Calendario!AL$6</f>
        <v>s/f</v>
      </c>
      <c r="AM5" s="64" t="str">
        <f aca="false">Calendario!AM$6</f>
        <v>s/f</v>
      </c>
      <c r="AN5" s="64" t="str">
        <f aca="false">Calendario!AN$6</f>
        <v>s/f</v>
      </c>
      <c r="AO5" s="64" t="str">
        <f aca="false">Calendario!AO$6</f>
        <v>s/f</v>
      </c>
      <c r="AP5" s="64" t="str">
        <f aca="false">Calendario!AP$6</f>
        <v>s/f</v>
      </c>
      <c r="AQ5" s="64" t="str">
        <f aca="false">Calendario!AQ$6</f>
        <v>s/f</v>
      </c>
      <c r="AR5" s="64" t="str">
        <f aca="false">Calendario!AR$6</f>
        <v>s/f</v>
      </c>
      <c r="AS5" s="64" t="str">
        <f aca="false">Calendario!AS$6</f>
        <v>s/f</v>
      </c>
      <c r="AT5" s="64" t="str">
        <f aca="false">Calendario!AT$6</f>
        <v>s/f</v>
      </c>
      <c r="AU5" s="64" t="str">
        <f aca="false">Calendario!AU$6</f>
        <v>s/f</v>
      </c>
      <c r="AV5" s="64" t="str">
        <f aca="false">Calendario!AV$6</f>
        <v>s/f</v>
      </c>
      <c r="AW5" s="64" t="str">
        <f aca="false">Calendario!AW$6</f>
        <v>s/f</v>
      </c>
      <c r="AX5" s="64" t="str">
        <f aca="false">Calendario!AX$6</f>
        <v>s/f</v>
      </c>
      <c r="AY5" s="64" t="str">
        <f aca="false">Calendario!AY$6</f>
        <v>s/f</v>
      </c>
      <c r="AZ5" s="64" t="str">
        <f aca="false">Calendario!AZ$6</f>
        <v>s/f</v>
      </c>
      <c r="BA5" s="64" t="str">
        <f aca="false">Calendario!BA$6</f>
        <v>s/f</v>
      </c>
      <c r="BB5" s="64" t="str">
        <f aca="false">Calendario!BB$6</f>
        <v>s/f</v>
      </c>
      <c r="BC5" s="64" t="str">
        <f aca="false">Calendario!BC$6</f>
        <v>s/f</v>
      </c>
      <c r="BD5" s="64" t="str">
        <f aca="false">Calendario!BD$6</f>
        <v>s/f</v>
      </c>
      <c r="BE5" s="64" t="str">
        <f aca="false">Calendario!BE$6</f>
        <v>s/f</v>
      </c>
      <c r="BF5" s="64" t="str">
        <f aca="false">Calendario!BF$6</f>
        <v>s/f</v>
      </c>
      <c r="BG5" s="64" t="str">
        <f aca="false">Calendario!BG$6</f>
        <v>s/f</v>
      </c>
      <c r="BH5" s="64" t="str">
        <f aca="false">Calendario!BH$6</f>
        <v>s/f</v>
      </c>
      <c r="BI5" s="64" t="str">
        <f aca="false">Calendario!BI$6</f>
        <v>s/f</v>
      </c>
      <c r="BJ5" s="64" t="str">
        <f aca="false">Calendario!BJ$6</f>
        <v>s/f</v>
      </c>
      <c r="BK5" s="64" t="str">
        <f aca="false">Calendario!BK$6</f>
        <v>s/f</v>
      </c>
      <c r="BL5" s="64" t="str">
        <f aca="false">Calendario!BL$6</f>
        <v>s/f</v>
      </c>
      <c r="BM5" s="64" t="str">
        <f aca="false">Calendario!BM$6</f>
        <v>s/f</v>
      </c>
      <c r="BN5" s="64" t="str">
        <f aca="false">Calendario!BN$6</f>
        <v>s/f</v>
      </c>
      <c r="BO5" s="64" t="str">
        <f aca="false">Calendario!BO$6</f>
        <v>s/f</v>
      </c>
      <c r="BP5" s="64" t="str">
        <f aca="false">Calendario!BP$6</f>
        <v>s/f</v>
      </c>
      <c r="BQ5" s="64" t="str">
        <f aca="false">Calendario!BQ$6</f>
        <v>s/f</v>
      </c>
      <c r="BR5" s="64" t="str">
        <f aca="false">Calendario!BR$6</f>
        <v>s/f</v>
      </c>
      <c r="BS5" s="64" t="str">
        <f aca="false">Calendario!BS$6</f>
        <v>s/f</v>
      </c>
      <c r="BT5" s="64" t="str">
        <f aca="false">Calendario!BT$6</f>
        <v>s/f</v>
      </c>
      <c r="BU5" s="64" t="str">
        <f aca="false">Calendario!BU$6</f>
        <v>s/f</v>
      </c>
      <c r="BV5" s="64" t="str">
        <f aca="false">Calendario!BV$6</f>
        <v>s/f</v>
      </c>
      <c r="BW5" s="64" t="str">
        <f aca="false">Calendario!BW$6</f>
        <v>s/f</v>
      </c>
      <c r="BX5" s="64" t="str">
        <f aca="false">Calendario!BX$6</f>
        <v>s/f</v>
      </c>
      <c r="BY5" s="64" t="str">
        <f aca="false">Calendario!BY$6</f>
        <v>s/f</v>
      </c>
      <c r="BZ5" s="64" t="str">
        <f aca="false">Calendario!BZ$6</f>
        <v>s/f</v>
      </c>
      <c r="CA5" s="64" t="str">
        <f aca="false">Calendario!CA$6</f>
        <v>s/f</v>
      </c>
      <c r="CB5" s="64" t="str">
        <f aca="false">Calendario!CB$6</f>
        <v>s/f</v>
      </c>
      <c r="CC5" s="64" t="str">
        <f aca="false">Calendario!CC$6</f>
        <v>s/f</v>
      </c>
      <c r="CD5" s="64" t="str">
        <f aca="false">Calendario!CD$6</f>
        <v>s/f</v>
      </c>
      <c r="CE5" s="64" t="str">
        <f aca="false">Calendario!CE$6</f>
        <v>s/f</v>
      </c>
      <c r="CF5" s="64" t="str">
        <f aca="false">Calendario!CF$6</f>
        <v>s/f</v>
      </c>
      <c r="CG5" s="64" t="str">
        <f aca="false">Calendario!CG$6</f>
        <v>s/f</v>
      </c>
      <c r="CH5" s="64" t="str">
        <f aca="false">Calendario!CH$6</f>
        <v>s/f</v>
      </c>
      <c r="CI5" s="64" t="str">
        <f aca="false">Calendario!CI$6</f>
        <v>s/f</v>
      </c>
      <c r="CJ5" s="64" t="str">
        <f aca="false">Calendario!CJ$6</f>
        <v>s/f</v>
      </c>
      <c r="CK5" s="64" t="str">
        <f aca="false">Calendario!CK$6</f>
        <v>s/f</v>
      </c>
      <c r="CL5" s="64" t="str">
        <f aca="false">Calendario!CL$6</f>
        <v>s/f</v>
      </c>
      <c r="CM5" s="64" t="str">
        <f aca="false">Calendario!CM$6</f>
        <v>s/f</v>
      </c>
      <c r="CN5" s="64" t="str">
        <f aca="false">Calendario!CN$6</f>
        <v>s/f</v>
      </c>
      <c r="CO5" s="64" t="str">
        <f aca="false">Calendario!CO$6</f>
        <v>s/f</v>
      </c>
      <c r="CP5" s="64" t="str">
        <f aca="false">Calendario!CP$6</f>
        <v>s/f</v>
      </c>
      <c r="CQ5" s="64" t="str">
        <f aca="false">Calendario!CQ$6</f>
        <v>s/f</v>
      </c>
      <c r="CR5" s="64" t="str">
        <f aca="false">Calendario!CR$6</f>
        <v>s/f</v>
      </c>
      <c r="CS5" s="64" t="str">
        <f aca="false">Calendario!CS$6</f>
        <v>s/f</v>
      </c>
      <c r="CT5" s="64" t="str">
        <f aca="false">Calendario!CT$6</f>
        <v>s/f</v>
      </c>
      <c r="CU5" s="64" t="str">
        <f aca="false">Calendario!CU$6</f>
        <v>s/f</v>
      </c>
      <c r="CV5" s="64" t="str">
        <f aca="false">Calendario!CV$6</f>
        <v>s/f</v>
      </c>
      <c r="CW5" s="64" t="str">
        <f aca="false">Calendario!CW$6</f>
        <v>s/f</v>
      </c>
      <c r="CX5" s="64" t="str">
        <f aca="false">Calendario!CX$6</f>
        <v>s/f</v>
      </c>
      <c r="CY5" s="64" t="str">
        <f aca="false">Calendario!CY$6</f>
        <v>s/f</v>
      </c>
      <c r="CZ5" s="64" t="str">
        <f aca="false">Calendario!CZ$6</f>
        <v>s/f</v>
      </c>
      <c r="DA5" s="64" t="str">
        <f aca="false">Calendario!DA$6</f>
        <v>s/f</v>
      </c>
      <c r="DB5" s="64" t="str">
        <f aca="false">Calendario!DB$6</f>
        <v>s/f</v>
      </c>
      <c r="DC5" s="64" t="str">
        <f aca="false">Calendario!DC$6</f>
        <v>s/f</v>
      </c>
      <c r="DD5" s="64" t="str">
        <f aca="false">Calendario!DD$6</f>
        <v>s/f</v>
      </c>
      <c r="DE5" s="64" t="str">
        <f aca="false">Calendario!DE$6</f>
        <v>s/f</v>
      </c>
      <c r="DF5" s="64" t="str">
        <f aca="false">Calendario!DF$6</f>
        <v>s/f</v>
      </c>
      <c r="DG5" s="64" t="str">
        <f aca="false">Calendario!DG$6</f>
        <v>s/f</v>
      </c>
      <c r="DH5" s="64" t="str">
        <f aca="false">Calendario!DH$6</f>
        <v>s/f</v>
      </c>
      <c r="DI5" s="64" t="str">
        <f aca="false">Calendario!DI$6</f>
        <v>s/f</v>
      </c>
      <c r="DJ5" s="64" t="str">
        <f aca="false">Calendario!DJ$6</f>
        <v>s/f</v>
      </c>
      <c r="DK5" s="64" t="str">
        <f aca="false">Calendario!DK$6</f>
        <v>s/f</v>
      </c>
      <c r="DL5" s="64" t="str">
        <f aca="false">Calendario!DL$6</f>
        <v>s/f</v>
      </c>
      <c r="DM5" s="64" t="str">
        <f aca="false">Calendario!DM$6</f>
        <v>s/f</v>
      </c>
      <c r="DN5" s="64" t="str">
        <f aca="false">Calendario!DN$6</f>
        <v>s/f</v>
      </c>
      <c r="DO5" s="64" t="str">
        <f aca="false">Calendario!DO$6</f>
        <v>s/f</v>
      </c>
      <c r="DP5" s="64" t="str">
        <f aca="false">Calendario!DP$6</f>
        <v>s/f</v>
      </c>
      <c r="DQ5" s="64" t="str">
        <f aca="false">Calendario!DQ$6</f>
        <v>s/f</v>
      </c>
      <c r="DR5" s="64" t="str">
        <f aca="false">Calendario!DR$6</f>
        <v>s/f</v>
      </c>
      <c r="DS5" s="64" t="str">
        <f aca="false">Calendario!DS$6</f>
        <v>s/f</v>
      </c>
      <c r="DT5" s="64" t="str">
        <f aca="false">Calendario!DT$6</f>
        <v>s/f</v>
      </c>
      <c r="DU5" s="64" t="str">
        <f aca="false">Calendario!DU$6</f>
        <v>s/f</v>
      </c>
      <c r="DV5" s="64" t="str">
        <f aca="false">Calendario!DV$6</f>
        <v>s/f</v>
      </c>
      <c r="DW5" s="64" t="str">
        <f aca="false">Calendario!DW$6</f>
        <v>s/f</v>
      </c>
      <c r="DX5" s="64" t="str">
        <f aca="false">Calendario!DX$6</f>
        <v>s/f</v>
      </c>
      <c r="DY5" s="64" t="str">
        <f aca="false">Calendario!DY$6</f>
        <v>s/f</v>
      </c>
      <c r="DZ5" s="64" t="str">
        <f aca="false">Calendario!DZ$6</f>
        <v>s/f</v>
      </c>
      <c r="EA5" s="64" t="str">
        <f aca="false">Calendario!EA$6</f>
        <v>s/f</v>
      </c>
      <c r="EB5" s="64" t="str">
        <f aca="false">Calendario!EB$6</f>
        <v>s/f</v>
      </c>
      <c r="EC5" s="64" t="str">
        <f aca="false">Calendario!EC$6</f>
        <v>s/f</v>
      </c>
      <c r="ED5" s="64" t="str">
        <f aca="false">Calendario!ED$6</f>
        <v>s/f</v>
      </c>
      <c r="EE5" s="64" t="str">
        <f aca="false">Calendario!EE$6</f>
        <v>s/f</v>
      </c>
      <c r="EF5" s="64" t="str">
        <f aca="false">Calendario!EF$6</f>
        <v>s/f</v>
      </c>
      <c r="EG5" s="64" t="str">
        <f aca="false">Calendario!EG$6</f>
        <v>s/f</v>
      </c>
      <c r="EH5" s="64" t="str">
        <f aca="false">Calendario!EH$6</f>
        <v>s/f</v>
      </c>
      <c r="EI5" s="64" t="str">
        <f aca="false">Calendario!EI$6</f>
        <v>s/f</v>
      </c>
      <c r="EJ5" s="64" t="str">
        <f aca="false">Calendario!EJ$6</f>
        <v>s/f</v>
      </c>
      <c r="EK5" s="64" t="str">
        <f aca="false">Calendario!EK$6</f>
        <v>s/f</v>
      </c>
      <c r="EL5" s="64" t="str">
        <f aca="false">Calendario!EL$6</f>
        <v>s/f</v>
      </c>
      <c r="EM5" s="64" t="str">
        <f aca="false">Calendario!EM$6</f>
        <v>s/f</v>
      </c>
      <c r="EN5" s="64" t="str">
        <f aca="false">Calendario!EN$6</f>
        <v>s/f</v>
      </c>
      <c r="EO5" s="64" t="str">
        <f aca="false">Calendario!EO$6</f>
        <v>s/f</v>
      </c>
      <c r="EP5" s="64" t="str">
        <f aca="false">Calendario!EP$6</f>
        <v>s/f</v>
      </c>
      <c r="EQ5" s="64" t="str">
        <f aca="false">Calendario!EQ$6</f>
        <v>s/f</v>
      </c>
      <c r="ER5" s="64" t="str">
        <f aca="false">Calendario!ER$6</f>
        <v>s/f</v>
      </c>
      <c r="ES5" s="64" t="str">
        <f aca="false">Calendario!ES$6</f>
        <v>s/f</v>
      </c>
      <c r="ET5" s="64" t="str">
        <f aca="false">Calendario!ET$6</f>
        <v>s/f</v>
      </c>
      <c r="EU5" s="64" t="str">
        <f aca="false">Calendario!EU$6</f>
        <v>s/f</v>
      </c>
      <c r="EV5" s="64" t="str">
        <f aca="false">Calendario!EV$6</f>
        <v>s/f</v>
      </c>
      <c r="EW5" s="64" t="str">
        <f aca="false">Calendario!EW$6</f>
        <v>s/f</v>
      </c>
      <c r="EX5" s="64" t="str">
        <f aca="false">Calendario!EX$6</f>
        <v>s/f</v>
      </c>
      <c r="EY5" s="64" t="str">
        <f aca="false">Calendario!EY$6</f>
        <v>s/f</v>
      </c>
      <c r="EZ5" s="64" t="str">
        <f aca="false">Calendario!EZ$6</f>
        <v>s/f</v>
      </c>
      <c r="FA5" s="64" t="str">
        <f aca="false">Calendario!FA$6</f>
        <v>s/f</v>
      </c>
      <c r="FB5" s="64" t="str">
        <f aca="false">Calendario!FB$6</f>
        <v>s/f</v>
      </c>
      <c r="FC5" s="64" t="str">
        <f aca="false">Calendario!FC$6</f>
        <v>s/f</v>
      </c>
      <c r="FD5" s="64" t="str">
        <f aca="false">Calendario!FD$6</f>
        <v>s/f</v>
      </c>
      <c r="FE5" s="64" t="str">
        <f aca="false">Calendario!FE$6</f>
        <v>s/f</v>
      </c>
      <c r="FF5" s="64" t="str">
        <f aca="false">Calendario!FF$6</f>
        <v>s/f</v>
      </c>
    </row>
    <row r="6" customFormat="false" ht="15" hidden="false" customHeight="false" outlineLevel="0" collapsed="false">
      <c r="A6" s="8" t="s">
        <v>812</v>
      </c>
      <c r="B6" s="5" t="s">
        <v>813</v>
      </c>
      <c r="F6" s="43" t="n">
        <f aca="false">Calendario!F$7</f>
        <v>0</v>
      </c>
      <c r="G6" s="43" t="n">
        <f aca="false">Calendario!G$7</f>
        <v>1</v>
      </c>
      <c r="H6" s="43" t="n">
        <f aca="false">Calendario!H$7</f>
        <v>1</v>
      </c>
      <c r="I6" s="43" t="n">
        <f aca="false">Calendario!I$7</f>
        <v>1</v>
      </c>
      <c r="J6" s="43" t="n">
        <f aca="false">Calendario!J$7</f>
        <v>1</v>
      </c>
      <c r="K6" s="43" t="n">
        <f aca="false">Calendario!K$7</f>
        <v>1</v>
      </c>
      <c r="L6" s="43" t="n">
        <f aca="false">Calendario!L$7</f>
        <v>1</v>
      </c>
      <c r="M6" s="43" t="n">
        <f aca="false">Calendario!M$7</f>
        <v>1</v>
      </c>
      <c r="N6" s="43" t="n">
        <f aca="false">Calendario!N$7</f>
        <v>1</v>
      </c>
      <c r="O6" s="43" t="n">
        <f aca="false">Calendario!O$7</f>
        <v>1</v>
      </c>
      <c r="P6" s="43" t="n">
        <f aca="false">Calendario!P$7</f>
        <v>1</v>
      </c>
      <c r="Q6" s="43" t="n">
        <f aca="false">Calendario!Q$7</f>
        <v>1</v>
      </c>
      <c r="R6" s="43" t="n">
        <f aca="false">Calendario!R$7</f>
        <v>1</v>
      </c>
      <c r="S6" s="43" t="n">
        <f aca="false">Calendario!S$7</f>
        <v>2</v>
      </c>
      <c r="T6" s="43" t="n">
        <f aca="false">Calendario!T$7</f>
        <v>2</v>
      </c>
      <c r="U6" s="43" t="n">
        <f aca="false">Calendario!U$7</f>
        <v>2</v>
      </c>
      <c r="V6" s="43" t="n">
        <f aca="false">Calendario!V$7</f>
        <v>2</v>
      </c>
      <c r="W6" s="43" t="n">
        <f aca="false">Calendario!W$7</f>
        <v>2</v>
      </c>
      <c r="X6" s="43" t="n">
        <f aca="false">Calendario!X$7</f>
        <v>2</v>
      </c>
      <c r="Y6" s="43" t="n">
        <f aca="false">Calendario!Y$7</f>
        <v>2</v>
      </c>
      <c r="Z6" s="43" t="n">
        <f aca="false">Calendario!Z$7</f>
        <v>2</v>
      </c>
      <c r="AA6" s="43" t="n">
        <f aca="false">Calendario!AA$7</f>
        <v>2</v>
      </c>
      <c r="AB6" s="43" t="n">
        <f aca="false">Calendario!AB$7</f>
        <v>2</v>
      </c>
      <c r="AC6" s="43" t="n">
        <f aca="false">Calendario!AC$7</f>
        <v>2</v>
      </c>
      <c r="AD6" s="43" t="n">
        <f aca="false">Calendario!AD$7</f>
        <v>2</v>
      </c>
      <c r="AE6" s="43" t="n">
        <f aca="false">Calendario!AE$7</f>
        <v>3</v>
      </c>
      <c r="AF6" s="43" t="n">
        <f aca="false">Calendario!AF$7</f>
        <v>3</v>
      </c>
      <c r="AG6" s="43" t="n">
        <f aca="false">Calendario!AG$7</f>
        <v>3</v>
      </c>
      <c r="AH6" s="43" t="n">
        <f aca="false">Calendario!AH$7</f>
        <v>3</v>
      </c>
      <c r="AI6" s="43" t="n">
        <f aca="false">Calendario!AI$7</f>
        <v>3</v>
      </c>
      <c r="AJ6" s="43" t="n">
        <f aca="false">Calendario!AJ$7</f>
        <v>3</v>
      </c>
      <c r="AK6" s="43" t="n">
        <f aca="false">Calendario!AK$7</f>
        <v>3</v>
      </c>
      <c r="AL6" s="43" t="n">
        <f aca="false">Calendario!AL$7</f>
        <v>3</v>
      </c>
      <c r="AM6" s="43" t="n">
        <f aca="false">Calendario!AM$7</f>
        <v>3</v>
      </c>
      <c r="AN6" s="43" t="n">
        <f aca="false">Calendario!AN$7</f>
        <v>3</v>
      </c>
      <c r="AO6" s="43" t="n">
        <f aca="false">Calendario!AO$7</f>
        <v>3</v>
      </c>
      <c r="AP6" s="43" t="n">
        <f aca="false">Calendario!AP$7</f>
        <v>3</v>
      </c>
      <c r="AQ6" s="43" t="n">
        <f aca="false">Calendario!AQ$7</f>
        <v>4</v>
      </c>
      <c r="AR6" s="43" t="n">
        <f aca="false">Calendario!AR$7</f>
        <v>4</v>
      </c>
      <c r="AS6" s="43" t="n">
        <f aca="false">Calendario!AS$7</f>
        <v>4</v>
      </c>
      <c r="AT6" s="43" t="n">
        <f aca="false">Calendario!AT$7</f>
        <v>4</v>
      </c>
      <c r="AU6" s="43" t="n">
        <f aca="false">Calendario!AU$7</f>
        <v>4</v>
      </c>
      <c r="AV6" s="43" t="n">
        <f aca="false">Calendario!AV$7</f>
        <v>4</v>
      </c>
      <c r="AW6" s="43" t="n">
        <f aca="false">Calendario!AW$7</f>
        <v>4</v>
      </c>
      <c r="AX6" s="43" t="n">
        <f aca="false">Calendario!AX$7</f>
        <v>4</v>
      </c>
      <c r="AY6" s="43" t="n">
        <f aca="false">Calendario!AY$7</f>
        <v>4</v>
      </c>
      <c r="AZ6" s="43" t="n">
        <f aca="false">Calendario!AZ$7</f>
        <v>4</v>
      </c>
      <c r="BA6" s="43" t="n">
        <f aca="false">Calendario!BA$7</f>
        <v>4</v>
      </c>
      <c r="BB6" s="43" t="n">
        <f aca="false">Calendario!BB$7</f>
        <v>4</v>
      </c>
      <c r="BC6" s="43" t="n">
        <f aca="false">Calendario!BC$7</f>
        <v>5</v>
      </c>
      <c r="BD6" s="43" t="n">
        <f aca="false">Calendario!BD$7</f>
        <v>5</v>
      </c>
      <c r="BE6" s="43" t="n">
        <f aca="false">Calendario!BE$7</f>
        <v>5</v>
      </c>
      <c r="BF6" s="43" t="n">
        <f aca="false">Calendario!BF$7</f>
        <v>5</v>
      </c>
      <c r="BG6" s="43" t="n">
        <f aca="false">Calendario!BG$7</f>
        <v>5</v>
      </c>
      <c r="BH6" s="43" t="n">
        <f aca="false">Calendario!BH$7</f>
        <v>5</v>
      </c>
      <c r="BI6" s="43" t="n">
        <f aca="false">Calendario!BI$7</f>
        <v>5</v>
      </c>
      <c r="BJ6" s="43" t="n">
        <f aca="false">Calendario!BJ$7</f>
        <v>5</v>
      </c>
      <c r="BK6" s="43" t="n">
        <f aca="false">Calendario!BK$7</f>
        <v>5</v>
      </c>
      <c r="BL6" s="43" t="n">
        <f aca="false">Calendario!BL$7</f>
        <v>5</v>
      </c>
      <c r="BM6" s="43" t="n">
        <f aca="false">Calendario!BM$7</f>
        <v>5</v>
      </c>
      <c r="BN6" s="43" t="n">
        <f aca="false">Calendario!BN$7</f>
        <v>5</v>
      </c>
      <c r="BO6" s="43" t="n">
        <f aca="false">Calendario!BO$7</f>
        <v>6</v>
      </c>
      <c r="BP6" s="43" t="n">
        <f aca="false">Calendario!BP$7</f>
        <v>6</v>
      </c>
      <c r="BQ6" s="43" t="n">
        <f aca="false">Calendario!BQ$7</f>
        <v>6</v>
      </c>
      <c r="BR6" s="43" t="n">
        <f aca="false">Calendario!BR$7</f>
        <v>6</v>
      </c>
      <c r="BS6" s="43" t="n">
        <f aca="false">Calendario!BS$7</f>
        <v>6</v>
      </c>
      <c r="BT6" s="43" t="n">
        <f aca="false">Calendario!BT$7</f>
        <v>6</v>
      </c>
      <c r="BU6" s="43" t="n">
        <f aca="false">Calendario!BU$7</f>
        <v>6</v>
      </c>
      <c r="BV6" s="43" t="n">
        <f aca="false">Calendario!BV$7</f>
        <v>6</v>
      </c>
      <c r="BW6" s="43" t="n">
        <f aca="false">Calendario!BW$7</f>
        <v>6</v>
      </c>
      <c r="BX6" s="43" t="n">
        <f aca="false">Calendario!BX$7</f>
        <v>6</v>
      </c>
      <c r="BY6" s="43" t="n">
        <f aca="false">Calendario!BY$7</f>
        <v>6</v>
      </c>
      <c r="BZ6" s="43" t="n">
        <f aca="false">Calendario!BZ$7</f>
        <v>6</v>
      </c>
      <c r="CA6" s="43" t="n">
        <f aca="false">Calendario!CA$7</f>
        <v>7</v>
      </c>
      <c r="CB6" s="43" t="n">
        <f aca="false">Calendario!CB$7</f>
        <v>7</v>
      </c>
      <c r="CC6" s="43" t="n">
        <f aca="false">Calendario!CC$7</f>
        <v>7</v>
      </c>
      <c r="CD6" s="43" t="n">
        <f aca="false">Calendario!CD$7</f>
        <v>7</v>
      </c>
      <c r="CE6" s="43" t="n">
        <f aca="false">Calendario!CE$7</f>
        <v>7</v>
      </c>
      <c r="CF6" s="43" t="n">
        <f aca="false">Calendario!CF$7</f>
        <v>7</v>
      </c>
      <c r="CG6" s="43" t="n">
        <f aca="false">Calendario!CG$7</f>
        <v>7</v>
      </c>
      <c r="CH6" s="43" t="n">
        <f aca="false">Calendario!CH$7</f>
        <v>7</v>
      </c>
      <c r="CI6" s="43" t="n">
        <f aca="false">Calendario!CI$7</f>
        <v>7</v>
      </c>
      <c r="CJ6" s="43" t="n">
        <f aca="false">Calendario!CJ$7</f>
        <v>7</v>
      </c>
      <c r="CK6" s="43" t="n">
        <f aca="false">Calendario!CK$7</f>
        <v>7</v>
      </c>
      <c r="CL6" s="43" t="n">
        <f aca="false">Calendario!CL$7</f>
        <v>7</v>
      </c>
      <c r="CM6" s="43" t="n">
        <f aca="false">Calendario!CM$7</f>
        <v>8</v>
      </c>
      <c r="CN6" s="43" t="n">
        <f aca="false">Calendario!CN$7</f>
        <v>8</v>
      </c>
      <c r="CO6" s="43" t="n">
        <f aca="false">Calendario!CO$7</f>
        <v>8</v>
      </c>
      <c r="CP6" s="43" t="n">
        <f aca="false">Calendario!CP$7</f>
        <v>8</v>
      </c>
      <c r="CQ6" s="43" t="n">
        <f aca="false">Calendario!CQ$7</f>
        <v>8</v>
      </c>
      <c r="CR6" s="43" t="n">
        <f aca="false">Calendario!CR$7</f>
        <v>8</v>
      </c>
      <c r="CS6" s="43" t="n">
        <f aca="false">Calendario!CS$7</f>
        <v>8</v>
      </c>
      <c r="CT6" s="43" t="n">
        <f aca="false">Calendario!CT$7</f>
        <v>8</v>
      </c>
      <c r="CU6" s="43" t="n">
        <f aca="false">Calendario!CU$7</f>
        <v>8</v>
      </c>
      <c r="CV6" s="43" t="n">
        <f aca="false">Calendario!CV$7</f>
        <v>8</v>
      </c>
      <c r="CW6" s="43" t="n">
        <f aca="false">Calendario!CW$7</f>
        <v>8</v>
      </c>
      <c r="CX6" s="43" t="n">
        <f aca="false">Calendario!CX$7</f>
        <v>8</v>
      </c>
      <c r="CY6" s="43" t="n">
        <f aca="false">Calendario!CY$7</f>
        <v>9</v>
      </c>
      <c r="CZ6" s="43" t="n">
        <f aca="false">Calendario!CZ$7</f>
        <v>9</v>
      </c>
      <c r="DA6" s="43" t="n">
        <f aca="false">Calendario!DA$7</f>
        <v>9</v>
      </c>
      <c r="DB6" s="43" t="n">
        <f aca="false">Calendario!DB$7</f>
        <v>9</v>
      </c>
      <c r="DC6" s="43" t="n">
        <f aca="false">Calendario!DC$7</f>
        <v>9</v>
      </c>
      <c r="DD6" s="43" t="n">
        <f aca="false">Calendario!DD$7</f>
        <v>9</v>
      </c>
      <c r="DE6" s="43" t="n">
        <f aca="false">Calendario!DE$7</f>
        <v>9</v>
      </c>
      <c r="DF6" s="43" t="n">
        <f aca="false">Calendario!DF$7</f>
        <v>9</v>
      </c>
      <c r="DG6" s="43" t="n">
        <f aca="false">Calendario!DG$7</f>
        <v>9</v>
      </c>
      <c r="DH6" s="43" t="n">
        <f aca="false">Calendario!DH$7</f>
        <v>9</v>
      </c>
      <c r="DI6" s="43" t="n">
        <f aca="false">Calendario!DI$7</f>
        <v>9</v>
      </c>
      <c r="DJ6" s="43" t="n">
        <f aca="false">Calendario!DJ$7</f>
        <v>9</v>
      </c>
      <c r="DK6" s="43" t="n">
        <f aca="false">Calendario!DK$7</f>
        <v>10</v>
      </c>
      <c r="DL6" s="43" t="n">
        <f aca="false">Calendario!DL$7</f>
        <v>10</v>
      </c>
      <c r="DM6" s="43" t="n">
        <f aca="false">Calendario!DM$7</f>
        <v>10</v>
      </c>
      <c r="DN6" s="43" t="n">
        <f aca="false">Calendario!DN$7</f>
        <v>10</v>
      </c>
      <c r="DO6" s="43" t="n">
        <f aca="false">Calendario!DO$7</f>
        <v>10</v>
      </c>
      <c r="DP6" s="43" t="n">
        <f aca="false">Calendario!DP$7</f>
        <v>10</v>
      </c>
      <c r="DQ6" s="43" t="n">
        <f aca="false">Calendario!DQ$7</f>
        <v>10</v>
      </c>
      <c r="DR6" s="43" t="n">
        <f aca="false">Calendario!DR$7</f>
        <v>10</v>
      </c>
      <c r="DS6" s="43" t="n">
        <f aca="false">Calendario!DS$7</f>
        <v>10</v>
      </c>
      <c r="DT6" s="43" t="n">
        <f aca="false">Calendario!DT$7</f>
        <v>10</v>
      </c>
      <c r="DU6" s="43" t="n">
        <f aca="false">Calendario!DU$7</f>
        <v>10</v>
      </c>
      <c r="DV6" s="43" t="n">
        <f aca="false">Calendario!DV$7</f>
        <v>10</v>
      </c>
      <c r="DW6" s="43" t="n">
        <f aca="false">Calendario!DW$7</f>
        <v>11</v>
      </c>
      <c r="DX6" s="43" t="n">
        <f aca="false">Calendario!DX$7</f>
        <v>11</v>
      </c>
      <c r="DY6" s="43" t="n">
        <f aca="false">Calendario!DY$7</f>
        <v>11</v>
      </c>
      <c r="DZ6" s="43" t="n">
        <f aca="false">Calendario!DZ$7</f>
        <v>11</v>
      </c>
      <c r="EA6" s="43" t="n">
        <f aca="false">Calendario!EA$7</f>
        <v>11</v>
      </c>
      <c r="EB6" s="43" t="n">
        <f aca="false">Calendario!EB$7</f>
        <v>11</v>
      </c>
      <c r="EC6" s="43" t="n">
        <f aca="false">Calendario!EC$7</f>
        <v>11</v>
      </c>
      <c r="ED6" s="43" t="n">
        <f aca="false">Calendario!ED$7</f>
        <v>11</v>
      </c>
      <c r="EE6" s="43" t="n">
        <f aca="false">Calendario!EE$7</f>
        <v>11</v>
      </c>
      <c r="EF6" s="43" t="n">
        <f aca="false">Calendario!EF$7</f>
        <v>11</v>
      </c>
      <c r="EG6" s="43" t="n">
        <f aca="false">Calendario!EG$7</f>
        <v>11</v>
      </c>
      <c r="EH6" s="43" t="n">
        <f aca="false">Calendario!EH$7</f>
        <v>11</v>
      </c>
      <c r="EI6" s="43" t="n">
        <f aca="false">Calendario!EI$7</f>
        <v>12</v>
      </c>
      <c r="EJ6" s="43" t="n">
        <f aca="false">Calendario!EJ$7</f>
        <v>12</v>
      </c>
      <c r="EK6" s="43" t="n">
        <f aca="false">Calendario!EK$7</f>
        <v>12</v>
      </c>
      <c r="EL6" s="43" t="n">
        <f aca="false">Calendario!EL$7</f>
        <v>12</v>
      </c>
      <c r="EM6" s="43" t="n">
        <f aca="false">Calendario!EM$7</f>
        <v>12</v>
      </c>
      <c r="EN6" s="43" t="n">
        <f aca="false">Calendario!EN$7</f>
        <v>12</v>
      </c>
      <c r="EO6" s="43" t="n">
        <f aca="false">Calendario!EO$7</f>
        <v>12</v>
      </c>
      <c r="EP6" s="43" t="n">
        <f aca="false">Calendario!EP$7</f>
        <v>12</v>
      </c>
      <c r="EQ6" s="43" t="n">
        <f aca="false">Calendario!EQ$7</f>
        <v>12</v>
      </c>
      <c r="ER6" s="43" t="n">
        <f aca="false">Calendario!ER$7</f>
        <v>12</v>
      </c>
      <c r="ES6" s="43" t="n">
        <f aca="false">Calendario!ES$7</f>
        <v>12</v>
      </c>
      <c r="ET6" s="43" t="n">
        <f aca="false">Calendario!ET$7</f>
        <v>12</v>
      </c>
      <c r="EU6" s="43" t="n">
        <f aca="false">Calendario!EU$7</f>
        <v>13</v>
      </c>
      <c r="EV6" s="43" t="n">
        <f aca="false">Calendario!EV$7</f>
        <v>13</v>
      </c>
      <c r="EW6" s="43" t="n">
        <f aca="false">Calendario!EW$7</f>
        <v>13</v>
      </c>
      <c r="EX6" s="43" t="n">
        <f aca="false">Calendario!EX$7</f>
        <v>13</v>
      </c>
      <c r="EY6" s="43" t="n">
        <f aca="false">Calendario!EY$7</f>
        <v>13</v>
      </c>
      <c r="EZ6" s="43" t="n">
        <f aca="false">Calendario!EZ$7</f>
        <v>13</v>
      </c>
      <c r="FA6" s="43" t="n">
        <f aca="false">Calendario!FA$7</f>
        <v>13</v>
      </c>
      <c r="FB6" s="43" t="n">
        <f aca="false">Calendario!FB$7</f>
        <v>13</v>
      </c>
      <c r="FC6" s="43" t="n">
        <f aca="false">Calendario!FC$7</f>
        <v>13</v>
      </c>
      <c r="FD6" s="43" t="n">
        <f aca="false">Calendario!FD$7</f>
        <v>13</v>
      </c>
      <c r="FE6" s="43" t="n">
        <f aca="false">Calendario!FE$7</f>
        <v>13</v>
      </c>
      <c r="FF6" s="43" t="n">
        <f aca="false">Calendario!FF$7</f>
        <v>13</v>
      </c>
    </row>
    <row r="7" customFormat="false" ht="15" hidden="false" customHeight="false" outlineLevel="0" collapsed="false">
      <c r="A7" s="8" t="s">
        <v>814</v>
      </c>
      <c r="B7" s="5" t="s">
        <v>815</v>
      </c>
      <c r="F7" s="43" t="n">
        <f aca="false">Calendario!F$11</f>
        <v>0</v>
      </c>
      <c r="G7" s="43" t="n">
        <f aca="false">Calendario!G$11</f>
        <v>1</v>
      </c>
      <c r="H7" s="43" t="n">
        <f aca="false">Calendario!H$11</f>
        <v>1</v>
      </c>
      <c r="I7" s="43" t="n">
        <f aca="false">Calendario!I$11</f>
        <v>1</v>
      </c>
      <c r="J7" s="43" t="n">
        <f aca="false">Calendario!J$11</f>
        <v>1</v>
      </c>
      <c r="K7" s="43" t="n">
        <f aca="false">Calendario!K$11</f>
        <v>1</v>
      </c>
      <c r="L7" s="43" t="n">
        <f aca="false">Calendario!L$11</f>
        <v>1</v>
      </c>
      <c r="M7" s="43" t="n">
        <f aca="false">Calendario!M$11</f>
        <v>1</v>
      </c>
      <c r="N7" s="43" t="n">
        <f aca="false">Calendario!N$11</f>
        <v>1</v>
      </c>
      <c r="O7" s="43" t="n">
        <f aca="false">Calendario!O$11</f>
        <v>1</v>
      </c>
      <c r="P7" s="43" t="n">
        <f aca="false">Calendario!P$11</f>
        <v>1</v>
      </c>
      <c r="Q7" s="43" t="n">
        <f aca="false">Calendario!Q$11</f>
        <v>1</v>
      </c>
      <c r="R7" s="43" t="n">
        <f aca="false">Calendario!R$11</f>
        <v>1</v>
      </c>
      <c r="S7" s="43" t="n">
        <f aca="false">Calendario!S$11</f>
        <v>2</v>
      </c>
      <c r="T7" s="43" t="n">
        <f aca="false">Calendario!T$11</f>
        <v>2</v>
      </c>
      <c r="U7" s="43" t="n">
        <f aca="false">Calendario!U$11</f>
        <v>2</v>
      </c>
      <c r="V7" s="43" t="n">
        <f aca="false">Calendario!V$11</f>
        <v>2</v>
      </c>
      <c r="W7" s="43" t="n">
        <f aca="false">Calendario!W$11</f>
        <v>2</v>
      </c>
      <c r="X7" s="43" t="n">
        <f aca="false">Calendario!X$11</f>
        <v>2</v>
      </c>
      <c r="Y7" s="43" t="n">
        <f aca="false">Calendario!Y$11</f>
        <v>2</v>
      </c>
      <c r="Z7" s="43" t="n">
        <f aca="false">Calendario!Z$11</f>
        <v>2</v>
      </c>
      <c r="AA7" s="43" t="n">
        <f aca="false">Calendario!AA$11</f>
        <v>2</v>
      </c>
      <c r="AB7" s="43" t="n">
        <f aca="false">Calendario!AB$11</f>
        <v>2</v>
      </c>
      <c r="AC7" s="43" t="n">
        <f aca="false">Calendario!AC$11</f>
        <v>2</v>
      </c>
      <c r="AD7" s="43" t="n">
        <f aca="false">Calendario!AD$11</f>
        <v>2</v>
      </c>
      <c r="AE7" s="43" t="n">
        <f aca="false">Calendario!AE$11</f>
        <v>3</v>
      </c>
      <c r="AF7" s="43" t="n">
        <f aca="false">Calendario!AF$11</f>
        <v>3</v>
      </c>
      <c r="AG7" s="43" t="n">
        <f aca="false">Calendario!AG$11</f>
        <v>3</v>
      </c>
      <c r="AH7" s="43" t="n">
        <f aca="false">Calendario!AH$11</f>
        <v>3</v>
      </c>
      <c r="AI7" s="43" t="n">
        <f aca="false">Calendario!AI$11</f>
        <v>3</v>
      </c>
      <c r="AJ7" s="43" t="n">
        <f aca="false">Calendario!AJ$11</f>
        <v>3</v>
      </c>
      <c r="AK7" s="43" t="n">
        <f aca="false">Calendario!AK$11</f>
        <v>3</v>
      </c>
      <c r="AL7" s="43" t="n">
        <f aca="false">Calendario!AL$11</f>
        <v>3</v>
      </c>
      <c r="AM7" s="43" t="n">
        <f aca="false">Calendario!AM$11</f>
        <v>3</v>
      </c>
      <c r="AN7" s="43" t="n">
        <f aca="false">Calendario!AN$11</f>
        <v>3</v>
      </c>
      <c r="AO7" s="43" t="n">
        <f aca="false">Calendario!AO$11</f>
        <v>3</v>
      </c>
      <c r="AP7" s="43" t="n">
        <f aca="false">Calendario!AP$11</f>
        <v>3</v>
      </c>
      <c r="AQ7" s="43" t="n">
        <f aca="false">Calendario!AQ$11</f>
        <v>4</v>
      </c>
      <c r="AR7" s="43" t="n">
        <f aca="false">Calendario!AR$11</f>
        <v>4</v>
      </c>
      <c r="AS7" s="43" t="n">
        <f aca="false">Calendario!AS$11</f>
        <v>4</v>
      </c>
      <c r="AT7" s="43" t="n">
        <f aca="false">Calendario!AT$11</f>
        <v>4</v>
      </c>
      <c r="AU7" s="43" t="n">
        <f aca="false">Calendario!AU$11</f>
        <v>4</v>
      </c>
      <c r="AV7" s="43" t="n">
        <f aca="false">Calendario!AV$11</f>
        <v>4</v>
      </c>
      <c r="AW7" s="43" t="n">
        <f aca="false">Calendario!AW$11</f>
        <v>4</v>
      </c>
      <c r="AX7" s="43" t="n">
        <f aca="false">Calendario!AX$11</f>
        <v>4</v>
      </c>
      <c r="AY7" s="43" t="n">
        <f aca="false">Calendario!AY$11</f>
        <v>4</v>
      </c>
      <c r="AZ7" s="43" t="n">
        <f aca="false">Calendario!AZ$11</f>
        <v>4</v>
      </c>
      <c r="BA7" s="43" t="n">
        <f aca="false">Calendario!BA$11</f>
        <v>4</v>
      </c>
      <c r="BB7" s="43" t="n">
        <f aca="false">Calendario!BB$11</f>
        <v>4</v>
      </c>
      <c r="BC7" s="43" t="n">
        <f aca="false">Calendario!BC$11</f>
        <v>5</v>
      </c>
      <c r="BD7" s="43" t="n">
        <f aca="false">Calendario!BD$11</f>
        <v>5</v>
      </c>
      <c r="BE7" s="43" t="n">
        <f aca="false">Calendario!BE$11</f>
        <v>5</v>
      </c>
      <c r="BF7" s="43" t="n">
        <f aca="false">Calendario!BF$11</f>
        <v>5</v>
      </c>
      <c r="BG7" s="43" t="n">
        <f aca="false">Calendario!BG$11</f>
        <v>5</v>
      </c>
      <c r="BH7" s="43" t="n">
        <f aca="false">Calendario!BH$11</f>
        <v>5</v>
      </c>
      <c r="BI7" s="43" t="n">
        <f aca="false">Calendario!BI$11</f>
        <v>5</v>
      </c>
      <c r="BJ7" s="43" t="n">
        <f aca="false">Calendario!BJ$11</f>
        <v>5</v>
      </c>
      <c r="BK7" s="43" t="n">
        <f aca="false">Calendario!BK$11</f>
        <v>5</v>
      </c>
      <c r="BL7" s="43" t="n">
        <f aca="false">Calendario!BL$11</f>
        <v>5</v>
      </c>
      <c r="BM7" s="43" t="n">
        <f aca="false">Calendario!BM$11</f>
        <v>5</v>
      </c>
      <c r="BN7" s="43" t="n">
        <f aca="false">Calendario!BN$11</f>
        <v>5</v>
      </c>
      <c r="BO7" s="43" t="n">
        <f aca="false">Calendario!BO$11</f>
        <v>6</v>
      </c>
      <c r="BP7" s="43" t="n">
        <f aca="false">Calendario!BP$11</f>
        <v>6</v>
      </c>
      <c r="BQ7" s="43" t="n">
        <f aca="false">Calendario!BQ$11</f>
        <v>6</v>
      </c>
      <c r="BR7" s="43" t="n">
        <f aca="false">Calendario!BR$11</f>
        <v>6</v>
      </c>
      <c r="BS7" s="43" t="n">
        <f aca="false">Calendario!BS$11</f>
        <v>6</v>
      </c>
      <c r="BT7" s="43" t="n">
        <f aca="false">Calendario!BT$11</f>
        <v>6</v>
      </c>
      <c r="BU7" s="43" t="n">
        <f aca="false">Calendario!BU$11</f>
        <v>6</v>
      </c>
      <c r="BV7" s="43" t="n">
        <f aca="false">Calendario!BV$11</f>
        <v>6</v>
      </c>
      <c r="BW7" s="43" t="n">
        <f aca="false">Calendario!BW$11</f>
        <v>6</v>
      </c>
      <c r="BX7" s="43" t="n">
        <f aca="false">Calendario!BX$11</f>
        <v>6</v>
      </c>
      <c r="BY7" s="43" t="n">
        <f aca="false">Calendario!BY$11</f>
        <v>6</v>
      </c>
      <c r="BZ7" s="43" t="n">
        <f aca="false">Calendario!BZ$11</f>
        <v>6</v>
      </c>
      <c r="CA7" s="43" t="n">
        <f aca="false">Calendario!CA$11</f>
        <v>7</v>
      </c>
      <c r="CB7" s="43" t="n">
        <f aca="false">Calendario!CB$11</f>
        <v>7</v>
      </c>
      <c r="CC7" s="43" t="n">
        <f aca="false">Calendario!CC$11</f>
        <v>7</v>
      </c>
      <c r="CD7" s="43" t="n">
        <f aca="false">Calendario!CD$11</f>
        <v>7</v>
      </c>
      <c r="CE7" s="43" t="n">
        <f aca="false">Calendario!CE$11</f>
        <v>7</v>
      </c>
      <c r="CF7" s="43" t="n">
        <f aca="false">Calendario!CF$11</f>
        <v>7</v>
      </c>
      <c r="CG7" s="43" t="n">
        <f aca="false">Calendario!CG$11</f>
        <v>7</v>
      </c>
      <c r="CH7" s="43" t="n">
        <f aca="false">Calendario!CH$11</f>
        <v>7</v>
      </c>
      <c r="CI7" s="43" t="n">
        <f aca="false">Calendario!CI$11</f>
        <v>7</v>
      </c>
      <c r="CJ7" s="43" t="n">
        <f aca="false">Calendario!CJ$11</f>
        <v>7</v>
      </c>
      <c r="CK7" s="43" t="n">
        <f aca="false">Calendario!CK$11</f>
        <v>7</v>
      </c>
      <c r="CL7" s="43" t="n">
        <f aca="false">Calendario!CL$11</f>
        <v>7</v>
      </c>
      <c r="CM7" s="43" t="n">
        <f aca="false">Calendario!CM$11</f>
        <v>8</v>
      </c>
      <c r="CN7" s="43" t="n">
        <f aca="false">Calendario!CN$11</f>
        <v>8</v>
      </c>
      <c r="CO7" s="43" t="n">
        <f aca="false">Calendario!CO$11</f>
        <v>8</v>
      </c>
      <c r="CP7" s="43" t="n">
        <f aca="false">Calendario!CP$11</f>
        <v>8</v>
      </c>
      <c r="CQ7" s="43" t="n">
        <f aca="false">Calendario!CQ$11</f>
        <v>8</v>
      </c>
      <c r="CR7" s="43" t="n">
        <f aca="false">Calendario!CR$11</f>
        <v>8</v>
      </c>
      <c r="CS7" s="43" t="n">
        <f aca="false">Calendario!CS$11</f>
        <v>8</v>
      </c>
      <c r="CT7" s="43" t="n">
        <f aca="false">Calendario!CT$11</f>
        <v>8</v>
      </c>
      <c r="CU7" s="43" t="n">
        <f aca="false">Calendario!CU$11</f>
        <v>8</v>
      </c>
      <c r="CV7" s="43" t="n">
        <f aca="false">Calendario!CV$11</f>
        <v>8</v>
      </c>
      <c r="CW7" s="43" t="n">
        <f aca="false">Calendario!CW$11</f>
        <v>8</v>
      </c>
      <c r="CX7" s="43" t="n">
        <f aca="false">Calendario!CX$11</f>
        <v>8</v>
      </c>
      <c r="CY7" s="43" t="n">
        <f aca="false">Calendario!CY$11</f>
        <v>9</v>
      </c>
      <c r="CZ7" s="43" t="n">
        <f aca="false">Calendario!CZ$11</f>
        <v>9</v>
      </c>
      <c r="DA7" s="43" t="n">
        <f aca="false">Calendario!DA$11</f>
        <v>9</v>
      </c>
      <c r="DB7" s="43" t="n">
        <f aca="false">Calendario!DB$11</f>
        <v>9</v>
      </c>
      <c r="DC7" s="43" t="n">
        <f aca="false">Calendario!DC$11</f>
        <v>9</v>
      </c>
      <c r="DD7" s="43" t="n">
        <f aca="false">Calendario!DD$11</f>
        <v>9</v>
      </c>
      <c r="DE7" s="43" t="n">
        <f aca="false">Calendario!DE$11</f>
        <v>9</v>
      </c>
      <c r="DF7" s="43" t="n">
        <f aca="false">Calendario!DF$11</f>
        <v>9</v>
      </c>
      <c r="DG7" s="43" t="n">
        <f aca="false">Calendario!DG$11</f>
        <v>9</v>
      </c>
      <c r="DH7" s="43" t="n">
        <f aca="false">Calendario!DH$11</f>
        <v>9</v>
      </c>
      <c r="DI7" s="43" t="n">
        <f aca="false">Calendario!DI$11</f>
        <v>9</v>
      </c>
      <c r="DJ7" s="43" t="n">
        <f aca="false">Calendario!DJ$11</f>
        <v>9</v>
      </c>
      <c r="DK7" s="43" t="n">
        <f aca="false">Calendario!DK$11</f>
        <v>10</v>
      </c>
      <c r="DL7" s="43" t="n">
        <f aca="false">Calendario!DL$11</f>
        <v>10</v>
      </c>
      <c r="DM7" s="43" t="n">
        <f aca="false">Calendario!DM$11</f>
        <v>10</v>
      </c>
      <c r="DN7" s="43" t="n">
        <f aca="false">Calendario!DN$11</f>
        <v>10</v>
      </c>
      <c r="DO7" s="43" t="n">
        <f aca="false">Calendario!DO$11</f>
        <v>10</v>
      </c>
      <c r="DP7" s="43" t="n">
        <f aca="false">Calendario!DP$11</f>
        <v>10</v>
      </c>
      <c r="DQ7" s="43" t="n">
        <f aca="false">Calendario!DQ$11</f>
        <v>10</v>
      </c>
      <c r="DR7" s="43" t="n">
        <f aca="false">Calendario!DR$11</f>
        <v>10</v>
      </c>
      <c r="DS7" s="43" t="n">
        <f aca="false">Calendario!DS$11</f>
        <v>10</v>
      </c>
      <c r="DT7" s="43" t="n">
        <f aca="false">Calendario!DT$11</f>
        <v>10</v>
      </c>
      <c r="DU7" s="43" t="n">
        <f aca="false">Calendario!DU$11</f>
        <v>10</v>
      </c>
      <c r="DV7" s="43" t="n">
        <f aca="false">Calendario!DV$11</f>
        <v>10</v>
      </c>
      <c r="DW7" s="43" t="n">
        <f aca="false">Calendario!DW$11</f>
        <v>0</v>
      </c>
      <c r="DX7" s="43" t="n">
        <f aca="false">Calendario!DX$11</f>
        <v>0</v>
      </c>
      <c r="DY7" s="43" t="n">
        <f aca="false">Calendario!DY$11</f>
        <v>0</v>
      </c>
      <c r="DZ7" s="43" t="n">
        <f aca="false">Calendario!DZ$11</f>
        <v>0</v>
      </c>
      <c r="EA7" s="43" t="n">
        <f aca="false">Calendario!EA$11</f>
        <v>0</v>
      </c>
      <c r="EB7" s="43" t="n">
        <f aca="false">Calendario!EB$11</f>
        <v>0</v>
      </c>
      <c r="EC7" s="43" t="n">
        <f aca="false">Calendario!EC$11</f>
        <v>0</v>
      </c>
      <c r="ED7" s="43" t="n">
        <f aca="false">Calendario!ED$11</f>
        <v>0</v>
      </c>
      <c r="EE7" s="43" t="n">
        <f aca="false">Calendario!EE$11</f>
        <v>0</v>
      </c>
      <c r="EF7" s="43" t="n">
        <f aca="false">Calendario!EF$11</f>
        <v>0</v>
      </c>
      <c r="EG7" s="43" t="n">
        <f aca="false">Calendario!EG$11</f>
        <v>0</v>
      </c>
      <c r="EH7" s="43" t="n">
        <f aca="false">Calendario!EH$11</f>
        <v>0</v>
      </c>
      <c r="EI7" s="43" t="n">
        <f aca="false">Calendario!EI$11</f>
        <v>0</v>
      </c>
      <c r="EJ7" s="43" t="n">
        <f aca="false">Calendario!EJ$11</f>
        <v>0</v>
      </c>
      <c r="EK7" s="43" t="n">
        <f aca="false">Calendario!EK$11</f>
        <v>0</v>
      </c>
      <c r="EL7" s="43" t="n">
        <f aca="false">Calendario!EL$11</f>
        <v>0</v>
      </c>
      <c r="EM7" s="43" t="n">
        <f aca="false">Calendario!EM$11</f>
        <v>0</v>
      </c>
      <c r="EN7" s="43" t="n">
        <f aca="false">Calendario!EN$11</f>
        <v>0</v>
      </c>
      <c r="EO7" s="43" t="n">
        <f aca="false">Calendario!EO$11</f>
        <v>0</v>
      </c>
      <c r="EP7" s="43" t="n">
        <f aca="false">Calendario!EP$11</f>
        <v>0</v>
      </c>
      <c r="EQ7" s="43" t="n">
        <f aca="false">Calendario!EQ$11</f>
        <v>0</v>
      </c>
      <c r="ER7" s="43" t="n">
        <f aca="false">Calendario!ER$11</f>
        <v>0</v>
      </c>
      <c r="ES7" s="43" t="n">
        <f aca="false">Calendario!ES$11</f>
        <v>0</v>
      </c>
      <c r="ET7" s="43" t="n">
        <f aca="false">Calendario!ET$11</f>
        <v>0</v>
      </c>
      <c r="EU7" s="43" t="n">
        <f aca="false">Calendario!EU$11</f>
        <v>0</v>
      </c>
      <c r="EV7" s="43" t="n">
        <f aca="false">Calendario!EV$11</f>
        <v>0</v>
      </c>
      <c r="EW7" s="43" t="n">
        <f aca="false">Calendario!EW$11</f>
        <v>0</v>
      </c>
      <c r="EX7" s="43" t="n">
        <f aca="false">Calendario!EX$11</f>
        <v>0</v>
      </c>
      <c r="EY7" s="43" t="n">
        <f aca="false">Calendario!EY$11</f>
        <v>0</v>
      </c>
      <c r="EZ7" s="43" t="n">
        <f aca="false">Calendario!EZ$11</f>
        <v>0</v>
      </c>
      <c r="FA7" s="43" t="n">
        <f aca="false">Calendario!FA$11</f>
        <v>0</v>
      </c>
      <c r="FB7" s="43" t="n">
        <f aca="false">Calendario!FB$11</f>
        <v>0</v>
      </c>
      <c r="FC7" s="43" t="n">
        <f aca="false">Calendario!FC$11</f>
        <v>0</v>
      </c>
      <c r="FD7" s="43" t="n">
        <f aca="false">Calendario!FD$11</f>
        <v>0</v>
      </c>
      <c r="FE7" s="43" t="n">
        <f aca="false">Calendario!FE$11</f>
        <v>0</v>
      </c>
      <c r="FF7" s="43" t="n">
        <f aca="false">Calendario!FF$11</f>
        <v>0</v>
      </c>
    </row>
    <row r="8" customFormat="false" ht="15" hidden="false" customHeight="false" outlineLevel="0" collapsed="false">
      <c r="A8" s="8" t="s">
        <v>816</v>
      </c>
      <c r="B8" s="5" t="s">
        <v>784</v>
      </c>
      <c r="F8" s="43" t="n">
        <f aca="false">Calendario!F$12</f>
        <v>0</v>
      </c>
      <c r="G8" s="43" t="n">
        <f aca="false">Calendario!G$12</f>
        <v>1</v>
      </c>
      <c r="H8" s="43" t="n">
        <f aca="false">Calendario!H$12</f>
        <v>1</v>
      </c>
      <c r="I8" s="43" t="n">
        <f aca="false">Calendario!I$12</f>
        <v>1</v>
      </c>
      <c r="J8" s="43" t="n">
        <f aca="false">Calendario!J$12</f>
        <v>1</v>
      </c>
      <c r="K8" s="43" t="n">
        <f aca="false">Calendario!K$12</f>
        <v>1</v>
      </c>
      <c r="L8" s="43" t="n">
        <f aca="false">Calendario!L$12</f>
        <v>1</v>
      </c>
      <c r="M8" s="43" t="n">
        <f aca="false">Calendario!M$12</f>
        <v>1</v>
      </c>
      <c r="N8" s="43" t="n">
        <f aca="false">Calendario!N$12</f>
        <v>1</v>
      </c>
      <c r="O8" s="43" t="n">
        <f aca="false">Calendario!O$12</f>
        <v>1</v>
      </c>
      <c r="P8" s="43" t="n">
        <f aca="false">Calendario!P$12</f>
        <v>1</v>
      </c>
      <c r="Q8" s="43" t="n">
        <f aca="false">Calendario!Q$12</f>
        <v>1</v>
      </c>
      <c r="R8" s="43" t="n">
        <f aca="false">Calendario!R$12</f>
        <v>1</v>
      </c>
      <c r="S8" s="43" t="n">
        <f aca="false">Calendario!S$12</f>
        <v>1</v>
      </c>
      <c r="T8" s="43" t="n">
        <f aca="false">Calendario!T$12</f>
        <v>1</v>
      </c>
      <c r="U8" s="43" t="n">
        <f aca="false">Calendario!U$12</f>
        <v>1</v>
      </c>
      <c r="V8" s="43" t="n">
        <f aca="false">Calendario!V$12</f>
        <v>1</v>
      </c>
      <c r="W8" s="43" t="n">
        <f aca="false">Calendario!W$12</f>
        <v>1</v>
      </c>
      <c r="X8" s="43" t="n">
        <f aca="false">Calendario!X$12</f>
        <v>1</v>
      </c>
      <c r="Y8" s="43" t="n">
        <f aca="false">Calendario!Y$12</f>
        <v>1</v>
      </c>
      <c r="Z8" s="43" t="n">
        <f aca="false">Calendario!Z$12</f>
        <v>1</v>
      </c>
      <c r="AA8" s="43" t="n">
        <f aca="false">Calendario!AA$12</f>
        <v>1</v>
      </c>
      <c r="AB8" s="43" t="n">
        <f aca="false">Calendario!AB$12</f>
        <v>1</v>
      </c>
      <c r="AC8" s="43" t="n">
        <f aca="false">Calendario!AC$12</f>
        <v>1</v>
      </c>
      <c r="AD8" s="43" t="n">
        <f aca="false">Calendario!AD$12</f>
        <v>1</v>
      </c>
      <c r="AE8" s="43" t="n">
        <f aca="false">Calendario!AE$12</f>
        <v>1</v>
      </c>
      <c r="AF8" s="43" t="n">
        <f aca="false">Calendario!AF$12</f>
        <v>1</v>
      </c>
      <c r="AG8" s="43" t="n">
        <f aca="false">Calendario!AG$12</f>
        <v>1</v>
      </c>
      <c r="AH8" s="43" t="n">
        <f aca="false">Calendario!AH$12</f>
        <v>1</v>
      </c>
      <c r="AI8" s="43" t="n">
        <f aca="false">Calendario!AI$12</f>
        <v>1</v>
      </c>
      <c r="AJ8" s="43" t="n">
        <f aca="false">Calendario!AJ$12</f>
        <v>1</v>
      </c>
      <c r="AK8" s="43" t="n">
        <f aca="false">Calendario!AK$12</f>
        <v>1</v>
      </c>
      <c r="AL8" s="43" t="n">
        <f aca="false">Calendario!AL$12</f>
        <v>1</v>
      </c>
      <c r="AM8" s="43" t="n">
        <f aca="false">Calendario!AM$12</f>
        <v>1</v>
      </c>
      <c r="AN8" s="43" t="n">
        <f aca="false">Calendario!AN$12</f>
        <v>1</v>
      </c>
      <c r="AO8" s="43" t="n">
        <f aca="false">Calendario!AO$12</f>
        <v>1</v>
      </c>
      <c r="AP8" s="43" t="n">
        <f aca="false">Calendario!AP$12</f>
        <v>1</v>
      </c>
      <c r="AQ8" s="43" t="n">
        <f aca="false">Calendario!AQ$12</f>
        <v>1</v>
      </c>
      <c r="AR8" s="43" t="n">
        <f aca="false">Calendario!AR$12</f>
        <v>1</v>
      </c>
      <c r="AS8" s="43" t="n">
        <f aca="false">Calendario!AS$12</f>
        <v>1</v>
      </c>
      <c r="AT8" s="43" t="n">
        <f aca="false">Calendario!AT$12</f>
        <v>1</v>
      </c>
      <c r="AU8" s="43" t="n">
        <f aca="false">Calendario!AU$12</f>
        <v>1</v>
      </c>
      <c r="AV8" s="43" t="n">
        <f aca="false">Calendario!AV$12</f>
        <v>1</v>
      </c>
      <c r="AW8" s="43" t="n">
        <f aca="false">Calendario!AW$12</f>
        <v>1</v>
      </c>
      <c r="AX8" s="43" t="n">
        <f aca="false">Calendario!AX$12</f>
        <v>1</v>
      </c>
      <c r="AY8" s="43" t="n">
        <f aca="false">Calendario!AY$12</f>
        <v>1</v>
      </c>
      <c r="AZ8" s="43" t="n">
        <f aca="false">Calendario!AZ$12</f>
        <v>1</v>
      </c>
      <c r="BA8" s="43" t="n">
        <f aca="false">Calendario!BA$12</f>
        <v>1</v>
      </c>
      <c r="BB8" s="43" t="n">
        <f aca="false">Calendario!BB$12</f>
        <v>1</v>
      </c>
      <c r="BC8" s="43" t="n">
        <f aca="false">Calendario!BC$12</f>
        <v>1</v>
      </c>
      <c r="BD8" s="43" t="n">
        <f aca="false">Calendario!BD$12</f>
        <v>1</v>
      </c>
      <c r="BE8" s="43" t="n">
        <f aca="false">Calendario!BE$12</f>
        <v>1</v>
      </c>
      <c r="BF8" s="43" t="n">
        <f aca="false">Calendario!BF$12</f>
        <v>1</v>
      </c>
      <c r="BG8" s="43" t="n">
        <f aca="false">Calendario!BG$12</f>
        <v>1</v>
      </c>
      <c r="BH8" s="43" t="n">
        <f aca="false">Calendario!BH$12</f>
        <v>1</v>
      </c>
      <c r="BI8" s="43" t="n">
        <f aca="false">Calendario!BI$12</f>
        <v>1</v>
      </c>
      <c r="BJ8" s="43" t="n">
        <f aca="false">Calendario!BJ$12</f>
        <v>1</v>
      </c>
      <c r="BK8" s="43" t="n">
        <f aca="false">Calendario!BK$12</f>
        <v>1</v>
      </c>
      <c r="BL8" s="43" t="n">
        <f aca="false">Calendario!BL$12</f>
        <v>1</v>
      </c>
      <c r="BM8" s="43" t="n">
        <f aca="false">Calendario!BM$12</f>
        <v>1</v>
      </c>
      <c r="BN8" s="43" t="n">
        <f aca="false">Calendario!BN$12</f>
        <v>1</v>
      </c>
      <c r="BO8" s="43" t="n">
        <f aca="false">Calendario!BO$12</f>
        <v>1</v>
      </c>
      <c r="BP8" s="43" t="n">
        <f aca="false">Calendario!BP$12</f>
        <v>1</v>
      </c>
      <c r="BQ8" s="43" t="n">
        <f aca="false">Calendario!BQ$12</f>
        <v>1</v>
      </c>
      <c r="BR8" s="43" t="n">
        <f aca="false">Calendario!BR$12</f>
        <v>1</v>
      </c>
      <c r="BS8" s="43" t="n">
        <f aca="false">Calendario!BS$12</f>
        <v>1</v>
      </c>
      <c r="BT8" s="43" t="n">
        <f aca="false">Calendario!BT$12</f>
        <v>1</v>
      </c>
      <c r="BU8" s="43" t="n">
        <f aca="false">Calendario!BU$12</f>
        <v>1</v>
      </c>
      <c r="BV8" s="43" t="n">
        <f aca="false">Calendario!BV$12</f>
        <v>1</v>
      </c>
      <c r="BW8" s="43" t="n">
        <f aca="false">Calendario!BW$12</f>
        <v>1</v>
      </c>
      <c r="BX8" s="43" t="n">
        <f aca="false">Calendario!BX$12</f>
        <v>1</v>
      </c>
      <c r="BY8" s="43" t="n">
        <f aca="false">Calendario!BY$12</f>
        <v>1</v>
      </c>
      <c r="BZ8" s="43" t="n">
        <f aca="false">Calendario!BZ$12</f>
        <v>1</v>
      </c>
      <c r="CA8" s="43" t="n">
        <f aca="false">Calendario!CA$12</f>
        <v>1</v>
      </c>
      <c r="CB8" s="43" t="n">
        <f aca="false">Calendario!CB$12</f>
        <v>1</v>
      </c>
      <c r="CC8" s="43" t="n">
        <f aca="false">Calendario!CC$12</f>
        <v>1</v>
      </c>
      <c r="CD8" s="43" t="n">
        <f aca="false">Calendario!CD$12</f>
        <v>1</v>
      </c>
      <c r="CE8" s="43" t="n">
        <f aca="false">Calendario!CE$12</f>
        <v>1</v>
      </c>
      <c r="CF8" s="43" t="n">
        <f aca="false">Calendario!CF$12</f>
        <v>1</v>
      </c>
      <c r="CG8" s="43" t="n">
        <f aca="false">Calendario!CG$12</f>
        <v>1</v>
      </c>
      <c r="CH8" s="43" t="n">
        <f aca="false">Calendario!CH$12</f>
        <v>1</v>
      </c>
      <c r="CI8" s="43" t="n">
        <f aca="false">Calendario!CI$12</f>
        <v>1</v>
      </c>
      <c r="CJ8" s="43" t="n">
        <f aca="false">Calendario!CJ$12</f>
        <v>1</v>
      </c>
      <c r="CK8" s="43" t="n">
        <f aca="false">Calendario!CK$12</f>
        <v>1</v>
      </c>
      <c r="CL8" s="43" t="n">
        <f aca="false">Calendario!CL$12</f>
        <v>1</v>
      </c>
      <c r="CM8" s="43" t="n">
        <f aca="false">Calendario!CM$12</f>
        <v>1</v>
      </c>
      <c r="CN8" s="43" t="n">
        <f aca="false">Calendario!CN$12</f>
        <v>1</v>
      </c>
      <c r="CO8" s="43" t="n">
        <f aca="false">Calendario!CO$12</f>
        <v>1</v>
      </c>
      <c r="CP8" s="43" t="n">
        <f aca="false">Calendario!CP$12</f>
        <v>1</v>
      </c>
      <c r="CQ8" s="43" t="n">
        <f aca="false">Calendario!CQ$12</f>
        <v>1</v>
      </c>
      <c r="CR8" s="43" t="n">
        <f aca="false">Calendario!CR$12</f>
        <v>1</v>
      </c>
      <c r="CS8" s="43" t="n">
        <f aca="false">Calendario!CS$12</f>
        <v>1</v>
      </c>
      <c r="CT8" s="43" t="n">
        <f aca="false">Calendario!CT$12</f>
        <v>1</v>
      </c>
      <c r="CU8" s="43" t="n">
        <f aca="false">Calendario!CU$12</f>
        <v>1</v>
      </c>
      <c r="CV8" s="43" t="n">
        <f aca="false">Calendario!CV$12</f>
        <v>1</v>
      </c>
      <c r="CW8" s="43" t="n">
        <f aca="false">Calendario!CW$12</f>
        <v>1</v>
      </c>
      <c r="CX8" s="43" t="n">
        <f aca="false">Calendario!CX$12</f>
        <v>1</v>
      </c>
      <c r="CY8" s="43" t="n">
        <f aca="false">Calendario!CY$12</f>
        <v>1</v>
      </c>
      <c r="CZ8" s="43" t="n">
        <f aca="false">Calendario!CZ$12</f>
        <v>1</v>
      </c>
      <c r="DA8" s="43" t="n">
        <f aca="false">Calendario!DA$12</f>
        <v>1</v>
      </c>
      <c r="DB8" s="43" t="n">
        <f aca="false">Calendario!DB$12</f>
        <v>1</v>
      </c>
      <c r="DC8" s="43" t="n">
        <f aca="false">Calendario!DC$12</f>
        <v>1</v>
      </c>
      <c r="DD8" s="43" t="n">
        <f aca="false">Calendario!DD$12</f>
        <v>1</v>
      </c>
      <c r="DE8" s="43" t="n">
        <f aca="false">Calendario!DE$12</f>
        <v>1</v>
      </c>
      <c r="DF8" s="43" t="n">
        <f aca="false">Calendario!DF$12</f>
        <v>1</v>
      </c>
      <c r="DG8" s="43" t="n">
        <f aca="false">Calendario!DG$12</f>
        <v>1</v>
      </c>
      <c r="DH8" s="43" t="n">
        <f aca="false">Calendario!DH$12</f>
        <v>1</v>
      </c>
      <c r="DI8" s="43" t="n">
        <f aca="false">Calendario!DI$12</f>
        <v>1</v>
      </c>
      <c r="DJ8" s="43" t="n">
        <f aca="false">Calendario!DJ$12</f>
        <v>1</v>
      </c>
      <c r="DK8" s="43" t="n">
        <f aca="false">Calendario!DK$12</f>
        <v>1</v>
      </c>
      <c r="DL8" s="43" t="n">
        <f aca="false">Calendario!DL$12</f>
        <v>1</v>
      </c>
      <c r="DM8" s="43" t="n">
        <f aca="false">Calendario!DM$12</f>
        <v>1</v>
      </c>
      <c r="DN8" s="43" t="n">
        <f aca="false">Calendario!DN$12</f>
        <v>1</v>
      </c>
      <c r="DO8" s="43" t="n">
        <f aca="false">Calendario!DO$12</f>
        <v>1</v>
      </c>
      <c r="DP8" s="43" t="n">
        <f aca="false">Calendario!DP$12</f>
        <v>1</v>
      </c>
      <c r="DQ8" s="43" t="n">
        <f aca="false">Calendario!DQ$12</f>
        <v>1</v>
      </c>
      <c r="DR8" s="43" t="n">
        <f aca="false">Calendario!DR$12</f>
        <v>1</v>
      </c>
      <c r="DS8" s="43" t="n">
        <f aca="false">Calendario!DS$12</f>
        <v>1</v>
      </c>
      <c r="DT8" s="43" t="n">
        <f aca="false">Calendario!DT$12</f>
        <v>1</v>
      </c>
      <c r="DU8" s="43" t="n">
        <f aca="false">Calendario!DU$12</f>
        <v>1</v>
      </c>
      <c r="DV8" s="43" t="n">
        <f aca="false">Calendario!DV$12</f>
        <v>1</v>
      </c>
      <c r="DW8" s="43" t="n">
        <f aca="false">Calendario!DW$12</f>
        <v>0</v>
      </c>
      <c r="DX8" s="43" t="n">
        <f aca="false">Calendario!DX$12</f>
        <v>0</v>
      </c>
      <c r="DY8" s="43" t="n">
        <f aca="false">Calendario!DY$12</f>
        <v>0</v>
      </c>
      <c r="DZ8" s="43" t="n">
        <f aca="false">Calendario!DZ$12</f>
        <v>0</v>
      </c>
      <c r="EA8" s="43" t="n">
        <f aca="false">Calendario!EA$12</f>
        <v>0</v>
      </c>
      <c r="EB8" s="43" t="n">
        <f aca="false">Calendario!EB$12</f>
        <v>0</v>
      </c>
      <c r="EC8" s="43" t="n">
        <f aca="false">Calendario!EC$12</f>
        <v>0</v>
      </c>
      <c r="ED8" s="43" t="n">
        <f aca="false">Calendario!ED$12</f>
        <v>0</v>
      </c>
      <c r="EE8" s="43" t="n">
        <f aca="false">Calendario!EE$12</f>
        <v>0</v>
      </c>
      <c r="EF8" s="43" t="n">
        <f aca="false">Calendario!EF$12</f>
        <v>0</v>
      </c>
      <c r="EG8" s="43" t="n">
        <f aca="false">Calendario!EG$12</f>
        <v>0</v>
      </c>
      <c r="EH8" s="43" t="n">
        <f aca="false">Calendario!EH$12</f>
        <v>0</v>
      </c>
      <c r="EI8" s="43" t="n">
        <f aca="false">Calendario!EI$12</f>
        <v>0</v>
      </c>
      <c r="EJ8" s="43" t="n">
        <f aca="false">Calendario!EJ$12</f>
        <v>0</v>
      </c>
      <c r="EK8" s="43" t="n">
        <f aca="false">Calendario!EK$12</f>
        <v>0</v>
      </c>
      <c r="EL8" s="43" t="n">
        <f aca="false">Calendario!EL$12</f>
        <v>0</v>
      </c>
      <c r="EM8" s="43" t="n">
        <f aca="false">Calendario!EM$12</f>
        <v>0</v>
      </c>
      <c r="EN8" s="43" t="n">
        <f aca="false">Calendario!EN$12</f>
        <v>0</v>
      </c>
      <c r="EO8" s="43" t="n">
        <f aca="false">Calendario!EO$12</f>
        <v>0</v>
      </c>
      <c r="EP8" s="43" t="n">
        <f aca="false">Calendario!EP$12</f>
        <v>0</v>
      </c>
      <c r="EQ8" s="43" t="n">
        <f aca="false">Calendario!EQ$12</f>
        <v>0</v>
      </c>
      <c r="ER8" s="43" t="n">
        <f aca="false">Calendario!ER$12</f>
        <v>0</v>
      </c>
      <c r="ES8" s="43" t="n">
        <f aca="false">Calendario!ES$12</f>
        <v>0</v>
      </c>
      <c r="ET8" s="43" t="n">
        <f aca="false">Calendario!ET$12</f>
        <v>0</v>
      </c>
      <c r="EU8" s="43" t="n">
        <f aca="false">Calendario!EU$12</f>
        <v>0</v>
      </c>
      <c r="EV8" s="43" t="n">
        <f aca="false">Calendario!EV$12</f>
        <v>0</v>
      </c>
      <c r="EW8" s="43" t="n">
        <f aca="false">Calendario!EW$12</f>
        <v>0</v>
      </c>
      <c r="EX8" s="43" t="n">
        <f aca="false">Calendario!EX$12</f>
        <v>0</v>
      </c>
      <c r="EY8" s="43" t="n">
        <f aca="false">Calendario!EY$12</f>
        <v>0</v>
      </c>
      <c r="EZ8" s="43" t="n">
        <f aca="false">Calendario!EZ$12</f>
        <v>0</v>
      </c>
      <c r="FA8" s="43" t="n">
        <f aca="false">Calendario!FA$12</f>
        <v>0</v>
      </c>
      <c r="FB8" s="43" t="n">
        <f aca="false">Calendario!FB$12</f>
        <v>0</v>
      </c>
      <c r="FC8" s="43" t="n">
        <f aca="false">Calendario!FC$12</f>
        <v>0</v>
      </c>
      <c r="FD8" s="43" t="n">
        <f aca="false">Calendario!FD$12</f>
        <v>0</v>
      </c>
      <c r="FE8" s="43" t="n">
        <f aca="false">Calendario!FE$12</f>
        <v>0</v>
      </c>
      <c r="FF8" s="43" t="n">
        <f aca="false">Calendario!FF$12</f>
        <v>0</v>
      </c>
    </row>
    <row r="9" customFormat="false" ht="15" hidden="false" customHeight="false" outlineLevel="0" collapsed="false">
      <c r="A9" s="8" t="s">
        <v>817</v>
      </c>
      <c r="B9" s="5" t="s">
        <v>818</v>
      </c>
      <c r="F9" s="43" t="n">
        <f aca="false">Calendario!F$18</f>
        <v>0</v>
      </c>
      <c r="G9" s="43" t="n">
        <f aca="false">Calendario!G$18</f>
        <v>0</v>
      </c>
      <c r="H9" s="43" t="n">
        <f aca="false">Calendario!H$18</f>
        <v>0</v>
      </c>
      <c r="I9" s="43" t="n">
        <f aca="false">Calendario!I$18</f>
        <v>0</v>
      </c>
      <c r="J9" s="43" t="n">
        <f aca="false">Calendario!J$18</f>
        <v>0</v>
      </c>
      <c r="K9" s="43" t="n">
        <f aca="false">Calendario!K$18</f>
        <v>0</v>
      </c>
      <c r="L9" s="43" t="n">
        <f aca="false">Calendario!L$18</f>
        <v>0</v>
      </c>
      <c r="M9" s="43" t="n">
        <f aca="false">Calendario!M$18</f>
        <v>0</v>
      </c>
      <c r="N9" s="43" t="n">
        <f aca="false">Calendario!N$18</f>
        <v>0</v>
      </c>
      <c r="O9" s="43" t="n">
        <f aca="false">Calendario!O$18</f>
        <v>0</v>
      </c>
      <c r="P9" s="43" t="n">
        <f aca="false">Calendario!P$18</f>
        <v>0</v>
      </c>
      <c r="Q9" s="43" t="n">
        <f aca="false">Calendario!Q$18</f>
        <v>0</v>
      </c>
      <c r="R9" s="43" t="n">
        <f aca="false">Calendario!R$18</f>
        <v>0</v>
      </c>
      <c r="S9" s="43" t="n">
        <f aca="false">Calendario!S$18</f>
        <v>0</v>
      </c>
      <c r="T9" s="43" t="n">
        <f aca="false">Calendario!T$18</f>
        <v>0</v>
      </c>
      <c r="U9" s="43" t="n">
        <f aca="false">Calendario!U$18</f>
        <v>0</v>
      </c>
      <c r="V9" s="43" t="n">
        <f aca="false">Calendario!V$18</f>
        <v>0</v>
      </c>
      <c r="W9" s="43" t="n">
        <f aca="false">Calendario!W$18</f>
        <v>0</v>
      </c>
      <c r="X9" s="43" t="n">
        <f aca="false">Calendario!X$18</f>
        <v>0</v>
      </c>
      <c r="Y9" s="43" t="n">
        <f aca="false">Calendario!Y$18</f>
        <v>0</v>
      </c>
      <c r="Z9" s="43" t="n">
        <f aca="false">Calendario!Z$18</f>
        <v>0</v>
      </c>
      <c r="AA9" s="43" t="n">
        <f aca="false">Calendario!AA$18</f>
        <v>0</v>
      </c>
      <c r="AB9" s="43" t="n">
        <f aca="false">Calendario!AB$18</f>
        <v>0</v>
      </c>
      <c r="AC9" s="43" t="n">
        <f aca="false">Calendario!AC$18</f>
        <v>0</v>
      </c>
      <c r="AD9" s="43" t="n">
        <f aca="false">Calendario!AD$18</f>
        <v>0</v>
      </c>
      <c r="AE9" s="43" t="n">
        <f aca="false">Calendario!AE$18</f>
        <v>0</v>
      </c>
      <c r="AF9" s="43" t="n">
        <f aca="false">Calendario!AF$18</f>
        <v>0</v>
      </c>
      <c r="AG9" s="43" t="n">
        <f aca="false">Calendario!AG$18</f>
        <v>0</v>
      </c>
      <c r="AH9" s="43" t="n">
        <f aca="false">Calendario!AH$18</f>
        <v>0</v>
      </c>
      <c r="AI9" s="43" t="n">
        <f aca="false">Calendario!AI$18</f>
        <v>0</v>
      </c>
      <c r="AJ9" s="43" t="n">
        <f aca="false">Calendario!AJ$18</f>
        <v>0</v>
      </c>
      <c r="AK9" s="43" t="n">
        <f aca="false">Calendario!AK$18</f>
        <v>0</v>
      </c>
      <c r="AL9" s="43" t="n">
        <f aca="false">Calendario!AL$18</f>
        <v>0</v>
      </c>
      <c r="AM9" s="43" t="n">
        <f aca="false">Calendario!AM$18</f>
        <v>0</v>
      </c>
      <c r="AN9" s="43" t="n">
        <f aca="false">Calendario!AN$18</f>
        <v>0</v>
      </c>
      <c r="AO9" s="43" t="n">
        <f aca="false">Calendario!AO$18</f>
        <v>0</v>
      </c>
      <c r="AP9" s="43" t="n">
        <f aca="false">Calendario!AP$18</f>
        <v>0</v>
      </c>
      <c r="AQ9" s="43" t="n">
        <f aca="false">Calendario!AQ$18</f>
        <v>0</v>
      </c>
      <c r="AR9" s="43" t="n">
        <f aca="false">Calendario!AR$18</f>
        <v>0</v>
      </c>
      <c r="AS9" s="43" t="n">
        <f aca="false">Calendario!AS$18</f>
        <v>0</v>
      </c>
      <c r="AT9" s="43" t="n">
        <f aca="false">Calendario!AT$18</f>
        <v>0</v>
      </c>
      <c r="AU9" s="43" t="n">
        <f aca="false">Calendario!AU$18</f>
        <v>0</v>
      </c>
      <c r="AV9" s="43" t="n">
        <f aca="false">Calendario!AV$18</f>
        <v>0</v>
      </c>
      <c r="AW9" s="43" t="n">
        <f aca="false">Calendario!AW$18</f>
        <v>0</v>
      </c>
      <c r="AX9" s="43" t="n">
        <f aca="false">Calendario!AX$18</f>
        <v>0</v>
      </c>
      <c r="AY9" s="43" t="n">
        <f aca="false">Calendario!AY$18</f>
        <v>0</v>
      </c>
      <c r="AZ9" s="43" t="n">
        <f aca="false">Calendario!AZ$18</f>
        <v>0</v>
      </c>
      <c r="BA9" s="43" t="n">
        <f aca="false">Calendario!BA$18</f>
        <v>0</v>
      </c>
      <c r="BB9" s="43" t="n">
        <f aca="false">Calendario!BB$18</f>
        <v>0</v>
      </c>
      <c r="BC9" s="43" t="n">
        <f aca="false">Calendario!BC$18</f>
        <v>0</v>
      </c>
      <c r="BD9" s="43" t="n">
        <f aca="false">Calendario!BD$18</f>
        <v>0</v>
      </c>
      <c r="BE9" s="43" t="n">
        <f aca="false">Calendario!BE$18</f>
        <v>0</v>
      </c>
      <c r="BF9" s="43" t="n">
        <f aca="false">Calendario!BF$18</f>
        <v>0</v>
      </c>
      <c r="BG9" s="43" t="n">
        <f aca="false">Calendario!BG$18</f>
        <v>0</v>
      </c>
      <c r="BH9" s="43" t="n">
        <f aca="false">Calendario!BH$18</f>
        <v>0</v>
      </c>
      <c r="BI9" s="43" t="n">
        <f aca="false">Calendario!BI$18</f>
        <v>0</v>
      </c>
      <c r="BJ9" s="43" t="n">
        <f aca="false">Calendario!BJ$18</f>
        <v>0</v>
      </c>
      <c r="BK9" s="43" t="n">
        <f aca="false">Calendario!BK$18</f>
        <v>0</v>
      </c>
      <c r="BL9" s="43" t="n">
        <f aca="false">Calendario!BL$18</f>
        <v>0</v>
      </c>
      <c r="BM9" s="43" t="n">
        <f aca="false">Calendario!BM$18</f>
        <v>0</v>
      </c>
      <c r="BN9" s="43" t="n">
        <f aca="false">Calendario!BN$18</f>
        <v>0</v>
      </c>
      <c r="BO9" s="43" t="n">
        <f aca="false">Calendario!BO$18</f>
        <v>0</v>
      </c>
      <c r="BP9" s="43" t="n">
        <f aca="false">Calendario!BP$18</f>
        <v>0</v>
      </c>
      <c r="BQ9" s="43" t="n">
        <f aca="false">Calendario!BQ$18</f>
        <v>0</v>
      </c>
      <c r="BR9" s="43" t="n">
        <f aca="false">Calendario!BR$18</f>
        <v>0</v>
      </c>
      <c r="BS9" s="43" t="n">
        <f aca="false">Calendario!BS$18</f>
        <v>0</v>
      </c>
      <c r="BT9" s="43" t="n">
        <f aca="false">Calendario!BT$18</f>
        <v>0</v>
      </c>
      <c r="BU9" s="43" t="n">
        <f aca="false">Calendario!BU$18</f>
        <v>0</v>
      </c>
      <c r="BV9" s="43" t="n">
        <f aca="false">Calendario!BV$18</f>
        <v>0</v>
      </c>
      <c r="BW9" s="43" t="n">
        <f aca="false">Calendario!BW$18</f>
        <v>0</v>
      </c>
      <c r="BX9" s="43" t="n">
        <f aca="false">Calendario!BX$18</f>
        <v>0</v>
      </c>
      <c r="BY9" s="43" t="n">
        <f aca="false">Calendario!BY$18</f>
        <v>0</v>
      </c>
      <c r="BZ9" s="43" t="n">
        <f aca="false">Calendario!BZ$18</f>
        <v>0</v>
      </c>
      <c r="CA9" s="43" t="n">
        <f aca="false">Calendario!CA$18</f>
        <v>0</v>
      </c>
      <c r="CB9" s="43" t="n">
        <f aca="false">Calendario!CB$18</f>
        <v>0</v>
      </c>
      <c r="CC9" s="43" t="n">
        <f aca="false">Calendario!CC$18</f>
        <v>0</v>
      </c>
      <c r="CD9" s="43" t="n">
        <f aca="false">Calendario!CD$18</f>
        <v>0</v>
      </c>
      <c r="CE9" s="43" t="n">
        <f aca="false">Calendario!CE$18</f>
        <v>0</v>
      </c>
      <c r="CF9" s="43" t="n">
        <f aca="false">Calendario!CF$18</f>
        <v>0</v>
      </c>
      <c r="CG9" s="43" t="n">
        <f aca="false">Calendario!CG$18</f>
        <v>0</v>
      </c>
      <c r="CH9" s="43" t="n">
        <f aca="false">Calendario!CH$18</f>
        <v>0</v>
      </c>
      <c r="CI9" s="43" t="n">
        <f aca="false">Calendario!CI$18</f>
        <v>0</v>
      </c>
      <c r="CJ9" s="43" t="n">
        <f aca="false">Calendario!CJ$18</f>
        <v>0</v>
      </c>
      <c r="CK9" s="43" t="n">
        <f aca="false">Calendario!CK$18</f>
        <v>0</v>
      </c>
      <c r="CL9" s="43" t="n">
        <f aca="false">Calendario!CL$18</f>
        <v>0</v>
      </c>
      <c r="CM9" s="43" t="n">
        <f aca="false">Calendario!CM$18</f>
        <v>0</v>
      </c>
      <c r="CN9" s="43" t="n">
        <f aca="false">Calendario!CN$18</f>
        <v>0</v>
      </c>
      <c r="CO9" s="43" t="n">
        <f aca="false">Calendario!CO$18</f>
        <v>0</v>
      </c>
      <c r="CP9" s="43" t="n">
        <f aca="false">Calendario!CP$18</f>
        <v>0</v>
      </c>
      <c r="CQ9" s="43" t="n">
        <f aca="false">Calendario!CQ$18</f>
        <v>0</v>
      </c>
      <c r="CR9" s="43" t="n">
        <f aca="false">Calendario!CR$18</f>
        <v>0</v>
      </c>
      <c r="CS9" s="43" t="n">
        <f aca="false">Calendario!CS$18</f>
        <v>0</v>
      </c>
      <c r="CT9" s="43" t="n">
        <f aca="false">Calendario!CT$18</f>
        <v>0</v>
      </c>
      <c r="CU9" s="43" t="n">
        <f aca="false">Calendario!CU$18</f>
        <v>0</v>
      </c>
      <c r="CV9" s="43" t="n">
        <f aca="false">Calendario!CV$18</f>
        <v>0</v>
      </c>
      <c r="CW9" s="43" t="n">
        <f aca="false">Calendario!CW$18</f>
        <v>0</v>
      </c>
      <c r="CX9" s="43" t="n">
        <f aca="false">Calendario!CX$18</f>
        <v>0</v>
      </c>
      <c r="CY9" s="43" t="n">
        <f aca="false">Calendario!CY$18</f>
        <v>0</v>
      </c>
      <c r="CZ9" s="43" t="n">
        <f aca="false">Calendario!CZ$18</f>
        <v>0</v>
      </c>
      <c r="DA9" s="43" t="n">
        <f aca="false">Calendario!DA$18</f>
        <v>0</v>
      </c>
      <c r="DB9" s="43" t="n">
        <f aca="false">Calendario!DB$18</f>
        <v>0</v>
      </c>
      <c r="DC9" s="43" t="n">
        <f aca="false">Calendario!DC$18</f>
        <v>0</v>
      </c>
      <c r="DD9" s="43" t="n">
        <f aca="false">Calendario!DD$18</f>
        <v>0</v>
      </c>
      <c r="DE9" s="43" t="n">
        <f aca="false">Calendario!DE$18</f>
        <v>0</v>
      </c>
      <c r="DF9" s="43" t="n">
        <f aca="false">Calendario!DF$18</f>
        <v>0</v>
      </c>
      <c r="DG9" s="43" t="n">
        <f aca="false">Calendario!DG$18</f>
        <v>0</v>
      </c>
      <c r="DH9" s="43" t="n">
        <f aca="false">Calendario!DH$18</f>
        <v>0</v>
      </c>
      <c r="DI9" s="43" t="n">
        <f aca="false">Calendario!DI$18</f>
        <v>0</v>
      </c>
      <c r="DJ9" s="43" t="n">
        <f aca="false">Calendario!DJ$18</f>
        <v>0</v>
      </c>
      <c r="DK9" s="43" t="n">
        <f aca="false">Calendario!DK$18</f>
        <v>0</v>
      </c>
      <c r="DL9" s="43" t="n">
        <f aca="false">Calendario!DL$18</f>
        <v>0</v>
      </c>
      <c r="DM9" s="43" t="n">
        <f aca="false">Calendario!DM$18</f>
        <v>0</v>
      </c>
      <c r="DN9" s="43" t="n">
        <f aca="false">Calendario!DN$18</f>
        <v>0</v>
      </c>
      <c r="DO9" s="43" t="n">
        <f aca="false">Calendario!DO$18</f>
        <v>0</v>
      </c>
      <c r="DP9" s="43" t="n">
        <f aca="false">Calendario!DP$18</f>
        <v>0</v>
      </c>
      <c r="DQ9" s="43" t="n">
        <f aca="false">Calendario!DQ$18</f>
        <v>0</v>
      </c>
      <c r="DR9" s="43" t="n">
        <f aca="false">Calendario!DR$18</f>
        <v>0</v>
      </c>
      <c r="DS9" s="43" t="n">
        <f aca="false">Calendario!DS$18</f>
        <v>0</v>
      </c>
      <c r="DT9" s="43" t="n">
        <f aca="false">Calendario!DT$18</f>
        <v>0</v>
      </c>
      <c r="DU9" s="43" t="n">
        <f aca="false">Calendario!DU$18</f>
        <v>0</v>
      </c>
      <c r="DV9" s="43" t="n">
        <f aca="false">Calendario!DV$18</f>
        <v>0</v>
      </c>
      <c r="DW9" s="43" t="n">
        <f aca="false">Calendario!DW$18</f>
        <v>0</v>
      </c>
      <c r="DX9" s="43" t="n">
        <f aca="false">Calendario!DX$18</f>
        <v>0</v>
      </c>
      <c r="DY9" s="43" t="n">
        <f aca="false">Calendario!DY$18</f>
        <v>0</v>
      </c>
      <c r="DZ9" s="43" t="n">
        <f aca="false">Calendario!DZ$18</f>
        <v>0</v>
      </c>
      <c r="EA9" s="43" t="n">
        <f aca="false">Calendario!EA$18</f>
        <v>0</v>
      </c>
      <c r="EB9" s="43" t="n">
        <f aca="false">Calendario!EB$18</f>
        <v>0</v>
      </c>
      <c r="EC9" s="43" t="n">
        <f aca="false">Calendario!EC$18</f>
        <v>0</v>
      </c>
      <c r="ED9" s="43" t="n">
        <f aca="false">Calendario!ED$18</f>
        <v>0</v>
      </c>
      <c r="EE9" s="43" t="n">
        <f aca="false">Calendario!EE$18</f>
        <v>0</v>
      </c>
      <c r="EF9" s="43" t="n">
        <f aca="false">Calendario!EF$18</f>
        <v>0</v>
      </c>
      <c r="EG9" s="43" t="n">
        <f aca="false">Calendario!EG$18</f>
        <v>0</v>
      </c>
      <c r="EH9" s="43" t="n">
        <f aca="false">Calendario!EH$18</f>
        <v>0</v>
      </c>
      <c r="EI9" s="43" t="n">
        <f aca="false">Calendario!EI$18</f>
        <v>0</v>
      </c>
      <c r="EJ9" s="43" t="n">
        <f aca="false">Calendario!EJ$18</f>
        <v>0</v>
      </c>
      <c r="EK9" s="43" t="n">
        <f aca="false">Calendario!EK$18</f>
        <v>0</v>
      </c>
      <c r="EL9" s="43" t="n">
        <f aca="false">Calendario!EL$18</f>
        <v>0</v>
      </c>
      <c r="EM9" s="43" t="n">
        <f aca="false">Calendario!EM$18</f>
        <v>0</v>
      </c>
      <c r="EN9" s="43" t="n">
        <f aca="false">Calendario!EN$18</f>
        <v>0</v>
      </c>
      <c r="EO9" s="43" t="n">
        <f aca="false">Calendario!EO$18</f>
        <v>0</v>
      </c>
      <c r="EP9" s="43" t="n">
        <f aca="false">Calendario!EP$18</f>
        <v>0</v>
      </c>
      <c r="EQ9" s="43" t="n">
        <f aca="false">Calendario!EQ$18</f>
        <v>0</v>
      </c>
      <c r="ER9" s="43" t="n">
        <f aca="false">Calendario!ER$18</f>
        <v>0</v>
      </c>
      <c r="ES9" s="43" t="n">
        <f aca="false">Calendario!ES$18</f>
        <v>0</v>
      </c>
      <c r="ET9" s="43" t="n">
        <f aca="false">Calendario!ET$18</f>
        <v>0</v>
      </c>
      <c r="EU9" s="43" t="n">
        <f aca="false">Calendario!EU$18</f>
        <v>0</v>
      </c>
      <c r="EV9" s="43" t="n">
        <f aca="false">Calendario!EV$18</f>
        <v>0</v>
      </c>
      <c r="EW9" s="43" t="n">
        <f aca="false">Calendario!EW$18</f>
        <v>0</v>
      </c>
      <c r="EX9" s="43" t="n">
        <f aca="false">Calendario!EX$18</f>
        <v>0</v>
      </c>
      <c r="EY9" s="43" t="n">
        <f aca="false">Calendario!EY$18</f>
        <v>0</v>
      </c>
      <c r="EZ9" s="43" t="n">
        <f aca="false">Calendario!EZ$18</f>
        <v>0</v>
      </c>
      <c r="FA9" s="43" t="n">
        <f aca="false">Calendario!FA$18</f>
        <v>0</v>
      </c>
      <c r="FB9" s="43" t="n">
        <f aca="false">Calendario!FB$18</f>
        <v>0</v>
      </c>
      <c r="FC9" s="43" t="n">
        <f aca="false">Calendario!FC$18</f>
        <v>0</v>
      </c>
      <c r="FD9" s="43" t="n">
        <f aca="false">Calendario!FD$18</f>
        <v>0</v>
      </c>
      <c r="FE9" s="43" t="n">
        <f aca="false">Calendario!FE$18</f>
        <v>0</v>
      </c>
      <c r="FF9" s="43" t="n">
        <f aca="false">Calendario!FF$18</f>
        <v>0</v>
      </c>
    </row>
    <row r="10" customFormat="false" ht="15" hidden="false" customHeight="false" outlineLevel="0" collapsed="false">
      <c r="A10" s="4"/>
      <c r="B10" s="3" t="s">
        <v>1284</v>
      </c>
      <c r="C10" s="4"/>
      <c r="D10" s="4"/>
      <c r="E10" s="4"/>
    </row>
    <row r="11" customFormat="false" ht="15" hidden="false" customHeight="false" outlineLevel="0" collapsed="false">
      <c r="A11" s="2" t="s">
        <v>1285</v>
      </c>
      <c r="B11" s="8" t="s">
        <v>1286</v>
      </c>
      <c r="C11" s="8" t="s">
        <v>255</v>
      </c>
      <c r="E11" s="65" t="n">
        <f aca="false">SUM($F11:$FF11)</f>
        <v>81222447.7216454</v>
      </c>
      <c r="F11" s="28" t="n">
        <f aca="false">Produccion_Ventas!F$55</f>
        <v>0</v>
      </c>
      <c r="G11" s="28" t="n">
        <f aca="false">Produccion_Ventas!G$55</f>
        <v>404166.666666667</v>
      </c>
      <c r="H11" s="28" t="n">
        <f aca="false">Produccion_Ventas!H$55</f>
        <v>404166.666666667</v>
      </c>
      <c r="I11" s="28" t="n">
        <f aca="false">Produccion_Ventas!I$55</f>
        <v>404166.666666667</v>
      </c>
      <c r="J11" s="28" t="n">
        <f aca="false">Produccion_Ventas!J$55</f>
        <v>404166.666666667</v>
      </c>
      <c r="K11" s="28" t="n">
        <f aca="false">Produccion_Ventas!K$55</f>
        <v>404166.666666667</v>
      </c>
      <c r="L11" s="28" t="n">
        <f aca="false">Produccion_Ventas!L$55</f>
        <v>404166.666666667</v>
      </c>
      <c r="M11" s="28" t="n">
        <f aca="false">Produccion_Ventas!M$55</f>
        <v>404166.666666667</v>
      </c>
      <c r="N11" s="28" t="n">
        <f aca="false">Produccion_Ventas!N$55</f>
        <v>404166.666666667</v>
      </c>
      <c r="O11" s="28" t="n">
        <f aca="false">Produccion_Ventas!O$55</f>
        <v>404166.666666667</v>
      </c>
      <c r="P11" s="28" t="n">
        <f aca="false">Produccion_Ventas!P$55</f>
        <v>404166.666666667</v>
      </c>
      <c r="Q11" s="28" t="n">
        <f aca="false">Produccion_Ventas!Q$55</f>
        <v>404166.666666667</v>
      </c>
      <c r="R11" s="28" t="n">
        <f aca="false">Produccion_Ventas!R$55</f>
        <v>404166.666666667</v>
      </c>
      <c r="S11" s="28" t="n">
        <f aca="false">Produccion_Ventas!S$55</f>
        <v>515100</v>
      </c>
      <c r="T11" s="28" t="n">
        <f aca="false">Produccion_Ventas!T$55</f>
        <v>515100</v>
      </c>
      <c r="U11" s="28" t="n">
        <f aca="false">Produccion_Ventas!U$55</f>
        <v>515100</v>
      </c>
      <c r="V11" s="28" t="n">
        <f aca="false">Produccion_Ventas!V$55</f>
        <v>515100</v>
      </c>
      <c r="W11" s="28" t="n">
        <f aca="false">Produccion_Ventas!W$55</f>
        <v>515100</v>
      </c>
      <c r="X11" s="28" t="n">
        <f aca="false">Produccion_Ventas!X$55</f>
        <v>515100</v>
      </c>
      <c r="Y11" s="28" t="n">
        <f aca="false">Produccion_Ventas!Y$55</f>
        <v>515100</v>
      </c>
      <c r="Z11" s="28" t="n">
        <f aca="false">Produccion_Ventas!Z$55</f>
        <v>515100</v>
      </c>
      <c r="AA11" s="28" t="n">
        <f aca="false">Produccion_Ventas!AA$55</f>
        <v>515100</v>
      </c>
      <c r="AB11" s="28" t="n">
        <f aca="false">Produccion_Ventas!AB$55</f>
        <v>515100</v>
      </c>
      <c r="AC11" s="28" t="n">
        <f aca="false">Produccion_Ventas!AC$55</f>
        <v>515100</v>
      </c>
      <c r="AD11" s="28" t="n">
        <f aca="false">Produccion_Ventas!AD$55</f>
        <v>515100</v>
      </c>
      <c r="AE11" s="28" t="n">
        <f aca="false">Produccion_Ventas!AE$55</f>
        <v>628211.583333333</v>
      </c>
      <c r="AF11" s="28" t="n">
        <f aca="false">Produccion_Ventas!AF$55</f>
        <v>628211.583333333</v>
      </c>
      <c r="AG11" s="28" t="n">
        <f aca="false">Produccion_Ventas!AG$55</f>
        <v>628211.583333333</v>
      </c>
      <c r="AH11" s="28" t="n">
        <f aca="false">Produccion_Ventas!AH$55</f>
        <v>628211.583333333</v>
      </c>
      <c r="AI11" s="28" t="n">
        <f aca="false">Produccion_Ventas!AI$55</f>
        <v>628211.583333333</v>
      </c>
      <c r="AJ11" s="28" t="n">
        <f aca="false">Produccion_Ventas!AJ$55</f>
        <v>628211.583333333</v>
      </c>
      <c r="AK11" s="28" t="n">
        <f aca="false">Produccion_Ventas!AK$55</f>
        <v>628211.583333333</v>
      </c>
      <c r="AL11" s="28" t="n">
        <f aca="false">Produccion_Ventas!AL$55</f>
        <v>628211.583333333</v>
      </c>
      <c r="AM11" s="28" t="n">
        <f aca="false">Produccion_Ventas!AM$55</f>
        <v>628211.583333333</v>
      </c>
      <c r="AN11" s="28" t="n">
        <f aca="false">Produccion_Ventas!AN$55</f>
        <v>628211.583333333</v>
      </c>
      <c r="AO11" s="28" t="n">
        <f aca="false">Produccion_Ventas!AO$55</f>
        <v>628211.583333333</v>
      </c>
      <c r="AP11" s="28" t="n">
        <f aca="false">Produccion_Ventas!AP$55</f>
        <v>628211.583333333</v>
      </c>
      <c r="AQ11" s="28" t="n">
        <f aca="false">Produccion_Ventas!AQ$55</f>
        <v>723786.4525</v>
      </c>
      <c r="AR11" s="28" t="n">
        <f aca="false">Produccion_Ventas!AR$55</f>
        <v>723786.4525</v>
      </c>
      <c r="AS11" s="28" t="n">
        <f aca="false">Produccion_Ventas!AS$55</f>
        <v>723786.4525</v>
      </c>
      <c r="AT11" s="28" t="n">
        <f aca="false">Produccion_Ventas!AT$55</f>
        <v>723786.4525</v>
      </c>
      <c r="AU11" s="28" t="n">
        <f aca="false">Produccion_Ventas!AU$55</f>
        <v>723786.4525</v>
      </c>
      <c r="AV11" s="28" t="n">
        <f aca="false">Produccion_Ventas!AV$55</f>
        <v>723786.4525</v>
      </c>
      <c r="AW11" s="28" t="n">
        <f aca="false">Produccion_Ventas!AW$55</f>
        <v>723786.4525</v>
      </c>
      <c r="AX11" s="28" t="n">
        <f aca="false">Produccion_Ventas!AX$55</f>
        <v>723786.4525</v>
      </c>
      <c r="AY11" s="28" t="n">
        <f aca="false">Produccion_Ventas!AY$55</f>
        <v>723786.4525</v>
      </c>
      <c r="AZ11" s="28" t="n">
        <f aca="false">Produccion_Ventas!AZ$55</f>
        <v>723786.4525</v>
      </c>
      <c r="BA11" s="28" t="n">
        <f aca="false">Produccion_Ventas!BA$55</f>
        <v>723786.4525</v>
      </c>
      <c r="BB11" s="28" t="n">
        <f aca="false">Produccion_Ventas!BB$55</f>
        <v>723786.4525</v>
      </c>
      <c r="BC11" s="28" t="n">
        <f aca="false">Produccion_Ventas!BC$55</f>
        <v>731024.317025</v>
      </c>
      <c r="BD11" s="28" t="n">
        <f aca="false">Produccion_Ventas!BD$55</f>
        <v>731024.317025</v>
      </c>
      <c r="BE11" s="28" t="n">
        <f aca="false">Produccion_Ventas!BE$55</f>
        <v>731024.317025</v>
      </c>
      <c r="BF11" s="28" t="n">
        <f aca="false">Produccion_Ventas!BF$55</f>
        <v>731024.317025</v>
      </c>
      <c r="BG11" s="28" t="n">
        <f aca="false">Produccion_Ventas!BG$55</f>
        <v>731024.317025</v>
      </c>
      <c r="BH11" s="28" t="n">
        <f aca="false">Produccion_Ventas!BH$55</f>
        <v>731024.317025</v>
      </c>
      <c r="BI11" s="28" t="n">
        <f aca="false">Produccion_Ventas!BI$55</f>
        <v>731024.317025</v>
      </c>
      <c r="BJ11" s="28" t="n">
        <f aca="false">Produccion_Ventas!BJ$55</f>
        <v>731024.317025</v>
      </c>
      <c r="BK11" s="28" t="n">
        <f aca="false">Produccion_Ventas!BK$55</f>
        <v>731024.317025</v>
      </c>
      <c r="BL11" s="28" t="n">
        <f aca="false">Produccion_Ventas!BL$55</f>
        <v>731024.317025</v>
      </c>
      <c r="BM11" s="28" t="n">
        <f aca="false">Produccion_Ventas!BM$55</f>
        <v>731024.317025</v>
      </c>
      <c r="BN11" s="28" t="n">
        <f aca="false">Produccion_Ventas!BN$55</f>
        <v>731024.317025</v>
      </c>
      <c r="BO11" s="28" t="n">
        <f aca="false">Produccion_Ventas!BO$55</f>
        <v>738334.56019525</v>
      </c>
      <c r="BP11" s="28" t="n">
        <f aca="false">Produccion_Ventas!BP$55</f>
        <v>738334.56019525</v>
      </c>
      <c r="BQ11" s="28" t="n">
        <f aca="false">Produccion_Ventas!BQ$55</f>
        <v>738334.56019525</v>
      </c>
      <c r="BR11" s="28" t="n">
        <f aca="false">Produccion_Ventas!BR$55</f>
        <v>738334.56019525</v>
      </c>
      <c r="BS11" s="28" t="n">
        <f aca="false">Produccion_Ventas!BS$55</f>
        <v>738334.56019525</v>
      </c>
      <c r="BT11" s="28" t="n">
        <f aca="false">Produccion_Ventas!BT$55</f>
        <v>738334.56019525</v>
      </c>
      <c r="BU11" s="28" t="n">
        <f aca="false">Produccion_Ventas!BU$55</f>
        <v>738334.56019525</v>
      </c>
      <c r="BV11" s="28" t="n">
        <f aca="false">Produccion_Ventas!BV$55</f>
        <v>738334.56019525</v>
      </c>
      <c r="BW11" s="28" t="n">
        <f aca="false">Produccion_Ventas!BW$55</f>
        <v>738334.56019525</v>
      </c>
      <c r="BX11" s="28" t="n">
        <f aca="false">Produccion_Ventas!BX$55</f>
        <v>738334.56019525</v>
      </c>
      <c r="BY11" s="28" t="n">
        <f aca="false">Produccion_Ventas!BY$55</f>
        <v>738334.56019525</v>
      </c>
      <c r="BZ11" s="28" t="n">
        <f aca="false">Produccion_Ventas!BZ$55</f>
        <v>738334.56019525</v>
      </c>
      <c r="CA11" s="28" t="n">
        <f aca="false">Produccion_Ventas!CA$55</f>
        <v>745717.905797203</v>
      </c>
      <c r="CB11" s="28" t="n">
        <f aca="false">Produccion_Ventas!CB$55</f>
        <v>745717.905797203</v>
      </c>
      <c r="CC11" s="28" t="n">
        <f aca="false">Produccion_Ventas!CC$55</f>
        <v>745717.905797203</v>
      </c>
      <c r="CD11" s="28" t="n">
        <f aca="false">Produccion_Ventas!CD$55</f>
        <v>745717.905797203</v>
      </c>
      <c r="CE11" s="28" t="n">
        <f aca="false">Produccion_Ventas!CE$55</f>
        <v>745717.905797203</v>
      </c>
      <c r="CF11" s="28" t="n">
        <f aca="false">Produccion_Ventas!CF$55</f>
        <v>745717.905797203</v>
      </c>
      <c r="CG11" s="28" t="n">
        <f aca="false">Produccion_Ventas!CG$55</f>
        <v>745717.905797203</v>
      </c>
      <c r="CH11" s="28" t="n">
        <f aca="false">Produccion_Ventas!CH$55</f>
        <v>745717.905797203</v>
      </c>
      <c r="CI11" s="28" t="n">
        <f aca="false">Produccion_Ventas!CI$55</f>
        <v>745717.905797203</v>
      </c>
      <c r="CJ11" s="28" t="n">
        <f aca="false">Produccion_Ventas!CJ$55</f>
        <v>745717.905797203</v>
      </c>
      <c r="CK11" s="28" t="n">
        <f aca="false">Produccion_Ventas!CK$55</f>
        <v>745717.905797203</v>
      </c>
      <c r="CL11" s="28" t="n">
        <f aca="false">Produccion_Ventas!CL$55</f>
        <v>745717.905797203</v>
      </c>
      <c r="CM11" s="28" t="n">
        <f aca="false">Produccion_Ventas!CM$55</f>
        <v>753175.084855175</v>
      </c>
      <c r="CN11" s="28" t="n">
        <f aca="false">Produccion_Ventas!CN$55</f>
        <v>753175.084855175</v>
      </c>
      <c r="CO11" s="28" t="n">
        <f aca="false">Produccion_Ventas!CO$55</f>
        <v>753175.084855175</v>
      </c>
      <c r="CP11" s="28" t="n">
        <f aca="false">Produccion_Ventas!CP$55</f>
        <v>753175.084855175</v>
      </c>
      <c r="CQ11" s="28" t="n">
        <f aca="false">Produccion_Ventas!CQ$55</f>
        <v>753175.084855175</v>
      </c>
      <c r="CR11" s="28" t="n">
        <f aca="false">Produccion_Ventas!CR$55</f>
        <v>753175.084855175</v>
      </c>
      <c r="CS11" s="28" t="n">
        <f aca="false">Produccion_Ventas!CS$55</f>
        <v>753175.084855175</v>
      </c>
      <c r="CT11" s="28" t="n">
        <f aca="false">Produccion_Ventas!CT$55</f>
        <v>753175.084855175</v>
      </c>
      <c r="CU11" s="28" t="n">
        <f aca="false">Produccion_Ventas!CU$55</f>
        <v>753175.084855175</v>
      </c>
      <c r="CV11" s="28" t="n">
        <f aca="false">Produccion_Ventas!CV$55</f>
        <v>753175.084855175</v>
      </c>
      <c r="CW11" s="28" t="n">
        <f aca="false">Produccion_Ventas!CW$55</f>
        <v>753175.084855175</v>
      </c>
      <c r="CX11" s="28" t="n">
        <f aca="false">Produccion_Ventas!CX$55</f>
        <v>753175.084855175</v>
      </c>
      <c r="CY11" s="28" t="n">
        <f aca="false">Produccion_Ventas!CY$55</f>
        <v>760706.835703726</v>
      </c>
      <c r="CZ11" s="28" t="n">
        <f aca="false">Produccion_Ventas!CZ$55</f>
        <v>760706.835703726</v>
      </c>
      <c r="DA11" s="28" t="n">
        <f aca="false">Produccion_Ventas!DA$55</f>
        <v>760706.835703726</v>
      </c>
      <c r="DB11" s="28" t="n">
        <f aca="false">Produccion_Ventas!DB$55</f>
        <v>760706.835703726</v>
      </c>
      <c r="DC11" s="28" t="n">
        <f aca="false">Produccion_Ventas!DC$55</f>
        <v>760706.835703726</v>
      </c>
      <c r="DD11" s="28" t="n">
        <f aca="false">Produccion_Ventas!DD$55</f>
        <v>760706.835703726</v>
      </c>
      <c r="DE11" s="28" t="n">
        <f aca="false">Produccion_Ventas!DE$55</f>
        <v>760706.835703726</v>
      </c>
      <c r="DF11" s="28" t="n">
        <f aca="false">Produccion_Ventas!DF$55</f>
        <v>760706.835703726</v>
      </c>
      <c r="DG11" s="28" t="n">
        <f aca="false">Produccion_Ventas!DG$55</f>
        <v>760706.835703726</v>
      </c>
      <c r="DH11" s="28" t="n">
        <f aca="false">Produccion_Ventas!DH$55</f>
        <v>760706.835703726</v>
      </c>
      <c r="DI11" s="28" t="n">
        <f aca="false">Produccion_Ventas!DI$55</f>
        <v>760706.835703726</v>
      </c>
      <c r="DJ11" s="28" t="n">
        <f aca="false">Produccion_Ventas!DJ$55</f>
        <v>760706.835703726</v>
      </c>
      <c r="DK11" s="28" t="n">
        <f aca="false">Produccion_Ventas!DK$55</f>
        <v>768313.904060764</v>
      </c>
      <c r="DL11" s="28" t="n">
        <f aca="false">Produccion_Ventas!DL$55</f>
        <v>768313.904060764</v>
      </c>
      <c r="DM11" s="28" t="n">
        <f aca="false">Produccion_Ventas!DM$55</f>
        <v>768313.904060764</v>
      </c>
      <c r="DN11" s="28" t="n">
        <f aca="false">Produccion_Ventas!DN$55</f>
        <v>768313.904060764</v>
      </c>
      <c r="DO11" s="28" t="n">
        <f aca="false">Produccion_Ventas!DO$55</f>
        <v>768313.904060764</v>
      </c>
      <c r="DP11" s="28" t="n">
        <f aca="false">Produccion_Ventas!DP$55</f>
        <v>768313.904060764</v>
      </c>
      <c r="DQ11" s="28" t="n">
        <f aca="false">Produccion_Ventas!DQ$55</f>
        <v>768313.904060764</v>
      </c>
      <c r="DR11" s="28" t="n">
        <f aca="false">Produccion_Ventas!DR$55</f>
        <v>768313.904060764</v>
      </c>
      <c r="DS11" s="28" t="n">
        <f aca="false">Produccion_Ventas!DS$55</f>
        <v>768313.904060764</v>
      </c>
      <c r="DT11" s="28" t="n">
        <f aca="false">Produccion_Ventas!DT$55</f>
        <v>768313.904060764</v>
      </c>
      <c r="DU11" s="28" t="n">
        <f aca="false">Produccion_Ventas!DU$55</f>
        <v>768313.904060764</v>
      </c>
      <c r="DV11" s="28" t="n">
        <f aca="false">Produccion_Ventas!DV$55</f>
        <v>768313.904060764</v>
      </c>
      <c r="DW11" s="28" t="n">
        <f aca="false">Produccion_Ventas!DW$55</f>
        <v>0</v>
      </c>
      <c r="DX11" s="28" t="n">
        <f aca="false">Produccion_Ventas!DX$55</f>
        <v>0</v>
      </c>
      <c r="DY11" s="28" t="n">
        <f aca="false">Produccion_Ventas!DY$55</f>
        <v>0</v>
      </c>
      <c r="DZ11" s="28" t="n">
        <f aca="false">Produccion_Ventas!DZ$55</f>
        <v>0</v>
      </c>
      <c r="EA11" s="28" t="n">
        <f aca="false">Produccion_Ventas!EA$55</f>
        <v>0</v>
      </c>
      <c r="EB11" s="28" t="n">
        <f aca="false">Produccion_Ventas!EB$55</f>
        <v>0</v>
      </c>
      <c r="EC11" s="28" t="n">
        <f aca="false">Produccion_Ventas!EC$55</f>
        <v>0</v>
      </c>
      <c r="ED11" s="28" t="n">
        <f aca="false">Produccion_Ventas!ED$55</f>
        <v>0</v>
      </c>
      <c r="EE11" s="28" t="n">
        <f aca="false">Produccion_Ventas!EE$55</f>
        <v>0</v>
      </c>
      <c r="EF11" s="28" t="n">
        <f aca="false">Produccion_Ventas!EF$55</f>
        <v>0</v>
      </c>
      <c r="EG11" s="28" t="n">
        <f aca="false">Produccion_Ventas!EG$55</f>
        <v>0</v>
      </c>
      <c r="EH11" s="28" t="n">
        <f aca="false">Produccion_Ventas!EH$55</f>
        <v>0</v>
      </c>
      <c r="EI11" s="28" t="n">
        <f aca="false">Produccion_Ventas!EI$55</f>
        <v>0</v>
      </c>
      <c r="EJ11" s="28" t="n">
        <f aca="false">Produccion_Ventas!EJ$55</f>
        <v>0</v>
      </c>
      <c r="EK11" s="28" t="n">
        <f aca="false">Produccion_Ventas!EK$55</f>
        <v>0</v>
      </c>
      <c r="EL11" s="28" t="n">
        <f aca="false">Produccion_Ventas!EL$55</f>
        <v>0</v>
      </c>
      <c r="EM11" s="28" t="n">
        <f aca="false">Produccion_Ventas!EM$55</f>
        <v>0</v>
      </c>
      <c r="EN11" s="28" t="n">
        <f aca="false">Produccion_Ventas!EN$55</f>
        <v>0</v>
      </c>
      <c r="EO11" s="28" t="n">
        <f aca="false">Produccion_Ventas!EO$55</f>
        <v>0</v>
      </c>
      <c r="EP11" s="28" t="n">
        <f aca="false">Produccion_Ventas!EP$55</f>
        <v>0</v>
      </c>
      <c r="EQ11" s="28" t="n">
        <f aca="false">Produccion_Ventas!EQ$55</f>
        <v>0</v>
      </c>
      <c r="ER11" s="28" t="n">
        <f aca="false">Produccion_Ventas!ER$55</f>
        <v>0</v>
      </c>
      <c r="ES11" s="28" t="n">
        <f aca="false">Produccion_Ventas!ES$55</f>
        <v>0</v>
      </c>
      <c r="ET11" s="28" t="n">
        <f aca="false">Produccion_Ventas!ET$55</f>
        <v>0</v>
      </c>
      <c r="EU11" s="28" t="n">
        <f aca="false">Produccion_Ventas!EU$55</f>
        <v>0</v>
      </c>
      <c r="EV11" s="28" t="n">
        <f aca="false">Produccion_Ventas!EV$55</f>
        <v>0</v>
      </c>
      <c r="EW11" s="28" t="n">
        <f aca="false">Produccion_Ventas!EW$55</f>
        <v>0</v>
      </c>
      <c r="EX11" s="28" t="n">
        <f aca="false">Produccion_Ventas!EX$55</f>
        <v>0</v>
      </c>
      <c r="EY11" s="28" t="n">
        <f aca="false">Produccion_Ventas!EY$55</f>
        <v>0</v>
      </c>
      <c r="EZ11" s="28" t="n">
        <f aca="false">Produccion_Ventas!EZ$55</f>
        <v>0</v>
      </c>
      <c r="FA11" s="28" t="n">
        <f aca="false">Produccion_Ventas!FA$55</f>
        <v>0</v>
      </c>
      <c r="FB11" s="28" t="n">
        <f aca="false">Produccion_Ventas!FB$55</f>
        <v>0</v>
      </c>
      <c r="FC11" s="28" t="n">
        <f aca="false">Produccion_Ventas!FC$55</f>
        <v>0</v>
      </c>
      <c r="FD11" s="28" t="n">
        <f aca="false">Produccion_Ventas!FD$55</f>
        <v>0</v>
      </c>
      <c r="FE11" s="28" t="n">
        <f aca="false">Produccion_Ventas!FE$55</f>
        <v>0</v>
      </c>
      <c r="FF11" s="28" t="n">
        <f aca="false">Produccion_Ventas!FF$55</f>
        <v>0</v>
      </c>
    </row>
    <row r="12" customFormat="false" ht="15" hidden="false" customHeight="false" outlineLevel="0" collapsed="false">
      <c r="A12" s="2" t="s">
        <v>1287</v>
      </c>
      <c r="B12" s="8" t="s">
        <v>616</v>
      </c>
      <c r="C12" s="8" t="s">
        <v>255</v>
      </c>
      <c r="E12" s="65" t="n">
        <f aca="false">SUM($F12:$FF12)</f>
        <v>81222447.7216454</v>
      </c>
      <c r="F12" s="13" t="n">
        <f aca="false">F$11*e_Cred</f>
        <v>0</v>
      </c>
      <c r="G12" s="13" t="n">
        <f aca="false">G$11*e_Cred</f>
        <v>404166.666666667</v>
      </c>
      <c r="H12" s="13" t="n">
        <f aca="false">H$11*e_Cred</f>
        <v>404166.666666667</v>
      </c>
      <c r="I12" s="13" t="n">
        <f aca="false">I$11*e_Cred</f>
        <v>404166.666666667</v>
      </c>
      <c r="J12" s="13" t="n">
        <f aca="false">J$11*e_Cred</f>
        <v>404166.666666667</v>
      </c>
      <c r="K12" s="13" t="n">
        <f aca="false">K$11*e_Cred</f>
        <v>404166.666666667</v>
      </c>
      <c r="L12" s="13" t="n">
        <f aca="false">L$11*e_Cred</f>
        <v>404166.666666667</v>
      </c>
      <c r="M12" s="13" t="n">
        <f aca="false">M$11*e_Cred</f>
        <v>404166.666666667</v>
      </c>
      <c r="N12" s="13" t="n">
        <f aca="false">N$11*e_Cred</f>
        <v>404166.666666667</v>
      </c>
      <c r="O12" s="13" t="n">
        <f aca="false">O$11*e_Cred</f>
        <v>404166.666666667</v>
      </c>
      <c r="P12" s="13" t="n">
        <f aca="false">P$11*e_Cred</f>
        <v>404166.666666667</v>
      </c>
      <c r="Q12" s="13" t="n">
        <f aca="false">Q$11*e_Cred</f>
        <v>404166.666666667</v>
      </c>
      <c r="R12" s="13" t="n">
        <f aca="false">R$11*e_Cred</f>
        <v>404166.666666667</v>
      </c>
      <c r="S12" s="13" t="n">
        <f aca="false">S$11*e_Cred</f>
        <v>515100</v>
      </c>
      <c r="T12" s="13" t="n">
        <f aca="false">T$11*e_Cred</f>
        <v>515100</v>
      </c>
      <c r="U12" s="13" t="n">
        <f aca="false">U$11*e_Cred</f>
        <v>515100</v>
      </c>
      <c r="V12" s="13" t="n">
        <f aca="false">V$11*e_Cred</f>
        <v>515100</v>
      </c>
      <c r="W12" s="13" t="n">
        <f aca="false">W$11*e_Cred</f>
        <v>515100</v>
      </c>
      <c r="X12" s="13" t="n">
        <f aca="false">X$11*e_Cred</f>
        <v>515100</v>
      </c>
      <c r="Y12" s="13" t="n">
        <f aca="false">Y$11*e_Cred</f>
        <v>515100</v>
      </c>
      <c r="Z12" s="13" t="n">
        <f aca="false">Z$11*e_Cred</f>
        <v>515100</v>
      </c>
      <c r="AA12" s="13" t="n">
        <f aca="false">AA$11*e_Cred</f>
        <v>515100</v>
      </c>
      <c r="AB12" s="13" t="n">
        <f aca="false">AB$11*e_Cred</f>
        <v>515100</v>
      </c>
      <c r="AC12" s="13" t="n">
        <f aca="false">AC$11*e_Cred</f>
        <v>515100</v>
      </c>
      <c r="AD12" s="13" t="n">
        <f aca="false">AD$11*e_Cred</f>
        <v>515100</v>
      </c>
      <c r="AE12" s="13" t="n">
        <f aca="false">AE$11*e_Cred</f>
        <v>628211.583333333</v>
      </c>
      <c r="AF12" s="13" t="n">
        <f aca="false">AF$11*e_Cred</f>
        <v>628211.583333333</v>
      </c>
      <c r="AG12" s="13" t="n">
        <f aca="false">AG$11*e_Cred</f>
        <v>628211.583333333</v>
      </c>
      <c r="AH12" s="13" t="n">
        <f aca="false">AH$11*e_Cred</f>
        <v>628211.583333333</v>
      </c>
      <c r="AI12" s="13" t="n">
        <f aca="false">AI$11*e_Cred</f>
        <v>628211.583333333</v>
      </c>
      <c r="AJ12" s="13" t="n">
        <f aca="false">AJ$11*e_Cred</f>
        <v>628211.583333333</v>
      </c>
      <c r="AK12" s="13" t="n">
        <f aca="false">AK$11*e_Cred</f>
        <v>628211.583333333</v>
      </c>
      <c r="AL12" s="13" t="n">
        <f aca="false">AL$11*e_Cred</f>
        <v>628211.583333333</v>
      </c>
      <c r="AM12" s="13" t="n">
        <f aca="false">AM$11*e_Cred</f>
        <v>628211.583333333</v>
      </c>
      <c r="AN12" s="13" t="n">
        <f aca="false">AN$11*e_Cred</f>
        <v>628211.583333333</v>
      </c>
      <c r="AO12" s="13" t="n">
        <f aca="false">AO$11*e_Cred</f>
        <v>628211.583333333</v>
      </c>
      <c r="AP12" s="13" t="n">
        <f aca="false">AP$11*e_Cred</f>
        <v>628211.583333333</v>
      </c>
      <c r="AQ12" s="13" t="n">
        <f aca="false">AQ$11*e_Cred</f>
        <v>723786.4525</v>
      </c>
      <c r="AR12" s="13" t="n">
        <f aca="false">AR$11*e_Cred</f>
        <v>723786.4525</v>
      </c>
      <c r="AS12" s="13" t="n">
        <f aca="false">AS$11*e_Cred</f>
        <v>723786.4525</v>
      </c>
      <c r="AT12" s="13" t="n">
        <f aca="false">AT$11*e_Cred</f>
        <v>723786.4525</v>
      </c>
      <c r="AU12" s="13" t="n">
        <f aca="false">AU$11*e_Cred</f>
        <v>723786.4525</v>
      </c>
      <c r="AV12" s="13" t="n">
        <f aca="false">AV$11*e_Cred</f>
        <v>723786.4525</v>
      </c>
      <c r="AW12" s="13" t="n">
        <f aca="false">AW$11*e_Cred</f>
        <v>723786.4525</v>
      </c>
      <c r="AX12" s="13" t="n">
        <f aca="false">AX$11*e_Cred</f>
        <v>723786.4525</v>
      </c>
      <c r="AY12" s="13" t="n">
        <f aca="false">AY$11*e_Cred</f>
        <v>723786.4525</v>
      </c>
      <c r="AZ12" s="13" t="n">
        <f aca="false">AZ$11*e_Cred</f>
        <v>723786.4525</v>
      </c>
      <c r="BA12" s="13" t="n">
        <f aca="false">BA$11*e_Cred</f>
        <v>723786.4525</v>
      </c>
      <c r="BB12" s="13" t="n">
        <f aca="false">BB$11*e_Cred</f>
        <v>723786.4525</v>
      </c>
      <c r="BC12" s="13" t="n">
        <f aca="false">BC$11*e_Cred</f>
        <v>731024.317025</v>
      </c>
      <c r="BD12" s="13" t="n">
        <f aca="false">BD$11*e_Cred</f>
        <v>731024.317025</v>
      </c>
      <c r="BE12" s="13" t="n">
        <f aca="false">BE$11*e_Cred</f>
        <v>731024.317025</v>
      </c>
      <c r="BF12" s="13" t="n">
        <f aca="false">BF$11*e_Cred</f>
        <v>731024.317025</v>
      </c>
      <c r="BG12" s="13" t="n">
        <f aca="false">BG$11*e_Cred</f>
        <v>731024.317025</v>
      </c>
      <c r="BH12" s="13" t="n">
        <f aca="false">BH$11*e_Cred</f>
        <v>731024.317025</v>
      </c>
      <c r="BI12" s="13" t="n">
        <f aca="false">BI$11*e_Cred</f>
        <v>731024.317025</v>
      </c>
      <c r="BJ12" s="13" t="n">
        <f aca="false">BJ$11*e_Cred</f>
        <v>731024.317025</v>
      </c>
      <c r="BK12" s="13" t="n">
        <f aca="false">BK$11*e_Cred</f>
        <v>731024.317025</v>
      </c>
      <c r="BL12" s="13" t="n">
        <f aca="false">BL$11*e_Cred</f>
        <v>731024.317025</v>
      </c>
      <c r="BM12" s="13" t="n">
        <f aca="false">BM$11*e_Cred</f>
        <v>731024.317025</v>
      </c>
      <c r="BN12" s="13" t="n">
        <f aca="false">BN$11*e_Cred</f>
        <v>731024.317025</v>
      </c>
      <c r="BO12" s="13" t="n">
        <f aca="false">BO$11*e_Cred</f>
        <v>738334.56019525</v>
      </c>
      <c r="BP12" s="13" t="n">
        <f aca="false">BP$11*e_Cred</f>
        <v>738334.56019525</v>
      </c>
      <c r="BQ12" s="13" t="n">
        <f aca="false">BQ$11*e_Cred</f>
        <v>738334.56019525</v>
      </c>
      <c r="BR12" s="13" t="n">
        <f aca="false">BR$11*e_Cred</f>
        <v>738334.56019525</v>
      </c>
      <c r="BS12" s="13" t="n">
        <f aca="false">BS$11*e_Cred</f>
        <v>738334.56019525</v>
      </c>
      <c r="BT12" s="13" t="n">
        <f aca="false">BT$11*e_Cred</f>
        <v>738334.56019525</v>
      </c>
      <c r="BU12" s="13" t="n">
        <f aca="false">BU$11*e_Cred</f>
        <v>738334.56019525</v>
      </c>
      <c r="BV12" s="13" t="n">
        <f aca="false">BV$11*e_Cred</f>
        <v>738334.56019525</v>
      </c>
      <c r="BW12" s="13" t="n">
        <f aca="false">BW$11*e_Cred</f>
        <v>738334.56019525</v>
      </c>
      <c r="BX12" s="13" t="n">
        <f aca="false">BX$11*e_Cred</f>
        <v>738334.56019525</v>
      </c>
      <c r="BY12" s="13" t="n">
        <f aca="false">BY$11*e_Cred</f>
        <v>738334.56019525</v>
      </c>
      <c r="BZ12" s="13" t="n">
        <f aca="false">BZ$11*e_Cred</f>
        <v>738334.56019525</v>
      </c>
      <c r="CA12" s="13" t="n">
        <f aca="false">CA$11*e_Cred</f>
        <v>745717.905797203</v>
      </c>
      <c r="CB12" s="13" t="n">
        <f aca="false">CB$11*e_Cred</f>
        <v>745717.905797203</v>
      </c>
      <c r="CC12" s="13" t="n">
        <f aca="false">CC$11*e_Cred</f>
        <v>745717.905797203</v>
      </c>
      <c r="CD12" s="13" t="n">
        <f aca="false">CD$11*e_Cred</f>
        <v>745717.905797203</v>
      </c>
      <c r="CE12" s="13" t="n">
        <f aca="false">CE$11*e_Cred</f>
        <v>745717.905797203</v>
      </c>
      <c r="CF12" s="13" t="n">
        <f aca="false">CF$11*e_Cred</f>
        <v>745717.905797203</v>
      </c>
      <c r="CG12" s="13" t="n">
        <f aca="false">CG$11*e_Cred</f>
        <v>745717.905797203</v>
      </c>
      <c r="CH12" s="13" t="n">
        <f aca="false">CH$11*e_Cred</f>
        <v>745717.905797203</v>
      </c>
      <c r="CI12" s="13" t="n">
        <f aca="false">CI$11*e_Cred</f>
        <v>745717.905797203</v>
      </c>
      <c r="CJ12" s="13" t="n">
        <f aca="false">CJ$11*e_Cred</f>
        <v>745717.905797203</v>
      </c>
      <c r="CK12" s="13" t="n">
        <f aca="false">CK$11*e_Cred</f>
        <v>745717.905797203</v>
      </c>
      <c r="CL12" s="13" t="n">
        <f aca="false">CL$11*e_Cred</f>
        <v>745717.905797203</v>
      </c>
      <c r="CM12" s="13" t="n">
        <f aca="false">CM$11*e_Cred</f>
        <v>753175.084855175</v>
      </c>
      <c r="CN12" s="13" t="n">
        <f aca="false">CN$11*e_Cred</f>
        <v>753175.084855175</v>
      </c>
      <c r="CO12" s="13" t="n">
        <f aca="false">CO$11*e_Cred</f>
        <v>753175.084855175</v>
      </c>
      <c r="CP12" s="13" t="n">
        <f aca="false">CP$11*e_Cred</f>
        <v>753175.084855175</v>
      </c>
      <c r="CQ12" s="13" t="n">
        <f aca="false">CQ$11*e_Cred</f>
        <v>753175.084855175</v>
      </c>
      <c r="CR12" s="13" t="n">
        <f aca="false">CR$11*e_Cred</f>
        <v>753175.084855175</v>
      </c>
      <c r="CS12" s="13" t="n">
        <f aca="false">CS$11*e_Cred</f>
        <v>753175.084855175</v>
      </c>
      <c r="CT12" s="13" t="n">
        <f aca="false">CT$11*e_Cred</f>
        <v>753175.084855175</v>
      </c>
      <c r="CU12" s="13" t="n">
        <f aca="false">CU$11*e_Cred</f>
        <v>753175.084855175</v>
      </c>
      <c r="CV12" s="13" t="n">
        <f aca="false">CV$11*e_Cred</f>
        <v>753175.084855175</v>
      </c>
      <c r="CW12" s="13" t="n">
        <f aca="false">CW$11*e_Cred</f>
        <v>753175.084855175</v>
      </c>
      <c r="CX12" s="13" t="n">
        <f aca="false">CX$11*e_Cred</f>
        <v>753175.084855175</v>
      </c>
      <c r="CY12" s="13" t="n">
        <f aca="false">CY$11*e_Cred</f>
        <v>760706.835703726</v>
      </c>
      <c r="CZ12" s="13" t="n">
        <f aca="false">CZ$11*e_Cred</f>
        <v>760706.835703726</v>
      </c>
      <c r="DA12" s="13" t="n">
        <f aca="false">DA$11*e_Cred</f>
        <v>760706.835703726</v>
      </c>
      <c r="DB12" s="13" t="n">
        <f aca="false">DB$11*e_Cred</f>
        <v>760706.835703726</v>
      </c>
      <c r="DC12" s="13" t="n">
        <f aca="false">DC$11*e_Cred</f>
        <v>760706.835703726</v>
      </c>
      <c r="DD12" s="13" t="n">
        <f aca="false">DD$11*e_Cred</f>
        <v>760706.835703726</v>
      </c>
      <c r="DE12" s="13" t="n">
        <f aca="false">DE$11*e_Cred</f>
        <v>760706.835703726</v>
      </c>
      <c r="DF12" s="13" t="n">
        <f aca="false">DF$11*e_Cred</f>
        <v>760706.835703726</v>
      </c>
      <c r="DG12" s="13" t="n">
        <f aca="false">DG$11*e_Cred</f>
        <v>760706.835703726</v>
      </c>
      <c r="DH12" s="13" t="n">
        <f aca="false">DH$11*e_Cred</f>
        <v>760706.835703726</v>
      </c>
      <c r="DI12" s="13" t="n">
        <f aca="false">DI$11*e_Cred</f>
        <v>760706.835703726</v>
      </c>
      <c r="DJ12" s="13" t="n">
        <f aca="false">DJ$11*e_Cred</f>
        <v>760706.835703726</v>
      </c>
      <c r="DK12" s="13" t="n">
        <f aca="false">DK$11*e_Cred</f>
        <v>768313.904060764</v>
      </c>
      <c r="DL12" s="13" t="n">
        <f aca="false">DL$11*e_Cred</f>
        <v>768313.904060764</v>
      </c>
      <c r="DM12" s="13" t="n">
        <f aca="false">DM$11*e_Cred</f>
        <v>768313.904060764</v>
      </c>
      <c r="DN12" s="13" t="n">
        <f aca="false">DN$11*e_Cred</f>
        <v>768313.904060764</v>
      </c>
      <c r="DO12" s="13" t="n">
        <f aca="false">DO$11*e_Cred</f>
        <v>768313.904060764</v>
      </c>
      <c r="DP12" s="13" t="n">
        <f aca="false">DP$11*e_Cred</f>
        <v>768313.904060764</v>
      </c>
      <c r="DQ12" s="13" t="n">
        <f aca="false">DQ$11*e_Cred</f>
        <v>768313.904060764</v>
      </c>
      <c r="DR12" s="13" t="n">
        <f aca="false">DR$11*e_Cred</f>
        <v>768313.904060764</v>
      </c>
      <c r="DS12" s="13" t="n">
        <f aca="false">DS$11*e_Cred</f>
        <v>768313.904060764</v>
      </c>
      <c r="DT12" s="13" t="n">
        <f aca="false">DT$11*e_Cred</f>
        <v>768313.904060764</v>
      </c>
      <c r="DU12" s="13" t="n">
        <f aca="false">DU$11*e_Cred</f>
        <v>768313.904060764</v>
      </c>
      <c r="DV12" s="13" t="n">
        <f aca="false">DV$11*e_Cred</f>
        <v>768313.904060764</v>
      </c>
      <c r="DW12" s="13" t="n">
        <f aca="false">DW$11*e_Cred</f>
        <v>0</v>
      </c>
      <c r="DX12" s="13" t="n">
        <f aca="false">DX$11*e_Cred</f>
        <v>0</v>
      </c>
      <c r="DY12" s="13" t="n">
        <f aca="false">DY$11*e_Cred</f>
        <v>0</v>
      </c>
      <c r="DZ12" s="13" t="n">
        <f aca="false">DZ$11*e_Cred</f>
        <v>0</v>
      </c>
      <c r="EA12" s="13" t="n">
        <f aca="false">EA$11*e_Cred</f>
        <v>0</v>
      </c>
      <c r="EB12" s="13" t="n">
        <f aca="false">EB$11*e_Cred</f>
        <v>0</v>
      </c>
      <c r="EC12" s="13" t="n">
        <f aca="false">EC$11*e_Cred</f>
        <v>0</v>
      </c>
      <c r="ED12" s="13" t="n">
        <f aca="false">ED$11*e_Cred</f>
        <v>0</v>
      </c>
      <c r="EE12" s="13" t="n">
        <f aca="false">EE$11*e_Cred</f>
        <v>0</v>
      </c>
      <c r="EF12" s="13" t="n">
        <f aca="false">EF$11*e_Cred</f>
        <v>0</v>
      </c>
      <c r="EG12" s="13" t="n">
        <f aca="false">EG$11*e_Cred</f>
        <v>0</v>
      </c>
      <c r="EH12" s="13" t="n">
        <f aca="false">EH$11*e_Cred</f>
        <v>0</v>
      </c>
      <c r="EI12" s="13" t="n">
        <f aca="false">EI$11*e_Cred</f>
        <v>0</v>
      </c>
      <c r="EJ12" s="13" t="n">
        <f aca="false">EJ$11*e_Cred</f>
        <v>0</v>
      </c>
      <c r="EK12" s="13" t="n">
        <f aca="false">EK$11*e_Cred</f>
        <v>0</v>
      </c>
      <c r="EL12" s="13" t="n">
        <f aca="false">EL$11*e_Cred</f>
        <v>0</v>
      </c>
      <c r="EM12" s="13" t="n">
        <f aca="false">EM$11*e_Cred</f>
        <v>0</v>
      </c>
      <c r="EN12" s="13" t="n">
        <f aca="false">EN$11*e_Cred</f>
        <v>0</v>
      </c>
      <c r="EO12" s="13" t="n">
        <f aca="false">EO$11*e_Cred</f>
        <v>0</v>
      </c>
      <c r="EP12" s="13" t="n">
        <f aca="false">EP$11*e_Cred</f>
        <v>0</v>
      </c>
      <c r="EQ12" s="13" t="n">
        <f aca="false">EQ$11*e_Cred</f>
        <v>0</v>
      </c>
      <c r="ER12" s="13" t="n">
        <f aca="false">ER$11*e_Cred</f>
        <v>0</v>
      </c>
      <c r="ES12" s="13" t="n">
        <f aca="false">ES$11*e_Cred</f>
        <v>0</v>
      </c>
      <c r="ET12" s="13" t="n">
        <f aca="false">ET$11*e_Cred</f>
        <v>0</v>
      </c>
      <c r="EU12" s="13" t="n">
        <f aca="false">EU$11*e_Cred</f>
        <v>0</v>
      </c>
      <c r="EV12" s="13" t="n">
        <f aca="false">EV$11*e_Cred</f>
        <v>0</v>
      </c>
      <c r="EW12" s="13" t="n">
        <f aca="false">EW$11*e_Cred</f>
        <v>0</v>
      </c>
      <c r="EX12" s="13" t="n">
        <f aca="false">EX$11*e_Cred</f>
        <v>0</v>
      </c>
      <c r="EY12" s="13" t="n">
        <f aca="false">EY$11*e_Cred</f>
        <v>0</v>
      </c>
      <c r="EZ12" s="13" t="n">
        <f aca="false">EZ$11*e_Cred</f>
        <v>0</v>
      </c>
      <c r="FA12" s="13" t="n">
        <f aca="false">FA$11*e_Cred</f>
        <v>0</v>
      </c>
      <c r="FB12" s="13" t="n">
        <f aca="false">FB$11*e_Cred</f>
        <v>0</v>
      </c>
      <c r="FC12" s="13" t="n">
        <f aca="false">FC$11*e_Cred</f>
        <v>0</v>
      </c>
      <c r="FD12" s="13" t="n">
        <f aca="false">FD$11*e_Cred</f>
        <v>0</v>
      </c>
      <c r="FE12" s="13" t="n">
        <f aca="false">FE$11*e_Cred</f>
        <v>0</v>
      </c>
      <c r="FF12" s="13" t="n">
        <f aca="false">FF$11*e_Cred</f>
        <v>0</v>
      </c>
    </row>
    <row r="13" customFormat="false" ht="15" hidden="false" customHeight="false" outlineLevel="0" collapsed="false">
      <c r="A13" s="2" t="s">
        <v>1288</v>
      </c>
      <c r="B13" s="8" t="s">
        <v>623</v>
      </c>
      <c r="C13" s="8" t="s">
        <v>255</v>
      </c>
      <c r="E13" s="65" t="n">
        <f aca="false">SUM($F13:$FF13)</f>
        <v>0</v>
      </c>
      <c r="F13" s="13" t="n">
        <f aca="false">F$11*e_Cont</f>
        <v>0</v>
      </c>
      <c r="G13" s="13" t="n">
        <f aca="false">G$11*e_Cont</f>
        <v>0</v>
      </c>
      <c r="H13" s="13" t="n">
        <f aca="false">H$11*e_Cont</f>
        <v>0</v>
      </c>
      <c r="I13" s="13" t="n">
        <f aca="false">I$11*e_Cont</f>
        <v>0</v>
      </c>
      <c r="J13" s="13" t="n">
        <f aca="false">J$11*e_Cont</f>
        <v>0</v>
      </c>
      <c r="K13" s="13" t="n">
        <f aca="false">K$11*e_Cont</f>
        <v>0</v>
      </c>
      <c r="L13" s="13" t="n">
        <f aca="false">L$11*e_Cont</f>
        <v>0</v>
      </c>
      <c r="M13" s="13" t="n">
        <f aca="false">M$11*e_Cont</f>
        <v>0</v>
      </c>
      <c r="N13" s="13" t="n">
        <f aca="false">N$11*e_Cont</f>
        <v>0</v>
      </c>
      <c r="O13" s="13" t="n">
        <f aca="false">O$11*e_Cont</f>
        <v>0</v>
      </c>
      <c r="P13" s="13" t="n">
        <f aca="false">P$11*e_Cont</f>
        <v>0</v>
      </c>
      <c r="Q13" s="13" t="n">
        <f aca="false">Q$11*e_Cont</f>
        <v>0</v>
      </c>
      <c r="R13" s="13" t="n">
        <f aca="false">R$11*e_Cont</f>
        <v>0</v>
      </c>
      <c r="S13" s="13" t="n">
        <f aca="false">S$11*e_Cont</f>
        <v>0</v>
      </c>
      <c r="T13" s="13" t="n">
        <f aca="false">T$11*e_Cont</f>
        <v>0</v>
      </c>
      <c r="U13" s="13" t="n">
        <f aca="false">U$11*e_Cont</f>
        <v>0</v>
      </c>
      <c r="V13" s="13" t="n">
        <f aca="false">V$11*e_Cont</f>
        <v>0</v>
      </c>
      <c r="W13" s="13" t="n">
        <f aca="false">W$11*e_Cont</f>
        <v>0</v>
      </c>
      <c r="X13" s="13" t="n">
        <f aca="false">X$11*e_Cont</f>
        <v>0</v>
      </c>
      <c r="Y13" s="13" t="n">
        <f aca="false">Y$11*e_Cont</f>
        <v>0</v>
      </c>
      <c r="Z13" s="13" t="n">
        <f aca="false">Z$11*e_Cont</f>
        <v>0</v>
      </c>
      <c r="AA13" s="13" t="n">
        <f aca="false">AA$11*e_Cont</f>
        <v>0</v>
      </c>
      <c r="AB13" s="13" t="n">
        <f aca="false">AB$11*e_Cont</f>
        <v>0</v>
      </c>
      <c r="AC13" s="13" t="n">
        <f aca="false">AC$11*e_Cont</f>
        <v>0</v>
      </c>
      <c r="AD13" s="13" t="n">
        <f aca="false">AD$11*e_Cont</f>
        <v>0</v>
      </c>
      <c r="AE13" s="13" t="n">
        <f aca="false">AE$11*e_Cont</f>
        <v>0</v>
      </c>
      <c r="AF13" s="13" t="n">
        <f aca="false">AF$11*e_Cont</f>
        <v>0</v>
      </c>
      <c r="AG13" s="13" t="n">
        <f aca="false">AG$11*e_Cont</f>
        <v>0</v>
      </c>
      <c r="AH13" s="13" t="n">
        <f aca="false">AH$11*e_Cont</f>
        <v>0</v>
      </c>
      <c r="AI13" s="13" t="n">
        <f aca="false">AI$11*e_Cont</f>
        <v>0</v>
      </c>
      <c r="AJ13" s="13" t="n">
        <f aca="false">AJ$11*e_Cont</f>
        <v>0</v>
      </c>
      <c r="AK13" s="13" t="n">
        <f aca="false">AK$11*e_Cont</f>
        <v>0</v>
      </c>
      <c r="AL13" s="13" t="n">
        <f aca="false">AL$11*e_Cont</f>
        <v>0</v>
      </c>
      <c r="AM13" s="13" t="n">
        <f aca="false">AM$11*e_Cont</f>
        <v>0</v>
      </c>
      <c r="AN13" s="13" t="n">
        <f aca="false">AN$11*e_Cont</f>
        <v>0</v>
      </c>
      <c r="AO13" s="13" t="n">
        <f aca="false">AO$11*e_Cont</f>
        <v>0</v>
      </c>
      <c r="AP13" s="13" t="n">
        <f aca="false">AP$11*e_Cont</f>
        <v>0</v>
      </c>
      <c r="AQ13" s="13" t="n">
        <f aca="false">AQ$11*e_Cont</f>
        <v>0</v>
      </c>
      <c r="AR13" s="13" t="n">
        <f aca="false">AR$11*e_Cont</f>
        <v>0</v>
      </c>
      <c r="AS13" s="13" t="n">
        <f aca="false">AS$11*e_Cont</f>
        <v>0</v>
      </c>
      <c r="AT13" s="13" t="n">
        <f aca="false">AT$11*e_Cont</f>
        <v>0</v>
      </c>
      <c r="AU13" s="13" t="n">
        <f aca="false">AU$11*e_Cont</f>
        <v>0</v>
      </c>
      <c r="AV13" s="13" t="n">
        <f aca="false">AV$11*e_Cont</f>
        <v>0</v>
      </c>
      <c r="AW13" s="13" t="n">
        <f aca="false">AW$11*e_Cont</f>
        <v>0</v>
      </c>
      <c r="AX13" s="13" t="n">
        <f aca="false">AX$11*e_Cont</f>
        <v>0</v>
      </c>
      <c r="AY13" s="13" t="n">
        <f aca="false">AY$11*e_Cont</f>
        <v>0</v>
      </c>
      <c r="AZ13" s="13" t="n">
        <f aca="false">AZ$11*e_Cont</f>
        <v>0</v>
      </c>
      <c r="BA13" s="13" t="n">
        <f aca="false">BA$11*e_Cont</f>
        <v>0</v>
      </c>
      <c r="BB13" s="13" t="n">
        <f aca="false">BB$11*e_Cont</f>
        <v>0</v>
      </c>
      <c r="BC13" s="13" t="n">
        <f aca="false">BC$11*e_Cont</f>
        <v>0</v>
      </c>
      <c r="BD13" s="13" t="n">
        <f aca="false">BD$11*e_Cont</f>
        <v>0</v>
      </c>
      <c r="BE13" s="13" t="n">
        <f aca="false">BE$11*e_Cont</f>
        <v>0</v>
      </c>
      <c r="BF13" s="13" t="n">
        <f aca="false">BF$11*e_Cont</f>
        <v>0</v>
      </c>
      <c r="BG13" s="13" t="n">
        <f aca="false">BG$11*e_Cont</f>
        <v>0</v>
      </c>
      <c r="BH13" s="13" t="n">
        <f aca="false">BH$11*e_Cont</f>
        <v>0</v>
      </c>
      <c r="BI13" s="13" t="n">
        <f aca="false">BI$11*e_Cont</f>
        <v>0</v>
      </c>
      <c r="BJ13" s="13" t="n">
        <f aca="false">BJ$11*e_Cont</f>
        <v>0</v>
      </c>
      <c r="BK13" s="13" t="n">
        <f aca="false">BK$11*e_Cont</f>
        <v>0</v>
      </c>
      <c r="BL13" s="13" t="n">
        <f aca="false">BL$11*e_Cont</f>
        <v>0</v>
      </c>
      <c r="BM13" s="13" t="n">
        <f aca="false">BM$11*e_Cont</f>
        <v>0</v>
      </c>
      <c r="BN13" s="13" t="n">
        <f aca="false">BN$11*e_Cont</f>
        <v>0</v>
      </c>
      <c r="BO13" s="13" t="n">
        <f aca="false">BO$11*e_Cont</f>
        <v>0</v>
      </c>
      <c r="BP13" s="13" t="n">
        <f aca="false">BP$11*e_Cont</f>
        <v>0</v>
      </c>
      <c r="BQ13" s="13" t="n">
        <f aca="false">BQ$11*e_Cont</f>
        <v>0</v>
      </c>
      <c r="BR13" s="13" t="n">
        <f aca="false">BR$11*e_Cont</f>
        <v>0</v>
      </c>
      <c r="BS13" s="13" t="n">
        <f aca="false">BS$11*e_Cont</f>
        <v>0</v>
      </c>
      <c r="BT13" s="13" t="n">
        <f aca="false">BT$11*e_Cont</f>
        <v>0</v>
      </c>
      <c r="BU13" s="13" t="n">
        <f aca="false">BU$11*e_Cont</f>
        <v>0</v>
      </c>
      <c r="BV13" s="13" t="n">
        <f aca="false">BV$11*e_Cont</f>
        <v>0</v>
      </c>
      <c r="BW13" s="13" t="n">
        <f aca="false">BW$11*e_Cont</f>
        <v>0</v>
      </c>
      <c r="BX13" s="13" t="n">
        <f aca="false">BX$11*e_Cont</f>
        <v>0</v>
      </c>
      <c r="BY13" s="13" t="n">
        <f aca="false">BY$11*e_Cont</f>
        <v>0</v>
      </c>
      <c r="BZ13" s="13" t="n">
        <f aca="false">BZ$11*e_Cont</f>
        <v>0</v>
      </c>
      <c r="CA13" s="13" t="n">
        <f aca="false">CA$11*e_Cont</f>
        <v>0</v>
      </c>
      <c r="CB13" s="13" t="n">
        <f aca="false">CB$11*e_Cont</f>
        <v>0</v>
      </c>
      <c r="CC13" s="13" t="n">
        <f aca="false">CC$11*e_Cont</f>
        <v>0</v>
      </c>
      <c r="CD13" s="13" t="n">
        <f aca="false">CD$11*e_Cont</f>
        <v>0</v>
      </c>
      <c r="CE13" s="13" t="n">
        <f aca="false">CE$11*e_Cont</f>
        <v>0</v>
      </c>
      <c r="CF13" s="13" t="n">
        <f aca="false">CF$11*e_Cont</f>
        <v>0</v>
      </c>
      <c r="CG13" s="13" t="n">
        <f aca="false">CG$11*e_Cont</f>
        <v>0</v>
      </c>
      <c r="CH13" s="13" t="n">
        <f aca="false">CH$11*e_Cont</f>
        <v>0</v>
      </c>
      <c r="CI13" s="13" t="n">
        <f aca="false">CI$11*e_Cont</f>
        <v>0</v>
      </c>
      <c r="CJ13" s="13" t="n">
        <f aca="false">CJ$11*e_Cont</f>
        <v>0</v>
      </c>
      <c r="CK13" s="13" t="n">
        <f aca="false">CK$11*e_Cont</f>
        <v>0</v>
      </c>
      <c r="CL13" s="13" t="n">
        <f aca="false">CL$11*e_Cont</f>
        <v>0</v>
      </c>
      <c r="CM13" s="13" t="n">
        <f aca="false">CM$11*e_Cont</f>
        <v>0</v>
      </c>
      <c r="CN13" s="13" t="n">
        <f aca="false">CN$11*e_Cont</f>
        <v>0</v>
      </c>
      <c r="CO13" s="13" t="n">
        <f aca="false">CO$11*e_Cont</f>
        <v>0</v>
      </c>
      <c r="CP13" s="13" t="n">
        <f aca="false">CP$11*e_Cont</f>
        <v>0</v>
      </c>
      <c r="CQ13" s="13" t="n">
        <f aca="false">CQ$11*e_Cont</f>
        <v>0</v>
      </c>
      <c r="CR13" s="13" t="n">
        <f aca="false">CR$11*e_Cont</f>
        <v>0</v>
      </c>
      <c r="CS13" s="13" t="n">
        <f aca="false">CS$11*e_Cont</f>
        <v>0</v>
      </c>
      <c r="CT13" s="13" t="n">
        <f aca="false">CT$11*e_Cont</f>
        <v>0</v>
      </c>
      <c r="CU13" s="13" t="n">
        <f aca="false">CU$11*e_Cont</f>
        <v>0</v>
      </c>
      <c r="CV13" s="13" t="n">
        <f aca="false">CV$11*e_Cont</f>
        <v>0</v>
      </c>
      <c r="CW13" s="13" t="n">
        <f aca="false">CW$11*e_Cont</f>
        <v>0</v>
      </c>
      <c r="CX13" s="13" t="n">
        <f aca="false">CX$11*e_Cont</f>
        <v>0</v>
      </c>
      <c r="CY13" s="13" t="n">
        <f aca="false">CY$11*e_Cont</f>
        <v>0</v>
      </c>
      <c r="CZ13" s="13" t="n">
        <f aca="false">CZ$11*e_Cont</f>
        <v>0</v>
      </c>
      <c r="DA13" s="13" t="n">
        <f aca="false">DA$11*e_Cont</f>
        <v>0</v>
      </c>
      <c r="DB13" s="13" t="n">
        <f aca="false">DB$11*e_Cont</f>
        <v>0</v>
      </c>
      <c r="DC13" s="13" t="n">
        <f aca="false">DC$11*e_Cont</f>
        <v>0</v>
      </c>
      <c r="DD13" s="13" t="n">
        <f aca="false">DD$11*e_Cont</f>
        <v>0</v>
      </c>
      <c r="DE13" s="13" t="n">
        <f aca="false">DE$11*e_Cont</f>
        <v>0</v>
      </c>
      <c r="DF13" s="13" t="n">
        <f aca="false">DF$11*e_Cont</f>
        <v>0</v>
      </c>
      <c r="DG13" s="13" t="n">
        <f aca="false">DG$11*e_Cont</f>
        <v>0</v>
      </c>
      <c r="DH13" s="13" t="n">
        <f aca="false">DH$11*e_Cont</f>
        <v>0</v>
      </c>
      <c r="DI13" s="13" t="n">
        <f aca="false">DI$11*e_Cont</f>
        <v>0</v>
      </c>
      <c r="DJ13" s="13" t="n">
        <f aca="false">DJ$11*e_Cont</f>
        <v>0</v>
      </c>
      <c r="DK13" s="13" t="n">
        <f aca="false">DK$11*e_Cont</f>
        <v>0</v>
      </c>
      <c r="DL13" s="13" t="n">
        <f aca="false">DL$11*e_Cont</f>
        <v>0</v>
      </c>
      <c r="DM13" s="13" t="n">
        <f aca="false">DM$11*e_Cont</f>
        <v>0</v>
      </c>
      <c r="DN13" s="13" t="n">
        <f aca="false">DN$11*e_Cont</f>
        <v>0</v>
      </c>
      <c r="DO13" s="13" t="n">
        <f aca="false">DO$11*e_Cont</f>
        <v>0</v>
      </c>
      <c r="DP13" s="13" t="n">
        <f aca="false">DP$11*e_Cont</f>
        <v>0</v>
      </c>
      <c r="DQ13" s="13" t="n">
        <f aca="false">DQ$11*e_Cont</f>
        <v>0</v>
      </c>
      <c r="DR13" s="13" t="n">
        <f aca="false">DR$11*e_Cont</f>
        <v>0</v>
      </c>
      <c r="DS13" s="13" t="n">
        <f aca="false">DS$11*e_Cont</f>
        <v>0</v>
      </c>
      <c r="DT13" s="13" t="n">
        <f aca="false">DT$11*e_Cont</f>
        <v>0</v>
      </c>
      <c r="DU13" s="13" t="n">
        <f aca="false">DU$11*e_Cont</f>
        <v>0</v>
      </c>
      <c r="DV13" s="13" t="n">
        <f aca="false">DV$11*e_Cont</f>
        <v>0</v>
      </c>
      <c r="DW13" s="13" t="n">
        <f aca="false">DW$11*e_Cont</f>
        <v>0</v>
      </c>
      <c r="DX13" s="13" t="n">
        <f aca="false">DX$11*e_Cont</f>
        <v>0</v>
      </c>
      <c r="DY13" s="13" t="n">
        <f aca="false">DY$11*e_Cont</f>
        <v>0</v>
      </c>
      <c r="DZ13" s="13" t="n">
        <f aca="false">DZ$11*e_Cont</f>
        <v>0</v>
      </c>
      <c r="EA13" s="13" t="n">
        <f aca="false">EA$11*e_Cont</f>
        <v>0</v>
      </c>
      <c r="EB13" s="13" t="n">
        <f aca="false">EB$11*e_Cont</f>
        <v>0</v>
      </c>
      <c r="EC13" s="13" t="n">
        <f aca="false">EC$11*e_Cont</f>
        <v>0</v>
      </c>
      <c r="ED13" s="13" t="n">
        <f aca="false">ED$11*e_Cont</f>
        <v>0</v>
      </c>
      <c r="EE13" s="13" t="n">
        <f aca="false">EE$11*e_Cont</f>
        <v>0</v>
      </c>
      <c r="EF13" s="13" t="n">
        <f aca="false">EF$11*e_Cont</f>
        <v>0</v>
      </c>
      <c r="EG13" s="13" t="n">
        <f aca="false">EG$11*e_Cont</f>
        <v>0</v>
      </c>
      <c r="EH13" s="13" t="n">
        <f aca="false">EH$11*e_Cont</f>
        <v>0</v>
      </c>
      <c r="EI13" s="13" t="n">
        <f aca="false">EI$11*e_Cont</f>
        <v>0</v>
      </c>
      <c r="EJ13" s="13" t="n">
        <f aca="false">EJ$11*e_Cont</f>
        <v>0</v>
      </c>
      <c r="EK13" s="13" t="n">
        <f aca="false">EK$11*e_Cont</f>
        <v>0</v>
      </c>
      <c r="EL13" s="13" t="n">
        <f aca="false">EL$11*e_Cont</f>
        <v>0</v>
      </c>
      <c r="EM13" s="13" t="n">
        <f aca="false">EM$11*e_Cont</f>
        <v>0</v>
      </c>
      <c r="EN13" s="13" t="n">
        <f aca="false">EN$11*e_Cont</f>
        <v>0</v>
      </c>
      <c r="EO13" s="13" t="n">
        <f aca="false">EO$11*e_Cont</f>
        <v>0</v>
      </c>
      <c r="EP13" s="13" t="n">
        <f aca="false">EP$11*e_Cont</f>
        <v>0</v>
      </c>
      <c r="EQ13" s="13" t="n">
        <f aca="false">EQ$11*e_Cont</f>
        <v>0</v>
      </c>
      <c r="ER13" s="13" t="n">
        <f aca="false">ER$11*e_Cont</f>
        <v>0</v>
      </c>
      <c r="ES13" s="13" t="n">
        <f aca="false">ES$11*e_Cont</f>
        <v>0</v>
      </c>
      <c r="ET13" s="13" t="n">
        <f aca="false">ET$11*e_Cont</f>
        <v>0</v>
      </c>
      <c r="EU13" s="13" t="n">
        <f aca="false">EU$11*e_Cont</f>
        <v>0</v>
      </c>
      <c r="EV13" s="13" t="n">
        <f aca="false">EV$11*e_Cont</f>
        <v>0</v>
      </c>
      <c r="EW13" s="13" t="n">
        <f aca="false">EW$11*e_Cont</f>
        <v>0</v>
      </c>
      <c r="EX13" s="13" t="n">
        <f aca="false">EX$11*e_Cont</f>
        <v>0</v>
      </c>
      <c r="EY13" s="13" t="n">
        <f aca="false">EY$11*e_Cont</f>
        <v>0</v>
      </c>
      <c r="EZ13" s="13" t="n">
        <f aca="false">EZ$11*e_Cont</f>
        <v>0</v>
      </c>
      <c r="FA13" s="13" t="n">
        <f aca="false">FA$11*e_Cont</f>
        <v>0</v>
      </c>
      <c r="FB13" s="13" t="n">
        <f aca="false">FB$11*e_Cont</f>
        <v>0</v>
      </c>
      <c r="FC13" s="13" t="n">
        <f aca="false">FC$11*e_Cont</f>
        <v>0</v>
      </c>
      <c r="FD13" s="13" t="n">
        <f aca="false">FD$11*e_Cont</f>
        <v>0</v>
      </c>
      <c r="FE13" s="13" t="n">
        <f aca="false">FE$11*e_Cont</f>
        <v>0</v>
      </c>
      <c r="FF13" s="13" t="n">
        <f aca="false">FF$11*e_Cont</f>
        <v>0</v>
      </c>
    </row>
    <row r="14" customFormat="false" ht="15" hidden="false" customHeight="false" outlineLevel="0" collapsed="false">
      <c r="A14" s="2" t="s">
        <v>1289</v>
      </c>
      <c r="B14" s="8" t="s">
        <v>1290</v>
      </c>
      <c r="C14" s="8" t="s">
        <v>255</v>
      </c>
      <c r="E14" s="65" t="n">
        <f aca="false">SUM($F14:$FF14)</f>
        <v>0</v>
      </c>
      <c r="F14" s="13" t="n">
        <f aca="false">F$11*e_Ant</f>
        <v>0</v>
      </c>
      <c r="G14" s="13" t="n">
        <f aca="false">G$11*e_Ant</f>
        <v>0</v>
      </c>
      <c r="H14" s="13" t="n">
        <f aca="false">H$11*e_Ant</f>
        <v>0</v>
      </c>
      <c r="I14" s="13" t="n">
        <f aca="false">I$11*e_Ant</f>
        <v>0</v>
      </c>
      <c r="J14" s="13" t="n">
        <f aca="false">J$11*e_Ant</f>
        <v>0</v>
      </c>
      <c r="K14" s="13" t="n">
        <f aca="false">K$11*e_Ant</f>
        <v>0</v>
      </c>
      <c r="L14" s="13" t="n">
        <f aca="false">L$11*e_Ant</f>
        <v>0</v>
      </c>
      <c r="M14" s="13" t="n">
        <f aca="false">M$11*e_Ant</f>
        <v>0</v>
      </c>
      <c r="N14" s="13" t="n">
        <f aca="false">N$11*e_Ant</f>
        <v>0</v>
      </c>
      <c r="O14" s="13" t="n">
        <f aca="false">O$11*e_Ant</f>
        <v>0</v>
      </c>
      <c r="P14" s="13" t="n">
        <f aca="false">P$11*e_Ant</f>
        <v>0</v>
      </c>
      <c r="Q14" s="13" t="n">
        <f aca="false">Q$11*e_Ant</f>
        <v>0</v>
      </c>
      <c r="R14" s="13" t="n">
        <f aca="false">R$11*e_Ant</f>
        <v>0</v>
      </c>
      <c r="S14" s="13" t="n">
        <f aca="false">S$11*e_Ant</f>
        <v>0</v>
      </c>
      <c r="T14" s="13" t="n">
        <f aca="false">T$11*e_Ant</f>
        <v>0</v>
      </c>
      <c r="U14" s="13" t="n">
        <f aca="false">U$11*e_Ant</f>
        <v>0</v>
      </c>
      <c r="V14" s="13" t="n">
        <f aca="false">V$11*e_Ant</f>
        <v>0</v>
      </c>
      <c r="W14" s="13" t="n">
        <f aca="false">W$11*e_Ant</f>
        <v>0</v>
      </c>
      <c r="X14" s="13" t="n">
        <f aca="false">X$11*e_Ant</f>
        <v>0</v>
      </c>
      <c r="Y14" s="13" t="n">
        <f aca="false">Y$11*e_Ant</f>
        <v>0</v>
      </c>
      <c r="Z14" s="13" t="n">
        <f aca="false">Z$11*e_Ant</f>
        <v>0</v>
      </c>
      <c r="AA14" s="13" t="n">
        <f aca="false">AA$11*e_Ant</f>
        <v>0</v>
      </c>
      <c r="AB14" s="13" t="n">
        <f aca="false">AB$11*e_Ant</f>
        <v>0</v>
      </c>
      <c r="AC14" s="13" t="n">
        <f aca="false">AC$11*e_Ant</f>
        <v>0</v>
      </c>
      <c r="AD14" s="13" t="n">
        <f aca="false">AD$11*e_Ant</f>
        <v>0</v>
      </c>
      <c r="AE14" s="13" t="n">
        <f aca="false">AE$11*e_Ant</f>
        <v>0</v>
      </c>
      <c r="AF14" s="13" t="n">
        <f aca="false">AF$11*e_Ant</f>
        <v>0</v>
      </c>
      <c r="AG14" s="13" t="n">
        <f aca="false">AG$11*e_Ant</f>
        <v>0</v>
      </c>
      <c r="AH14" s="13" t="n">
        <f aca="false">AH$11*e_Ant</f>
        <v>0</v>
      </c>
      <c r="AI14" s="13" t="n">
        <f aca="false">AI$11*e_Ant</f>
        <v>0</v>
      </c>
      <c r="AJ14" s="13" t="n">
        <f aca="false">AJ$11*e_Ant</f>
        <v>0</v>
      </c>
      <c r="AK14" s="13" t="n">
        <f aca="false">AK$11*e_Ant</f>
        <v>0</v>
      </c>
      <c r="AL14" s="13" t="n">
        <f aca="false">AL$11*e_Ant</f>
        <v>0</v>
      </c>
      <c r="AM14" s="13" t="n">
        <f aca="false">AM$11*e_Ant</f>
        <v>0</v>
      </c>
      <c r="AN14" s="13" t="n">
        <f aca="false">AN$11*e_Ant</f>
        <v>0</v>
      </c>
      <c r="AO14" s="13" t="n">
        <f aca="false">AO$11*e_Ant</f>
        <v>0</v>
      </c>
      <c r="AP14" s="13" t="n">
        <f aca="false">AP$11*e_Ant</f>
        <v>0</v>
      </c>
      <c r="AQ14" s="13" t="n">
        <f aca="false">AQ$11*e_Ant</f>
        <v>0</v>
      </c>
      <c r="AR14" s="13" t="n">
        <f aca="false">AR$11*e_Ant</f>
        <v>0</v>
      </c>
      <c r="AS14" s="13" t="n">
        <f aca="false">AS$11*e_Ant</f>
        <v>0</v>
      </c>
      <c r="AT14" s="13" t="n">
        <f aca="false">AT$11*e_Ant</f>
        <v>0</v>
      </c>
      <c r="AU14" s="13" t="n">
        <f aca="false">AU$11*e_Ant</f>
        <v>0</v>
      </c>
      <c r="AV14" s="13" t="n">
        <f aca="false">AV$11*e_Ant</f>
        <v>0</v>
      </c>
      <c r="AW14" s="13" t="n">
        <f aca="false">AW$11*e_Ant</f>
        <v>0</v>
      </c>
      <c r="AX14" s="13" t="n">
        <f aca="false">AX$11*e_Ant</f>
        <v>0</v>
      </c>
      <c r="AY14" s="13" t="n">
        <f aca="false">AY$11*e_Ant</f>
        <v>0</v>
      </c>
      <c r="AZ14" s="13" t="n">
        <f aca="false">AZ$11*e_Ant</f>
        <v>0</v>
      </c>
      <c r="BA14" s="13" t="n">
        <f aca="false">BA$11*e_Ant</f>
        <v>0</v>
      </c>
      <c r="BB14" s="13" t="n">
        <f aca="false">BB$11*e_Ant</f>
        <v>0</v>
      </c>
      <c r="BC14" s="13" t="n">
        <f aca="false">BC$11*e_Ant</f>
        <v>0</v>
      </c>
      <c r="BD14" s="13" t="n">
        <f aca="false">BD$11*e_Ant</f>
        <v>0</v>
      </c>
      <c r="BE14" s="13" t="n">
        <f aca="false">BE$11*e_Ant</f>
        <v>0</v>
      </c>
      <c r="BF14" s="13" t="n">
        <f aca="false">BF$11*e_Ant</f>
        <v>0</v>
      </c>
      <c r="BG14" s="13" t="n">
        <f aca="false">BG$11*e_Ant</f>
        <v>0</v>
      </c>
      <c r="BH14" s="13" t="n">
        <f aca="false">BH$11*e_Ant</f>
        <v>0</v>
      </c>
      <c r="BI14" s="13" t="n">
        <f aca="false">BI$11*e_Ant</f>
        <v>0</v>
      </c>
      <c r="BJ14" s="13" t="n">
        <f aca="false">BJ$11*e_Ant</f>
        <v>0</v>
      </c>
      <c r="BK14" s="13" t="n">
        <f aca="false">BK$11*e_Ant</f>
        <v>0</v>
      </c>
      <c r="BL14" s="13" t="n">
        <f aca="false">BL$11*e_Ant</f>
        <v>0</v>
      </c>
      <c r="BM14" s="13" t="n">
        <f aca="false">BM$11*e_Ant</f>
        <v>0</v>
      </c>
      <c r="BN14" s="13" t="n">
        <f aca="false">BN$11*e_Ant</f>
        <v>0</v>
      </c>
      <c r="BO14" s="13" t="n">
        <f aca="false">BO$11*e_Ant</f>
        <v>0</v>
      </c>
      <c r="BP14" s="13" t="n">
        <f aca="false">BP$11*e_Ant</f>
        <v>0</v>
      </c>
      <c r="BQ14" s="13" t="n">
        <f aca="false">BQ$11*e_Ant</f>
        <v>0</v>
      </c>
      <c r="BR14" s="13" t="n">
        <f aca="false">BR$11*e_Ant</f>
        <v>0</v>
      </c>
      <c r="BS14" s="13" t="n">
        <f aca="false">BS$11*e_Ant</f>
        <v>0</v>
      </c>
      <c r="BT14" s="13" t="n">
        <f aca="false">BT$11*e_Ant</f>
        <v>0</v>
      </c>
      <c r="BU14" s="13" t="n">
        <f aca="false">BU$11*e_Ant</f>
        <v>0</v>
      </c>
      <c r="BV14" s="13" t="n">
        <f aca="false">BV$11*e_Ant</f>
        <v>0</v>
      </c>
      <c r="BW14" s="13" t="n">
        <f aca="false">BW$11*e_Ant</f>
        <v>0</v>
      </c>
      <c r="BX14" s="13" t="n">
        <f aca="false">BX$11*e_Ant</f>
        <v>0</v>
      </c>
      <c r="BY14" s="13" t="n">
        <f aca="false">BY$11*e_Ant</f>
        <v>0</v>
      </c>
      <c r="BZ14" s="13" t="n">
        <f aca="false">BZ$11*e_Ant</f>
        <v>0</v>
      </c>
      <c r="CA14" s="13" t="n">
        <f aca="false">CA$11*e_Ant</f>
        <v>0</v>
      </c>
      <c r="CB14" s="13" t="n">
        <f aca="false">CB$11*e_Ant</f>
        <v>0</v>
      </c>
      <c r="CC14" s="13" t="n">
        <f aca="false">CC$11*e_Ant</f>
        <v>0</v>
      </c>
      <c r="CD14" s="13" t="n">
        <f aca="false">CD$11*e_Ant</f>
        <v>0</v>
      </c>
      <c r="CE14" s="13" t="n">
        <f aca="false">CE$11*e_Ant</f>
        <v>0</v>
      </c>
      <c r="CF14" s="13" t="n">
        <f aca="false">CF$11*e_Ant</f>
        <v>0</v>
      </c>
      <c r="CG14" s="13" t="n">
        <f aca="false">CG$11*e_Ant</f>
        <v>0</v>
      </c>
      <c r="CH14" s="13" t="n">
        <f aca="false">CH$11*e_Ant</f>
        <v>0</v>
      </c>
      <c r="CI14" s="13" t="n">
        <f aca="false">CI$11*e_Ant</f>
        <v>0</v>
      </c>
      <c r="CJ14" s="13" t="n">
        <f aca="false">CJ$11*e_Ant</f>
        <v>0</v>
      </c>
      <c r="CK14" s="13" t="n">
        <f aca="false">CK$11*e_Ant</f>
        <v>0</v>
      </c>
      <c r="CL14" s="13" t="n">
        <f aca="false">CL$11*e_Ant</f>
        <v>0</v>
      </c>
      <c r="CM14" s="13" t="n">
        <f aca="false">CM$11*e_Ant</f>
        <v>0</v>
      </c>
      <c r="CN14" s="13" t="n">
        <f aca="false">CN$11*e_Ant</f>
        <v>0</v>
      </c>
      <c r="CO14" s="13" t="n">
        <f aca="false">CO$11*e_Ant</f>
        <v>0</v>
      </c>
      <c r="CP14" s="13" t="n">
        <f aca="false">CP$11*e_Ant</f>
        <v>0</v>
      </c>
      <c r="CQ14" s="13" t="n">
        <f aca="false">CQ$11*e_Ant</f>
        <v>0</v>
      </c>
      <c r="CR14" s="13" t="n">
        <f aca="false">CR$11*e_Ant</f>
        <v>0</v>
      </c>
      <c r="CS14" s="13" t="n">
        <f aca="false">CS$11*e_Ant</f>
        <v>0</v>
      </c>
      <c r="CT14" s="13" t="n">
        <f aca="false">CT$11*e_Ant</f>
        <v>0</v>
      </c>
      <c r="CU14" s="13" t="n">
        <f aca="false">CU$11*e_Ant</f>
        <v>0</v>
      </c>
      <c r="CV14" s="13" t="n">
        <f aca="false">CV$11*e_Ant</f>
        <v>0</v>
      </c>
      <c r="CW14" s="13" t="n">
        <f aca="false">CW$11*e_Ant</f>
        <v>0</v>
      </c>
      <c r="CX14" s="13" t="n">
        <f aca="false">CX$11*e_Ant</f>
        <v>0</v>
      </c>
      <c r="CY14" s="13" t="n">
        <f aca="false">CY$11*e_Ant</f>
        <v>0</v>
      </c>
      <c r="CZ14" s="13" t="n">
        <f aca="false">CZ$11*e_Ant</f>
        <v>0</v>
      </c>
      <c r="DA14" s="13" t="n">
        <f aca="false">DA$11*e_Ant</f>
        <v>0</v>
      </c>
      <c r="DB14" s="13" t="n">
        <f aca="false">DB$11*e_Ant</f>
        <v>0</v>
      </c>
      <c r="DC14" s="13" t="n">
        <f aca="false">DC$11*e_Ant</f>
        <v>0</v>
      </c>
      <c r="DD14" s="13" t="n">
        <f aca="false">DD$11*e_Ant</f>
        <v>0</v>
      </c>
      <c r="DE14" s="13" t="n">
        <f aca="false">DE$11*e_Ant</f>
        <v>0</v>
      </c>
      <c r="DF14" s="13" t="n">
        <f aca="false">DF$11*e_Ant</f>
        <v>0</v>
      </c>
      <c r="DG14" s="13" t="n">
        <f aca="false">DG$11*e_Ant</f>
        <v>0</v>
      </c>
      <c r="DH14" s="13" t="n">
        <f aca="false">DH$11*e_Ant</f>
        <v>0</v>
      </c>
      <c r="DI14" s="13" t="n">
        <f aca="false">DI$11*e_Ant</f>
        <v>0</v>
      </c>
      <c r="DJ14" s="13" t="n">
        <f aca="false">DJ$11*e_Ant</f>
        <v>0</v>
      </c>
      <c r="DK14" s="13" t="n">
        <f aca="false">DK$11*e_Ant</f>
        <v>0</v>
      </c>
      <c r="DL14" s="13" t="n">
        <f aca="false">DL$11*e_Ant</f>
        <v>0</v>
      </c>
      <c r="DM14" s="13" t="n">
        <f aca="false">DM$11*e_Ant</f>
        <v>0</v>
      </c>
      <c r="DN14" s="13" t="n">
        <f aca="false">DN$11*e_Ant</f>
        <v>0</v>
      </c>
      <c r="DO14" s="13" t="n">
        <f aca="false">DO$11*e_Ant</f>
        <v>0</v>
      </c>
      <c r="DP14" s="13" t="n">
        <f aca="false">DP$11*e_Ant</f>
        <v>0</v>
      </c>
      <c r="DQ14" s="13" t="n">
        <f aca="false">DQ$11*e_Ant</f>
        <v>0</v>
      </c>
      <c r="DR14" s="13" t="n">
        <f aca="false">DR$11*e_Ant</f>
        <v>0</v>
      </c>
      <c r="DS14" s="13" t="n">
        <f aca="false">DS$11*e_Ant</f>
        <v>0</v>
      </c>
      <c r="DT14" s="13" t="n">
        <f aca="false">DT$11*e_Ant</f>
        <v>0</v>
      </c>
      <c r="DU14" s="13" t="n">
        <f aca="false">DU$11*e_Ant</f>
        <v>0</v>
      </c>
      <c r="DV14" s="13" t="n">
        <f aca="false">DV$11*e_Ant</f>
        <v>0</v>
      </c>
      <c r="DW14" s="13" t="n">
        <f aca="false">DW$11*e_Ant</f>
        <v>0</v>
      </c>
      <c r="DX14" s="13" t="n">
        <f aca="false">DX$11*e_Ant</f>
        <v>0</v>
      </c>
      <c r="DY14" s="13" t="n">
        <f aca="false">DY$11*e_Ant</f>
        <v>0</v>
      </c>
      <c r="DZ14" s="13" t="n">
        <f aca="false">DZ$11*e_Ant</f>
        <v>0</v>
      </c>
      <c r="EA14" s="13" t="n">
        <f aca="false">EA$11*e_Ant</f>
        <v>0</v>
      </c>
      <c r="EB14" s="13" t="n">
        <f aca="false">EB$11*e_Ant</f>
        <v>0</v>
      </c>
      <c r="EC14" s="13" t="n">
        <f aca="false">EC$11*e_Ant</f>
        <v>0</v>
      </c>
      <c r="ED14" s="13" t="n">
        <f aca="false">ED$11*e_Ant</f>
        <v>0</v>
      </c>
      <c r="EE14" s="13" t="n">
        <f aca="false">EE$11*e_Ant</f>
        <v>0</v>
      </c>
      <c r="EF14" s="13" t="n">
        <f aca="false">EF$11*e_Ant</f>
        <v>0</v>
      </c>
      <c r="EG14" s="13" t="n">
        <f aca="false">EG$11*e_Ant</f>
        <v>0</v>
      </c>
      <c r="EH14" s="13" t="n">
        <f aca="false">EH$11*e_Ant</f>
        <v>0</v>
      </c>
      <c r="EI14" s="13" t="n">
        <f aca="false">EI$11*e_Ant</f>
        <v>0</v>
      </c>
      <c r="EJ14" s="13" t="n">
        <f aca="false">EJ$11*e_Ant</f>
        <v>0</v>
      </c>
      <c r="EK14" s="13" t="n">
        <f aca="false">EK$11*e_Ant</f>
        <v>0</v>
      </c>
      <c r="EL14" s="13" t="n">
        <f aca="false">EL$11*e_Ant</f>
        <v>0</v>
      </c>
      <c r="EM14" s="13" t="n">
        <f aca="false">EM$11*e_Ant</f>
        <v>0</v>
      </c>
      <c r="EN14" s="13" t="n">
        <f aca="false">EN$11*e_Ant</f>
        <v>0</v>
      </c>
      <c r="EO14" s="13" t="n">
        <f aca="false">EO$11*e_Ant</f>
        <v>0</v>
      </c>
      <c r="EP14" s="13" t="n">
        <f aca="false">EP$11*e_Ant</f>
        <v>0</v>
      </c>
      <c r="EQ14" s="13" t="n">
        <f aca="false">EQ$11*e_Ant</f>
        <v>0</v>
      </c>
      <c r="ER14" s="13" t="n">
        <f aca="false">ER$11*e_Ant</f>
        <v>0</v>
      </c>
      <c r="ES14" s="13" t="n">
        <f aca="false">ES$11*e_Ant</f>
        <v>0</v>
      </c>
      <c r="ET14" s="13" t="n">
        <f aca="false">ET$11*e_Ant</f>
        <v>0</v>
      </c>
      <c r="EU14" s="13" t="n">
        <f aca="false">EU$11*e_Ant</f>
        <v>0</v>
      </c>
      <c r="EV14" s="13" t="n">
        <f aca="false">EV$11*e_Ant</f>
        <v>0</v>
      </c>
      <c r="EW14" s="13" t="n">
        <f aca="false">EW$11*e_Ant</f>
        <v>0</v>
      </c>
      <c r="EX14" s="13" t="n">
        <f aca="false">EX$11*e_Ant</f>
        <v>0</v>
      </c>
      <c r="EY14" s="13" t="n">
        <f aca="false">EY$11*e_Ant</f>
        <v>0</v>
      </c>
      <c r="EZ14" s="13" t="n">
        <f aca="false">EZ$11*e_Ant</f>
        <v>0</v>
      </c>
      <c r="FA14" s="13" t="n">
        <f aca="false">FA$11*e_Ant</f>
        <v>0</v>
      </c>
      <c r="FB14" s="13" t="n">
        <f aca="false">FB$11*e_Ant</f>
        <v>0</v>
      </c>
      <c r="FC14" s="13" t="n">
        <f aca="false">FC$11*e_Ant</f>
        <v>0</v>
      </c>
      <c r="FD14" s="13" t="n">
        <f aca="false">FD$11*e_Ant</f>
        <v>0</v>
      </c>
      <c r="FE14" s="13" t="n">
        <f aca="false">FE$11*e_Ant</f>
        <v>0</v>
      </c>
      <c r="FF14" s="13" t="n">
        <f aca="false">FF$11*e_Ant</f>
        <v>0</v>
      </c>
    </row>
    <row r="15" customFormat="false" ht="15" hidden="false" customHeight="false" outlineLevel="0" collapsed="false">
      <c r="A15" s="2" t="s">
        <v>1291</v>
      </c>
      <c r="B15" s="8" t="s">
        <v>1292</v>
      </c>
      <c r="C15" s="8" t="s">
        <v>255</v>
      </c>
      <c r="E15" s="65" t="n">
        <f aca="false">SUM($F15:$FF15)</f>
        <v>0</v>
      </c>
      <c r="F15" s="13" t="n">
        <f aca="false">IF(F$9=1,0,e_Ant*IF(0+e_AntMeses&lt;=156,INDEX($F$11:$FF$11,1,0+e_AntMeses+1),0))*Calendario!F$13</f>
        <v>0</v>
      </c>
      <c r="G15" s="13" t="n">
        <f aca="false">IF(G$9=1,0,e_Ant*IF(1+e_AntMeses&lt;=156,INDEX($F$11:$FF$11,1,1+e_AntMeses+1),0))*Calendario!G$13</f>
        <v>0</v>
      </c>
      <c r="H15" s="13" t="n">
        <f aca="false">IF(H$9=1,0,e_Ant*IF(2+e_AntMeses&lt;=156,INDEX($F$11:$FF$11,1,2+e_AntMeses+1),0))*Calendario!H$13</f>
        <v>0</v>
      </c>
      <c r="I15" s="13" t="n">
        <f aca="false">IF(I$9=1,0,e_Ant*IF(3+e_AntMeses&lt;=156,INDEX($F$11:$FF$11,1,3+e_AntMeses+1),0))*Calendario!I$13</f>
        <v>0</v>
      </c>
      <c r="J15" s="13" t="n">
        <f aca="false">IF(J$9=1,0,e_Ant*IF(4+e_AntMeses&lt;=156,INDEX($F$11:$FF$11,1,4+e_AntMeses+1),0))*Calendario!J$13</f>
        <v>0</v>
      </c>
      <c r="K15" s="13" t="n">
        <f aca="false">IF(K$9=1,0,e_Ant*IF(5+e_AntMeses&lt;=156,INDEX($F$11:$FF$11,1,5+e_AntMeses+1),0))*Calendario!K$13</f>
        <v>0</v>
      </c>
      <c r="L15" s="13" t="n">
        <f aca="false">IF(L$9=1,0,e_Ant*IF(6+e_AntMeses&lt;=156,INDEX($F$11:$FF$11,1,6+e_AntMeses+1),0))*Calendario!L$13</f>
        <v>0</v>
      </c>
      <c r="M15" s="13" t="n">
        <f aca="false">IF(M$9=1,0,e_Ant*IF(7+e_AntMeses&lt;=156,INDEX($F$11:$FF$11,1,7+e_AntMeses+1),0))*Calendario!M$13</f>
        <v>0</v>
      </c>
      <c r="N15" s="13" t="n">
        <f aca="false">IF(N$9=1,0,e_Ant*IF(8+e_AntMeses&lt;=156,INDEX($F$11:$FF$11,1,8+e_AntMeses+1),0))*Calendario!N$13</f>
        <v>0</v>
      </c>
      <c r="O15" s="13" t="n">
        <f aca="false">IF(O$9=1,0,e_Ant*IF(9+e_AntMeses&lt;=156,INDEX($F$11:$FF$11,1,9+e_AntMeses+1),0))*Calendario!O$13</f>
        <v>0</v>
      </c>
      <c r="P15" s="13" t="n">
        <f aca="false">IF(P$9=1,0,e_Ant*IF(10+e_AntMeses&lt;=156,INDEX($F$11:$FF$11,1,10+e_AntMeses+1),0))*Calendario!P$13</f>
        <v>0</v>
      </c>
      <c r="Q15" s="13" t="n">
        <f aca="false">IF(Q$9=1,0,e_Ant*IF(11+e_AntMeses&lt;=156,INDEX($F$11:$FF$11,1,11+e_AntMeses+1),0))*Calendario!Q$13</f>
        <v>0</v>
      </c>
      <c r="R15" s="13" t="n">
        <f aca="false">IF(R$9=1,0,e_Ant*IF(12+e_AntMeses&lt;=156,INDEX($F$11:$FF$11,1,12+e_AntMeses+1),0))*Calendario!R$13</f>
        <v>0</v>
      </c>
      <c r="S15" s="13" t="n">
        <f aca="false">IF(S$9=1,0,e_Ant*IF(13+e_AntMeses&lt;=156,INDEX($F$11:$FF$11,1,13+e_AntMeses+1),0))*Calendario!S$13</f>
        <v>0</v>
      </c>
      <c r="T15" s="13" t="n">
        <f aca="false">IF(T$9=1,0,e_Ant*IF(14+e_AntMeses&lt;=156,INDEX($F$11:$FF$11,1,14+e_AntMeses+1),0))*Calendario!T$13</f>
        <v>0</v>
      </c>
      <c r="U15" s="13" t="n">
        <f aca="false">IF(U$9=1,0,e_Ant*IF(15+e_AntMeses&lt;=156,INDEX($F$11:$FF$11,1,15+e_AntMeses+1),0))*Calendario!U$13</f>
        <v>0</v>
      </c>
      <c r="V15" s="13" t="n">
        <f aca="false">IF(V$9=1,0,e_Ant*IF(16+e_AntMeses&lt;=156,INDEX($F$11:$FF$11,1,16+e_AntMeses+1),0))*Calendario!V$13</f>
        <v>0</v>
      </c>
      <c r="W15" s="13" t="n">
        <f aca="false">IF(W$9=1,0,e_Ant*IF(17+e_AntMeses&lt;=156,INDEX($F$11:$FF$11,1,17+e_AntMeses+1),0))*Calendario!W$13</f>
        <v>0</v>
      </c>
      <c r="X15" s="13" t="n">
        <f aca="false">IF(X$9=1,0,e_Ant*IF(18+e_AntMeses&lt;=156,INDEX($F$11:$FF$11,1,18+e_AntMeses+1),0))*Calendario!X$13</f>
        <v>0</v>
      </c>
      <c r="Y15" s="13" t="n">
        <f aca="false">IF(Y$9=1,0,e_Ant*IF(19+e_AntMeses&lt;=156,INDEX($F$11:$FF$11,1,19+e_AntMeses+1),0))*Calendario!Y$13</f>
        <v>0</v>
      </c>
      <c r="Z15" s="13" t="n">
        <f aca="false">IF(Z$9=1,0,e_Ant*IF(20+e_AntMeses&lt;=156,INDEX($F$11:$FF$11,1,20+e_AntMeses+1),0))*Calendario!Z$13</f>
        <v>0</v>
      </c>
      <c r="AA15" s="13" t="n">
        <f aca="false">IF(AA$9=1,0,e_Ant*IF(21+e_AntMeses&lt;=156,INDEX($F$11:$FF$11,1,21+e_AntMeses+1),0))*Calendario!AA$13</f>
        <v>0</v>
      </c>
      <c r="AB15" s="13" t="n">
        <f aca="false">IF(AB$9=1,0,e_Ant*IF(22+e_AntMeses&lt;=156,INDEX($F$11:$FF$11,1,22+e_AntMeses+1),0))*Calendario!AB$13</f>
        <v>0</v>
      </c>
      <c r="AC15" s="13" t="n">
        <f aca="false">IF(AC$9=1,0,e_Ant*IF(23+e_AntMeses&lt;=156,INDEX($F$11:$FF$11,1,23+e_AntMeses+1),0))*Calendario!AC$13</f>
        <v>0</v>
      </c>
      <c r="AD15" s="13" t="n">
        <f aca="false">IF(AD$9=1,0,e_Ant*IF(24+e_AntMeses&lt;=156,INDEX($F$11:$FF$11,1,24+e_AntMeses+1),0))*Calendario!AD$13</f>
        <v>0</v>
      </c>
      <c r="AE15" s="13" t="n">
        <f aca="false">IF(AE$9=1,0,e_Ant*IF(25+e_AntMeses&lt;=156,INDEX($F$11:$FF$11,1,25+e_AntMeses+1),0))*Calendario!AE$13</f>
        <v>0</v>
      </c>
      <c r="AF15" s="13" t="n">
        <f aca="false">IF(AF$9=1,0,e_Ant*IF(26+e_AntMeses&lt;=156,INDEX($F$11:$FF$11,1,26+e_AntMeses+1),0))*Calendario!AF$13</f>
        <v>0</v>
      </c>
      <c r="AG15" s="13" t="n">
        <f aca="false">IF(AG$9=1,0,e_Ant*IF(27+e_AntMeses&lt;=156,INDEX($F$11:$FF$11,1,27+e_AntMeses+1),0))*Calendario!AG$13</f>
        <v>0</v>
      </c>
      <c r="AH15" s="13" t="n">
        <f aca="false">IF(AH$9=1,0,e_Ant*IF(28+e_AntMeses&lt;=156,INDEX($F$11:$FF$11,1,28+e_AntMeses+1),0))*Calendario!AH$13</f>
        <v>0</v>
      </c>
      <c r="AI15" s="13" t="n">
        <f aca="false">IF(AI$9=1,0,e_Ant*IF(29+e_AntMeses&lt;=156,INDEX($F$11:$FF$11,1,29+e_AntMeses+1),0))*Calendario!AI$13</f>
        <v>0</v>
      </c>
      <c r="AJ15" s="13" t="n">
        <f aca="false">IF(AJ$9=1,0,e_Ant*IF(30+e_AntMeses&lt;=156,INDEX($F$11:$FF$11,1,30+e_AntMeses+1),0))*Calendario!AJ$13</f>
        <v>0</v>
      </c>
      <c r="AK15" s="13" t="n">
        <f aca="false">IF(AK$9=1,0,e_Ant*IF(31+e_AntMeses&lt;=156,INDEX($F$11:$FF$11,1,31+e_AntMeses+1),0))*Calendario!AK$13</f>
        <v>0</v>
      </c>
      <c r="AL15" s="13" t="n">
        <f aca="false">IF(AL$9=1,0,e_Ant*IF(32+e_AntMeses&lt;=156,INDEX($F$11:$FF$11,1,32+e_AntMeses+1),0))*Calendario!AL$13</f>
        <v>0</v>
      </c>
      <c r="AM15" s="13" t="n">
        <f aca="false">IF(AM$9=1,0,e_Ant*IF(33+e_AntMeses&lt;=156,INDEX($F$11:$FF$11,1,33+e_AntMeses+1),0))*Calendario!AM$13</f>
        <v>0</v>
      </c>
      <c r="AN15" s="13" t="n">
        <f aca="false">IF(AN$9=1,0,e_Ant*IF(34+e_AntMeses&lt;=156,INDEX($F$11:$FF$11,1,34+e_AntMeses+1),0))*Calendario!AN$13</f>
        <v>0</v>
      </c>
      <c r="AO15" s="13" t="n">
        <f aca="false">IF(AO$9=1,0,e_Ant*IF(35+e_AntMeses&lt;=156,INDEX($F$11:$FF$11,1,35+e_AntMeses+1),0))*Calendario!AO$13</f>
        <v>0</v>
      </c>
      <c r="AP15" s="13" t="n">
        <f aca="false">IF(AP$9=1,0,e_Ant*IF(36+e_AntMeses&lt;=156,INDEX($F$11:$FF$11,1,36+e_AntMeses+1),0))*Calendario!AP$13</f>
        <v>0</v>
      </c>
      <c r="AQ15" s="13" t="n">
        <f aca="false">IF(AQ$9=1,0,e_Ant*IF(37+e_AntMeses&lt;=156,INDEX($F$11:$FF$11,1,37+e_AntMeses+1),0))*Calendario!AQ$13</f>
        <v>0</v>
      </c>
      <c r="AR15" s="13" t="n">
        <f aca="false">IF(AR$9=1,0,e_Ant*IF(38+e_AntMeses&lt;=156,INDEX($F$11:$FF$11,1,38+e_AntMeses+1),0))*Calendario!AR$13</f>
        <v>0</v>
      </c>
      <c r="AS15" s="13" t="n">
        <f aca="false">IF(AS$9=1,0,e_Ant*IF(39+e_AntMeses&lt;=156,INDEX($F$11:$FF$11,1,39+e_AntMeses+1),0))*Calendario!AS$13</f>
        <v>0</v>
      </c>
      <c r="AT15" s="13" t="n">
        <f aca="false">IF(AT$9=1,0,e_Ant*IF(40+e_AntMeses&lt;=156,INDEX($F$11:$FF$11,1,40+e_AntMeses+1),0))*Calendario!AT$13</f>
        <v>0</v>
      </c>
      <c r="AU15" s="13" t="n">
        <f aca="false">IF(AU$9=1,0,e_Ant*IF(41+e_AntMeses&lt;=156,INDEX($F$11:$FF$11,1,41+e_AntMeses+1),0))*Calendario!AU$13</f>
        <v>0</v>
      </c>
      <c r="AV15" s="13" t="n">
        <f aca="false">IF(AV$9=1,0,e_Ant*IF(42+e_AntMeses&lt;=156,INDEX($F$11:$FF$11,1,42+e_AntMeses+1),0))*Calendario!AV$13</f>
        <v>0</v>
      </c>
      <c r="AW15" s="13" t="n">
        <f aca="false">IF(AW$9=1,0,e_Ant*IF(43+e_AntMeses&lt;=156,INDEX($F$11:$FF$11,1,43+e_AntMeses+1),0))*Calendario!AW$13</f>
        <v>0</v>
      </c>
      <c r="AX15" s="13" t="n">
        <f aca="false">IF(AX$9=1,0,e_Ant*IF(44+e_AntMeses&lt;=156,INDEX($F$11:$FF$11,1,44+e_AntMeses+1),0))*Calendario!AX$13</f>
        <v>0</v>
      </c>
      <c r="AY15" s="13" t="n">
        <f aca="false">IF(AY$9=1,0,e_Ant*IF(45+e_AntMeses&lt;=156,INDEX($F$11:$FF$11,1,45+e_AntMeses+1),0))*Calendario!AY$13</f>
        <v>0</v>
      </c>
      <c r="AZ15" s="13" t="n">
        <f aca="false">IF(AZ$9=1,0,e_Ant*IF(46+e_AntMeses&lt;=156,INDEX($F$11:$FF$11,1,46+e_AntMeses+1),0))*Calendario!AZ$13</f>
        <v>0</v>
      </c>
      <c r="BA15" s="13" t="n">
        <f aca="false">IF(BA$9=1,0,e_Ant*IF(47+e_AntMeses&lt;=156,INDEX($F$11:$FF$11,1,47+e_AntMeses+1),0))*Calendario!BA$13</f>
        <v>0</v>
      </c>
      <c r="BB15" s="13" t="n">
        <f aca="false">IF(BB$9=1,0,e_Ant*IF(48+e_AntMeses&lt;=156,INDEX($F$11:$FF$11,1,48+e_AntMeses+1),0))*Calendario!BB$13</f>
        <v>0</v>
      </c>
      <c r="BC15" s="13" t="n">
        <f aca="false">IF(BC$9=1,0,e_Ant*IF(49+e_AntMeses&lt;=156,INDEX($F$11:$FF$11,1,49+e_AntMeses+1),0))*Calendario!BC$13</f>
        <v>0</v>
      </c>
      <c r="BD15" s="13" t="n">
        <f aca="false">IF(BD$9=1,0,e_Ant*IF(50+e_AntMeses&lt;=156,INDEX($F$11:$FF$11,1,50+e_AntMeses+1),0))*Calendario!BD$13</f>
        <v>0</v>
      </c>
      <c r="BE15" s="13" t="n">
        <f aca="false">IF(BE$9=1,0,e_Ant*IF(51+e_AntMeses&lt;=156,INDEX($F$11:$FF$11,1,51+e_AntMeses+1),0))*Calendario!BE$13</f>
        <v>0</v>
      </c>
      <c r="BF15" s="13" t="n">
        <f aca="false">IF(BF$9=1,0,e_Ant*IF(52+e_AntMeses&lt;=156,INDEX($F$11:$FF$11,1,52+e_AntMeses+1),0))*Calendario!BF$13</f>
        <v>0</v>
      </c>
      <c r="BG15" s="13" t="n">
        <f aca="false">IF(BG$9=1,0,e_Ant*IF(53+e_AntMeses&lt;=156,INDEX($F$11:$FF$11,1,53+e_AntMeses+1),0))*Calendario!BG$13</f>
        <v>0</v>
      </c>
      <c r="BH15" s="13" t="n">
        <f aca="false">IF(BH$9=1,0,e_Ant*IF(54+e_AntMeses&lt;=156,INDEX($F$11:$FF$11,1,54+e_AntMeses+1),0))*Calendario!BH$13</f>
        <v>0</v>
      </c>
      <c r="BI15" s="13" t="n">
        <f aca="false">IF(BI$9=1,0,e_Ant*IF(55+e_AntMeses&lt;=156,INDEX($F$11:$FF$11,1,55+e_AntMeses+1),0))*Calendario!BI$13</f>
        <v>0</v>
      </c>
      <c r="BJ15" s="13" t="n">
        <f aca="false">IF(BJ$9=1,0,e_Ant*IF(56+e_AntMeses&lt;=156,INDEX($F$11:$FF$11,1,56+e_AntMeses+1),0))*Calendario!BJ$13</f>
        <v>0</v>
      </c>
      <c r="BK15" s="13" t="n">
        <f aca="false">IF(BK$9=1,0,e_Ant*IF(57+e_AntMeses&lt;=156,INDEX($F$11:$FF$11,1,57+e_AntMeses+1),0))*Calendario!BK$13</f>
        <v>0</v>
      </c>
      <c r="BL15" s="13" t="n">
        <f aca="false">IF(BL$9=1,0,e_Ant*IF(58+e_AntMeses&lt;=156,INDEX($F$11:$FF$11,1,58+e_AntMeses+1),0))*Calendario!BL$13</f>
        <v>0</v>
      </c>
      <c r="BM15" s="13" t="n">
        <f aca="false">IF(BM$9=1,0,e_Ant*IF(59+e_AntMeses&lt;=156,INDEX($F$11:$FF$11,1,59+e_AntMeses+1),0))*Calendario!BM$13</f>
        <v>0</v>
      </c>
      <c r="BN15" s="13" t="n">
        <f aca="false">IF(BN$9=1,0,e_Ant*IF(60+e_AntMeses&lt;=156,INDEX($F$11:$FF$11,1,60+e_AntMeses+1),0))*Calendario!BN$13</f>
        <v>0</v>
      </c>
      <c r="BO15" s="13" t="n">
        <f aca="false">IF(BO$9=1,0,e_Ant*IF(61+e_AntMeses&lt;=156,INDEX($F$11:$FF$11,1,61+e_AntMeses+1),0))*Calendario!BO$13</f>
        <v>0</v>
      </c>
      <c r="BP15" s="13" t="n">
        <f aca="false">IF(BP$9=1,0,e_Ant*IF(62+e_AntMeses&lt;=156,INDEX($F$11:$FF$11,1,62+e_AntMeses+1),0))*Calendario!BP$13</f>
        <v>0</v>
      </c>
      <c r="BQ15" s="13" t="n">
        <f aca="false">IF(BQ$9=1,0,e_Ant*IF(63+e_AntMeses&lt;=156,INDEX($F$11:$FF$11,1,63+e_AntMeses+1),0))*Calendario!BQ$13</f>
        <v>0</v>
      </c>
      <c r="BR15" s="13" t="n">
        <f aca="false">IF(BR$9=1,0,e_Ant*IF(64+e_AntMeses&lt;=156,INDEX($F$11:$FF$11,1,64+e_AntMeses+1),0))*Calendario!BR$13</f>
        <v>0</v>
      </c>
      <c r="BS15" s="13" t="n">
        <f aca="false">IF(BS$9=1,0,e_Ant*IF(65+e_AntMeses&lt;=156,INDEX($F$11:$FF$11,1,65+e_AntMeses+1),0))*Calendario!BS$13</f>
        <v>0</v>
      </c>
      <c r="BT15" s="13" t="n">
        <f aca="false">IF(BT$9=1,0,e_Ant*IF(66+e_AntMeses&lt;=156,INDEX($F$11:$FF$11,1,66+e_AntMeses+1),0))*Calendario!BT$13</f>
        <v>0</v>
      </c>
      <c r="BU15" s="13" t="n">
        <f aca="false">IF(BU$9=1,0,e_Ant*IF(67+e_AntMeses&lt;=156,INDEX($F$11:$FF$11,1,67+e_AntMeses+1),0))*Calendario!BU$13</f>
        <v>0</v>
      </c>
      <c r="BV15" s="13" t="n">
        <f aca="false">IF(BV$9=1,0,e_Ant*IF(68+e_AntMeses&lt;=156,INDEX($F$11:$FF$11,1,68+e_AntMeses+1),0))*Calendario!BV$13</f>
        <v>0</v>
      </c>
      <c r="BW15" s="13" t="n">
        <f aca="false">IF(BW$9=1,0,e_Ant*IF(69+e_AntMeses&lt;=156,INDEX($F$11:$FF$11,1,69+e_AntMeses+1),0))*Calendario!BW$13</f>
        <v>0</v>
      </c>
      <c r="BX15" s="13" t="n">
        <f aca="false">IF(BX$9=1,0,e_Ant*IF(70+e_AntMeses&lt;=156,INDEX($F$11:$FF$11,1,70+e_AntMeses+1),0))*Calendario!BX$13</f>
        <v>0</v>
      </c>
      <c r="BY15" s="13" t="n">
        <f aca="false">IF(BY$9=1,0,e_Ant*IF(71+e_AntMeses&lt;=156,INDEX($F$11:$FF$11,1,71+e_AntMeses+1),0))*Calendario!BY$13</f>
        <v>0</v>
      </c>
      <c r="BZ15" s="13" t="n">
        <f aca="false">IF(BZ$9=1,0,e_Ant*IF(72+e_AntMeses&lt;=156,INDEX($F$11:$FF$11,1,72+e_AntMeses+1),0))*Calendario!BZ$13</f>
        <v>0</v>
      </c>
      <c r="CA15" s="13" t="n">
        <f aca="false">IF(CA$9=1,0,e_Ant*IF(73+e_AntMeses&lt;=156,INDEX($F$11:$FF$11,1,73+e_AntMeses+1),0))*Calendario!CA$13</f>
        <v>0</v>
      </c>
      <c r="CB15" s="13" t="n">
        <f aca="false">IF(CB$9=1,0,e_Ant*IF(74+e_AntMeses&lt;=156,INDEX($F$11:$FF$11,1,74+e_AntMeses+1),0))*Calendario!CB$13</f>
        <v>0</v>
      </c>
      <c r="CC15" s="13" t="n">
        <f aca="false">IF(CC$9=1,0,e_Ant*IF(75+e_AntMeses&lt;=156,INDEX($F$11:$FF$11,1,75+e_AntMeses+1),0))*Calendario!CC$13</f>
        <v>0</v>
      </c>
      <c r="CD15" s="13" t="n">
        <f aca="false">IF(CD$9=1,0,e_Ant*IF(76+e_AntMeses&lt;=156,INDEX($F$11:$FF$11,1,76+e_AntMeses+1),0))*Calendario!CD$13</f>
        <v>0</v>
      </c>
      <c r="CE15" s="13" t="n">
        <f aca="false">IF(CE$9=1,0,e_Ant*IF(77+e_AntMeses&lt;=156,INDEX($F$11:$FF$11,1,77+e_AntMeses+1),0))*Calendario!CE$13</f>
        <v>0</v>
      </c>
      <c r="CF15" s="13" t="n">
        <f aca="false">IF(CF$9=1,0,e_Ant*IF(78+e_AntMeses&lt;=156,INDEX($F$11:$FF$11,1,78+e_AntMeses+1),0))*Calendario!CF$13</f>
        <v>0</v>
      </c>
      <c r="CG15" s="13" t="n">
        <f aca="false">IF(CG$9=1,0,e_Ant*IF(79+e_AntMeses&lt;=156,INDEX($F$11:$FF$11,1,79+e_AntMeses+1),0))*Calendario!CG$13</f>
        <v>0</v>
      </c>
      <c r="CH15" s="13" t="n">
        <f aca="false">IF(CH$9=1,0,e_Ant*IF(80+e_AntMeses&lt;=156,INDEX($F$11:$FF$11,1,80+e_AntMeses+1),0))*Calendario!CH$13</f>
        <v>0</v>
      </c>
      <c r="CI15" s="13" t="n">
        <f aca="false">IF(CI$9=1,0,e_Ant*IF(81+e_AntMeses&lt;=156,INDEX($F$11:$FF$11,1,81+e_AntMeses+1),0))*Calendario!CI$13</f>
        <v>0</v>
      </c>
      <c r="CJ15" s="13" t="n">
        <f aca="false">IF(CJ$9=1,0,e_Ant*IF(82+e_AntMeses&lt;=156,INDEX($F$11:$FF$11,1,82+e_AntMeses+1),0))*Calendario!CJ$13</f>
        <v>0</v>
      </c>
      <c r="CK15" s="13" t="n">
        <f aca="false">IF(CK$9=1,0,e_Ant*IF(83+e_AntMeses&lt;=156,INDEX($F$11:$FF$11,1,83+e_AntMeses+1),0))*Calendario!CK$13</f>
        <v>0</v>
      </c>
      <c r="CL15" s="13" t="n">
        <f aca="false">IF(CL$9=1,0,e_Ant*IF(84+e_AntMeses&lt;=156,INDEX($F$11:$FF$11,1,84+e_AntMeses+1),0))*Calendario!CL$13</f>
        <v>0</v>
      </c>
      <c r="CM15" s="13" t="n">
        <f aca="false">IF(CM$9=1,0,e_Ant*IF(85+e_AntMeses&lt;=156,INDEX($F$11:$FF$11,1,85+e_AntMeses+1),0))*Calendario!CM$13</f>
        <v>0</v>
      </c>
      <c r="CN15" s="13" t="n">
        <f aca="false">IF(CN$9=1,0,e_Ant*IF(86+e_AntMeses&lt;=156,INDEX($F$11:$FF$11,1,86+e_AntMeses+1),0))*Calendario!CN$13</f>
        <v>0</v>
      </c>
      <c r="CO15" s="13" t="n">
        <f aca="false">IF(CO$9=1,0,e_Ant*IF(87+e_AntMeses&lt;=156,INDEX($F$11:$FF$11,1,87+e_AntMeses+1),0))*Calendario!CO$13</f>
        <v>0</v>
      </c>
      <c r="CP15" s="13" t="n">
        <f aca="false">IF(CP$9=1,0,e_Ant*IF(88+e_AntMeses&lt;=156,INDEX($F$11:$FF$11,1,88+e_AntMeses+1),0))*Calendario!CP$13</f>
        <v>0</v>
      </c>
      <c r="CQ15" s="13" t="n">
        <f aca="false">IF(CQ$9=1,0,e_Ant*IF(89+e_AntMeses&lt;=156,INDEX($F$11:$FF$11,1,89+e_AntMeses+1),0))*Calendario!CQ$13</f>
        <v>0</v>
      </c>
      <c r="CR15" s="13" t="n">
        <f aca="false">IF(CR$9=1,0,e_Ant*IF(90+e_AntMeses&lt;=156,INDEX($F$11:$FF$11,1,90+e_AntMeses+1),0))*Calendario!CR$13</f>
        <v>0</v>
      </c>
      <c r="CS15" s="13" t="n">
        <f aca="false">IF(CS$9=1,0,e_Ant*IF(91+e_AntMeses&lt;=156,INDEX($F$11:$FF$11,1,91+e_AntMeses+1),0))*Calendario!CS$13</f>
        <v>0</v>
      </c>
      <c r="CT15" s="13" t="n">
        <f aca="false">IF(CT$9=1,0,e_Ant*IF(92+e_AntMeses&lt;=156,INDEX($F$11:$FF$11,1,92+e_AntMeses+1),0))*Calendario!CT$13</f>
        <v>0</v>
      </c>
      <c r="CU15" s="13" t="n">
        <f aca="false">IF(CU$9=1,0,e_Ant*IF(93+e_AntMeses&lt;=156,INDEX($F$11:$FF$11,1,93+e_AntMeses+1),0))*Calendario!CU$13</f>
        <v>0</v>
      </c>
      <c r="CV15" s="13" t="n">
        <f aca="false">IF(CV$9=1,0,e_Ant*IF(94+e_AntMeses&lt;=156,INDEX($F$11:$FF$11,1,94+e_AntMeses+1),0))*Calendario!CV$13</f>
        <v>0</v>
      </c>
      <c r="CW15" s="13" t="n">
        <f aca="false">IF(CW$9=1,0,e_Ant*IF(95+e_AntMeses&lt;=156,INDEX($F$11:$FF$11,1,95+e_AntMeses+1),0))*Calendario!CW$13</f>
        <v>0</v>
      </c>
      <c r="CX15" s="13" t="n">
        <f aca="false">IF(CX$9=1,0,e_Ant*IF(96+e_AntMeses&lt;=156,INDEX($F$11:$FF$11,1,96+e_AntMeses+1),0))*Calendario!CX$13</f>
        <v>0</v>
      </c>
      <c r="CY15" s="13" t="n">
        <f aca="false">IF(CY$9=1,0,e_Ant*IF(97+e_AntMeses&lt;=156,INDEX($F$11:$FF$11,1,97+e_AntMeses+1),0))*Calendario!CY$13</f>
        <v>0</v>
      </c>
      <c r="CZ15" s="13" t="n">
        <f aca="false">IF(CZ$9=1,0,e_Ant*IF(98+e_AntMeses&lt;=156,INDEX($F$11:$FF$11,1,98+e_AntMeses+1),0))*Calendario!CZ$13</f>
        <v>0</v>
      </c>
      <c r="DA15" s="13" t="n">
        <f aca="false">IF(DA$9=1,0,e_Ant*IF(99+e_AntMeses&lt;=156,INDEX($F$11:$FF$11,1,99+e_AntMeses+1),0))*Calendario!DA$13</f>
        <v>0</v>
      </c>
      <c r="DB15" s="13" t="n">
        <f aca="false">IF(DB$9=1,0,e_Ant*IF(100+e_AntMeses&lt;=156,INDEX($F$11:$FF$11,1,100+e_AntMeses+1),0))*Calendario!DB$13</f>
        <v>0</v>
      </c>
      <c r="DC15" s="13" t="n">
        <f aca="false">IF(DC$9=1,0,e_Ant*IF(101+e_AntMeses&lt;=156,INDEX($F$11:$FF$11,1,101+e_AntMeses+1),0))*Calendario!DC$13</f>
        <v>0</v>
      </c>
      <c r="DD15" s="13" t="n">
        <f aca="false">IF(DD$9=1,0,e_Ant*IF(102+e_AntMeses&lt;=156,INDEX($F$11:$FF$11,1,102+e_AntMeses+1),0))*Calendario!DD$13</f>
        <v>0</v>
      </c>
      <c r="DE15" s="13" t="n">
        <f aca="false">IF(DE$9=1,0,e_Ant*IF(103+e_AntMeses&lt;=156,INDEX($F$11:$FF$11,1,103+e_AntMeses+1),0))*Calendario!DE$13</f>
        <v>0</v>
      </c>
      <c r="DF15" s="13" t="n">
        <f aca="false">IF(DF$9=1,0,e_Ant*IF(104+e_AntMeses&lt;=156,INDEX($F$11:$FF$11,1,104+e_AntMeses+1),0))*Calendario!DF$13</f>
        <v>0</v>
      </c>
      <c r="DG15" s="13" t="n">
        <f aca="false">IF(DG$9=1,0,e_Ant*IF(105+e_AntMeses&lt;=156,INDEX($F$11:$FF$11,1,105+e_AntMeses+1),0))*Calendario!DG$13</f>
        <v>0</v>
      </c>
      <c r="DH15" s="13" t="n">
        <f aca="false">IF(DH$9=1,0,e_Ant*IF(106+e_AntMeses&lt;=156,INDEX($F$11:$FF$11,1,106+e_AntMeses+1),0))*Calendario!DH$13</f>
        <v>0</v>
      </c>
      <c r="DI15" s="13" t="n">
        <f aca="false">IF(DI$9=1,0,e_Ant*IF(107+e_AntMeses&lt;=156,INDEX($F$11:$FF$11,1,107+e_AntMeses+1),0))*Calendario!DI$13</f>
        <v>0</v>
      </c>
      <c r="DJ15" s="13" t="n">
        <f aca="false">IF(DJ$9=1,0,e_Ant*IF(108+e_AntMeses&lt;=156,INDEX($F$11:$FF$11,1,108+e_AntMeses+1),0))*Calendario!DJ$13</f>
        <v>0</v>
      </c>
      <c r="DK15" s="13" t="n">
        <f aca="false">IF(DK$9=1,0,e_Ant*IF(109+e_AntMeses&lt;=156,INDEX($F$11:$FF$11,1,109+e_AntMeses+1),0))*Calendario!DK$13</f>
        <v>0</v>
      </c>
      <c r="DL15" s="13" t="n">
        <f aca="false">IF(DL$9=1,0,e_Ant*IF(110+e_AntMeses&lt;=156,INDEX($F$11:$FF$11,1,110+e_AntMeses+1),0))*Calendario!DL$13</f>
        <v>0</v>
      </c>
      <c r="DM15" s="13" t="n">
        <f aca="false">IF(DM$9=1,0,e_Ant*IF(111+e_AntMeses&lt;=156,INDEX($F$11:$FF$11,1,111+e_AntMeses+1),0))*Calendario!DM$13</f>
        <v>0</v>
      </c>
      <c r="DN15" s="13" t="n">
        <f aca="false">IF(DN$9=1,0,e_Ant*IF(112+e_AntMeses&lt;=156,INDEX($F$11:$FF$11,1,112+e_AntMeses+1),0))*Calendario!DN$13</f>
        <v>0</v>
      </c>
      <c r="DO15" s="13" t="n">
        <f aca="false">IF(DO$9=1,0,e_Ant*IF(113+e_AntMeses&lt;=156,INDEX($F$11:$FF$11,1,113+e_AntMeses+1),0))*Calendario!DO$13</f>
        <v>0</v>
      </c>
      <c r="DP15" s="13" t="n">
        <f aca="false">IF(DP$9=1,0,e_Ant*IF(114+e_AntMeses&lt;=156,INDEX($F$11:$FF$11,1,114+e_AntMeses+1),0))*Calendario!DP$13</f>
        <v>0</v>
      </c>
      <c r="DQ15" s="13" t="n">
        <f aca="false">IF(DQ$9=1,0,e_Ant*IF(115+e_AntMeses&lt;=156,INDEX($F$11:$FF$11,1,115+e_AntMeses+1),0))*Calendario!DQ$13</f>
        <v>0</v>
      </c>
      <c r="DR15" s="13" t="n">
        <f aca="false">IF(DR$9=1,0,e_Ant*IF(116+e_AntMeses&lt;=156,INDEX($F$11:$FF$11,1,116+e_AntMeses+1),0))*Calendario!DR$13</f>
        <v>0</v>
      </c>
      <c r="DS15" s="13" t="n">
        <f aca="false">IF(DS$9=1,0,e_Ant*IF(117+e_AntMeses&lt;=156,INDEX($F$11:$FF$11,1,117+e_AntMeses+1),0))*Calendario!DS$13</f>
        <v>0</v>
      </c>
      <c r="DT15" s="13" t="n">
        <f aca="false">IF(DT$9=1,0,e_Ant*IF(118+e_AntMeses&lt;=156,INDEX($F$11:$FF$11,1,118+e_AntMeses+1),0))*Calendario!DT$13</f>
        <v>0</v>
      </c>
      <c r="DU15" s="13" t="n">
        <f aca="false">IF(DU$9=1,0,e_Ant*IF(119+e_AntMeses&lt;=156,INDEX($F$11:$FF$11,1,119+e_AntMeses+1),0))*Calendario!DU$13</f>
        <v>0</v>
      </c>
      <c r="DV15" s="13" t="n">
        <f aca="false">IF(DV$9=1,0,e_Ant*IF(120+e_AntMeses&lt;=156,INDEX($F$11:$FF$11,1,120+e_AntMeses+1),0))*Calendario!DV$13</f>
        <v>0</v>
      </c>
      <c r="DW15" s="13" t="n">
        <f aca="false">IF(DW$9=1,0,e_Ant*IF(121+e_AntMeses&lt;=156,INDEX($F$11:$FF$11,1,121+e_AntMeses+1),0))*Calendario!DW$13</f>
        <v>0</v>
      </c>
      <c r="DX15" s="13" t="n">
        <f aca="false">IF(DX$9=1,0,e_Ant*IF(122+e_AntMeses&lt;=156,INDEX($F$11:$FF$11,1,122+e_AntMeses+1),0))*Calendario!DX$13</f>
        <v>0</v>
      </c>
      <c r="DY15" s="13" t="n">
        <f aca="false">IF(DY$9=1,0,e_Ant*IF(123+e_AntMeses&lt;=156,INDEX($F$11:$FF$11,1,123+e_AntMeses+1),0))*Calendario!DY$13</f>
        <v>0</v>
      </c>
      <c r="DZ15" s="13" t="n">
        <f aca="false">IF(DZ$9=1,0,e_Ant*IF(124+e_AntMeses&lt;=156,INDEX($F$11:$FF$11,1,124+e_AntMeses+1),0))*Calendario!DZ$13</f>
        <v>0</v>
      </c>
      <c r="EA15" s="13" t="n">
        <f aca="false">IF(EA$9=1,0,e_Ant*IF(125+e_AntMeses&lt;=156,INDEX($F$11:$FF$11,1,125+e_AntMeses+1),0))*Calendario!EA$13</f>
        <v>0</v>
      </c>
      <c r="EB15" s="13" t="n">
        <f aca="false">IF(EB$9=1,0,e_Ant*IF(126+e_AntMeses&lt;=156,INDEX($F$11:$FF$11,1,126+e_AntMeses+1),0))*Calendario!EB$13</f>
        <v>0</v>
      </c>
      <c r="EC15" s="13" t="n">
        <f aca="false">IF(EC$9=1,0,e_Ant*IF(127+e_AntMeses&lt;=156,INDEX($F$11:$FF$11,1,127+e_AntMeses+1),0))*Calendario!EC$13</f>
        <v>0</v>
      </c>
      <c r="ED15" s="13" t="n">
        <f aca="false">IF(ED$9=1,0,e_Ant*IF(128+e_AntMeses&lt;=156,INDEX($F$11:$FF$11,1,128+e_AntMeses+1),0))*Calendario!ED$13</f>
        <v>0</v>
      </c>
      <c r="EE15" s="13" t="n">
        <f aca="false">IF(EE$9=1,0,e_Ant*IF(129+e_AntMeses&lt;=156,INDEX($F$11:$FF$11,1,129+e_AntMeses+1),0))*Calendario!EE$13</f>
        <v>0</v>
      </c>
      <c r="EF15" s="13" t="n">
        <f aca="false">IF(EF$9=1,0,e_Ant*IF(130+e_AntMeses&lt;=156,INDEX($F$11:$FF$11,1,130+e_AntMeses+1),0))*Calendario!EF$13</f>
        <v>0</v>
      </c>
      <c r="EG15" s="13" t="n">
        <f aca="false">IF(EG$9=1,0,e_Ant*IF(131+e_AntMeses&lt;=156,INDEX($F$11:$FF$11,1,131+e_AntMeses+1),0))*Calendario!EG$13</f>
        <v>0</v>
      </c>
      <c r="EH15" s="13" t="n">
        <f aca="false">IF(EH$9=1,0,e_Ant*IF(132+e_AntMeses&lt;=156,INDEX($F$11:$FF$11,1,132+e_AntMeses+1),0))*Calendario!EH$13</f>
        <v>0</v>
      </c>
      <c r="EI15" s="13" t="n">
        <f aca="false">IF(EI$9=1,0,e_Ant*IF(133+e_AntMeses&lt;=156,INDEX($F$11:$FF$11,1,133+e_AntMeses+1),0))*Calendario!EI$13</f>
        <v>0</v>
      </c>
      <c r="EJ15" s="13" t="n">
        <f aca="false">IF(EJ$9=1,0,e_Ant*IF(134+e_AntMeses&lt;=156,INDEX($F$11:$FF$11,1,134+e_AntMeses+1),0))*Calendario!EJ$13</f>
        <v>0</v>
      </c>
      <c r="EK15" s="13" t="n">
        <f aca="false">IF(EK$9=1,0,e_Ant*IF(135+e_AntMeses&lt;=156,INDEX($F$11:$FF$11,1,135+e_AntMeses+1),0))*Calendario!EK$13</f>
        <v>0</v>
      </c>
      <c r="EL15" s="13" t="n">
        <f aca="false">IF(EL$9=1,0,e_Ant*IF(136+e_AntMeses&lt;=156,INDEX($F$11:$FF$11,1,136+e_AntMeses+1),0))*Calendario!EL$13</f>
        <v>0</v>
      </c>
      <c r="EM15" s="13" t="n">
        <f aca="false">IF(EM$9=1,0,e_Ant*IF(137+e_AntMeses&lt;=156,INDEX($F$11:$FF$11,1,137+e_AntMeses+1),0))*Calendario!EM$13</f>
        <v>0</v>
      </c>
      <c r="EN15" s="13" t="n">
        <f aca="false">IF(EN$9=1,0,e_Ant*IF(138+e_AntMeses&lt;=156,INDEX($F$11:$FF$11,1,138+e_AntMeses+1),0))*Calendario!EN$13</f>
        <v>0</v>
      </c>
      <c r="EO15" s="13" t="n">
        <f aca="false">IF(EO$9=1,0,e_Ant*IF(139+e_AntMeses&lt;=156,INDEX($F$11:$FF$11,1,139+e_AntMeses+1),0))*Calendario!EO$13</f>
        <v>0</v>
      </c>
      <c r="EP15" s="13" t="n">
        <f aca="false">IF(EP$9=1,0,e_Ant*IF(140+e_AntMeses&lt;=156,INDEX($F$11:$FF$11,1,140+e_AntMeses+1),0))*Calendario!EP$13</f>
        <v>0</v>
      </c>
      <c r="EQ15" s="13" t="n">
        <f aca="false">IF(EQ$9=1,0,e_Ant*IF(141+e_AntMeses&lt;=156,INDEX($F$11:$FF$11,1,141+e_AntMeses+1),0))*Calendario!EQ$13</f>
        <v>0</v>
      </c>
      <c r="ER15" s="13" t="n">
        <f aca="false">IF(ER$9=1,0,e_Ant*IF(142+e_AntMeses&lt;=156,INDEX($F$11:$FF$11,1,142+e_AntMeses+1),0))*Calendario!ER$13</f>
        <v>0</v>
      </c>
      <c r="ES15" s="13" t="n">
        <f aca="false">IF(ES$9=1,0,e_Ant*IF(143+e_AntMeses&lt;=156,INDEX($F$11:$FF$11,1,143+e_AntMeses+1),0))*Calendario!ES$13</f>
        <v>0</v>
      </c>
      <c r="ET15" s="13" t="n">
        <f aca="false">IF(ET$9=1,0,e_Ant*IF(144+e_AntMeses&lt;=156,INDEX($F$11:$FF$11,1,144+e_AntMeses+1),0))*Calendario!ET$13</f>
        <v>0</v>
      </c>
      <c r="EU15" s="13" t="n">
        <f aca="false">IF(EU$9=1,0,e_Ant*IF(145+e_AntMeses&lt;=156,INDEX($F$11:$FF$11,1,145+e_AntMeses+1),0))*Calendario!EU$13</f>
        <v>0</v>
      </c>
      <c r="EV15" s="13" t="n">
        <f aca="false">IF(EV$9=1,0,e_Ant*IF(146+e_AntMeses&lt;=156,INDEX($F$11:$FF$11,1,146+e_AntMeses+1),0))*Calendario!EV$13</f>
        <v>0</v>
      </c>
      <c r="EW15" s="13" t="n">
        <f aca="false">IF(EW$9=1,0,e_Ant*IF(147+e_AntMeses&lt;=156,INDEX($F$11:$FF$11,1,147+e_AntMeses+1),0))*Calendario!EW$13</f>
        <v>0</v>
      </c>
      <c r="EX15" s="13" t="n">
        <f aca="false">IF(EX$9=1,0,e_Ant*IF(148+e_AntMeses&lt;=156,INDEX($F$11:$FF$11,1,148+e_AntMeses+1),0))*Calendario!EX$13</f>
        <v>0</v>
      </c>
      <c r="EY15" s="13" t="n">
        <f aca="false">IF(EY$9=1,0,e_Ant*IF(149+e_AntMeses&lt;=156,INDEX($F$11:$FF$11,1,149+e_AntMeses+1),0))*Calendario!EY$13</f>
        <v>0</v>
      </c>
      <c r="EZ15" s="13" t="n">
        <f aca="false">IF(EZ$9=1,0,e_Ant*IF(150+e_AntMeses&lt;=156,INDEX($F$11:$FF$11,1,150+e_AntMeses+1),0))*Calendario!EZ$13</f>
        <v>0</v>
      </c>
      <c r="FA15" s="13" t="n">
        <f aca="false">IF(FA$9=1,0,e_Ant*IF(151+e_AntMeses&lt;=156,INDEX($F$11:$FF$11,1,151+e_AntMeses+1),0))*Calendario!FA$13</f>
        <v>0</v>
      </c>
      <c r="FB15" s="13" t="n">
        <f aca="false">IF(FB$9=1,0,e_Ant*IF(152+e_AntMeses&lt;=156,INDEX($F$11:$FF$11,1,152+e_AntMeses+1),0))*Calendario!FB$13</f>
        <v>0</v>
      </c>
      <c r="FC15" s="13" t="n">
        <f aca="false">IF(FC$9=1,0,e_Ant*IF(153+e_AntMeses&lt;=156,INDEX($F$11:$FF$11,1,153+e_AntMeses+1),0))*Calendario!FC$13</f>
        <v>0</v>
      </c>
      <c r="FD15" s="13" t="n">
        <f aca="false">IF(FD$9=1,0,e_Ant*IF(154+e_AntMeses&lt;=156,INDEX($F$11:$FF$11,1,154+e_AntMeses+1),0))*Calendario!FD$13</f>
        <v>0</v>
      </c>
      <c r="FE15" s="13" t="n">
        <f aca="false">IF(FE$9=1,0,e_Ant*IF(155+e_AntMeses&lt;=156,INDEX($F$11:$FF$11,1,155+e_AntMeses+1),0))*Calendario!FE$13</f>
        <v>0</v>
      </c>
      <c r="FF15" s="13" t="n">
        <f aca="false">IF(FF$9=1,0,e_Ant*IF(156+e_AntMeses&lt;=156,INDEX($F$11:$FF$11,1,156+e_AntMeses+1),0))*Calendario!FF$13</f>
        <v>0</v>
      </c>
    </row>
    <row r="16" customFormat="false" ht="15" hidden="false" customHeight="false" outlineLevel="0" collapsed="false">
      <c r="A16" s="2" t="s">
        <v>1293</v>
      </c>
      <c r="B16" s="8" t="s">
        <v>1294</v>
      </c>
      <c r="C16" s="8" t="s">
        <v>255</v>
      </c>
      <c r="E16" s="65" t="n">
        <f aca="false">SUM($F16:$FF16)</f>
        <v>0</v>
      </c>
      <c r="F16" s="13" t="n">
        <f aca="false">F$12*e_Incob</f>
        <v>0</v>
      </c>
      <c r="G16" s="13" t="n">
        <f aca="false">G$12*e_Incob</f>
        <v>0</v>
      </c>
      <c r="H16" s="13" t="n">
        <f aca="false">H$12*e_Incob</f>
        <v>0</v>
      </c>
      <c r="I16" s="13" t="n">
        <f aca="false">I$12*e_Incob</f>
        <v>0</v>
      </c>
      <c r="J16" s="13" t="n">
        <f aca="false">J$12*e_Incob</f>
        <v>0</v>
      </c>
      <c r="K16" s="13" t="n">
        <f aca="false">K$12*e_Incob</f>
        <v>0</v>
      </c>
      <c r="L16" s="13" t="n">
        <f aca="false">L$12*e_Incob</f>
        <v>0</v>
      </c>
      <c r="M16" s="13" t="n">
        <f aca="false">M$12*e_Incob</f>
        <v>0</v>
      </c>
      <c r="N16" s="13" t="n">
        <f aca="false">N$12*e_Incob</f>
        <v>0</v>
      </c>
      <c r="O16" s="13" t="n">
        <f aca="false">O$12*e_Incob</f>
        <v>0</v>
      </c>
      <c r="P16" s="13" t="n">
        <f aca="false">P$12*e_Incob</f>
        <v>0</v>
      </c>
      <c r="Q16" s="13" t="n">
        <f aca="false">Q$12*e_Incob</f>
        <v>0</v>
      </c>
      <c r="R16" s="13" t="n">
        <f aca="false">R$12*e_Incob</f>
        <v>0</v>
      </c>
      <c r="S16" s="13" t="n">
        <f aca="false">S$12*e_Incob</f>
        <v>0</v>
      </c>
      <c r="T16" s="13" t="n">
        <f aca="false">T$12*e_Incob</f>
        <v>0</v>
      </c>
      <c r="U16" s="13" t="n">
        <f aca="false">U$12*e_Incob</f>
        <v>0</v>
      </c>
      <c r="V16" s="13" t="n">
        <f aca="false">V$12*e_Incob</f>
        <v>0</v>
      </c>
      <c r="W16" s="13" t="n">
        <f aca="false">W$12*e_Incob</f>
        <v>0</v>
      </c>
      <c r="X16" s="13" t="n">
        <f aca="false">X$12*e_Incob</f>
        <v>0</v>
      </c>
      <c r="Y16" s="13" t="n">
        <f aca="false">Y$12*e_Incob</f>
        <v>0</v>
      </c>
      <c r="Z16" s="13" t="n">
        <f aca="false">Z$12*e_Incob</f>
        <v>0</v>
      </c>
      <c r="AA16" s="13" t="n">
        <f aca="false">AA$12*e_Incob</f>
        <v>0</v>
      </c>
      <c r="AB16" s="13" t="n">
        <f aca="false">AB$12*e_Incob</f>
        <v>0</v>
      </c>
      <c r="AC16" s="13" t="n">
        <f aca="false">AC$12*e_Incob</f>
        <v>0</v>
      </c>
      <c r="AD16" s="13" t="n">
        <f aca="false">AD$12*e_Incob</f>
        <v>0</v>
      </c>
      <c r="AE16" s="13" t="n">
        <f aca="false">AE$12*e_Incob</f>
        <v>0</v>
      </c>
      <c r="AF16" s="13" t="n">
        <f aca="false">AF$12*e_Incob</f>
        <v>0</v>
      </c>
      <c r="AG16" s="13" t="n">
        <f aca="false">AG$12*e_Incob</f>
        <v>0</v>
      </c>
      <c r="AH16" s="13" t="n">
        <f aca="false">AH$12*e_Incob</f>
        <v>0</v>
      </c>
      <c r="AI16" s="13" t="n">
        <f aca="false">AI$12*e_Incob</f>
        <v>0</v>
      </c>
      <c r="AJ16" s="13" t="n">
        <f aca="false">AJ$12*e_Incob</f>
        <v>0</v>
      </c>
      <c r="AK16" s="13" t="n">
        <f aca="false">AK$12*e_Incob</f>
        <v>0</v>
      </c>
      <c r="AL16" s="13" t="n">
        <f aca="false">AL$12*e_Incob</f>
        <v>0</v>
      </c>
      <c r="AM16" s="13" t="n">
        <f aca="false">AM$12*e_Incob</f>
        <v>0</v>
      </c>
      <c r="AN16" s="13" t="n">
        <f aca="false">AN$12*e_Incob</f>
        <v>0</v>
      </c>
      <c r="AO16" s="13" t="n">
        <f aca="false">AO$12*e_Incob</f>
        <v>0</v>
      </c>
      <c r="AP16" s="13" t="n">
        <f aca="false">AP$12*e_Incob</f>
        <v>0</v>
      </c>
      <c r="AQ16" s="13" t="n">
        <f aca="false">AQ$12*e_Incob</f>
        <v>0</v>
      </c>
      <c r="AR16" s="13" t="n">
        <f aca="false">AR$12*e_Incob</f>
        <v>0</v>
      </c>
      <c r="AS16" s="13" t="n">
        <f aca="false">AS$12*e_Incob</f>
        <v>0</v>
      </c>
      <c r="AT16" s="13" t="n">
        <f aca="false">AT$12*e_Incob</f>
        <v>0</v>
      </c>
      <c r="AU16" s="13" t="n">
        <f aca="false">AU$12*e_Incob</f>
        <v>0</v>
      </c>
      <c r="AV16" s="13" t="n">
        <f aca="false">AV$12*e_Incob</f>
        <v>0</v>
      </c>
      <c r="AW16" s="13" t="n">
        <f aca="false">AW$12*e_Incob</f>
        <v>0</v>
      </c>
      <c r="AX16" s="13" t="n">
        <f aca="false">AX$12*e_Incob</f>
        <v>0</v>
      </c>
      <c r="AY16" s="13" t="n">
        <f aca="false">AY$12*e_Incob</f>
        <v>0</v>
      </c>
      <c r="AZ16" s="13" t="n">
        <f aca="false">AZ$12*e_Incob</f>
        <v>0</v>
      </c>
      <c r="BA16" s="13" t="n">
        <f aca="false">BA$12*e_Incob</f>
        <v>0</v>
      </c>
      <c r="BB16" s="13" t="n">
        <f aca="false">BB$12*e_Incob</f>
        <v>0</v>
      </c>
      <c r="BC16" s="13" t="n">
        <f aca="false">BC$12*e_Incob</f>
        <v>0</v>
      </c>
      <c r="BD16" s="13" t="n">
        <f aca="false">BD$12*e_Incob</f>
        <v>0</v>
      </c>
      <c r="BE16" s="13" t="n">
        <f aca="false">BE$12*e_Incob</f>
        <v>0</v>
      </c>
      <c r="BF16" s="13" t="n">
        <f aca="false">BF$12*e_Incob</f>
        <v>0</v>
      </c>
      <c r="BG16" s="13" t="n">
        <f aca="false">BG$12*e_Incob</f>
        <v>0</v>
      </c>
      <c r="BH16" s="13" t="n">
        <f aca="false">BH$12*e_Incob</f>
        <v>0</v>
      </c>
      <c r="BI16" s="13" t="n">
        <f aca="false">BI$12*e_Incob</f>
        <v>0</v>
      </c>
      <c r="BJ16" s="13" t="n">
        <f aca="false">BJ$12*e_Incob</f>
        <v>0</v>
      </c>
      <c r="BK16" s="13" t="n">
        <f aca="false">BK$12*e_Incob</f>
        <v>0</v>
      </c>
      <c r="BL16" s="13" t="n">
        <f aca="false">BL$12*e_Incob</f>
        <v>0</v>
      </c>
      <c r="BM16" s="13" t="n">
        <f aca="false">BM$12*e_Incob</f>
        <v>0</v>
      </c>
      <c r="BN16" s="13" t="n">
        <f aca="false">BN$12*e_Incob</f>
        <v>0</v>
      </c>
      <c r="BO16" s="13" t="n">
        <f aca="false">BO$12*e_Incob</f>
        <v>0</v>
      </c>
      <c r="BP16" s="13" t="n">
        <f aca="false">BP$12*e_Incob</f>
        <v>0</v>
      </c>
      <c r="BQ16" s="13" t="n">
        <f aca="false">BQ$12*e_Incob</f>
        <v>0</v>
      </c>
      <c r="BR16" s="13" t="n">
        <f aca="false">BR$12*e_Incob</f>
        <v>0</v>
      </c>
      <c r="BS16" s="13" t="n">
        <f aca="false">BS$12*e_Incob</f>
        <v>0</v>
      </c>
      <c r="BT16" s="13" t="n">
        <f aca="false">BT$12*e_Incob</f>
        <v>0</v>
      </c>
      <c r="BU16" s="13" t="n">
        <f aca="false">BU$12*e_Incob</f>
        <v>0</v>
      </c>
      <c r="BV16" s="13" t="n">
        <f aca="false">BV$12*e_Incob</f>
        <v>0</v>
      </c>
      <c r="BW16" s="13" t="n">
        <f aca="false">BW$12*e_Incob</f>
        <v>0</v>
      </c>
      <c r="BX16" s="13" t="n">
        <f aca="false">BX$12*e_Incob</f>
        <v>0</v>
      </c>
      <c r="BY16" s="13" t="n">
        <f aca="false">BY$12*e_Incob</f>
        <v>0</v>
      </c>
      <c r="BZ16" s="13" t="n">
        <f aca="false">BZ$12*e_Incob</f>
        <v>0</v>
      </c>
      <c r="CA16" s="13" t="n">
        <f aca="false">CA$12*e_Incob</f>
        <v>0</v>
      </c>
      <c r="CB16" s="13" t="n">
        <f aca="false">CB$12*e_Incob</f>
        <v>0</v>
      </c>
      <c r="CC16" s="13" t="n">
        <f aca="false">CC$12*e_Incob</f>
        <v>0</v>
      </c>
      <c r="CD16" s="13" t="n">
        <f aca="false">CD$12*e_Incob</f>
        <v>0</v>
      </c>
      <c r="CE16" s="13" t="n">
        <f aca="false">CE$12*e_Incob</f>
        <v>0</v>
      </c>
      <c r="CF16" s="13" t="n">
        <f aca="false">CF$12*e_Incob</f>
        <v>0</v>
      </c>
      <c r="CG16" s="13" t="n">
        <f aca="false">CG$12*e_Incob</f>
        <v>0</v>
      </c>
      <c r="CH16" s="13" t="n">
        <f aca="false">CH$12*e_Incob</f>
        <v>0</v>
      </c>
      <c r="CI16" s="13" t="n">
        <f aca="false">CI$12*e_Incob</f>
        <v>0</v>
      </c>
      <c r="CJ16" s="13" t="n">
        <f aca="false">CJ$12*e_Incob</f>
        <v>0</v>
      </c>
      <c r="CK16" s="13" t="n">
        <f aca="false">CK$12*e_Incob</f>
        <v>0</v>
      </c>
      <c r="CL16" s="13" t="n">
        <f aca="false">CL$12*e_Incob</f>
        <v>0</v>
      </c>
      <c r="CM16" s="13" t="n">
        <f aca="false">CM$12*e_Incob</f>
        <v>0</v>
      </c>
      <c r="CN16" s="13" t="n">
        <f aca="false">CN$12*e_Incob</f>
        <v>0</v>
      </c>
      <c r="CO16" s="13" t="n">
        <f aca="false">CO$12*e_Incob</f>
        <v>0</v>
      </c>
      <c r="CP16" s="13" t="n">
        <f aca="false">CP$12*e_Incob</f>
        <v>0</v>
      </c>
      <c r="CQ16" s="13" t="n">
        <f aca="false">CQ$12*e_Incob</f>
        <v>0</v>
      </c>
      <c r="CR16" s="13" t="n">
        <f aca="false">CR$12*e_Incob</f>
        <v>0</v>
      </c>
      <c r="CS16" s="13" t="n">
        <f aca="false">CS$12*e_Incob</f>
        <v>0</v>
      </c>
      <c r="CT16" s="13" t="n">
        <f aca="false">CT$12*e_Incob</f>
        <v>0</v>
      </c>
      <c r="CU16" s="13" t="n">
        <f aca="false">CU$12*e_Incob</f>
        <v>0</v>
      </c>
      <c r="CV16" s="13" t="n">
        <f aca="false">CV$12*e_Incob</f>
        <v>0</v>
      </c>
      <c r="CW16" s="13" t="n">
        <f aca="false">CW$12*e_Incob</f>
        <v>0</v>
      </c>
      <c r="CX16" s="13" t="n">
        <f aca="false">CX$12*e_Incob</f>
        <v>0</v>
      </c>
      <c r="CY16" s="13" t="n">
        <f aca="false">CY$12*e_Incob</f>
        <v>0</v>
      </c>
      <c r="CZ16" s="13" t="n">
        <f aca="false">CZ$12*e_Incob</f>
        <v>0</v>
      </c>
      <c r="DA16" s="13" t="n">
        <f aca="false">DA$12*e_Incob</f>
        <v>0</v>
      </c>
      <c r="DB16" s="13" t="n">
        <f aca="false">DB$12*e_Incob</f>
        <v>0</v>
      </c>
      <c r="DC16" s="13" t="n">
        <f aca="false">DC$12*e_Incob</f>
        <v>0</v>
      </c>
      <c r="DD16" s="13" t="n">
        <f aca="false">DD$12*e_Incob</f>
        <v>0</v>
      </c>
      <c r="DE16" s="13" t="n">
        <f aca="false">DE$12*e_Incob</f>
        <v>0</v>
      </c>
      <c r="DF16" s="13" t="n">
        <f aca="false">DF$12*e_Incob</f>
        <v>0</v>
      </c>
      <c r="DG16" s="13" t="n">
        <f aca="false">DG$12*e_Incob</f>
        <v>0</v>
      </c>
      <c r="DH16" s="13" t="n">
        <f aca="false">DH$12*e_Incob</f>
        <v>0</v>
      </c>
      <c r="DI16" s="13" t="n">
        <f aca="false">DI$12*e_Incob</f>
        <v>0</v>
      </c>
      <c r="DJ16" s="13" t="n">
        <f aca="false">DJ$12*e_Incob</f>
        <v>0</v>
      </c>
      <c r="DK16" s="13" t="n">
        <f aca="false">DK$12*e_Incob</f>
        <v>0</v>
      </c>
      <c r="DL16" s="13" t="n">
        <f aca="false">DL$12*e_Incob</f>
        <v>0</v>
      </c>
      <c r="DM16" s="13" t="n">
        <f aca="false">DM$12*e_Incob</f>
        <v>0</v>
      </c>
      <c r="DN16" s="13" t="n">
        <f aca="false">DN$12*e_Incob</f>
        <v>0</v>
      </c>
      <c r="DO16" s="13" t="n">
        <f aca="false">DO$12*e_Incob</f>
        <v>0</v>
      </c>
      <c r="DP16" s="13" t="n">
        <f aca="false">DP$12*e_Incob</f>
        <v>0</v>
      </c>
      <c r="DQ16" s="13" t="n">
        <f aca="false">DQ$12*e_Incob</f>
        <v>0</v>
      </c>
      <c r="DR16" s="13" t="n">
        <f aca="false">DR$12*e_Incob</f>
        <v>0</v>
      </c>
      <c r="DS16" s="13" t="n">
        <f aca="false">DS$12*e_Incob</f>
        <v>0</v>
      </c>
      <c r="DT16" s="13" t="n">
        <f aca="false">DT$12*e_Incob</f>
        <v>0</v>
      </c>
      <c r="DU16" s="13" t="n">
        <f aca="false">DU$12*e_Incob</f>
        <v>0</v>
      </c>
      <c r="DV16" s="13" t="n">
        <f aca="false">DV$12*e_Incob</f>
        <v>0</v>
      </c>
      <c r="DW16" s="13" t="n">
        <f aca="false">DW$12*e_Incob</f>
        <v>0</v>
      </c>
      <c r="DX16" s="13" t="n">
        <f aca="false">DX$12*e_Incob</f>
        <v>0</v>
      </c>
      <c r="DY16" s="13" t="n">
        <f aca="false">DY$12*e_Incob</f>
        <v>0</v>
      </c>
      <c r="DZ16" s="13" t="n">
        <f aca="false">DZ$12*e_Incob</f>
        <v>0</v>
      </c>
      <c r="EA16" s="13" t="n">
        <f aca="false">EA$12*e_Incob</f>
        <v>0</v>
      </c>
      <c r="EB16" s="13" t="n">
        <f aca="false">EB$12*e_Incob</f>
        <v>0</v>
      </c>
      <c r="EC16" s="13" t="n">
        <f aca="false">EC$12*e_Incob</f>
        <v>0</v>
      </c>
      <c r="ED16" s="13" t="n">
        <f aca="false">ED$12*e_Incob</f>
        <v>0</v>
      </c>
      <c r="EE16" s="13" t="n">
        <f aca="false">EE$12*e_Incob</f>
        <v>0</v>
      </c>
      <c r="EF16" s="13" t="n">
        <f aca="false">EF$12*e_Incob</f>
        <v>0</v>
      </c>
      <c r="EG16" s="13" t="n">
        <f aca="false">EG$12*e_Incob</f>
        <v>0</v>
      </c>
      <c r="EH16" s="13" t="n">
        <f aca="false">EH$12*e_Incob</f>
        <v>0</v>
      </c>
      <c r="EI16" s="13" t="n">
        <f aca="false">EI$12*e_Incob</f>
        <v>0</v>
      </c>
      <c r="EJ16" s="13" t="n">
        <f aca="false">EJ$12*e_Incob</f>
        <v>0</v>
      </c>
      <c r="EK16" s="13" t="n">
        <f aca="false">EK$12*e_Incob</f>
        <v>0</v>
      </c>
      <c r="EL16" s="13" t="n">
        <f aca="false">EL$12*e_Incob</f>
        <v>0</v>
      </c>
      <c r="EM16" s="13" t="n">
        <f aca="false">EM$12*e_Incob</f>
        <v>0</v>
      </c>
      <c r="EN16" s="13" t="n">
        <f aca="false">EN$12*e_Incob</f>
        <v>0</v>
      </c>
      <c r="EO16" s="13" t="n">
        <f aca="false">EO$12*e_Incob</f>
        <v>0</v>
      </c>
      <c r="EP16" s="13" t="n">
        <f aca="false">EP$12*e_Incob</f>
        <v>0</v>
      </c>
      <c r="EQ16" s="13" t="n">
        <f aca="false">EQ$12*e_Incob</f>
        <v>0</v>
      </c>
      <c r="ER16" s="13" t="n">
        <f aca="false">ER$12*e_Incob</f>
        <v>0</v>
      </c>
      <c r="ES16" s="13" t="n">
        <f aca="false">ES$12*e_Incob</f>
        <v>0</v>
      </c>
      <c r="ET16" s="13" t="n">
        <f aca="false">ET$12*e_Incob</f>
        <v>0</v>
      </c>
      <c r="EU16" s="13" t="n">
        <f aca="false">EU$12*e_Incob</f>
        <v>0</v>
      </c>
      <c r="EV16" s="13" t="n">
        <f aca="false">EV$12*e_Incob</f>
        <v>0</v>
      </c>
      <c r="EW16" s="13" t="n">
        <f aca="false">EW$12*e_Incob</f>
        <v>0</v>
      </c>
      <c r="EX16" s="13" t="n">
        <f aca="false">EX$12*e_Incob</f>
        <v>0</v>
      </c>
      <c r="EY16" s="13" t="n">
        <f aca="false">EY$12*e_Incob</f>
        <v>0</v>
      </c>
      <c r="EZ16" s="13" t="n">
        <f aca="false">EZ$12*e_Incob</f>
        <v>0</v>
      </c>
      <c r="FA16" s="13" t="n">
        <f aca="false">FA$12*e_Incob</f>
        <v>0</v>
      </c>
      <c r="FB16" s="13" t="n">
        <f aca="false">FB$12*e_Incob</f>
        <v>0</v>
      </c>
      <c r="FC16" s="13" t="n">
        <f aca="false">FC$12*e_Incob</f>
        <v>0</v>
      </c>
      <c r="FD16" s="13" t="n">
        <f aca="false">FD$12*e_Incob</f>
        <v>0</v>
      </c>
      <c r="FE16" s="13" t="n">
        <f aca="false">FE$12*e_Incob</f>
        <v>0</v>
      </c>
      <c r="FF16" s="13" t="n">
        <f aca="false">FF$12*e_Incob</f>
        <v>0</v>
      </c>
    </row>
    <row r="17" customFormat="false" ht="15" hidden="false" customHeight="false" outlineLevel="0" collapsed="false">
      <c r="A17" s="2" t="s">
        <v>1295</v>
      </c>
      <c r="B17" s="8" t="s">
        <v>1296</v>
      </c>
      <c r="C17" s="8" t="s">
        <v>255</v>
      </c>
      <c r="E17" s="65" t="n">
        <f aca="false">SUM($F17:$FF17)</f>
        <v>81222447.7216454</v>
      </c>
      <c r="F17" s="13" t="n">
        <f aca="false">(1-e_Incob)*(IF(0-p_LcobI&gt;=0,INDEX($F$12:$FF$12,1,0-p_LcobI+1),0)*(1-p_LcobF)+IF(0-p_LcobI-1&gt;=0,INDEX($F$12:$FF$12,1,0-p_LcobI),0)*p_LcobF)</f>
        <v>0</v>
      </c>
      <c r="G17" s="13" t="n">
        <f aca="false">(1-e_Incob)*(IF(1-p_LcobI&gt;=0,INDEX($F$12:$FF$12,1,1-p_LcobI+1),0)*(1-p_LcobF)+IF(1-p_LcobI-1&gt;=0,INDEX($F$12:$FF$12,1,1-p_LcobI),0)*p_LcobF)</f>
        <v>0</v>
      </c>
      <c r="H17" s="13" t="n">
        <f aca="false">(1-e_Incob)*(IF(2-p_LcobI&gt;=0,INDEX($F$12:$FF$12,1,2-p_LcobI+1),0)*(1-p_LcobF)+IF(2-p_LcobI-1&gt;=0,INDEX($F$12:$FF$12,1,2-p_LcobI),0)*p_LcobF)</f>
        <v>0</v>
      </c>
      <c r="I17" s="13" t="n">
        <f aca="false">(1-e_Incob)*(IF(3-p_LcobI&gt;=0,INDEX($F$12:$FF$12,1,3-p_LcobI+1),0)*(1-p_LcobF)+IF(3-p_LcobI-1&gt;=0,INDEX($F$12:$FF$12,1,3-p_LcobI),0)*p_LcobF)</f>
        <v>0</v>
      </c>
      <c r="J17" s="13" t="n">
        <f aca="false">(1-e_Incob)*(IF(4-p_LcobI&gt;=0,INDEX($F$12:$FF$12,1,4-p_LcobI+1),0)*(1-p_LcobF)+IF(4-p_LcobI-1&gt;=0,INDEX($F$12:$FF$12,1,4-p_LcobI),0)*p_LcobF)</f>
        <v>22146.1187214613</v>
      </c>
      <c r="K17" s="13" t="n">
        <f aca="false">(1-e_Incob)*(IF(5-p_LcobI&gt;=0,INDEX($F$12:$FF$12,1,5-p_LcobI+1),0)*(1-p_LcobF)+IF(5-p_LcobI-1&gt;=0,INDEX($F$12:$FF$12,1,5-p_LcobI),0)*p_LcobF)</f>
        <v>404166.666666667</v>
      </c>
      <c r="L17" s="13" t="n">
        <f aca="false">(1-e_Incob)*(IF(6-p_LcobI&gt;=0,INDEX($F$12:$FF$12,1,6-p_LcobI+1),0)*(1-p_LcobF)+IF(6-p_LcobI-1&gt;=0,INDEX($F$12:$FF$12,1,6-p_LcobI),0)*p_LcobF)</f>
        <v>404166.666666667</v>
      </c>
      <c r="M17" s="13" t="n">
        <f aca="false">(1-e_Incob)*(IF(7-p_LcobI&gt;=0,INDEX($F$12:$FF$12,1,7-p_LcobI+1),0)*(1-p_LcobF)+IF(7-p_LcobI-1&gt;=0,INDEX($F$12:$FF$12,1,7-p_LcobI),0)*p_LcobF)</f>
        <v>404166.666666667</v>
      </c>
      <c r="N17" s="13" t="n">
        <f aca="false">(1-e_Incob)*(IF(8-p_LcobI&gt;=0,INDEX($F$12:$FF$12,1,8-p_LcobI+1),0)*(1-p_LcobF)+IF(8-p_LcobI-1&gt;=0,INDEX($F$12:$FF$12,1,8-p_LcobI),0)*p_LcobF)</f>
        <v>404166.666666667</v>
      </c>
      <c r="O17" s="13" t="n">
        <f aca="false">(1-e_Incob)*(IF(9-p_LcobI&gt;=0,INDEX($F$12:$FF$12,1,9-p_LcobI+1),0)*(1-p_LcobF)+IF(9-p_LcobI-1&gt;=0,INDEX($F$12:$FF$12,1,9-p_LcobI),0)*p_LcobF)</f>
        <v>404166.666666667</v>
      </c>
      <c r="P17" s="13" t="n">
        <f aca="false">(1-e_Incob)*(IF(10-p_LcobI&gt;=0,INDEX($F$12:$FF$12,1,10-p_LcobI+1),0)*(1-p_LcobF)+IF(10-p_LcobI-1&gt;=0,INDEX($F$12:$FF$12,1,10-p_LcobI),0)*p_LcobF)</f>
        <v>404166.666666667</v>
      </c>
      <c r="Q17" s="13" t="n">
        <f aca="false">(1-e_Incob)*(IF(11-p_LcobI&gt;=0,INDEX($F$12:$FF$12,1,11-p_LcobI+1),0)*(1-p_LcobF)+IF(11-p_LcobI-1&gt;=0,INDEX($F$12:$FF$12,1,11-p_LcobI),0)*p_LcobF)</f>
        <v>404166.666666667</v>
      </c>
      <c r="R17" s="13" t="n">
        <f aca="false">(1-e_Incob)*(IF(12-p_LcobI&gt;=0,INDEX($F$12:$FF$12,1,12-p_LcobI+1),0)*(1-p_LcobF)+IF(12-p_LcobI-1&gt;=0,INDEX($F$12:$FF$12,1,12-p_LcobI),0)*p_LcobF)</f>
        <v>404166.666666667</v>
      </c>
      <c r="S17" s="13" t="n">
        <f aca="false">(1-e_Incob)*(IF(13-p_LcobI&gt;=0,INDEX($F$12:$FF$12,1,13-p_LcobI+1),0)*(1-p_LcobF)+IF(13-p_LcobI-1&gt;=0,INDEX($F$12:$FF$12,1,13-p_LcobI),0)*p_LcobF)</f>
        <v>404166.666666667</v>
      </c>
      <c r="T17" s="13" t="n">
        <f aca="false">(1-e_Incob)*(IF(14-p_LcobI&gt;=0,INDEX($F$12:$FF$12,1,14-p_LcobI+1),0)*(1-p_LcobF)+IF(14-p_LcobI-1&gt;=0,INDEX($F$12:$FF$12,1,14-p_LcobI),0)*p_LcobF)</f>
        <v>404166.666666667</v>
      </c>
      <c r="U17" s="13" t="n">
        <f aca="false">(1-e_Incob)*(IF(15-p_LcobI&gt;=0,INDEX($F$12:$FF$12,1,15-p_LcobI+1),0)*(1-p_LcobF)+IF(15-p_LcobI-1&gt;=0,INDEX($F$12:$FF$12,1,15-p_LcobI),0)*p_LcobF)</f>
        <v>404166.666666667</v>
      </c>
      <c r="V17" s="13" t="n">
        <f aca="false">(1-e_Incob)*(IF(16-p_LcobI&gt;=0,INDEX($F$12:$FF$12,1,16-p_LcobI+1),0)*(1-p_LcobF)+IF(16-p_LcobI-1&gt;=0,INDEX($F$12:$FF$12,1,16-p_LcobI),0)*p_LcobF)</f>
        <v>410245.205479452</v>
      </c>
      <c r="W17" s="13" t="n">
        <f aca="false">(1-e_Incob)*(IF(17-p_LcobI&gt;=0,INDEX($F$12:$FF$12,1,17-p_LcobI+1),0)*(1-p_LcobF)+IF(17-p_LcobI-1&gt;=0,INDEX($F$12:$FF$12,1,17-p_LcobI),0)*p_LcobF)</f>
        <v>515100</v>
      </c>
      <c r="X17" s="13" t="n">
        <f aca="false">(1-e_Incob)*(IF(18-p_LcobI&gt;=0,INDEX($F$12:$FF$12,1,18-p_LcobI+1),0)*(1-p_LcobF)+IF(18-p_LcobI-1&gt;=0,INDEX($F$12:$FF$12,1,18-p_LcobI),0)*p_LcobF)</f>
        <v>515100</v>
      </c>
      <c r="Y17" s="13" t="n">
        <f aca="false">(1-e_Incob)*(IF(19-p_LcobI&gt;=0,INDEX($F$12:$FF$12,1,19-p_LcobI+1),0)*(1-p_LcobF)+IF(19-p_LcobI-1&gt;=0,INDEX($F$12:$FF$12,1,19-p_LcobI),0)*p_LcobF)</f>
        <v>515100</v>
      </c>
      <c r="Z17" s="13" t="n">
        <f aca="false">(1-e_Incob)*(IF(20-p_LcobI&gt;=0,INDEX($F$12:$FF$12,1,20-p_LcobI+1),0)*(1-p_LcobF)+IF(20-p_LcobI-1&gt;=0,INDEX($F$12:$FF$12,1,20-p_LcobI),0)*p_LcobF)</f>
        <v>515100</v>
      </c>
      <c r="AA17" s="13" t="n">
        <f aca="false">(1-e_Incob)*(IF(21-p_LcobI&gt;=0,INDEX($F$12:$FF$12,1,21-p_LcobI+1),0)*(1-p_LcobF)+IF(21-p_LcobI-1&gt;=0,INDEX($F$12:$FF$12,1,21-p_LcobI),0)*p_LcobF)</f>
        <v>515100</v>
      </c>
      <c r="AB17" s="13" t="n">
        <f aca="false">(1-e_Incob)*(IF(22-p_LcobI&gt;=0,INDEX($F$12:$FF$12,1,22-p_LcobI+1),0)*(1-p_LcobF)+IF(22-p_LcobI-1&gt;=0,INDEX($F$12:$FF$12,1,22-p_LcobI),0)*p_LcobF)</f>
        <v>515100</v>
      </c>
      <c r="AC17" s="13" t="n">
        <f aca="false">(1-e_Incob)*(IF(23-p_LcobI&gt;=0,INDEX($F$12:$FF$12,1,23-p_LcobI+1),0)*(1-p_LcobF)+IF(23-p_LcobI-1&gt;=0,INDEX($F$12:$FF$12,1,23-p_LcobI),0)*p_LcobF)</f>
        <v>515100</v>
      </c>
      <c r="AD17" s="13" t="n">
        <f aca="false">(1-e_Incob)*(IF(24-p_LcobI&gt;=0,INDEX($F$12:$FF$12,1,24-p_LcobI+1),0)*(1-p_LcobF)+IF(24-p_LcobI-1&gt;=0,INDEX($F$12:$FF$12,1,24-p_LcobI),0)*p_LcobF)</f>
        <v>515100</v>
      </c>
      <c r="AE17" s="13" t="n">
        <f aca="false">(1-e_Incob)*(IF(25-p_LcobI&gt;=0,INDEX($F$12:$FF$12,1,25-p_LcobI+1),0)*(1-p_LcobF)+IF(25-p_LcobI-1&gt;=0,INDEX($F$12:$FF$12,1,25-p_LcobI),0)*p_LcobF)</f>
        <v>515100</v>
      </c>
      <c r="AF17" s="13" t="n">
        <f aca="false">(1-e_Incob)*(IF(26-p_LcobI&gt;=0,INDEX($F$12:$FF$12,1,26-p_LcobI+1),0)*(1-p_LcobF)+IF(26-p_LcobI-1&gt;=0,INDEX($F$12:$FF$12,1,26-p_LcobI),0)*p_LcobF)</f>
        <v>515100</v>
      </c>
      <c r="AG17" s="13" t="n">
        <f aca="false">(1-e_Incob)*(IF(27-p_LcobI&gt;=0,INDEX($F$12:$FF$12,1,27-p_LcobI+1),0)*(1-p_LcobF)+IF(27-p_LcobI-1&gt;=0,INDEX($F$12:$FF$12,1,27-p_LcobI),0)*p_LcobF)</f>
        <v>515100</v>
      </c>
      <c r="AH17" s="13" t="n">
        <f aca="false">(1-e_Incob)*(IF(28-p_LcobI&gt;=0,INDEX($F$12:$FF$12,1,28-p_LcobI+1),0)*(1-p_LcobF)+IF(28-p_LcobI-1&gt;=0,INDEX($F$12:$FF$12,1,28-p_LcobI),0)*p_LcobF)</f>
        <v>521297.894977169</v>
      </c>
      <c r="AI17" s="13" t="n">
        <f aca="false">(1-e_Incob)*(IF(29-p_LcobI&gt;=0,INDEX($F$12:$FF$12,1,29-p_LcobI+1),0)*(1-p_LcobF)+IF(29-p_LcobI-1&gt;=0,INDEX($F$12:$FF$12,1,29-p_LcobI),0)*p_LcobF)</f>
        <v>628211.583333333</v>
      </c>
      <c r="AJ17" s="13" t="n">
        <f aca="false">(1-e_Incob)*(IF(30-p_LcobI&gt;=0,INDEX($F$12:$FF$12,1,30-p_LcobI+1),0)*(1-p_LcobF)+IF(30-p_LcobI-1&gt;=0,INDEX($F$12:$FF$12,1,30-p_LcobI),0)*p_LcobF)</f>
        <v>628211.583333333</v>
      </c>
      <c r="AK17" s="13" t="n">
        <f aca="false">(1-e_Incob)*(IF(31-p_LcobI&gt;=0,INDEX($F$12:$FF$12,1,31-p_LcobI+1),0)*(1-p_LcobF)+IF(31-p_LcobI-1&gt;=0,INDEX($F$12:$FF$12,1,31-p_LcobI),0)*p_LcobF)</f>
        <v>628211.583333333</v>
      </c>
      <c r="AL17" s="13" t="n">
        <f aca="false">(1-e_Incob)*(IF(32-p_LcobI&gt;=0,INDEX($F$12:$FF$12,1,32-p_LcobI+1),0)*(1-p_LcobF)+IF(32-p_LcobI-1&gt;=0,INDEX($F$12:$FF$12,1,32-p_LcobI),0)*p_LcobF)</f>
        <v>628211.583333333</v>
      </c>
      <c r="AM17" s="13" t="n">
        <f aca="false">(1-e_Incob)*(IF(33-p_LcobI&gt;=0,INDEX($F$12:$FF$12,1,33-p_LcobI+1),0)*(1-p_LcobF)+IF(33-p_LcobI-1&gt;=0,INDEX($F$12:$FF$12,1,33-p_LcobI),0)*p_LcobF)</f>
        <v>628211.583333333</v>
      </c>
      <c r="AN17" s="13" t="n">
        <f aca="false">(1-e_Incob)*(IF(34-p_LcobI&gt;=0,INDEX($F$12:$FF$12,1,34-p_LcobI+1),0)*(1-p_LcobF)+IF(34-p_LcobI-1&gt;=0,INDEX($F$12:$FF$12,1,34-p_LcobI),0)*p_LcobF)</f>
        <v>628211.583333333</v>
      </c>
      <c r="AO17" s="13" t="n">
        <f aca="false">(1-e_Incob)*(IF(35-p_LcobI&gt;=0,INDEX($F$12:$FF$12,1,35-p_LcobI+1),0)*(1-p_LcobF)+IF(35-p_LcobI-1&gt;=0,INDEX($F$12:$FF$12,1,35-p_LcobI),0)*p_LcobF)</f>
        <v>628211.583333333</v>
      </c>
      <c r="AP17" s="13" t="n">
        <f aca="false">(1-e_Incob)*(IF(36-p_LcobI&gt;=0,INDEX($F$12:$FF$12,1,36-p_LcobI+1),0)*(1-p_LcobF)+IF(36-p_LcobI-1&gt;=0,INDEX($F$12:$FF$12,1,36-p_LcobI),0)*p_LcobF)</f>
        <v>628211.583333333</v>
      </c>
      <c r="AQ17" s="13" t="n">
        <f aca="false">(1-e_Incob)*(IF(37-p_LcobI&gt;=0,INDEX($F$12:$FF$12,1,37-p_LcobI+1),0)*(1-p_LcobF)+IF(37-p_LcobI-1&gt;=0,INDEX($F$12:$FF$12,1,37-p_LcobI),0)*p_LcobF)</f>
        <v>628211.583333333</v>
      </c>
      <c r="AR17" s="13" t="n">
        <f aca="false">(1-e_Incob)*(IF(38-p_LcobI&gt;=0,INDEX($F$12:$FF$12,1,38-p_LcobI+1),0)*(1-p_LcobF)+IF(38-p_LcobI-1&gt;=0,INDEX($F$12:$FF$12,1,38-p_LcobI),0)*p_LcobF)</f>
        <v>628211.583333333</v>
      </c>
      <c r="AS17" s="13" t="n">
        <f aca="false">(1-e_Incob)*(IF(39-p_LcobI&gt;=0,INDEX($F$12:$FF$12,1,39-p_LcobI+1),0)*(1-p_LcobF)+IF(39-p_LcobI-1&gt;=0,INDEX($F$12:$FF$12,1,39-p_LcobI),0)*p_LcobF)</f>
        <v>628211.583333333</v>
      </c>
      <c r="AT17" s="13" t="n">
        <f aca="false">(1-e_Incob)*(IF(40-p_LcobI&gt;=0,INDEX($F$12:$FF$12,1,40-p_LcobI+1),0)*(1-p_LcobF)+IF(40-p_LcobI-1&gt;=0,INDEX($F$12:$FF$12,1,40-p_LcobI),0)*p_LcobF)</f>
        <v>633448.562465754</v>
      </c>
      <c r="AU17" s="13" t="n">
        <f aca="false">(1-e_Incob)*(IF(41-p_LcobI&gt;=0,INDEX($F$12:$FF$12,1,41-p_LcobI+1),0)*(1-p_LcobF)+IF(41-p_LcobI-1&gt;=0,INDEX($F$12:$FF$12,1,41-p_LcobI),0)*p_LcobF)</f>
        <v>723786.4525</v>
      </c>
      <c r="AV17" s="13" t="n">
        <f aca="false">(1-e_Incob)*(IF(42-p_LcobI&gt;=0,INDEX($F$12:$FF$12,1,42-p_LcobI+1),0)*(1-p_LcobF)+IF(42-p_LcobI-1&gt;=0,INDEX($F$12:$FF$12,1,42-p_LcobI),0)*p_LcobF)</f>
        <v>723786.4525</v>
      </c>
      <c r="AW17" s="13" t="n">
        <f aca="false">(1-e_Incob)*(IF(43-p_LcobI&gt;=0,INDEX($F$12:$FF$12,1,43-p_LcobI+1),0)*(1-p_LcobF)+IF(43-p_LcobI-1&gt;=0,INDEX($F$12:$FF$12,1,43-p_LcobI),0)*p_LcobF)</f>
        <v>723786.4525</v>
      </c>
      <c r="AX17" s="13" t="n">
        <f aca="false">(1-e_Incob)*(IF(44-p_LcobI&gt;=0,INDEX($F$12:$FF$12,1,44-p_LcobI+1),0)*(1-p_LcobF)+IF(44-p_LcobI-1&gt;=0,INDEX($F$12:$FF$12,1,44-p_LcobI),0)*p_LcobF)</f>
        <v>723786.4525</v>
      </c>
      <c r="AY17" s="13" t="n">
        <f aca="false">(1-e_Incob)*(IF(45-p_LcobI&gt;=0,INDEX($F$12:$FF$12,1,45-p_LcobI+1),0)*(1-p_LcobF)+IF(45-p_LcobI-1&gt;=0,INDEX($F$12:$FF$12,1,45-p_LcobI),0)*p_LcobF)</f>
        <v>723786.4525</v>
      </c>
      <c r="AZ17" s="13" t="n">
        <f aca="false">(1-e_Incob)*(IF(46-p_LcobI&gt;=0,INDEX($F$12:$FF$12,1,46-p_LcobI+1),0)*(1-p_LcobF)+IF(46-p_LcobI-1&gt;=0,INDEX($F$12:$FF$12,1,46-p_LcobI),0)*p_LcobF)</f>
        <v>723786.4525</v>
      </c>
      <c r="BA17" s="13" t="n">
        <f aca="false">(1-e_Incob)*(IF(47-p_LcobI&gt;=0,INDEX($F$12:$FF$12,1,47-p_LcobI+1),0)*(1-p_LcobF)+IF(47-p_LcobI-1&gt;=0,INDEX($F$12:$FF$12,1,47-p_LcobI),0)*p_LcobF)</f>
        <v>723786.4525</v>
      </c>
      <c r="BB17" s="13" t="n">
        <f aca="false">(1-e_Incob)*(IF(48-p_LcobI&gt;=0,INDEX($F$12:$FF$12,1,48-p_LcobI+1),0)*(1-p_LcobF)+IF(48-p_LcobI-1&gt;=0,INDEX($F$12:$FF$12,1,48-p_LcobI),0)*p_LcobF)</f>
        <v>723786.4525</v>
      </c>
      <c r="BC17" s="13" t="n">
        <f aca="false">(1-e_Incob)*(IF(49-p_LcobI&gt;=0,INDEX($F$12:$FF$12,1,49-p_LcobI+1),0)*(1-p_LcobF)+IF(49-p_LcobI-1&gt;=0,INDEX($F$12:$FF$12,1,49-p_LcobI),0)*p_LcobF)</f>
        <v>723786.4525</v>
      </c>
      <c r="BD17" s="13" t="n">
        <f aca="false">(1-e_Incob)*(IF(50-p_LcobI&gt;=0,INDEX($F$12:$FF$12,1,50-p_LcobI+1),0)*(1-p_LcobF)+IF(50-p_LcobI-1&gt;=0,INDEX($F$12:$FF$12,1,50-p_LcobI),0)*p_LcobF)</f>
        <v>723786.4525</v>
      </c>
      <c r="BE17" s="13" t="n">
        <f aca="false">(1-e_Incob)*(IF(51-p_LcobI&gt;=0,INDEX($F$12:$FF$12,1,51-p_LcobI+1),0)*(1-p_LcobF)+IF(51-p_LcobI-1&gt;=0,INDEX($F$12:$FF$12,1,51-p_LcobI),0)*p_LcobF)</f>
        <v>723786.4525</v>
      </c>
      <c r="BF17" s="13" t="n">
        <f aca="false">(1-e_Incob)*(IF(52-p_LcobI&gt;=0,INDEX($F$12:$FF$12,1,52-p_LcobI+1),0)*(1-p_LcobF)+IF(52-p_LcobI-1&gt;=0,INDEX($F$12:$FF$12,1,52-p_LcobI),0)*p_LcobF)</f>
        <v>724183.047816439</v>
      </c>
      <c r="BG17" s="13" t="n">
        <f aca="false">(1-e_Incob)*(IF(53-p_LcobI&gt;=0,INDEX($F$12:$FF$12,1,53-p_LcobI+1),0)*(1-p_LcobF)+IF(53-p_LcobI-1&gt;=0,INDEX($F$12:$FF$12,1,53-p_LcobI),0)*p_LcobF)</f>
        <v>731024.317025</v>
      </c>
      <c r="BH17" s="13" t="n">
        <f aca="false">(1-e_Incob)*(IF(54-p_LcobI&gt;=0,INDEX($F$12:$FF$12,1,54-p_LcobI+1),0)*(1-p_LcobF)+IF(54-p_LcobI-1&gt;=0,INDEX($F$12:$FF$12,1,54-p_LcobI),0)*p_LcobF)</f>
        <v>731024.317025</v>
      </c>
      <c r="BI17" s="13" t="n">
        <f aca="false">(1-e_Incob)*(IF(55-p_LcobI&gt;=0,INDEX($F$12:$FF$12,1,55-p_LcobI+1),0)*(1-p_LcobF)+IF(55-p_LcobI-1&gt;=0,INDEX($F$12:$FF$12,1,55-p_LcobI),0)*p_LcobF)</f>
        <v>731024.317025</v>
      </c>
      <c r="BJ17" s="13" t="n">
        <f aca="false">(1-e_Incob)*(IF(56-p_LcobI&gt;=0,INDEX($F$12:$FF$12,1,56-p_LcobI+1),0)*(1-p_LcobF)+IF(56-p_LcobI-1&gt;=0,INDEX($F$12:$FF$12,1,56-p_LcobI),0)*p_LcobF)</f>
        <v>731024.317025</v>
      </c>
      <c r="BK17" s="13" t="n">
        <f aca="false">(1-e_Incob)*(IF(57-p_LcobI&gt;=0,INDEX($F$12:$FF$12,1,57-p_LcobI+1),0)*(1-p_LcobF)+IF(57-p_LcobI-1&gt;=0,INDEX($F$12:$FF$12,1,57-p_LcobI),0)*p_LcobF)</f>
        <v>731024.317025</v>
      </c>
      <c r="BL17" s="13" t="n">
        <f aca="false">(1-e_Incob)*(IF(58-p_LcobI&gt;=0,INDEX($F$12:$FF$12,1,58-p_LcobI+1),0)*(1-p_LcobF)+IF(58-p_LcobI-1&gt;=0,INDEX($F$12:$FF$12,1,58-p_LcobI),0)*p_LcobF)</f>
        <v>731024.317025</v>
      </c>
      <c r="BM17" s="13" t="n">
        <f aca="false">(1-e_Incob)*(IF(59-p_LcobI&gt;=0,INDEX($F$12:$FF$12,1,59-p_LcobI+1),0)*(1-p_LcobF)+IF(59-p_LcobI-1&gt;=0,INDEX($F$12:$FF$12,1,59-p_LcobI),0)*p_LcobF)</f>
        <v>731024.317025</v>
      </c>
      <c r="BN17" s="13" t="n">
        <f aca="false">(1-e_Incob)*(IF(60-p_LcobI&gt;=0,INDEX($F$12:$FF$12,1,60-p_LcobI+1),0)*(1-p_LcobF)+IF(60-p_LcobI-1&gt;=0,INDEX($F$12:$FF$12,1,60-p_LcobI),0)*p_LcobF)</f>
        <v>731024.317025</v>
      </c>
      <c r="BO17" s="13" t="n">
        <f aca="false">(1-e_Incob)*(IF(61-p_LcobI&gt;=0,INDEX($F$12:$FF$12,1,61-p_LcobI+1),0)*(1-p_LcobF)+IF(61-p_LcobI-1&gt;=0,INDEX($F$12:$FF$12,1,61-p_LcobI),0)*p_LcobF)</f>
        <v>731024.317025</v>
      </c>
      <c r="BP17" s="13" t="n">
        <f aca="false">(1-e_Incob)*(IF(62-p_LcobI&gt;=0,INDEX($F$12:$FF$12,1,62-p_LcobI+1),0)*(1-p_LcobF)+IF(62-p_LcobI-1&gt;=0,INDEX($F$12:$FF$12,1,62-p_LcobI),0)*p_LcobF)</f>
        <v>731024.317025</v>
      </c>
      <c r="BQ17" s="13" t="n">
        <f aca="false">(1-e_Incob)*(IF(63-p_LcobI&gt;=0,INDEX($F$12:$FF$12,1,63-p_LcobI+1),0)*(1-p_LcobF)+IF(63-p_LcobI-1&gt;=0,INDEX($F$12:$FF$12,1,63-p_LcobI),0)*p_LcobF)</f>
        <v>731024.317025</v>
      </c>
      <c r="BR17" s="13" t="n">
        <f aca="false">(1-e_Incob)*(IF(64-p_LcobI&gt;=0,INDEX($F$12:$FF$12,1,64-p_LcobI+1),0)*(1-p_LcobF)+IF(64-p_LcobI-1&gt;=0,INDEX($F$12:$FF$12,1,64-p_LcobI),0)*p_LcobF)</f>
        <v>731424.878294603</v>
      </c>
      <c r="BS17" s="13" t="n">
        <f aca="false">(1-e_Incob)*(IF(65-p_LcobI&gt;=0,INDEX($F$12:$FF$12,1,65-p_LcobI+1),0)*(1-p_LcobF)+IF(65-p_LcobI-1&gt;=0,INDEX($F$12:$FF$12,1,65-p_LcobI),0)*p_LcobF)</f>
        <v>738334.56019525</v>
      </c>
      <c r="BT17" s="13" t="n">
        <f aca="false">(1-e_Incob)*(IF(66-p_LcobI&gt;=0,INDEX($F$12:$FF$12,1,66-p_LcobI+1),0)*(1-p_LcobF)+IF(66-p_LcobI-1&gt;=0,INDEX($F$12:$FF$12,1,66-p_LcobI),0)*p_LcobF)</f>
        <v>738334.56019525</v>
      </c>
      <c r="BU17" s="13" t="n">
        <f aca="false">(1-e_Incob)*(IF(67-p_LcobI&gt;=0,INDEX($F$12:$FF$12,1,67-p_LcobI+1),0)*(1-p_LcobF)+IF(67-p_LcobI-1&gt;=0,INDEX($F$12:$FF$12,1,67-p_LcobI),0)*p_LcobF)</f>
        <v>738334.56019525</v>
      </c>
      <c r="BV17" s="13" t="n">
        <f aca="false">(1-e_Incob)*(IF(68-p_LcobI&gt;=0,INDEX($F$12:$FF$12,1,68-p_LcobI+1),0)*(1-p_LcobF)+IF(68-p_LcobI-1&gt;=0,INDEX($F$12:$FF$12,1,68-p_LcobI),0)*p_LcobF)</f>
        <v>738334.56019525</v>
      </c>
      <c r="BW17" s="13" t="n">
        <f aca="false">(1-e_Incob)*(IF(69-p_LcobI&gt;=0,INDEX($F$12:$FF$12,1,69-p_LcobI+1),0)*(1-p_LcobF)+IF(69-p_LcobI-1&gt;=0,INDEX($F$12:$FF$12,1,69-p_LcobI),0)*p_LcobF)</f>
        <v>738334.56019525</v>
      </c>
      <c r="BX17" s="13" t="n">
        <f aca="false">(1-e_Incob)*(IF(70-p_LcobI&gt;=0,INDEX($F$12:$FF$12,1,70-p_LcobI+1),0)*(1-p_LcobF)+IF(70-p_LcobI-1&gt;=0,INDEX($F$12:$FF$12,1,70-p_LcobI),0)*p_LcobF)</f>
        <v>738334.56019525</v>
      </c>
      <c r="BY17" s="13" t="n">
        <f aca="false">(1-e_Incob)*(IF(71-p_LcobI&gt;=0,INDEX($F$12:$FF$12,1,71-p_LcobI+1),0)*(1-p_LcobF)+IF(71-p_LcobI-1&gt;=0,INDEX($F$12:$FF$12,1,71-p_LcobI),0)*p_LcobF)</f>
        <v>738334.56019525</v>
      </c>
      <c r="BZ17" s="13" t="n">
        <f aca="false">(1-e_Incob)*(IF(72-p_LcobI&gt;=0,INDEX($F$12:$FF$12,1,72-p_LcobI+1),0)*(1-p_LcobF)+IF(72-p_LcobI-1&gt;=0,INDEX($F$12:$FF$12,1,72-p_LcobI),0)*p_LcobF)</f>
        <v>738334.56019525</v>
      </c>
      <c r="CA17" s="13" t="n">
        <f aca="false">(1-e_Incob)*(IF(73-p_LcobI&gt;=0,INDEX($F$12:$FF$12,1,73-p_LcobI+1),0)*(1-p_LcobF)+IF(73-p_LcobI-1&gt;=0,INDEX($F$12:$FF$12,1,73-p_LcobI),0)*p_LcobF)</f>
        <v>738334.56019525</v>
      </c>
      <c r="CB17" s="13" t="n">
        <f aca="false">(1-e_Incob)*(IF(74-p_LcobI&gt;=0,INDEX($F$12:$FF$12,1,74-p_LcobI+1),0)*(1-p_LcobF)+IF(74-p_LcobI-1&gt;=0,INDEX($F$12:$FF$12,1,74-p_LcobI),0)*p_LcobF)</f>
        <v>738334.56019525</v>
      </c>
      <c r="CC17" s="13" t="n">
        <f aca="false">(1-e_Incob)*(IF(75-p_LcobI&gt;=0,INDEX($F$12:$FF$12,1,75-p_LcobI+1),0)*(1-p_LcobF)+IF(75-p_LcobI-1&gt;=0,INDEX($F$12:$FF$12,1,75-p_LcobI),0)*p_LcobF)</f>
        <v>738334.56019525</v>
      </c>
      <c r="CD17" s="13" t="n">
        <f aca="false">(1-e_Incob)*(IF(76-p_LcobI&gt;=0,INDEX($F$12:$FF$12,1,76-p_LcobI+1),0)*(1-p_LcobF)+IF(76-p_LcobI-1&gt;=0,INDEX($F$12:$FF$12,1,76-p_LcobI),0)*p_LcobF)</f>
        <v>738739.127077549</v>
      </c>
      <c r="CE17" s="13" t="n">
        <f aca="false">(1-e_Incob)*(IF(77-p_LcobI&gt;=0,INDEX($F$12:$FF$12,1,77-p_LcobI+1),0)*(1-p_LcobF)+IF(77-p_LcobI-1&gt;=0,INDEX($F$12:$FF$12,1,77-p_LcobI),0)*p_LcobF)</f>
        <v>745717.905797203</v>
      </c>
      <c r="CF17" s="13" t="n">
        <f aca="false">(1-e_Incob)*(IF(78-p_LcobI&gt;=0,INDEX($F$12:$FF$12,1,78-p_LcobI+1),0)*(1-p_LcobF)+IF(78-p_LcobI-1&gt;=0,INDEX($F$12:$FF$12,1,78-p_LcobI),0)*p_LcobF)</f>
        <v>745717.905797203</v>
      </c>
      <c r="CG17" s="13" t="n">
        <f aca="false">(1-e_Incob)*(IF(79-p_LcobI&gt;=0,INDEX($F$12:$FF$12,1,79-p_LcobI+1),0)*(1-p_LcobF)+IF(79-p_LcobI-1&gt;=0,INDEX($F$12:$FF$12,1,79-p_LcobI),0)*p_LcobF)</f>
        <v>745717.905797203</v>
      </c>
      <c r="CH17" s="13" t="n">
        <f aca="false">(1-e_Incob)*(IF(80-p_LcobI&gt;=0,INDEX($F$12:$FF$12,1,80-p_LcobI+1),0)*(1-p_LcobF)+IF(80-p_LcobI-1&gt;=0,INDEX($F$12:$FF$12,1,80-p_LcobI),0)*p_LcobF)</f>
        <v>745717.905797203</v>
      </c>
      <c r="CI17" s="13" t="n">
        <f aca="false">(1-e_Incob)*(IF(81-p_LcobI&gt;=0,INDEX($F$12:$FF$12,1,81-p_LcobI+1),0)*(1-p_LcobF)+IF(81-p_LcobI-1&gt;=0,INDEX($F$12:$FF$12,1,81-p_LcobI),0)*p_LcobF)</f>
        <v>745717.905797203</v>
      </c>
      <c r="CJ17" s="13" t="n">
        <f aca="false">(1-e_Incob)*(IF(82-p_LcobI&gt;=0,INDEX($F$12:$FF$12,1,82-p_LcobI+1),0)*(1-p_LcobF)+IF(82-p_LcobI-1&gt;=0,INDEX($F$12:$FF$12,1,82-p_LcobI),0)*p_LcobF)</f>
        <v>745717.905797203</v>
      </c>
      <c r="CK17" s="13" t="n">
        <f aca="false">(1-e_Incob)*(IF(83-p_LcobI&gt;=0,INDEX($F$12:$FF$12,1,83-p_LcobI+1),0)*(1-p_LcobF)+IF(83-p_LcobI-1&gt;=0,INDEX($F$12:$FF$12,1,83-p_LcobI),0)*p_LcobF)</f>
        <v>745717.905797203</v>
      </c>
      <c r="CL17" s="13" t="n">
        <f aca="false">(1-e_Incob)*(IF(84-p_LcobI&gt;=0,INDEX($F$12:$FF$12,1,84-p_LcobI+1),0)*(1-p_LcobF)+IF(84-p_LcobI-1&gt;=0,INDEX($F$12:$FF$12,1,84-p_LcobI),0)*p_LcobF)</f>
        <v>745717.905797203</v>
      </c>
      <c r="CM17" s="13" t="n">
        <f aca="false">(1-e_Incob)*(IF(85-p_LcobI&gt;=0,INDEX($F$12:$FF$12,1,85-p_LcobI+1),0)*(1-p_LcobF)+IF(85-p_LcobI-1&gt;=0,INDEX($F$12:$FF$12,1,85-p_LcobI),0)*p_LcobF)</f>
        <v>745717.905797203</v>
      </c>
      <c r="CN17" s="13" t="n">
        <f aca="false">(1-e_Incob)*(IF(86-p_LcobI&gt;=0,INDEX($F$12:$FF$12,1,86-p_LcobI+1),0)*(1-p_LcobF)+IF(86-p_LcobI-1&gt;=0,INDEX($F$12:$FF$12,1,86-p_LcobI),0)*p_LcobF)</f>
        <v>745717.905797203</v>
      </c>
      <c r="CO17" s="13" t="n">
        <f aca="false">(1-e_Incob)*(IF(87-p_LcobI&gt;=0,INDEX($F$12:$FF$12,1,87-p_LcobI+1),0)*(1-p_LcobF)+IF(87-p_LcobI-1&gt;=0,INDEX($F$12:$FF$12,1,87-p_LcobI),0)*p_LcobF)</f>
        <v>745717.905797203</v>
      </c>
      <c r="CP17" s="13" t="n">
        <f aca="false">(1-e_Incob)*(IF(88-p_LcobI&gt;=0,INDEX($F$12:$FF$12,1,88-p_LcobI+1),0)*(1-p_LcobF)+IF(88-p_LcobI-1&gt;=0,INDEX($F$12:$FF$12,1,88-p_LcobI),0)*p_LcobF)</f>
        <v>746126.518348325</v>
      </c>
      <c r="CQ17" s="13" t="n">
        <f aca="false">(1-e_Incob)*(IF(89-p_LcobI&gt;=0,INDEX($F$12:$FF$12,1,89-p_LcobI+1),0)*(1-p_LcobF)+IF(89-p_LcobI-1&gt;=0,INDEX($F$12:$FF$12,1,89-p_LcobI),0)*p_LcobF)</f>
        <v>753175.084855175</v>
      </c>
      <c r="CR17" s="13" t="n">
        <f aca="false">(1-e_Incob)*(IF(90-p_LcobI&gt;=0,INDEX($F$12:$FF$12,1,90-p_LcobI+1),0)*(1-p_LcobF)+IF(90-p_LcobI-1&gt;=0,INDEX($F$12:$FF$12,1,90-p_LcobI),0)*p_LcobF)</f>
        <v>753175.084855175</v>
      </c>
      <c r="CS17" s="13" t="n">
        <f aca="false">(1-e_Incob)*(IF(91-p_LcobI&gt;=0,INDEX($F$12:$FF$12,1,91-p_LcobI+1),0)*(1-p_LcobF)+IF(91-p_LcobI-1&gt;=0,INDEX($F$12:$FF$12,1,91-p_LcobI),0)*p_LcobF)</f>
        <v>753175.084855175</v>
      </c>
      <c r="CT17" s="13" t="n">
        <f aca="false">(1-e_Incob)*(IF(92-p_LcobI&gt;=0,INDEX($F$12:$FF$12,1,92-p_LcobI+1),0)*(1-p_LcobF)+IF(92-p_LcobI-1&gt;=0,INDEX($F$12:$FF$12,1,92-p_LcobI),0)*p_LcobF)</f>
        <v>753175.084855175</v>
      </c>
      <c r="CU17" s="13" t="n">
        <f aca="false">(1-e_Incob)*(IF(93-p_LcobI&gt;=0,INDEX($F$12:$FF$12,1,93-p_LcobI+1),0)*(1-p_LcobF)+IF(93-p_LcobI-1&gt;=0,INDEX($F$12:$FF$12,1,93-p_LcobI),0)*p_LcobF)</f>
        <v>753175.084855175</v>
      </c>
      <c r="CV17" s="13" t="n">
        <f aca="false">(1-e_Incob)*(IF(94-p_LcobI&gt;=0,INDEX($F$12:$FF$12,1,94-p_LcobI+1),0)*(1-p_LcobF)+IF(94-p_LcobI-1&gt;=0,INDEX($F$12:$FF$12,1,94-p_LcobI),0)*p_LcobF)</f>
        <v>753175.084855175</v>
      </c>
      <c r="CW17" s="13" t="n">
        <f aca="false">(1-e_Incob)*(IF(95-p_LcobI&gt;=0,INDEX($F$12:$FF$12,1,95-p_LcobI+1),0)*(1-p_LcobF)+IF(95-p_LcobI-1&gt;=0,INDEX($F$12:$FF$12,1,95-p_LcobI),0)*p_LcobF)</f>
        <v>753175.084855175</v>
      </c>
      <c r="CX17" s="13" t="n">
        <f aca="false">(1-e_Incob)*(IF(96-p_LcobI&gt;=0,INDEX($F$12:$FF$12,1,96-p_LcobI+1),0)*(1-p_LcobF)+IF(96-p_LcobI-1&gt;=0,INDEX($F$12:$FF$12,1,96-p_LcobI),0)*p_LcobF)</f>
        <v>753175.084855175</v>
      </c>
      <c r="CY17" s="13" t="n">
        <f aca="false">(1-e_Incob)*(IF(97-p_LcobI&gt;=0,INDEX($F$12:$FF$12,1,97-p_LcobI+1),0)*(1-p_LcobF)+IF(97-p_LcobI-1&gt;=0,INDEX($F$12:$FF$12,1,97-p_LcobI),0)*p_LcobF)</f>
        <v>753175.084855175</v>
      </c>
      <c r="CZ17" s="13" t="n">
        <f aca="false">(1-e_Incob)*(IF(98-p_LcobI&gt;=0,INDEX($F$12:$FF$12,1,98-p_LcobI+1),0)*(1-p_LcobF)+IF(98-p_LcobI-1&gt;=0,INDEX($F$12:$FF$12,1,98-p_LcobI),0)*p_LcobF)</f>
        <v>753175.084855175</v>
      </c>
      <c r="DA17" s="13" t="n">
        <f aca="false">(1-e_Incob)*(IF(99-p_LcobI&gt;=0,INDEX($F$12:$FF$12,1,99-p_LcobI+1),0)*(1-p_LcobF)+IF(99-p_LcobI-1&gt;=0,INDEX($F$12:$FF$12,1,99-p_LcobI),0)*p_LcobF)</f>
        <v>753175.084855175</v>
      </c>
      <c r="DB17" s="13" t="n">
        <f aca="false">(1-e_Incob)*(IF(100-p_LcobI&gt;=0,INDEX($F$12:$FF$12,1,100-p_LcobI+1),0)*(1-p_LcobF)+IF(100-p_LcobI-1&gt;=0,INDEX($F$12:$FF$12,1,100-p_LcobI),0)*p_LcobF)</f>
        <v>753587.783531808</v>
      </c>
      <c r="DC17" s="13" t="n">
        <f aca="false">(1-e_Incob)*(IF(101-p_LcobI&gt;=0,INDEX($F$12:$FF$12,1,101-p_LcobI+1),0)*(1-p_LcobF)+IF(101-p_LcobI-1&gt;=0,INDEX($F$12:$FF$12,1,101-p_LcobI),0)*p_LcobF)</f>
        <v>760706.835703726</v>
      </c>
      <c r="DD17" s="13" t="n">
        <f aca="false">(1-e_Incob)*(IF(102-p_LcobI&gt;=0,INDEX($F$12:$FF$12,1,102-p_LcobI+1),0)*(1-p_LcobF)+IF(102-p_LcobI-1&gt;=0,INDEX($F$12:$FF$12,1,102-p_LcobI),0)*p_LcobF)</f>
        <v>760706.835703726</v>
      </c>
      <c r="DE17" s="13" t="n">
        <f aca="false">(1-e_Incob)*(IF(103-p_LcobI&gt;=0,INDEX($F$12:$FF$12,1,103-p_LcobI+1),0)*(1-p_LcobF)+IF(103-p_LcobI-1&gt;=0,INDEX($F$12:$FF$12,1,103-p_LcobI),0)*p_LcobF)</f>
        <v>760706.835703726</v>
      </c>
      <c r="DF17" s="13" t="n">
        <f aca="false">(1-e_Incob)*(IF(104-p_LcobI&gt;=0,INDEX($F$12:$FF$12,1,104-p_LcobI+1),0)*(1-p_LcobF)+IF(104-p_LcobI-1&gt;=0,INDEX($F$12:$FF$12,1,104-p_LcobI),0)*p_LcobF)</f>
        <v>760706.835703726</v>
      </c>
      <c r="DG17" s="13" t="n">
        <f aca="false">(1-e_Incob)*(IF(105-p_LcobI&gt;=0,INDEX($F$12:$FF$12,1,105-p_LcobI+1),0)*(1-p_LcobF)+IF(105-p_LcobI-1&gt;=0,INDEX($F$12:$FF$12,1,105-p_LcobI),0)*p_LcobF)</f>
        <v>760706.835703726</v>
      </c>
      <c r="DH17" s="13" t="n">
        <f aca="false">(1-e_Incob)*(IF(106-p_LcobI&gt;=0,INDEX($F$12:$FF$12,1,106-p_LcobI+1),0)*(1-p_LcobF)+IF(106-p_LcobI-1&gt;=0,INDEX($F$12:$FF$12,1,106-p_LcobI),0)*p_LcobF)</f>
        <v>760706.835703726</v>
      </c>
      <c r="DI17" s="13" t="n">
        <f aca="false">(1-e_Incob)*(IF(107-p_LcobI&gt;=0,INDEX($F$12:$FF$12,1,107-p_LcobI+1),0)*(1-p_LcobF)+IF(107-p_LcobI-1&gt;=0,INDEX($F$12:$FF$12,1,107-p_LcobI),0)*p_LcobF)</f>
        <v>760706.835703726</v>
      </c>
      <c r="DJ17" s="13" t="n">
        <f aca="false">(1-e_Incob)*(IF(108-p_LcobI&gt;=0,INDEX($F$12:$FF$12,1,108-p_LcobI+1),0)*(1-p_LcobF)+IF(108-p_LcobI-1&gt;=0,INDEX($F$12:$FF$12,1,108-p_LcobI),0)*p_LcobF)</f>
        <v>760706.835703726</v>
      </c>
      <c r="DK17" s="13" t="n">
        <f aca="false">(1-e_Incob)*(IF(109-p_LcobI&gt;=0,INDEX($F$12:$FF$12,1,109-p_LcobI+1),0)*(1-p_LcobF)+IF(109-p_LcobI-1&gt;=0,INDEX($F$12:$FF$12,1,109-p_LcobI),0)*p_LcobF)</f>
        <v>760706.835703726</v>
      </c>
      <c r="DL17" s="13" t="n">
        <f aca="false">(1-e_Incob)*(IF(110-p_LcobI&gt;=0,INDEX($F$12:$FF$12,1,110-p_LcobI+1),0)*(1-p_LcobF)+IF(110-p_LcobI-1&gt;=0,INDEX($F$12:$FF$12,1,110-p_LcobI),0)*p_LcobF)</f>
        <v>760706.835703726</v>
      </c>
      <c r="DM17" s="13" t="n">
        <f aca="false">(1-e_Incob)*(IF(111-p_LcobI&gt;=0,INDEX($F$12:$FF$12,1,111-p_LcobI+1),0)*(1-p_LcobF)+IF(111-p_LcobI-1&gt;=0,INDEX($F$12:$FF$12,1,111-p_LcobI),0)*p_LcobF)</f>
        <v>760706.835703726</v>
      </c>
      <c r="DN17" s="13" t="n">
        <f aca="false">(1-e_Incob)*(IF(112-p_LcobI&gt;=0,INDEX($F$12:$FF$12,1,112-p_LcobI+1),0)*(1-p_LcobF)+IF(112-p_LcobI-1&gt;=0,INDEX($F$12:$FF$12,1,112-p_LcobI),0)*p_LcobF)</f>
        <v>761123.661367126</v>
      </c>
      <c r="DO17" s="13" t="n">
        <f aca="false">(1-e_Incob)*(IF(113-p_LcobI&gt;=0,INDEX($F$12:$FF$12,1,113-p_LcobI+1),0)*(1-p_LcobF)+IF(113-p_LcobI-1&gt;=0,INDEX($F$12:$FF$12,1,113-p_LcobI),0)*p_LcobF)</f>
        <v>768313.904060764</v>
      </c>
      <c r="DP17" s="13" t="n">
        <f aca="false">(1-e_Incob)*(IF(114-p_LcobI&gt;=0,INDEX($F$12:$FF$12,1,114-p_LcobI+1),0)*(1-p_LcobF)+IF(114-p_LcobI-1&gt;=0,INDEX($F$12:$FF$12,1,114-p_LcobI),0)*p_LcobF)</f>
        <v>768313.904060764</v>
      </c>
      <c r="DQ17" s="13" t="n">
        <f aca="false">(1-e_Incob)*(IF(115-p_LcobI&gt;=0,INDEX($F$12:$FF$12,1,115-p_LcobI+1),0)*(1-p_LcobF)+IF(115-p_LcobI-1&gt;=0,INDEX($F$12:$FF$12,1,115-p_LcobI),0)*p_LcobF)</f>
        <v>768313.904060764</v>
      </c>
      <c r="DR17" s="13" t="n">
        <f aca="false">(1-e_Incob)*(IF(116-p_LcobI&gt;=0,INDEX($F$12:$FF$12,1,116-p_LcobI+1),0)*(1-p_LcobF)+IF(116-p_LcobI-1&gt;=0,INDEX($F$12:$FF$12,1,116-p_LcobI),0)*p_LcobF)</f>
        <v>768313.904060764</v>
      </c>
      <c r="DS17" s="13" t="n">
        <f aca="false">(1-e_Incob)*(IF(117-p_LcobI&gt;=0,INDEX($F$12:$FF$12,1,117-p_LcobI+1),0)*(1-p_LcobF)+IF(117-p_LcobI-1&gt;=0,INDEX($F$12:$FF$12,1,117-p_LcobI),0)*p_LcobF)</f>
        <v>768313.904060764</v>
      </c>
      <c r="DT17" s="13" t="n">
        <f aca="false">(1-e_Incob)*(IF(118-p_LcobI&gt;=0,INDEX($F$12:$FF$12,1,118-p_LcobI+1),0)*(1-p_LcobF)+IF(118-p_LcobI-1&gt;=0,INDEX($F$12:$FF$12,1,118-p_LcobI),0)*p_LcobF)</f>
        <v>768313.904060764</v>
      </c>
      <c r="DU17" s="13" t="n">
        <f aca="false">(1-e_Incob)*(IF(119-p_LcobI&gt;=0,INDEX($F$12:$FF$12,1,119-p_LcobI+1),0)*(1-p_LcobF)+IF(119-p_LcobI-1&gt;=0,INDEX($F$12:$FF$12,1,119-p_LcobI),0)*p_LcobF)</f>
        <v>768313.904060764</v>
      </c>
      <c r="DV17" s="13" t="n">
        <f aca="false">(1-e_Incob)*(IF(120-p_LcobI&gt;=0,INDEX($F$12:$FF$12,1,120-p_LcobI+1),0)*(1-p_LcobF)+IF(120-p_LcobI-1&gt;=0,INDEX($F$12:$FF$12,1,120-p_LcobI),0)*p_LcobF)</f>
        <v>768313.904060764</v>
      </c>
      <c r="DW17" s="13" t="n">
        <f aca="false">(1-e_Incob)*(IF(121-p_LcobI&gt;=0,INDEX($F$12:$FF$12,1,121-p_LcobI+1),0)*(1-p_LcobF)+IF(121-p_LcobI-1&gt;=0,INDEX($F$12:$FF$12,1,121-p_LcobI),0)*p_LcobF)</f>
        <v>768313.904060764</v>
      </c>
      <c r="DX17" s="13" t="n">
        <f aca="false">(1-e_Incob)*(IF(122-p_LcobI&gt;=0,INDEX($F$12:$FF$12,1,122-p_LcobI+1),0)*(1-p_LcobF)+IF(122-p_LcobI-1&gt;=0,INDEX($F$12:$FF$12,1,122-p_LcobI),0)*p_LcobF)</f>
        <v>768313.904060764</v>
      </c>
      <c r="DY17" s="13" t="n">
        <f aca="false">(1-e_Incob)*(IF(123-p_LcobI&gt;=0,INDEX($F$12:$FF$12,1,123-p_LcobI+1),0)*(1-p_LcobF)+IF(123-p_LcobI-1&gt;=0,INDEX($F$12:$FF$12,1,123-p_LcobI),0)*p_LcobF)</f>
        <v>768313.904060764</v>
      </c>
      <c r="DZ17" s="13" t="n">
        <f aca="false">(1-e_Incob)*(IF(124-p_LcobI&gt;=0,INDEX($F$12:$FF$12,1,124-p_LcobI+1),0)*(1-p_LcobF)+IF(124-p_LcobI-1&gt;=0,INDEX($F$12:$FF$12,1,124-p_LcobI),0)*p_LcobF)</f>
        <v>726214.512057434</v>
      </c>
      <c r="EA17" s="13" t="n">
        <f aca="false">(1-e_Incob)*(IF(125-p_LcobI&gt;=0,INDEX($F$12:$FF$12,1,125-p_LcobI+1),0)*(1-p_LcobF)+IF(125-p_LcobI-1&gt;=0,INDEX($F$12:$FF$12,1,125-p_LcobI),0)*p_LcobF)</f>
        <v>0</v>
      </c>
      <c r="EB17" s="13" t="n">
        <f aca="false">(1-e_Incob)*(IF(126-p_LcobI&gt;=0,INDEX($F$12:$FF$12,1,126-p_LcobI+1),0)*(1-p_LcobF)+IF(126-p_LcobI-1&gt;=0,INDEX($F$12:$FF$12,1,126-p_LcobI),0)*p_LcobF)</f>
        <v>0</v>
      </c>
      <c r="EC17" s="13" t="n">
        <f aca="false">(1-e_Incob)*(IF(127-p_LcobI&gt;=0,INDEX($F$12:$FF$12,1,127-p_LcobI+1),0)*(1-p_LcobF)+IF(127-p_LcobI-1&gt;=0,INDEX($F$12:$FF$12,1,127-p_LcobI),0)*p_LcobF)</f>
        <v>0</v>
      </c>
      <c r="ED17" s="13" t="n">
        <f aca="false">(1-e_Incob)*(IF(128-p_LcobI&gt;=0,INDEX($F$12:$FF$12,1,128-p_LcobI+1),0)*(1-p_LcobF)+IF(128-p_LcobI-1&gt;=0,INDEX($F$12:$FF$12,1,128-p_LcobI),0)*p_LcobF)</f>
        <v>0</v>
      </c>
      <c r="EE17" s="13" t="n">
        <f aca="false">(1-e_Incob)*(IF(129-p_LcobI&gt;=0,INDEX($F$12:$FF$12,1,129-p_LcobI+1),0)*(1-p_LcobF)+IF(129-p_LcobI-1&gt;=0,INDEX($F$12:$FF$12,1,129-p_LcobI),0)*p_LcobF)</f>
        <v>0</v>
      </c>
      <c r="EF17" s="13" t="n">
        <f aca="false">(1-e_Incob)*(IF(130-p_LcobI&gt;=0,INDEX($F$12:$FF$12,1,130-p_LcobI+1),0)*(1-p_LcobF)+IF(130-p_LcobI-1&gt;=0,INDEX($F$12:$FF$12,1,130-p_LcobI),0)*p_LcobF)</f>
        <v>0</v>
      </c>
      <c r="EG17" s="13" t="n">
        <f aca="false">(1-e_Incob)*(IF(131-p_LcobI&gt;=0,INDEX($F$12:$FF$12,1,131-p_LcobI+1),0)*(1-p_LcobF)+IF(131-p_LcobI-1&gt;=0,INDEX($F$12:$FF$12,1,131-p_LcobI),0)*p_LcobF)</f>
        <v>0</v>
      </c>
      <c r="EH17" s="13" t="n">
        <f aca="false">(1-e_Incob)*(IF(132-p_LcobI&gt;=0,INDEX($F$12:$FF$12,1,132-p_LcobI+1),0)*(1-p_LcobF)+IF(132-p_LcobI-1&gt;=0,INDEX($F$12:$FF$12,1,132-p_LcobI),0)*p_LcobF)</f>
        <v>0</v>
      </c>
      <c r="EI17" s="13" t="n">
        <f aca="false">(1-e_Incob)*(IF(133-p_LcobI&gt;=0,INDEX($F$12:$FF$12,1,133-p_LcobI+1),0)*(1-p_LcobF)+IF(133-p_LcobI-1&gt;=0,INDEX($F$12:$FF$12,1,133-p_LcobI),0)*p_LcobF)</f>
        <v>0</v>
      </c>
      <c r="EJ17" s="13" t="n">
        <f aca="false">(1-e_Incob)*(IF(134-p_LcobI&gt;=0,INDEX($F$12:$FF$12,1,134-p_LcobI+1),0)*(1-p_LcobF)+IF(134-p_LcobI-1&gt;=0,INDEX($F$12:$FF$12,1,134-p_LcobI),0)*p_LcobF)</f>
        <v>0</v>
      </c>
      <c r="EK17" s="13" t="n">
        <f aca="false">(1-e_Incob)*(IF(135-p_LcobI&gt;=0,INDEX($F$12:$FF$12,1,135-p_LcobI+1),0)*(1-p_LcobF)+IF(135-p_LcobI-1&gt;=0,INDEX($F$12:$FF$12,1,135-p_LcobI),0)*p_LcobF)</f>
        <v>0</v>
      </c>
      <c r="EL17" s="13" t="n">
        <f aca="false">(1-e_Incob)*(IF(136-p_LcobI&gt;=0,INDEX($F$12:$FF$12,1,136-p_LcobI+1),0)*(1-p_LcobF)+IF(136-p_LcobI-1&gt;=0,INDEX($F$12:$FF$12,1,136-p_LcobI),0)*p_LcobF)</f>
        <v>0</v>
      </c>
      <c r="EM17" s="13" t="n">
        <f aca="false">(1-e_Incob)*(IF(137-p_LcobI&gt;=0,INDEX($F$12:$FF$12,1,137-p_LcobI+1),0)*(1-p_LcobF)+IF(137-p_LcobI-1&gt;=0,INDEX($F$12:$FF$12,1,137-p_LcobI),0)*p_LcobF)</f>
        <v>0</v>
      </c>
      <c r="EN17" s="13" t="n">
        <f aca="false">(1-e_Incob)*(IF(138-p_LcobI&gt;=0,INDEX($F$12:$FF$12,1,138-p_LcobI+1),0)*(1-p_LcobF)+IF(138-p_LcobI-1&gt;=0,INDEX($F$12:$FF$12,1,138-p_LcobI),0)*p_LcobF)</f>
        <v>0</v>
      </c>
      <c r="EO17" s="13" t="n">
        <f aca="false">(1-e_Incob)*(IF(139-p_LcobI&gt;=0,INDEX($F$12:$FF$12,1,139-p_LcobI+1),0)*(1-p_LcobF)+IF(139-p_LcobI-1&gt;=0,INDEX($F$12:$FF$12,1,139-p_LcobI),0)*p_LcobF)</f>
        <v>0</v>
      </c>
      <c r="EP17" s="13" t="n">
        <f aca="false">(1-e_Incob)*(IF(140-p_LcobI&gt;=0,INDEX($F$12:$FF$12,1,140-p_LcobI+1),0)*(1-p_LcobF)+IF(140-p_LcobI-1&gt;=0,INDEX($F$12:$FF$12,1,140-p_LcobI),0)*p_LcobF)</f>
        <v>0</v>
      </c>
      <c r="EQ17" s="13" t="n">
        <f aca="false">(1-e_Incob)*(IF(141-p_LcobI&gt;=0,INDEX($F$12:$FF$12,1,141-p_LcobI+1),0)*(1-p_LcobF)+IF(141-p_LcobI-1&gt;=0,INDEX($F$12:$FF$12,1,141-p_LcobI),0)*p_LcobF)</f>
        <v>0</v>
      </c>
      <c r="ER17" s="13" t="n">
        <f aca="false">(1-e_Incob)*(IF(142-p_LcobI&gt;=0,INDEX($F$12:$FF$12,1,142-p_LcobI+1),0)*(1-p_LcobF)+IF(142-p_LcobI-1&gt;=0,INDEX($F$12:$FF$12,1,142-p_LcobI),0)*p_LcobF)</f>
        <v>0</v>
      </c>
      <c r="ES17" s="13" t="n">
        <f aca="false">(1-e_Incob)*(IF(143-p_LcobI&gt;=0,INDEX($F$12:$FF$12,1,143-p_LcobI+1),0)*(1-p_LcobF)+IF(143-p_LcobI-1&gt;=0,INDEX($F$12:$FF$12,1,143-p_LcobI),0)*p_LcobF)</f>
        <v>0</v>
      </c>
      <c r="ET17" s="13" t="n">
        <f aca="false">(1-e_Incob)*(IF(144-p_LcobI&gt;=0,INDEX($F$12:$FF$12,1,144-p_LcobI+1),0)*(1-p_LcobF)+IF(144-p_LcobI-1&gt;=0,INDEX($F$12:$FF$12,1,144-p_LcobI),0)*p_LcobF)</f>
        <v>0</v>
      </c>
      <c r="EU17" s="13" t="n">
        <f aca="false">(1-e_Incob)*(IF(145-p_LcobI&gt;=0,INDEX($F$12:$FF$12,1,145-p_LcobI+1),0)*(1-p_LcobF)+IF(145-p_LcobI-1&gt;=0,INDEX($F$12:$FF$12,1,145-p_LcobI),0)*p_LcobF)</f>
        <v>0</v>
      </c>
      <c r="EV17" s="13" t="n">
        <f aca="false">(1-e_Incob)*(IF(146-p_LcobI&gt;=0,INDEX($F$12:$FF$12,1,146-p_LcobI+1),0)*(1-p_LcobF)+IF(146-p_LcobI-1&gt;=0,INDEX($F$12:$FF$12,1,146-p_LcobI),0)*p_LcobF)</f>
        <v>0</v>
      </c>
      <c r="EW17" s="13" t="n">
        <f aca="false">(1-e_Incob)*(IF(147-p_LcobI&gt;=0,INDEX($F$12:$FF$12,1,147-p_LcobI+1),0)*(1-p_LcobF)+IF(147-p_LcobI-1&gt;=0,INDEX($F$12:$FF$12,1,147-p_LcobI),0)*p_LcobF)</f>
        <v>0</v>
      </c>
      <c r="EX17" s="13" t="n">
        <f aca="false">(1-e_Incob)*(IF(148-p_LcobI&gt;=0,INDEX($F$12:$FF$12,1,148-p_LcobI+1),0)*(1-p_LcobF)+IF(148-p_LcobI-1&gt;=0,INDEX($F$12:$FF$12,1,148-p_LcobI),0)*p_LcobF)</f>
        <v>0</v>
      </c>
      <c r="EY17" s="13" t="n">
        <f aca="false">(1-e_Incob)*(IF(149-p_LcobI&gt;=0,INDEX($F$12:$FF$12,1,149-p_LcobI+1),0)*(1-p_LcobF)+IF(149-p_LcobI-1&gt;=0,INDEX($F$12:$FF$12,1,149-p_LcobI),0)*p_LcobF)</f>
        <v>0</v>
      </c>
      <c r="EZ17" s="13" t="n">
        <f aca="false">(1-e_Incob)*(IF(150-p_LcobI&gt;=0,INDEX($F$12:$FF$12,1,150-p_LcobI+1),0)*(1-p_LcobF)+IF(150-p_LcobI-1&gt;=0,INDEX($F$12:$FF$12,1,150-p_LcobI),0)*p_LcobF)</f>
        <v>0</v>
      </c>
      <c r="FA17" s="13" t="n">
        <f aca="false">(1-e_Incob)*(IF(151-p_LcobI&gt;=0,INDEX($F$12:$FF$12,1,151-p_LcobI+1),0)*(1-p_LcobF)+IF(151-p_LcobI-1&gt;=0,INDEX($F$12:$FF$12,1,151-p_LcobI),0)*p_LcobF)</f>
        <v>0</v>
      </c>
      <c r="FB17" s="13" t="n">
        <f aca="false">(1-e_Incob)*(IF(152-p_LcobI&gt;=0,INDEX($F$12:$FF$12,1,152-p_LcobI+1),0)*(1-p_LcobF)+IF(152-p_LcobI-1&gt;=0,INDEX($F$12:$FF$12,1,152-p_LcobI),0)*p_LcobF)</f>
        <v>0</v>
      </c>
      <c r="FC17" s="13" t="n">
        <f aca="false">(1-e_Incob)*(IF(153-p_LcobI&gt;=0,INDEX($F$12:$FF$12,1,153-p_LcobI+1),0)*(1-p_LcobF)+IF(153-p_LcobI-1&gt;=0,INDEX($F$12:$FF$12,1,153-p_LcobI),0)*p_LcobF)</f>
        <v>0</v>
      </c>
      <c r="FD17" s="13" t="n">
        <f aca="false">(1-e_Incob)*(IF(154-p_LcobI&gt;=0,INDEX($F$12:$FF$12,1,154-p_LcobI+1),0)*(1-p_LcobF)+IF(154-p_LcobI-1&gt;=0,INDEX($F$12:$FF$12,1,154-p_LcobI),0)*p_LcobF)</f>
        <v>0</v>
      </c>
      <c r="FE17" s="13" t="n">
        <f aca="false">(1-e_Incob)*(IF(155-p_LcobI&gt;=0,INDEX($F$12:$FF$12,1,155-p_LcobI+1),0)*(1-p_LcobF)+IF(155-p_LcobI-1&gt;=0,INDEX($F$12:$FF$12,1,155-p_LcobI),0)*p_LcobF)</f>
        <v>0</v>
      </c>
      <c r="FF17" s="13" t="n">
        <f aca="false">(1-e_Incob)*(IF(156-p_LcobI&gt;=0,INDEX($F$12:$FF$12,1,156-p_LcobI+1),0)*(1-p_LcobF)+IF(156-p_LcobI-1&gt;=0,INDEX($F$12:$FF$12,1,156-p_LcobI),0)*p_LcobF)</f>
        <v>0</v>
      </c>
    </row>
    <row r="18" customFormat="false" ht="15" hidden="false" customHeight="false" outlineLevel="0" collapsed="false">
      <c r="A18" s="2" t="s">
        <v>1297</v>
      </c>
      <c r="B18" s="8" t="s">
        <v>1298</v>
      </c>
      <c r="C18" s="8" t="s">
        <v>255</v>
      </c>
      <c r="E18" s="65" t="n">
        <f aca="false">SUM($F18:$FF18)</f>
        <v>0</v>
      </c>
      <c r="F18" s="13" t="n">
        <f aca="false">IF(AND(p_MesCorte&gt;=0,0=p_MesCorte+MAX(1,ROUND(p_Lcob,0))),0,0)*Calendario!F$13</f>
        <v>0</v>
      </c>
      <c r="G18" s="13" t="n">
        <f aca="false">IF(AND(p_MesCorte&gt;=0,1=p_MesCorte+MAX(1,ROUND(p_Lcob,0))),F$24,0)*Calendario!G$13</f>
        <v>0</v>
      </c>
      <c r="H18" s="13" t="n">
        <f aca="false">IF(AND(p_MesCorte&gt;=0,2=p_MesCorte+MAX(1,ROUND(p_Lcob,0))),G$24,0)*Calendario!H$13</f>
        <v>0</v>
      </c>
      <c r="I18" s="13" t="n">
        <f aca="false">IF(AND(p_MesCorte&gt;=0,3=p_MesCorte+MAX(1,ROUND(p_Lcob,0))),H$24,0)*Calendario!I$13</f>
        <v>0</v>
      </c>
      <c r="J18" s="13" t="n">
        <f aca="false">IF(AND(p_MesCorte&gt;=0,4=p_MesCorte+MAX(1,ROUND(p_Lcob,0))),I$24,0)*Calendario!J$13</f>
        <v>0</v>
      </c>
      <c r="K18" s="13" t="n">
        <f aca="false">IF(AND(p_MesCorte&gt;=0,5=p_MesCorte+MAX(1,ROUND(p_Lcob,0))),J$24,0)*Calendario!K$13</f>
        <v>0</v>
      </c>
      <c r="L18" s="13" t="n">
        <f aca="false">IF(AND(p_MesCorte&gt;=0,6=p_MesCorte+MAX(1,ROUND(p_Lcob,0))),K$24,0)*Calendario!L$13</f>
        <v>0</v>
      </c>
      <c r="M18" s="13" t="n">
        <f aca="false">IF(AND(p_MesCorte&gt;=0,7=p_MesCorte+MAX(1,ROUND(p_Lcob,0))),L$24,0)*Calendario!M$13</f>
        <v>0</v>
      </c>
      <c r="N18" s="13" t="n">
        <f aca="false">IF(AND(p_MesCorte&gt;=0,8=p_MesCorte+MAX(1,ROUND(p_Lcob,0))),M$24,0)*Calendario!N$13</f>
        <v>0</v>
      </c>
      <c r="O18" s="13" t="n">
        <f aca="false">IF(AND(p_MesCorte&gt;=0,9=p_MesCorte+MAX(1,ROUND(p_Lcob,0))),N$24,0)*Calendario!O$13</f>
        <v>0</v>
      </c>
      <c r="P18" s="13" t="n">
        <f aca="false">IF(AND(p_MesCorte&gt;=0,10=p_MesCorte+MAX(1,ROUND(p_Lcob,0))),O$24,0)*Calendario!P$13</f>
        <v>0</v>
      </c>
      <c r="Q18" s="13" t="n">
        <f aca="false">IF(AND(p_MesCorte&gt;=0,11=p_MesCorte+MAX(1,ROUND(p_Lcob,0))),P$24,0)*Calendario!Q$13</f>
        <v>0</v>
      </c>
      <c r="R18" s="13" t="n">
        <f aca="false">IF(AND(p_MesCorte&gt;=0,12=p_MesCorte+MAX(1,ROUND(p_Lcob,0))),Q$24,0)*Calendario!R$13</f>
        <v>0</v>
      </c>
      <c r="S18" s="13" t="n">
        <f aca="false">IF(AND(p_MesCorte&gt;=0,13=p_MesCorte+MAX(1,ROUND(p_Lcob,0))),R$24,0)*Calendario!S$13</f>
        <v>0</v>
      </c>
      <c r="T18" s="13" t="n">
        <f aca="false">IF(AND(p_MesCorte&gt;=0,14=p_MesCorte+MAX(1,ROUND(p_Lcob,0))),S$24,0)*Calendario!T$13</f>
        <v>0</v>
      </c>
      <c r="U18" s="13" t="n">
        <f aca="false">IF(AND(p_MesCorte&gt;=0,15=p_MesCorte+MAX(1,ROUND(p_Lcob,0))),T$24,0)*Calendario!U$13</f>
        <v>0</v>
      </c>
      <c r="V18" s="13" t="n">
        <f aca="false">IF(AND(p_MesCorte&gt;=0,16=p_MesCorte+MAX(1,ROUND(p_Lcob,0))),U$24,0)*Calendario!V$13</f>
        <v>0</v>
      </c>
      <c r="W18" s="13" t="n">
        <f aca="false">IF(AND(p_MesCorte&gt;=0,17=p_MesCorte+MAX(1,ROUND(p_Lcob,0))),V$24,0)*Calendario!W$13</f>
        <v>0</v>
      </c>
      <c r="X18" s="13" t="n">
        <f aca="false">IF(AND(p_MesCorte&gt;=0,18=p_MesCorte+MAX(1,ROUND(p_Lcob,0))),W$24,0)*Calendario!X$13</f>
        <v>0</v>
      </c>
      <c r="Y18" s="13" t="n">
        <f aca="false">IF(AND(p_MesCorte&gt;=0,19=p_MesCorte+MAX(1,ROUND(p_Lcob,0))),X$24,0)*Calendario!Y$13</f>
        <v>0</v>
      </c>
      <c r="Z18" s="13" t="n">
        <f aca="false">IF(AND(p_MesCorte&gt;=0,20=p_MesCorte+MAX(1,ROUND(p_Lcob,0))),Y$24,0)*Calendario!Z$13</f>
        <v>0</v>
      </c>
      <c r="AA18" s="13" t="n">
        <f aca="false">IF(AND(p_MesCorte&gt;=0,21=p_MesCorte+MAX(1,ROUND(p_Lcob,0))),Z$24,0)*Calendario!AA$13</f>
        <v>0</v>
      </c>
      <c r="AB18" s="13" t="n">
        <f aca="false">IF(AND(p_MesCorte&gt;=0,22=p_MesCorte+MAX(1,ROUND(p_Lcob,0))),AA$24,0)*Calendario!AB$13</f>
        <v>0</v>
      </c>
      <c r="AC18" s="13" t="n">
        <f aca="false">IF(AND(p_MesCorte&gt;=0,23=p_MesCorte+MAX(1,ROUND(p_Lcob,0))),AB$24,0)*Calendario!AC$13</f>
        <v>0</v>
      </c>
      <c r="AD18" s="13" t="n">
        <f aca="false">IF(AND(p_MesCorte&gt;=0,24=p_MesCorte+MAX(1,ROUND(p_Lcob,0))),AC$24,0)*Calendario!AD$13</f>
        <v>0</v>
      </c>
      <c r="AE18" s="13" t="n">
        <f aca="false">IF(AND(p_MesCorte&gt;=0,25=p_MesCorte+MAX(1,ROUND(p_Lcob,0))),AD$24,0)*Calendario!AE$13</f>
        <v>0</v>
      </c>
      <c r="AF18" s="13" t="n">
        <f aca="false">IF(AND(p_MesCorte&gt;=0,26=p_MesCorte+MAX(1,ROUND(p_Lcob,0))),AE$24,0)*Calendario!AF$13</f>
        <v>0</v>
      </c>
      <c r="AG18" s="13" t="n">
        <f aca="false">IF(AND(p_MesCorte&gt;=0,27=p_MesCorte+MAX(1,ROUND(p_Lcob,0))),AF$24,0)*Calendario!AG$13</f>
        <v>0</v>
      </c>
      <c r="AH18" s="13" t="n">
        <f aca="false">IF(AND(p_MesCorte&gt;=0,28=p_MesCorte+MAX(1,ROUND(p_Lcob,0))),AG$24,0)*Calendario!AH$13</f>
        <v>0</v>
      </c>
      <c r="AI18" s="13" t="n">
        <f aca="false">IF(AND(p_MesCorte&gt;=0,29=p_MesCorte+MAX(1,ROUND(p_Lcob,0))),AH$24,0)*Calendario!AI$13</f>
        <v>0</v>
      </c>
      <c r="AJ18" s="13" t="n">
        <f aca="false">IF(AND(p_MesCorte&gt;=0,30=p_MesCorte+MAX(1,ROUND(p_Lcob,0))),AI$24,0)*Calendario!AJ$13</f>
        <v>0</v>
      </c>
      <c r="AK18" s="13" t="n">
        <f aca="false">IF(AND(p_MesCorte&gt;=0,31=p_MesCorte+MAX(1,ROUND(p_Lcob,0))),AJ$24,0)*Calendario!AK$13</f>
        <v>0</v>
      </c>
      <c r="AL18" s="13" t="n">
        <f aca="false">IF(AND(p_MesCorte&gt;=0,32=p_MesCorte+MAX(1,ROUND(p_Lcob,0))),AK$24,0)*Calendario!AL$13</f>
        <v>0</v>
      </c>
      <c r="AM18" s="13" t="n">
        <f aca="false">IF(AND(p_MesCorte&gt;=0,33=p_MesCorte+MAX(1,ROUND(p_Lcob,0))),AL$24,0)*Calendario!AM$13</f>
        <v>0</v>
      </c>
      <c r="AN18" s="13" t="n">
        <f aca="false">IF(AND(p_MesCorte&gt;=0,34=p_MesCorte+MAX(1,ROUND(p_Lcob,0))),AM$24,0)*Calendario!AN$13</f>
        <v>0</v>
      </c>
      <c r="AO18" s="13" t="n">
        <f aca="false">IF(AND(p_MesCorte&gt;=0,35=p_MesCorte+MAX(1,ROUND(p_Lcob,0))),AN$24,0)*Calendario!AO$13</f>
        <v>0</v>
      </c>
      <c r="AP18" s="13" t="n">
        <f aca="false">IF(AND(p_MesCorte&gt;=0,36=p_MesCorte+MAX(1,ROUND(p_Lcob,0))),AO$24,0)*Calendario!AP$13</f>
        <v>0</v>
      </c>
      <c r="AQ18" s="13" t="n">
        <f aca="false">IF(AND(p_MesCorte&gt;=0,37=p_MesCorte+MAX(1,ROUND(p_Lcob,0))),AP$24,0)*Calendario!AQ$13</f>
        <v>0</v>
      </c>
      <c r="AR18" s="13" t="n">
        <f aca="false">IF(AND(p_MesCorte&gt;=0,38=p_MesCorte+MAX(1,ROUND(p_Lcob,0))),AQ$24,0)*Calendario!AR$13</f>
        <v>0</v>
      </c>
      <c r="AS18" s="13" t="n">
        <f aca="false">IF(AND(p_MesCorte&gt;=0,39=p_MesCorte+MAX(1,ROUND(p_Lcob,0))),AR$24,0)*Calendario!AS$13</f>
        <v>0</v>
      </c>
      <c r="AT18" s="13" t="n">
        <f aca="false">IF(AND(p_MesCorte&gt;=0,40=p_MesCorte+MAX(1,ROUND(p_Lcob,0))),AS$24,0)*Calendario!AT$13</f>
        <v>0</v>
      </c>
      <c r="AU18" s="13" t="n">
        <f aca="false">IF(AND(p_MesCorte&gt;=0,41=p_MesCorte+MAX(1,ROUND(p_Lcob,0))),AT$24,0)*Calendario!AU$13</f>
        <v>0</v>
      </c>
      <c r="AV18" s="13" t="n">
        <f aca="false">IF(AND(p_MesCorte&gt;=0,42=p_MesCorte+MAX(1,ROUND(p_Lcob,0))),AU$24,0)*Calendario!AV$13</f>
        <v>0</v>
      </c>
      <c r="AW18" s="13" t="n">
        <f aca="false">IF(AND(p_MesCorte&gt;=0,43=p_MesCorte+MAX(1,ROUND(p_Lcob,0))),AV$24,0)*Calendario!AW$13</f>
        <v>0</v>
      </c>
      <c r="AX18" s="13" t="n">
        <f aca="false">IF(AND(p_MesCorte&gt;=0,44=p_MesCorte+MAX(1,ROUND(p_Lcob,0))),AW$24,0)*Calendario!AX$13</f>
        <v>0</v>
      </c>
      <c r="AY18" s="13" t="n">
        <f aca="false">IF(AND(p_MesCorte&gt;=0,45=p_MesCorte+MAX(1,ROUND(p_Lcob,0))),AX$24,0)*Calendario!AY$13</f>
        <v>0</v>
      </c>
      <c r="AZ18" s="13" t="n">
        <f aca="false">IF(AND(p_MesCorte&gt;=0,46=p_MesCorte+MAX(1,ROUND(p_Lcob,0))),AY$24,0)*Calendario!AZ$13</f>
        <v>0</v>
      </c>
      <c r="BA18" s="13" t="n">
        <f aca="false">IF(AND(p_MesCorte&gt;=0,47=p_MesCorte+MAX(1,ROUND(p_Lcob,0))),AZ$24,0)*Calendario!BA$13</f>
        <v>0</v>
      </c>
      <c r="BB18" s="13" t="n">
        <f aca="false">IF(AND(p_MesCorte&gt;=0,48=p_MesCorte+MAX(1,ROUND(p_Lcob,0))),BA$24,0)*Calendario!BB$13</f>
        <v>0</v>
      </c>
      <c r="BC18" s="13" t="n">
        <f aca="false">IF(AND(p_MesCorte&gt;=0,49=p_MesCorte+MAX(1,ROUND(p_Lcob,0))),BB$24,0)*Calendario!BC$13</f>
        <v>0</v>
      </c>
      <c r="BD18" s="13" t="n">
        <f aca="false">IF(AND(p_MesCorte&gt;=0,50=p_MesCorte+MAX(1,ROUND(p_Lcob,0))),BC$24,0)*Calendario!BD$13</f>
        <v>0</v>
      </c>
      <c r="BE18" s="13" t="n">
        <f aca="false">IF(AND(p_MesCorte&gt;=0,51=p_MesCorte+MAX(1,ROUND(p_Lcob,0))),BD$24,0)*Calendario!BE$13</f>
        <v>0</v>
      </c>
      <c r="BF18" s="13" t="n">
        <f aca="false">IF(AND(p_MesCorte&gt;=0,52=p_MesCorte+MAX(1,ROUND(p_Lcob,0))),BE$24,0)*Calendario!BF$13</f>
        <v>0</v>
      </c>
      <c r="BG18" s="13" t="n">
        <f aca="false">IF(AND(p_MesCorte&gt;=0,53=p_MesCorte+MAX(1,ROUND(p_Lcob,0))),BF$24,0)*Calendario!BG$13</f>
        <v>0</v>
      </c>
      <c r="BH18" s="13" t="n">
        <f aca="false">IF(AND(p_MesCorte&gt;=0,54=p_MesCorte+MAX(1,ROUND(p_Lcob,0))),BG$24,0)*Calendario!BH$13</f>
        <v>0</v>
      </c>
      <c r="BI18" s="13" t="n">
        <f aca="false">IF(AND(p_MesCorte&gt;=0,55=p_MesCorte+MAX(1,ROUND(p_Lcob,0))),BH$24,0)*Calendario!BI$13</f>
        <v>0</v>
      </c>
      <c r="BJ18" s="13" t="n">
        <f aca="false">IF(AND(p_MesCorte&gt;=0,56=p_MesCorte+MAX(1,ROUND(p_Lcob,0))),BI$24,0)*Calendario!BJ$13</f>
        <v>0</v>
      </c>
      <c r="BK18" s="13" t="n">
        <f aca="false">IF(AND(p_MesCorte&gt;=0,57=p_MesCorte+MAX(1,ROUND(p_Lcob,0))),BJ$24,0)*Calendario!BK$13</f>
        <v>0</v>
      </c>
      <c r="BL18" s="13" t="n">
        <f aca="false">IF(AND(p_MesCorte&gt;=0,58=p_MesCorte+MAX(1,ROUND(p_Lcob,0))),BK$24,0)*Calendario!BL$13</f>
        <v>0</v>
      </c>
      <c r="BM18" s="13" t="n">
        <f aca="false">IF(AND(p_MesCorte&gt;=0,59=p_MesCorte+MAX(1,ROUND(p_Lcob,0))),BL$24,0)*Calendario!BM$13</f>
        <v>0</v>
      </c>
      <c r="BN18" s="13" t="n">
        <f aca="false">IF(AND(p_MesCorte&gt;=0,60=p_MesCorte+MAX(1,ROUND(p_Lcob,0))),BM$24,0)*Calendario!BN$13</f>
        <v>0</v>
      </c>
      <c r="BO18" s="13" t="n">
        <f aca="false">IF(AND(p_MesCorte&gt;=0,61=p_MesCorte+MAX(1,ROUND(p_Lcob,0))),BN$24,0)*Calendario!BO$13</f>
        <v>0</v>
      </c>
      <c r="BP18" s="13" t="n">
        <f aca="false">IF(AND(p_MesCorte&gt;=0,62=p_MesCorte+MAX(1,ROUND(p_Lcob,0))),BO$24,0)*Calendario!BP$13</f>
        <v>0</v>
      </c>
      <c r="BQ18" s="13" t="n">
        <f aca="false">IF(AND(p_MesCorte&gt;=0,63=p_MesCorte+MAX(1,ROUND(p_Lcob,0))),BP$24,0)*Calendario!BQ$13</f>
        <v>0</v>
      </c>
      <c r="BR18" s="13" t="n">
        <f aca="false">IF(AND(p_MesCorte&gt;=0,64=p_MesCorte+MAX(1,ROUND(p_Lcob,0))),BQ$24,0)*Calendario!BR$13</f>
        <v>0</v>
      </c>
      <c r="BS18" s="13" t="n">
        <f aca="false">IF(AND(p_MesCorte&gt;=0,65=p_MesCorte+MAX(1,ROUND(p_Lcob,0))),BR$24,0)*Calendario!BS$13</f>
        <v>0</v>
      </c>
      <c r="BT18" s="13" t="n">
        <f aca="false">IF(AND(p_MesCorte&gt;=0,66=p_MesCorte+MAX(1,ROUND(p_Lcob,0))),BS$24,0)*Calendario!BT$13</f>
        <v>0</v>
      </c>
      <c r="BU18" s="13" t="n">
        <f aca="false">IF(AND(p_MesCorte&gt;=0,67=p_MesCorte+MAX(1,ROUND(p_Lcob,0))),BT$24,0)*Calendario!BU$13</f>
        <v>0</v>
      </c>
      <c r="BV18" s="13" t="n">
        <f aca="false">IF(AND(p_MesCorte&gt;=0,68=p_MesCorte+MAX(1,ROUND(p_Lcob,0))),BU$24,0)*Calendario!BV$13</f>
        <v>0</v>
      </c>
      <c r="BW18" s="13" t="n">
        <f aca="false">IF(AND(p_MesCorte&gt;=0,69=p_MesCorte+MAX(1,ROUND(p_Lcob,0))),BV$24,0)*Calendario!BW$13</f>
        <v>0</v>
      </c>
      <c r="BX18" s="13" t="n">
        <f aca="false">IF(AND(p_MesCorte&gt;=0,70=p_MesCorte+MAX(1,ROUND(p_Lcob,0))),BW$24,0)*Calendario!BX$13</f>
        <v>0</v>
      </c>
      <c r="BY18" s="13" t="n">
        <f aca="false">IF(AND(p_MesCorte&gt;=0,71=p_MesCorte+MAX(1,ROUND(p_Lcob,0))),BX$24,0)*Calendario!BY$13</f>
        <v>0</v>
      </c>
      <c r="BZ18" s="13" t="n">
        <f aca="false">IF(AND(p_MesCorte&gt;=0,72=p_MesCorte+MAX(1,ROUND(p_Lcob,0))),BY$24,0)*Calendario!BZ$13</f>
        <v>0</v>
      </c>
      <c r="CA18" s="13" t="n">
        <f aca="false">IF(AND(p_MesCorte&gt;=0,73=p_MesCorte+MAX(1,ROUND(p_Lcob,0))),BZ$24,0)*Calendario!CA$13</f>
        <v>0</v>
      </c>
      <c r="CB18" s="13" t="n">
        <f aca="false">IF(AND(p_MesCorte&gt;=0,74=p_MesCorte+MAX(1,ROUND(p_Lcob,0))),CA$24,0)*Calendario!CB$13</f>
        <v>0</v>
      </c>
      <c r="CC18" s="13" t="n">
        <f aca="false">IF(AND(p_MesCorte&gt;=0,75=p_MesCorte+MAX(1,ROUND(p_Lcob,0))),CB$24,0)*Calendario!CC$13</f>
        <v>0</v>
      </c>
      <c r="CD18" s="13" t="n">
        <f aca="false">IF(AND(p_MesCorte&gt;=0,76=p_MesCorte+MAX(1,ROUND(p_Lcob,0))),CC$24,0)*Calendario!CD$13</f>
        <v>0</v>
      </c>
      <c r="CE18" s="13" t="n">
        <f aca="false">IF(AND(p_MesCorte&gt;=0,77=p_MesCorte+MAX(1,ROUND(p_Lcob,0))),CD$24,0)*Calendario!CE$13</f>
        <v>0</v>
      </c>
      <c r="CF18" s="13" t="n">
        <f aca="false">IF(AND(p_MesCorte&gt;=0,78=p_MesCorte+MAX(1,ROUND(p_Lcob,0))),CE$24,0)*Calendario!CF$13</f>
        <v>0</v>
      </c>
      <c r="CG18" s="13" t="n">
        <f aca="false">IF(AND(p_MesCorte&gt;=0,79=p_MesCorte+MAX(1,ROUND(p_Lcob,0))),CF$24,0)*Calendario!CG$13</f>
        <v>0</v>
      </c>
      <c r="CH18" s="13" t="n">
        <f aca="false">IF(AND(p_MesCorte&gt;=0,80=p_MesCorte+MAX(1,ROUND(p_Lcob,0))),CG$24,0)*Calendario!CH$13</f>
        <v>0</v>
      </c>
      <c r="CI18" s="13" t="n">
        <f aca="false">IF(AND(p_MesCorte&gt;=0,81=p_MesCorte+MAX(1,ROUND(p_Lcob,0))),CH$24,0)*Calendario!CI$13</f>
        <v>0</v>
      </c>
      <c r="CJ18" s="13" t="n">
        <f aca="false">IF(AND(p_MesCorte&gt;=0,82=p_MesCorte+MAX(1,ROUND(p_Lcob,0))),CI$24,0)*Calendario!CJ$13</f>
        <v>0</v>
      </c>
      <c r="CK18" s="13" t="n">
        <f aca="false">IF(AND(p_MesCorte&gt;=0,83=p_MesCorte+MAX(1,ROUND(p_Lcob,0))),CJ$24,0)*Calendario!CK$13</f>
        <v>0</v>
      </c>
      <c r="CL18" s="13" t="n">
        <f aca="false">IF(AND(p_MesCorte&gt;=0,84=p_MesCorte+MAX(1,ROUND(p_Lcob,0))),CK$24,0)*Calendario!CL$13</f>
        <v>0</v>
      </c>
      <c r="CM18" s="13" t="n">
        <f aca="false">IF(AND(p_MesCorte&gt;=0,85=p_MesCorte+MAX(1,ROUND(p_Lcob,0))),CL$24,0)*Calendario!CM$13</f>
        <v>0</v>
      </c>
      <c r="CN18" s="13" t="n">
        <f aca="false">IF(AND(p_MesCorte&gt;=0,86=p_MesCorte+MAX(1,ROUND(p_Lcob,0))),CM$24,0)*Calendario!CN$13</f>
        <v>0</v>
      </c>
      <c r="CO18" s="13" t="n">
        <f aca="false">IF(AND(p_MesCorte&gt;=0,87=p_MesCorte+MAX(1,ROUND(p_Lcob,0))),CN$24,0)*Calendario!CO$13</f>
        <v>0</v>
      </c>
      <c r="CP18" s="13" t="n">
        <f aca="false">IF(AND(p_MesCorte&gt;=0,88=p_MesCorte+MAX(1,ROUND(p_Lcob,0))),CO$24,0)*Calendario!CP$13</f>
        <v>0</v>
      </c>
      <c r="CQ18" s="13" t="n">
        <f aca="false">IF(AND(p_MesCorte&gt;=0,89=p_MesCorte+MAX(1,ROUND(p_Lcob,0))),CP$24,0)*Calendario!CQ$13</f>
        <v>0</v>
      </c>
      <c r="CR18" s="13" t="n">
        <f aca="false">IF(AND(p_MesCorte&gt;=0,90=p_MesCorte+MAX(1,ROUND(p_Lcob,0))),CQ$24,0)*Calendario!CR$13</f>
        <v>0</v>
      </c>
      <c r="CS18" s="13" t="n">
        <f aca="false">IF(AND(p_MesCorte&gt;=0,91=p_MesCorte+MAX(1,ROUND(p_Lcob,0))),CR$24,0)*Calendario!CS$13</f>
        <v>0</v>
      </c>
      <c r="CT18" s="13" t="n">
        <f aca="false">IF(AND(p_MesCorte&gt;=0,92=p_MesCorte+MAX(1,ROUND(p_Lcob,0))),CS$24,0)*Calendario!CT$13</f>
        <v>0</v>
      </c>
      <c r="CU18" s="13" t="n">
        <f aca="false">IF(AND(p_MesCorte&gt;=0,93=p_MesCorte+MAX(1,ROUND(p_Lcob,0))),CT$24,0)*Calendario!CU$13</f>
        <v>0</v>
      </c>
      <c r="CV18" s="13" t="n">
        <f aca="false">IF(AND(p_MesCorte&gt;=0,94=p_MesCorte+MAX(1,ROUND(p_Lcob,0))),CU$24,0)*Calendario!CV$13</f>
        <v>0</v>
      </c>
      <c r="CW18" s="13" t="n">
        <f aca="false">IF(AND(p_MesCorte&gt;=0,95=p_MesCorte+MAX(1,ROUND(p_Lcob,0))),CV$24,0)*Calendario!CW$13</f>
        <v>0</v>
      </c>
      <c r="CX18" s="13" t="n">
        <f aca="false">IF(AND(p_MesCorte&gt;=0,96=p_MesCorte+MAX(1,ROUND(p_Lcob,0))),CW$24,0)*Calendario!CX$13</f>
        <v>0</v>
      </c>
      <c r="CY18" s="13" t="n">
        <f aca="false">IF(AND(p_MesCorte&gt;=0,97=p_MesCorte+MAX(1,ROUND(p_Lcob,0))),CX$24,0)*Calendario!CY$13</f>
        <v>0</v>
      </c>
      <c r="CZ18" s="13" t="n">
        <f aca="false">IF(AND(p_MesCorte&gt;=0,98=p_MesCorte+MAX(1,ROUND(p_Lcob,0))),CY$24,0)*Calendario!CZ$13</f>
        <v>0</v>
      </c>
      <c r="DA18" s="13" t="n">
        <f aca="false">IF(AND(p_MesCorte&gt;=0,99=p_MesCorte+MAX(1,ROUND(p_Lcob,0))),CZ$24,0)*Calendario!DA$13</f>
        <v>0</v>
      </c>
      <c r="DB18" s="13" t="n">
        <f aca="false">IF(AND(p_MesCorte&gt;=0,100=p_MesCorte+MAX(1,ROUND(p_Lcob,0))),DA$24,0)*Calendario!DB$13</f>
        <v>0</v>
      </c>
      <c r="DC18" s="13" t="n">
        <f aca="false">IF(AND(p_MesCorte&gt;=0,101=p_MesCorte+MAX(1,ROUND(p_Lcob,0))),DB$24,0)*Calendario!DC$13</f>
        <v>0</v>
      </c>
      <c r="DD18" s="13" t="n">
        <f aca="false">IF(AND(p_MesCorte&gt;=0,102=p_MesCorte+MAX(1,ROUND(p_Lcob,0))),DC$24,0)*Calendario!DD$13</f>
        <v>0</v>
      </c>
      <c r="DE18" s="13" t="n">
        <f aca="false">IF(AND(p_MesCorte&gt;=0,103=p_MesCorte+MAX(1,ROUND(p_Lcob,0))),DD$24,0)*Calendario!DE$13</f>
        <v>0</v>
      </c>
      <c r="DF18" s="13" t="n">
        <f aca="false">IF(AND(p_MesCorte&gt;=0,104=p_MesCorte+MAX(1,ROUND(p_Lcob,0))),DE$24,0)*Calendario!DF$13</f>
        <v>0</v>
      </c>
      <c r="DG18" s="13" t="n">
        <f aca="false">IF(AND(p_MesCorte&gt;=0,105=p_MesCorte+MAX(1,ROUND(p_Lcob,0))),DF$24,0)*Calendario!DG$13</f>
        <v>0</v>
      </c>
      <c r="DH18" s="13" t="n">
        <f aca="false">IF(AND(p_MesCorte&gt;=0,106=p_MesCorte+MAX(1,ROUND(p_Lcob,0))),DG$24,0)*Calendario!DH$13</f>
        <v>0</v>
      </c>
      <c r="DI18" s="13" t="n">
        <f aca="false">IF(AND(p_MesCorte&gt;=0,107=p_MesCorte+MAX(1,ROUND(p_Lcob,0))),DH$24,0)*Calendario!DI$13</f>
        <v>0</v>
      </c>
      <c r="DJ18" s="13" t="n">
        <f aca="false">IF(AND(p_MesCorte&gt;=0,108=p_MesCorte+MAX(1,ROUND(p_Lcob,0))),DI$24,0)*Calendario!DJ$13</f>
        <v>0</v>
      </c>
      <c r="DK18" s="13" t="n">
        <f aca="false">IF(AND(p_MesCorte&gt;=0,109=p_MesCorte+MAX(1,ROUND(p_Lcob,0))),DJ$24,0)*Calendario!DK$13</f>
        <v>0</v>
      </c>
      <c r="DL18" s="13" t="n">
        <f aca="false">IF(AND(p_MesCorte&gt;=0,110=p_MesCorte+MAX(1,ROUND(p_Lcob,0))),DK$24,0)*Calendario!DL$13</f>
        <v>0</v>
      </c>
      <c r="DM18" s="13" t="n">
        <f aca="false">IF(AND(p_MesCorte&gt;=0,111=p_MesCorte+MAX(1,ROUND(p_Lcob,0))),DL$24,0)*Calendario!DM$13</f>
        <v>0</v>
      </c>
      <c r="DN18" s="13" t="n">
        <f aca="false">IF(AND(p_MesCorte&gt;=0,112=p_MesCorte+MAX(1,ROUND(p_Lcob,0))),DM$24,0)*Calendario!DN$13</f>
        <v>0</v>
      </c>
      <c r="DO18" s="13" t="n">
        <f aca="false">IF(AND(p_MesCorte&gt;=0,113=p_MesCorte+MAX(1,ROUND(p_Lcob,0))),DN$24,0)*Calendario!DO$13</f>
        <v>0</v>
      </c>
      <c r="DP18" s="13" t="n">
        <f aca="false">IF(AND(p_MesCorte&gt;=0,114=p_MesCorte+MAX(1,ROUND(p_Lcob,0))),DO$24,0)*Calendario!DP$13</f>
        <v>0</v>
      </c>
      <c r="DQ18" s="13" t="n">
        <f aca="false">IF(AND(p_MesCorte&gt;=0,115=p_MesCorte+MAX(1,ROUND(p_Lcob,0))),DP$24,0)*Calendario!DQ$13</f>
        <v>0</v>
      </c>
      <c r="DR18" s="13" t="n">
        <f aca="false">IF(AND(p_MesCorte&gt;=0,116=p_MesCorte+MAX(1,ROUND(p_Lcob,0))),DQ$24,0)*Calendario!DR$13</f>
        <v>0</v>
      </c>
      <c r="DS18" s="13" t="n">
        <f aca="false">IF(AND(p_MesCorte&gt;=0,117=p_MesCorte+MAX(1,ROUND(p_Lcob,0))),DR$24,0)*Calendario!DS$13</f>
        <v>0</v>
      </c>
      <c r="DT18" s="13" t="n">
        <f aca="false">IF(AND(p_MesCorte&gt;=0,118=p_MesCorte+MAX(1,ROUND(p_Lcob,0))),DS$24,0)*Calendario!DT$13</f>
        <v>0</v>
      </c>
      <c r="DU18" s="13" t="n">
        <f aca="false">IF(AND(p_MesCorte&gt;=0,119=p_MesCorte+MAX(1,ROUND(p_Lcob,0))),DT$24,0)*Calendario!DU$13</f>
        <v>0</v>
      </c>
      <c r="DV18" s="13" t="n">
        <f aca="false">IF(AND(p_MesCorte&gt;=0,120=p_MesCorte+MAX(1,ROUND(p_Lcob,0))),DU$24,0)*Calendario!DV$13</f>
        <v>0</v>
      </c>
      <c r="DW18" s="13" t="n">
        <f aca="false">IF(AND(p_MesCorte&gt;=0,121=p_MesCorte+MAX(1,ROUND(p_Lcob,0))),DV$24,0)*Calendario!DW$13</f>
        <v>0</v>
      </c>
      <c r="DX18" s="13" t="n">
        <f aca="false">IF(AND(p_MesCorte&gt;=0,122=p_MesCorte+MAX(1,ROUND(p_Lcob,0))),DW$24,0)*Calendario!DX$13</f>
        <v>0</v>
      </c>
      <c r="DY18" s="13" t="n">
        <f aca="false">IF(AND(p_MesCorte&gt;=0,123=p_MesCorte+MAX(1,ROUND(p_Lcob,0))),DX$24,0)*Calendario!DY$13</f>
        <v>0</v>
      </c>
      <c r="DZ18" s="13" t="n">
        <f aca="false">IF(AND(p_MesCorte&gt;=0,124=p_MesCorte+MAX(1,ROUND(p_Lcob,0))),DY$24,0)*Calendario!DZ$13</f>
        <v>0</v>
      </c>
      <c r="EA18" s="13" t="n">
        <f aca="false">IF(AND(p_MesCorte&gt;=0,125=p_MesCorte+MAX(1,ROUND(p_Lcob,0))),DZ$24,0)*Calendario!EA$13</f>
        <v>0</v>
      </c>
      <c r="EB18" s="13" t="n">
        <f aca="false">IF(AND(p_MesCorte&gt;=0,126=p_MesCorte+MAX(1,ROUND(p_Lcob,0))),EA$24,0)*Calendario!EB$13</f>
        <v>0</v>
      </c>
      <c r="EC18" s="13" t="n">
        <f aca="false">IF(AND(p_MesCorte&gt;=0,127=p_MesCorte+MAX(1,ROUND(p_Lcob,0))),EB$24,0)*Calendario!EC$13</f>
        <v>0</v>
      </c>
      <c r="ED18" s="13" t="n">
        <f aca="false">IF(AND(p_MesCorte&gt;=0,128=p_MesCorte+MAX(1,ROUND(p_Lcob,0))),EC$24,0)*Calendario!ED$13</f>
        <v>0</v>
      </c>
      <c r="EE18" s="13" t="n">
        <f aca="false">IF(AND(p_MesCorte&gt;=0,129=p_MesCorte+MAX(1,ROUND(p_Lcob,0))),ED$24,0)*Calendario!EE$13</f>
        <v>0</v>
      </c>
      <c r="EF18" s="13" t="n">
        <f aca="false">IF(AND(p_MesCorte&gt;=0,130=p_MesCorte+MAX(1,ROUND(p_Lcob,0))),EE$24,0)*Calendario!EF$13</f>
        <v>0</v>
      </c>
      <c r="EG18" s="13" t="n">
        <f aca="false">IF(AND(p_MesCorte&gt;=0,131=p_MesCorte+MAX(1,ROUND(p_Lcob,0))),EF$24,0)*Calendario!EG$13</f>
        <v>0</v>
      </c>
      <c r="EH18" s="13" t="n">
        <f aca="false">IF(AND(p_MesCorte&gt;=0,132=p_MesCorte+MAX(1,ROUND(p_Lcob,0))),EG$24,0)*Calendario!EH$13</f>
        <v>0</v>
      </c>
      <c r="EI18" s="13" t="n">
        <f aca="false">IF(AND(p_MesCorte&gt;=0,133=p_MesCorte+MAX(1,ROUND(p_Lcob,0))),EH$24,0)*Calendario!EI$13</f>
        <v>0</v>
      </c>
      <c r="EJ18" s="13" t="n">
        <f aca="false">IF(AND(p_MesCorte&gt;=0,134=p_MesCorte+MAX(1,ROUND(p_Lcob,0))),EI$24,0)*Calendario!EJ$13</f>
        <v>0</v>
      </c>
      <c r="EK18" s="13" t="n">
        <f aca="false">IF(AND(p_MesCorte&gt;=0,135=p_MesCorte+MAX(1,ROUND(p_Lcob,0))),EJ$24,0)*Calendario!EK$13</f>
        <v>0</v>
      </c>
      <c r="EL18" s="13" t="n">
        <f aca="false">IF(AND(p_MesCorte&gt;=0,136=p_MesCorte+MAX(1,ROUND(p_Lcob,0))),EK$24,0)*Calendario!EL$13</f>
        <v>0</v>
      </c>
      <c r="EM18" s="13" t="n">
        <f aca="false">IF(AND(p_MesCorte&gt;=0,137=p_MesCorte+MAX(1,ROUND(p_Lcob,0))),EL$24,0)*Calendario!EM$13</f>
        <v>0</v>
      </c>
      <c r="EN18" s="13" t="n">
        <f aca="false">IF(AND(p_MesCorte&gt;=0,138=p_MesCorte+MAX(1,ROUND(p_Lcob,0))),EM$24,0)*Calendario!EN$13</f>
        <v>0</v>
      </c>
      <c r="EO18" s="13" t="n">
        <f aca="false">IF(AND(p_MesCorte&gt;=0,139=p_MesCorte+MAX(1,ROUND(p_Lcob,0))),EN$24,0)*Calendario!EO$13</f>
        <v>0</v>
      </c>
      <c r="EP18" s="13" t="n">
        <f aca="false">IF(AND(p_MesCorte&gt;=0,140=p_MesCorte+MAX(1,ROUND(p_Lcob,0))),EO$24,0)*Calendario!EP$13</f>
        <v>0</v>
      </c>
      <c r="EQ18" s="13" t="n">
        <f aca="false">IF(AND(p_MesCorte&gt;=0,141=p_MesCorte+MAX(1,ROUND(p_Lcob,0))),EP$24,0)*Calendario!EQ$13</f>
        <v>0</v>
      </c>
      <c r="ER18" s="13" t="n">
        <f aca="false">IF(AND(p_MesCorte&gt;=0,142=p_MesCorte+MAX(1,ROUND(p_Lcob,0))),EQ$24,0)*Calendario!ER$13</f>
        <v>0</v>
      </c>
      <c r="ES18" s="13" t="n">
        <f aca="false">IF(AND(p_MesCorte&gt;=0,143=p_MesCorte+MAX(1,ROUND(p_Lcob,0))),ER$24,0)*Calendario!ES$13</f>
        <v>0</v>
      </c>
      <c r="ET18" s="13" t="n">
        <f aca="false">IF(AND(p_MesCorte&gt;=0,144=p_MesCorte+MAX(1,ROUND(p_Lcob,0))),ES$24,0)*Calendario!ET$13</f>
        <v>0</v>
      </c>
      <c r="EU18" s="13" t="n">
        <f aca="false">IF(AND(p_MesCorte&gt;=0,145=p_MesCorte+MAX(1,ROUND(p_Lcob,0))),ET$24,0)*Calendario!EU$13</f>
        <v>0</v>
      </c>
      <c r="EV18" s="13" t="n">
        <f aca="false">IF(AND(p_MesCorte&gt;=0,146=p_MesCorte+MAX(1,ROUND(p_Lcob,0))),EU$24,0)*Calendario!EV$13</f>
        <v>0</v>
      </c>
      <c r="EW18" s="13" t="n">
        <f aca="false">IF(AND(p_MesCorte&gt;=0,147=p_MesCorte+MAX(1,ROUND(p_Lcob,0))),EV$24,0)*Calendario!EW$13</f>
        <v>0</v>
      </c>
      <c r="EX18" s="13" t="n">
        <f aca="false">IF(AND(p_MesCorte&gt;=0,148=p_MesCorte+MAX(1,ROUND(p_Lcob,0))),EW$24,0)*Calendario!EX$13</f>
        <v>0</v>
      </c>
      <c r="EY18" s="13" t="n">
        <f aca="false">IF(AND(p_MesCorte&gt;=0,149=p_MesCorte+MAX(1,ROUND(p_Lcob,0))),EX$24,0)*Calendario!EY$13</f>
        <v>0</v>
      </c>
      <c r="EZ18" s="13" t="n">
        <f aca="false">IF(AND(p_MesCorte&gt;=0,150=p_MesCorte+MAX(1,ROUND(p_Lcob,0))),EY$24,0)*Calendario!EZ$13</f>
        <v>0</v>
      </c>
      <c r="FA18" s="13" t="n">
        <f aca="false">IF(AND(p_MesCorte&gt;=0,151=p_MesCorte+MAX(1,ROUND(p_Lcob,0))),EZ$24,0)*Calendario!FA$13</f>
        <v>0</v>
      </c>
      <c r="FB18" s="13" t="n">
        <f aca="false">IF(AND(p_MesCorte&gt;=0,152=p_MesCorte+MAX(1,ROUND(p_Lcob,0))),FA$24,0)*Calendario!FB$13</f>
        <v>0</v>
      </c>
      <c r="FC18" s="13" t="n">
        <f aca="false">IF(AND(p_MesCorte&gt;=0,153=p_MesCorte+MAX(1,ROUND(p_Lcob,0))),FB$24,0)*Calendario!FC$13</f>
        <v>0</v>
      </c>
      <c r="FD18" s="13" t="n">
        <f aca="false">IF(AND(p_MesCorte&gt;=0,154=p_MesCorte+MAX(1,ROUND(p_Lcob,0))),FC$24,0)*Calendario!FD$13</f>
        <v>0</v>
      </c>
      <c r="FE18" s="13" t="n">
        <f aca="false">IF(AND(p_MesCorte&gt;=0,155=p_MesCorte+MAX(1,ROUND(p_Lcob,0))),FD$24,0)*Calendario!FE$13</f>
        <v>0</v>
      </c>
      <c r="FF18" s="13" t="n">
        <f aca="false">IF(AND(p_MesCorte&gt;=0,156=p_MesCorte+MAX(1,ROUND(p_Lcob,0))),FE$24,0)*Calendario!FF$13</f>
        <v>0</v>
      </c>
    </row>
    <row r="19" customFormat="false" ht="15" hidden="false" customHeight="false" outlineLevel="0" collapsed="false">
      <c r="A19" s="2" t="s">
        <v>1299</v>
      </c>
      <c r="B19" s="66" t="s">
        <v>1300</v>
      </c>
      <c r="C19" s="8" t="s">
        <v>255</v>
      </c>
      <c r="E19" s="67" t="n">
        <f aca="false">SUM($F19:$FF19)</f>
        <v>78191291.4974057</v>
      </c>
      <c r="F19" s="12" t="n">
        <f aca="false">IF(F$9=1,SUMIFS(dr_USD,dr_Mes,0,dr_Cod,"COBRO",dr_Est,"&lt;&gt;Excluido"),(F$13+F$15+F$17+F$18)*Calendario!F$13)</f>
        <v>0</v>
      </c>
      <c r="G19" s="12" t="n">
        <f aca="false">IF(G$9=1,SUMIFS(dr_USD,dr_Mes,1,dr_Cod,"COBRO",dr_Est,"&lt;&gt;Excluido"),(G$13+G$15+G$17+G$18)*Calendario!G$13)</f>
        <v>0</v>
      </c>
      <c r="H19" s="12" t="n">
        <f aca="false">IF(H$9=1,SUMIFS(dr_USD,dr_Mes,2,dr_Cod,"COBRO",dr_Est,"&lt;&gt;Excluido"),(H$13+H$15+H$17+H$18)*Calendario!H$13)</f>
        <v>0</v>
      </c>
      <c r="I19" s="12" t="n">
        <f aca="false">IF(I$9=1,SUMIFS(dr_USD,dr_Mes,3,dr_Cod,"COBRO",dr_Est,"&lt;&gt;Excluido"),(I$13+I$15+I$17+I$18)*Calendario!I$13)</f>
        <v>0</v>
      </c>
      <c r="J19" s="12" t="n">
        <f aca="false">IF(J$9=1,SUMIFS(dr_USD,dr_Mes,4,dr_Cod,"COBRO",dr_Est,"&lt;&gt;Excluido"),(J$13+J$15+J$17+J$18)*Calendario!J$13)</f>
        <v>22146.1187214613</v>
      </c>
      <c r="K19" s="12" t="n">
        <f aca="false">IF(K$9=1,SUMIFS(dr_USD,dr_Mes,5,dr_Cod,"COBRO",dr_Est,"&lt;&gt;Excluido"),(K$13+K$15+K$17+K$18)*Calendario!K$13)</f>
        <v>404166.666666667</v>
      </c>
      <c r="L19" s="12" t="n">
        <f aca="false">IF(L$9=1,SUMIFS(dr_USD,dr_Mes,6,dr_Cod,"COBRO",dr_Est,"&lt;&gt;Excluido"),(L$13+L$15+L$17+L$18)*Calendario!L$13)</f>
        <v>404166.666666667</v>
      </c>
      <c r="M19" s="12" t="n">
        <f aca="false">IF(M$9=1,SUMIFS(dr_USD,dr_Mes,7,dr_Cod,"COBRO",dr_Est,"&lt;&gt;Excluido"),(M$13+M$15+M$17+M$18)*Calendario!M$13)</f>
        <v>404166.666666667</v>
      </c>
      <c r="N19" s="12" t="n">
        <f aca="false">IF(N$9=1,SUMIFS(dr_USD,dr_Mes,8,dr_Cod,"COBRO",dr_Est,"&lt;&gt;Excluido"),(N$13+N$15+N$17+N$18)*Calendario!N$13)</f>
        <v>404166.666666667</v>
      </c>
      <c r="O19" s="12" t="n">
        <f aca="false">IF(O$9=1,SUMIFS(dr_USD,dr_Mes,9,dr_Cod,"COBRO",dr_Est,"&lt;&gt;Excluido"),(O$13+O$15+O$17+O$18)*Calendario!O$13)</f>
        <v>404166.666666667</v>
      </c>
      <c r="P19" s="12" t="n">
        <f aca="false">IF(P$9=1,SUMIFS(dr_USD,dr_Mes,10,dr_Cod,"COBRO",dr_Est,"&lt;&gt;Excluido"),(P$13+P$15+P$17+P$18)*Calendario!P$13)</f>
        <v>404166.666666667</v>
      </c>
      <c r="Q19" s="12" t="n">
        <f aca="false">IF(Q$9=1,SUMIFS(dr_USD,dr_Mes,11,dr_Cod,"COBRO",dr_Est,"&lt;&gt;Excluido"),(Q$13+Q$15+Q$17+Q$18)*Calendario!Q$13)</f>
        <v>404166.666666667</v>
      </c>
      <c r="R19" s="12" t="n">
        <f aca="false">IF(R$9=1,SUMIFS(dr_USD,dr_Mes,12,dr_Cod,"COBRO",dr_Est,"&lt;&gt;Excluido"),(R$13+R$15+R$17+R$18)*Calendario!R$13)</f>
        <v>404166.666666667</v>
      </c>
      <c r="S19" s="12" t="n">
        <f aca="false">IF(S$9=1,SUMIFS(dr_USD,dr_Mes,13,dr_Cod,"COBRO",dr_Est,"&lt;&gt;Excluido"),(S$13+S$15+S$17+S$18)*Calendario!S$13)</f>
        <v>404166.666666667</v>
      </c>
      <c r="T19" s="12" t="n">
        <f aca="false">IF(T$9=1,SUMIFS(dr_USD,dr_Mes,14,dr_Cod,"COBRO",dr_Est,"&lt;&gt;Excluido"),(T$13+T$15+T$17+T$18)*Calendario!T$13)</f>
        <v>404166.666666667</v>
      </c>
      <c r="U19" s="12" t="n">
        <f aca="false">IF(U$9=1,SUMIFS(dr_USD,dr_Mes,15,dr_Cod,"COBRO",dr_Est,"&lt;&gt;Excluido"),(U$13+U$15+U$17+U$18)*Calendario!U$13)</f>
        <v>404166.666666667</v>
      </c>
      <c r="V19" s="12" t="n">
        <f aca="false">IF(V$9=1,SUMIFS(dr_USD,dr_Mes,16,dr_Cod,"COBRO",dr_Est,"&lt;&gt;Excluido"),(V$13+V$15+V$17+V$18)*Calendario!V$13)</f>
        <v>410245.205479452</v>
      </c>
      <c r="W19" s="12" t="n">
        <f aca="false">IF(W$9=1,SUMIFS(dr_USD,dr_Mes,17,dr_Cod,"COBRO",dr_Est,"&lt;&gt;Excluido"),(W$13+W$15+W$17+W$18)*Calendario!W$13)</f>
        <v>515100</v>
      </c>
      <c r="X19" s="12" t="n">
        <f aca="false">IF(X$9=1,SUMIFS(dr_USD,dr_Mes,18,dr_Cod,"COBRO",dr_Est,"&lt;&gt;Excluido"),(X$13+X$15+X$17+X$18)*Calendario!X$13)</f>
        <v>515100</v>
      </c>
      <c r="Y19" s="12" t="n">
        <f aca="false">IF(Y$9=1,SUMIFS(dr_USD,dr_Mes,19,dr_Cod,"COBRO",dr_Est,"&lt;&gt;Excluido"),(Y$13+Y$15+Y$17+Y$18)*Calendario!Y$13)</f>
        <v>515100</v>
      </c>
      <c r="Z19" s="12" t="n">
        <f aca="false">IF(Z$9=1,SUMIFS(dr_USD,dr_Mes,20,dr_Cod,"COBRO",dr_Est,"&lt;&gt;Excluido"),(Z$13+Z$15+Z$17+Z$18)*Calendario!Z$13)</f>
        <v>515100</v>
      </c>
      <c r="AA19" s="12" t="n">
        <f aca="false">IF(AA$9=1,SUMIFS(dr_USD,dr_Mes,21,dr_Cod,"COBRO",dr_Est,"&lt;&gt;Excluido"),(AA$13+AA$15+AA$17+AA$18)*Calendario!AA$13)</f>
        <v>515100</v>
      </c>
      <c r="AB19" s="12" t="n">
        <f aca="false">IF(AB$9=1,SUMIFS(dr_USD,dr_Mes,22,dr_Cod,"COBRO",dr_Est,"&lt;&gt;Excluido"),(AB$13+AB$15+AB$17+AB$18)*Calendario!AB$13)</f>
        <v>515100</v>
      </c>
      <c r="AC19" s="12" t="n">
        <f aca="false">IF(AC$9=1,SUMIFS(dr_USD,dr_Mes,23,dr_Cod,"COBRO",dr_Est,"&lt;&gt;Excluido"),(AC$13+AC$15+AC$17+AC$18)*Calendario!AC$13)</f>
        <v>515100</v>
      </c>
      <c r="AD19" s="12" t="n">
        <f aca="false">IF(AD$9=1,SUMIFS(dr_USD,dr_Mes,24,dr_Cod,"COBRO",dr_Est,"&lt;&gt;Excluido"),(AD$13+AD$15+AD$17+AD$18)*Calendario!AD$13)</f>
        <v>515100</v>
      </c>
      <c r="AE19" s="12" t="n">
        <f aca="false">IF(AE$9=1,SUMIFS(dr_USD,dr_Mes,25,dr_Cod,"COBRO",dr_Est,"&lt;&gt;Excluido"),(AE$13+AE$15+AE$17+AE$18)*Calendario!AE$13)</f>
        <v>515100</v>
      </c>
      <c r="AF19" s="12" t="n">
        <f aca="false">IF(AF$9=1,SUMIFS(dr_USD,dr_Mes,26,dr_Cod,"COBRO",dr_Est,"&lt;&gt;Excluido"),(AF$13+AF$15+AF$17+AF$18)*Calendario!AF$13)</f>
        <v>515100</v>
      </c>
      <c r="AG19" s="12" t="n">
        <f aca="false">IF(AG$9=1,SUMIFS(dr_USD,dr_Mes,27,dr_Cod,"COBRO",dr_Est,"&lt;&gt;Excluido"),(AG$13+AG$15+AG$17+AG$18)*Calendario!AG$13)</f>
        <v>515100</v>
      </c>
      <c r="AH19" s="12" t="n">
        <f aca="false">IF(AH$9=1,SUMIFS(dr_USD,dr_Mes,28,dr_Cod,"COBRO",dr_Est,"&lt;&gt;Excluido"),(AH$13+AH$15+AH$17+AH$18)*Calendario!AH$13)</f>
        <v>521297.894977169</v>
      </c>
      <c r="AI19" s="12" t="n">
        <f aca="false">IF(AI$9=1,SUMIFS(dr_USD,dr_Mes,29,dr_Cod,"COBRO",dr_Est,"&lt;&gt;Excluido"),(AI$13+AI$15+AI$17+AI$18)*Calendario!AI$13)</f>
        <v>628211.583333333</v>
      </c>
      <c r="AJ19" s="12" t="n">
        <f aca="false">IF(AJ$9=1,SUMIFS(dr_USD,dr_Mes,30,dr_Cod,"COBRO",dr_Est,"&lt;&gt;Excluido"),(AJ$13+AJ$15+AJ$17+AJ$18)*Calendario!AJ$13)</f>
        <v>628211.583333333</v>
      </c>
      <c r="AK19" s="12" t="n">
        <f aca="false">IF(AK$9=1,SUMIFS(dr_USD,dr_Mes,31,dr_Cod,"COBRO",dr_Est,"&lt;&gt;Excluido"),(AK$13+AK$15+AK$17+AK$18)*Calendario!AK$13)</f>
        <v>628211.583333333</v>
      </c>
      <c r="AL19" s="12" t="n">
        <f aca="false">IF(AL$9=1,SUMIFS(dr_USD,dr_Mes,32,dr_Cod,"COBRO",dr_Est,"&lt;&gt;Excluido"),(AL$13+AL$15+AL$17+AL$18)*Calendario!AL$13)</f>
        <v>628211.583333333</v>
      </c>
      <c r="AM19" s="12" t="n">
        <f aca="false">IF(AM$9=1,SUMIFS(dr_USD,dr_Mes,33,dr_Cod,"COBRO",dr_Est,"&lt;&gt;Excluido"),(AM$13+AM$15+AM$17+AM$18)*Calendario!AM$13)</f>
        <v>628211.583333333</v>
      </c>
      <c r="AN19" s="12" t="n">
        <f aca="false">IF(AN$9=1,SUMIFS(dr_USD,dr_Mes,34,dr_Cod,"COBRO",dr_Est,"&lt;&gt;Excluido"),(AN$13+AN$15+AN$17+AN$18)*Calendario!AN$13)</f>
        <v>628211.583333333</v>
      </c>
      <c r="AO19" s="12" t="n">
        <f aca="false">IF(AO$9=1,SUMIFS(dr_USD,dr_Mes,35,dr_Cod,"COBRO",dr_Est,"&lt;&gt;Excluido"),(AO$13+AO$15+AO$17+AO$18)*Calendario!AO$13)</f>
        <v>628211.583333333</v>
      </c>
      <c r="AP19" s="12" t="n">
        <f aca="false">IF(AP$9=1,SUMIFS(dr_USD,dr_Mes,36,dr_Cod,"COBRO",dr_Est,"&lt;&gt;Excluido"),(AP$13+AP$15+AP$17+AP$18)*Calendario!AP$13)</f>
        <v>628211.583333333</v>
      </c>
      <c r="AQ19" s="12" t="n">
        <f aca="false">IF(AQ$9=1,SUMIFS(dr_USD,dr_Mes,37,dr_Cod,"COBRO",dr_Est,"&lt;&gt;Excluido"),(AQ$13+AQ$15+AQ$17+AQ$18)*Calendario!AQ$13)</f>
        <v>628211.583333333</v>
      </c>
      <c r="AR19" s="12" t="n">
        <f aca="false">IF(AR$9=1,SUMIFS(dr_USD,dr_Mes,38,dr_Cod,"COBRO",dr_Est,"&lt;&gt;Excluido"),(AR$13+AR$15+AR$17+AR$18)*Calendario!AR$13)</f>
        <v>628211.583333333</v>
      </c>
      <c r="AS19" s="12" t="n">
        <f aca="false">IF(AS$9=1,SUMIFS(dr_USD,dr_Mes,39,dr_Cod,"COBRO",dr_Est,"&lt;&gt;Excluido"),(AS$13+AS$15+AS$17+AS$18)*Calendario!AS$13)</f>
        <v>628211.583333333</v>
      </c>
      <c r="AT19" s="12" t="n">
        <f aca="false">IF(AT$9=1,SUMIFS(dr_USD,dr_Mes,40,dr_Cod,"COBRO",dr_Est,"&lt;&gt;Excluido"),(AT$13+AT$15+AT$17+AT$18)*Calendario!AT$13)</f>
        <v>633448.562465754</v>
      </c>
      <c r="AU19" s="12" t="n">
        <f aca="false">IF(AU$9=1,SUMIFS(dr_USD,dr_Mes,41,dr_Cod,"COBRO",dr_Est,"&lt;&gt;Excluido"),(AU$13+AU$15+AU$17+AU$18)*Calendario!AU$13)</f>
        <v>723786.4525</v>
      </c>
      <c r="AV19" s="12" t="n">
        <f aca="false">IF(AV$9=1,SUMIFS(dr_USD,dr_Mes,42,dr_Cod,"COBRO",dr_Est,"&lt;&gt;Excluido"),(AV$13+AV$15+AV$17+AV$18)*Calendario!AV$13)</f>
        <v>723786.4525</v>
      </c>
      <c r="AW19" s="12" t="n">
        <f aca="false">IF(AW$9=1,SUMIFS(dr_USD,dr_Mes,43,dr_Cod,"COBRO",dr_Est,"&lt;&gt;Excluido"),(AW$13+AW$15+AW$17+AW$18)*Calendario!AW$13)</f>
        <v>723786.4525</v>
      </c>
      <c r="AX19" s="12" t="n">
        <f aca="false">IF(AX$9=1,SUMIFS(dr_USD,dr_Mes,44,dr_Cod,"COBRO",dr_Est,"&lt;&gt;Excluido"),(AX$13+AX$15+AX$17+AX$18)*Calendario!AX$13)</f>
        <v>723786.4525</v>
      </c>
      <c r="AY19" s="12" t="n">
        <f aca="false">IF(AY$9=1,SUMIFS(dr_USD,dr_Mes,45,dr_Cod,"COBRO",dr_Est,"&lt;&gt;Excluido"),(AY$13+AY$15+AY$17+AY$18)*Calendario!AY$13)</f>
        <v>723786.4525</v>
      </c>
      <c r="AZ19" s="12" t="n">
        <f aca="false">IF(AZ$9=1,SUMIFS(dr_USD,dr_Mes,46,dr_Cod,"COBRO",dr_Est,"&lt;&gt;Excluido"),(AZ$13+AZ$15+AZ$17+AZ$18)*Calendario!AZ$13)</f>
        <v>723786.4525</v>
      </c>
      <c r="BA19" s="12" t="n">
        <f aca="false">IF(BA$9=1,SUMIFS(dr_USD,dr_Mes,47,dr_Cod,"COBRO",dr_Est,"&lt;&gt;Excluido"),(BA$13+BA$15+BA$17+BA$18)*Calendario!BA$13)</f>
        <v>723786.4525</v>
      </c>
      <c r="BB19" s="12" t="n">
        <f aca="false">IF(BB$9=1,SUMIFS(dr_USD,dr_Mes,48,dr_Cod,"COBRO",dr_Est,"&lt;&gt;Excluido"),(BB$13+BB$15+BB$17+BB$18)*Calendario!BB$13)</f>
        <v>723786.4525</v>
      </c>
      <c r="BC19" s="12" t="n">
        <f aca="false">IF(BC$9=1,SUMIFS(dr_USD,dr_Mes,49,dr_Cod,"COBRO",dr_Est,"&lt;&gt;Excluido"),(BC$13+BC$15+BC$17+BC$18)*Calendario!BC$13)</f>
        <v>723786.4525</v>
      </c>
      <c r="BD19" s="12" t="n">
        <f aca="false">IF(BD$9=1,SUMIFS(dr_USD,dr_Mes,50,dr_Cod,"COBRO",dr_Est,"&lt;&gt;Excluido"),(BD$13+BD$15+BD$17+BD$18)*Calendario!BD$13)</f>
        <v>723786.4525</v>
      </c>
      <c r="BE19" s="12" t="n">
        <f aca="false">IF(BE$9=1,SUMIFS(dr_USD,dr_Mes,51,dr_Cod,"COBRO",dr_Est,"&lt;&gt;Excluido"),(BE$13+BE$15+BE$17+BE$18)*Calendario!BE$13)</f>
        <v>723786.4525</v>
      </c>
      <c r="BF19" s="12" t="n">
        <f aca="false">IF(BF$9=1,SUMIFS(dr_USD,dr_Mes,52,dr_Cod,"COBRO",dr_Est,"&lt;&gt;Excluido"),(BF$13+BF$15+BF$17+BF$18)*Calendario!BF$13)</f>
        <v>724183.047816439</v>
      </c>
      <c r="BG19" s="12" t="n">
        <f aca="false">IF(BG$9=1,SUMIFS(dr_USD,dr_Mes,53,dr_Cod,"COBRO",dr_Est,"&lt;&gt;Excluido"),(BG$13+BG$15+BG$17+BG$18)*Calendario!BG$13)</f>
        <v>731024.317025</v>
      </c>
      <c r="BH19" s="12" t="n">
        <f aca="false">IF(BH$9=1,SUMIFS(dr_USD,dr_Mes,54,dr_Cod,"COBRO",dr_Est,"&lt;&gt;Excluido"),(BH$13+BH$15+BH$17+BH$18)*Calendario!BH$13)</f>
        <v>731024.317025</v>
      </c>
      <c r="BI19" s="12" t="n">
        <f aca="false">IF(BI$9=1,SUMIFS(dr_USD,dr_Mes,55,dr_Cod,"COBRO",dr_Est,"&lt;&gt;Excluido"),(BI$13+BI$15+BI$17+BI$18)*Calendario!BI$13)</f>
        <v>731024.317025</v>
      </c>
      <c r="BJ19" s="12" t="n">
        <f aca="false">IF(BJ$9=1,SUMIFS(dr_USD,dr_Mes,56,dr_Cod,"COBRO",dr_Est,"&lt;&gt;Excluido"),(BJ$13+BJ$15+BJ$17+BJ$18)*Calendario!BJ$13)</f>
        <v>731024.317025</v>
      </c>
      <c r="BK19" s="12" t="n">
        <f aca="false">IF(BK$9=1,SUMIFS(dr_USD,dr_Mes,57,dr_Cod,"COBRO",dr_Est,"&lt;&gt;Excluido"),(BK$13+BK$15+BK$17+BK$18)*Calendario!BK$13)</f>
        <v>731024.317025</v>
      </c>
      <c r="BL19" s="12" t="n">
        <f aca="false">IF(BL$9=1,SUMIFS(dr_USD,dr_Mes,58,dr_Cod,"COBRO",dr_Est,"&lt;&gt;Excluido"),(BL$13+BL$15+BL$17+BL$18)*Calendario!BL$13)</f>
        <v>731024.317025</v>
      </c>
      <c r="BM19" s="12" t="n">
        <f aca="false">IF(BM$9=1,SUMIFS(dr_USD,dr_Mes,59,dr_Cod,"COBRO",dr_Est,"&lt;&gt;Excluido"),(BM$13+BM$15+BM$17+BM$18)*Calendario!BM$13)</f>
        <v>731024.317025</v>
      </c>
      <c r="BN19" s="12" t="n">
        <f aca="false">IF(BN$9=1,SUMIFS(dr_USD,dr_Mes,60,dr_Cod,"COBRO",dr_Est,"&lt;&gt;Excluido"),(BN$13+BN$15+BN$17+BN$18)*Calendario!BN$13)</f>
        <v>731024.317025</v>
      </c>
      <c r="BO19" s="12" t="n">
        <f aca="false">IF(BO$9=1,SUMIFS(dr_USD,dr_Mes,61,dr_Cod,"COBRO",dr_Est,"&lt;&gt;Excluido"),(BO$13+BO$15+BO$17+BO$18)*Calendario!BO$13)</f>
        <v>731024.317025</v>
      </c>
      <c r="BP19" s="12" t="n">
        <f aca="false">IF(BP$9=1,SUMIFS(dr_USD,dr_Mes,62,dr_Cod,"COBRO",dr_Est,"&lt;&gt;Excluido"),(BP$13+BP$15+BP$17+BP$18)*Calendario!BP$13)</f>
        <v>731024.317025</v>
      </c>
      <c r="BQ19" s="12" t="n">
        <f aca="false">IF(BQ$9=1,SUMIFS(dr_USD,dr_Mes,63,dr_Cod,"COBRO",dr_Est,"&lt;&gt;Excluido"),(BQ$13+BQ$15+BQ$17+BQ$18)*Calendario!BQ$13)</f>
        <v>731024.317025</v>
      </c>
      <c r="BR19" s="12" t="n">
        <f aca="false">IF(BR$9=1,SUMIFS(dr_USD,dr_Mes,64,dr_Cod,"COBRO",dr_Est,"&lt;&gt;Excluido"),(BR$13+BR$15+BR$17+BR$18)*Calendario!BR$13)</f>
        <v>731424.878294603</v>
      </c>
      <c r="BS19" s="12" t="n">
        <f aca="false">IF(BS$9=1,SUMIFS(dr_USD,dr_Mes,65,dr_Cod,"COBRO",dr_Est,"&lt;&gt;Excluido"),(BS$13+BS$15+BS$17+BS$18)*Calendario!BS$13)</f>
        <v>738334.56019525</v>
      </c>
      <c r="BT19" s="12" t="n">
        <f aca="false">IF(BT$9=1,SUMIFS(dr_USD,dr_Mes,66,dr_Cod,"COBRO",dr_Est,"&lt;&gt;Excluido"),(BT$13+BT$15+BT$17+BT$18)*Calendario!BT$13)</f>
        <v>738334.56019525</v>
      </c>
      <c r="BU19" s="12" t="n">
        <f aca="false">IF(BU$9=1,SUMIFS(dr_USD,dr_Mes,67,dr_Cod,"COBRO",dr_Est,"&lt;&gt;Excluido"),(BU$13+BU$15+BU$17+BU$18)*Calendario!BU$13)</f>
        <v>738334.56019525</v>
      </c>
      <c r="BV19" s="12" t="n">
        <f aca="false">IF(BV$9=1,SUMIFS(dr_USD,dr_Mes,68,dr_Cod,"COBRO",dr_Est,"&lt;&gt;Excluido"),(BV$13+BV$15+BV$17+BV$18)*Calendario!BV$13)</f>
        <v>738334.56019525</v>
      </c>
      <c r="BW19" s="12" t="n">
        <f aca="false">IF(BW$9=1,SUMIFS(dr_USD,dr_Mes,69,dr_Cod,"COBRO",dr_Est,"&lt;&gt;Excluido"),(BW$13+BW$15+BW$17+BW$18)*Calendario!BW$13)</f>
        <v>738334.56019525</v>
      </c>
      <c r="BX19" s="12" t="n">
        <f aca="false">IF(BX$9=1,SUMIFS(dr_USD,dr_Mes,70,dr_Cod,"COBRO",dr_Est,"&lt;&gt;Excluido"),(BX$13+BX$15+BX$17+BX$18)*Calendario!BX$13)</f>
        <v>738334.56019525</v>
      </c>
      <c r="BY19" s="12" t="n">
        <f aca="false">IF(BY$9=1,SUMIFS(dr_USD,dr_Mes,71,dr_Cod,"COBRO",dr_Est,"&lt;&gt;Excluido"),(BY$13+BY$15+BY$17+BY$18)*Calendario!BY$13)</f>
        <v>738334.56019525</v>
      </c>
      <c r="BZ19" s="12" t="n">
        <f aca="false">IF(BZ$9=1,SUMIFS(dr_USD,dr_Mes,72,dr_Cod,"COBRO",dr_Est,"&lt;&gt;Excluido"),(BZ$13+BZ$15+BZ$17+BZ$18)*Calendario!BZ$13)</f>
        <v>738334.56019525</v>
      </c>
      <c r="CA19" s="12" t="n">
        <f aca="false">IF(CA$9=1,SUMIFS(dr_USD,dr_Mes,73,dr_Cod,"COBRO",dr_Est,"&lt;&gt;Excluido"),(CA$13+CA$15+CA$17+CA$18)*Calendario!CA$13)</f>
        <v>738334.56019525</v>
      </c>
      <c r="CB19" s="12" t="n">
        <f aca="false">IF(CB$9=1,SUMIFS(dr_USD,dr_Mes,74,dr_Cod,"COBRO",dr_Est,"&lt;&gt;Excluido"),(CB$13+CB$15+CB$17+CB$18)*Calendario!CB$13)</f>
        <v>738334.56019525</v>
      </c>
      <c r="CC19" s="12" t="n">
        <f aca="false">IF(CC$9=1,SUMIFS(dr_USD,dr_Mes,75,dr_Cod,"COBRO",dr_Est,"&lt;&gt;Excluido"),(CC$13+CC$15+CC$17+CC$18)*Calendario!CC$13)</f>
        <v>738334.56019525</v>
      </c>
      <c r="CD19" s="12" t="n">
        <f aca="false">IF(CD$9=1,SUMIFS(dr_USD,dr_Mes,76,dr_Cod,"COBRO",dr_Est,"&lt;&gt;Excluido"),(CD$13+CD$15+CD$17+CD$18)*Calendario!CD$13)</f>
        <v>738739.127077549</v>
      </c>
      <c r="CE19" s="12" t="n">
        <f aca="false">IF(CE$9=1,SUMIFS(dr_USD,dr_Mes,77,dr_Cod,"COBRO",dr_Est,"&lt;&gt;Excluido"),(CE$13+CE$15+CE$17+CE$18)*Calendario!CE$13)</f>
        <v>745717.905797203</v>
      </c>
      <c r="CF19" s="12" t="n">
        <f aca="false">IF(CF$9=1,SUMIFS(dr_USD,dr_Mes,78,dr_Cod,"COBRO",dr_Est,"&lt;&gt;Excluido"),(CF$13+CF$15+CF$17+CF$18)*Calendario!CF$13)</f>
        <v>745717.905797203</v>
      </c>
      <c r="CG19" s="12" t="n">
        <f aca="false">IF(CG$9=1,SUMIFS(dr_USD,dr_Mes,79,dr_Cod,"COBRO",dr_Est,"&lt;&gt;Excluido"),(CG$13+CG$15+CG$17+CG$18)*Calendario!CG$13)</f>
        <v>745717.905797203</v>
      </c>
      <c r="CH19" s="12" t="n">
        <f aca="false">IF(CH$9=1,SUMIFS(dr_USD,dr_Mes,80,dr_Cod,"COBRO",dr_Est,"&lt;&gt;Excluido"),(CH$13+CH$15+CH$17+CH$18)*Calendario!CH$13)</f>
        <v>745717.905797203</v>
      </c>
      <c r="CI19" s="12" t="n">
        <f aca="false">IF(CI$9=1,SUMIFS(dr_USD,dr_Mes,81,dr_Cod,"COBRO",dr_Est,"&lt;&gt;Excluido"),(CI$13+CI$15+CI$17+CI$18)*Calendario!CI$13)</f>
        <v>745717.905797203</v>
      </c>
      <c r="CJ19" s="12" t="n">
        <f aca="false">IF(CJ$9=1,SUMIFS(dr_USD,dr_Mes,82,dr_Cod,"COBRO",dr_Est,"&lt;&gt;Excluido"),(CJ$13+CJ$15+CJ$17+CJ$18)*Calendario!CJ$13)</f>
        <v>745717.905797203</v>
      </c>
      <c r="CK19" s="12" t="n">
        <f aca="false">IF(CK$9=1,SUMIFS(dr_USD,dr_Mes,83,dr_Cod,"COBRO",dr_Est,"&lt;&gt;Excluido"),(CK$13+CK$15+CK$17+CK$18)*Calendario!CK$13)</f>
        <v>745717.905797203</v>
      </c>
      <c r="CL19" s="12" t="n">
        <f aca="false">IF(CL$9=1,SUMIFS(dr_USD,dr_Mes,84,dr_Cod,"COBRO",dr_Est,"&lt;&gt;Excluido"),(CL$13+CL$15+CL$17+CL$18)*Calendario!CL$13)</f>
        <v>745717.905797203</v>
      </c>
      <c r="CM19" s="12" t="n">
        <f aca="false">IF(CM$9=1,SUMIFS(dr_USD,dr_Mes,85,dr_Cod,"COBRO",dr_Est,"&lt;&gt;Excluido"),(CM$13+CM$15+CM$17+CM$18)*Calendario!CM$13)</f>
        <v>745717.905797203</v>
      </c>
      <c r="CN19" s="12" t="n">
        <f aca="false">IF(CN$9=1,SUMIFS(dr_USD,dr_Mes,86,dr_Cod,"COBRO",dr_Est,"&lt;&gt;Excluido"),(CN$13+CN$15+CN$17+CN$18)*Calendario!CN$13)</f>
        <v>745717.905797203</v>
      </c>
      <c r="CO19" s="12" t="n">
        <f aca="false">IF(CO$9=1,SUMIFS(dr_USD,dr_Mes,87,dr_Cod,"COBRO",dr_Est,"&lt;&gt;Excluido"),(CO$13+CO$15+CO$17+CO$18)*Calendario!CO$13)</f>
        <v>745717.905797203</v>
      </c>
      <c r="CP19" s="12" t="n">
        <f aca="false">IF(CP$9=1,SUMIFS(dr_USD,dr_Mes,88,dr_Cod,"COBRO",dr_Est,"&lt;&gt;Excluido"),(CP$13+CP$15+CP$17+CP$18)*Calendario!CP$13)</f>
        <v>746126.518348325</v>
      </c>
      <c r="CQ19" s="12" t="n">
        <f aca="false">IF(CQ$9=1,SUMIFS(dr_USD,dr_Mes,89,dr_Cod,"COBRO",dr_Est,"&lt;&gt;Excluido"),(CQ$13+CQ$15+CQ$17+CQ$18)*Calendario!CQ$13)</f>
        <v>753175.084855175</v>
      </c>
      <c r="CR19" s="12" t="n">
        <f aca="false">IF(CR$9=1,SUMIFS(dr_USD,dr_Mes,90,dr_Cod,"COBRO",dr_Est,"&lt;&gt;Excluido"),(CR$13+CR$15+CR$17+CR$18)*Calendario!CR$13)</f>
        <v>753175.084855175</v>
      </c>
      <c r="CS19" s="12" t="n">
        <f aca="false">IF(CS$9=1,SUMIFS(dr_USD,dr_Mes,91,dr_Cod,"COBRO",dr_Est,"&lt;&gt;Excluido"),(CS$13+CS$15+CS$17+CS$18)*Calendario!CS$13)</f>
        <v>753175.084855175</v>
      </c>
      <c r="CT19" s="12" t="n">
        <f aca="false">IF(CT$9=1,SUMIFS(dr_USD,dr_Mes,92,dr_Cod,"COBRO",dr_Est,"&lt;&gt;Excluido"),(CT$13+CT$15+CT$17+CT$18)*Calendario!CT$13)</f>
        <v>753175.084855175</v>
      </c>
      <c r="CU19" s="12" t="n">
        <f aca="false">IF(CU$9=1,SUMIFS(dr_USD,dr_Mes,93,dr_Cod,"COBRO",dr_Est,"&lt;&gt;Excluido"),(CU$13+CU$15+CU$17+CU$18)*Calendario!CU$13)</f>
        <v>753175.084855175</v>
      </c>
      <c r="CV19" s="12" t="n">
        <f aca="false">IF(CV$9=1,SUMIFS(dr_USD,dr_Mes,94,dr_Cod,"COBRO",dr_Est,"&lt;&gt;Excluido"),(CV$13+CV$15+CV$17+CV$18)*Calendario!CV$13)</f>
        <v>753175.084855175</v>
      </c>
      <c r="CW19" s="12" t="n">
        <f aca="false">IF(CW$9=1,SUMIFS(dr_USD,dr_Mes,95,dr_Cod,"COBRO",dr_Est,"&lt;&gt;Excluido"),(CW$13+CW$15+CW$17+CW$18)*Calendario!CW$13)</f>
        <v>753175.084855175</v>
      </c>
      <c r="CX19" s="12" t="n">
        <f aca="false">IF(CX$9=1,SUMIFS(dr_USD,dr_Mes,96,dr_Cod,"COBRO",dr_Est,"&lt;&gt;Excluido"),(CX$13+CX$15+CX$17+CX$18)*Calendario!CX$13)</f>
        <v>753175.084855175</v>
      </c>
      <c r="CY19" s="12" t="n">
        <f aca="false">IF(CY$9=1,SUMIFS(dr_USD,dr_Mes,97,dr_Cod,"COBRO",dr_Est,"&lt;&gt;Excluido"),(CY$13+CY$15+CY$17+CY$18)*Calendario!CY$13)</f>
        <v>753175.084855175</v>
      </c>
      <c r="CZ19" s="12" t="n">
        <f aca="false">IF(CZ$9=1,SUMIFS(dr_USD,dr_Mes,98,dr_Cod,"COBRO",dr_Est,"&lt;&gt;Excluido"),(CZ$13+CZ$15+CZ$17+CZ$18)*Calendario!CZ$13)</f>
        <v>753175.084855175</v>
      </c>
      <c r="DA19" s="12" t="n">
        <f aca="false">IF(DA$9=1,SUMIFS(dr_USD,dr_Mes,99,dr_Cod,"COBRO",dr_Est,"&lt;&gt;Excluido"),(DA$13+DA$15+DA$17+DA$18)*Calendario!DA$13)</f>
        <v>753175.084855175</v>
      </c>
      <c r="DB19" s="12" t="n">
        <f aca="false">IF(DB$9=1,SUMIFS(dr_USD,dr_Mes,100,dr_Cod,"COBRO",dr_Est,"&lt;&gt;Excluido"),(DB$13+DB$15+DB$17+DB$18)*Calendario!DB$13)</f>
        <v>753587.783531808</v>
      </c>
      <c r="DC19" s="12" t="n">
        <f aca="false">IF(DC$9=1,SUMIFS(dr_USD,dr_Mes,101,dr_Cod,"COBRO",dr_Est,"&lt;&gt;Excluido"),(DC$13+DC$15+DC$17+DC$18)*Calendario!DC$13)</f>
        <v>760706.835703726</v>
      </c>
      <c r="DD19" s="12" t="n">
        <f aca="false">IF(DD$9=1,SUMIFS(dr_USD,dr_Mes,102,dr_Cod,"COBRO",dr_Est,"&lt;&gt;Excluido"),(DD$13+DD$15+DD$17+DD$18)*Calendario!DD$13)</f>
        <v>760706.835703726</v>
      </c>
      <c r="DE19" s="12" t="n">
        <f aca="false">IF(DE$9=1,SUMIFS(dr_USD,dr_Mes,103,dr_Cod,"COBRO",dr_Est,"&lt;&gt;Excluido"),(DE$13+DE$15+DE$17+DE$18)*Calendario!DE$13)</f>
        <v>760706.835703726</v>
      </c>
      <c r="DF19" s="12" t="n">
        <f aca="false">IF(DF$9=1,SUMIFS(dr_USD,dr_Mes,104,dr_Cod,"COBRO",dr_Est,"&lt;&gt;Excluido"),(DF$13+DF$15+DF$17+DF$18)*Calendario!DF$13)</f>
        <v>760706.835703726</v>
      </c>
      <c r="DG19" s="12" t="n">
        <f aca="false">IF(DG$9=1,SUMIFS(dr_USD,dr_Mes,105,dr_Cod,"COBRO",dr_Est,"&lt;&gt;Excluido"),(DG$13+DG$15+DG$17+DG$18)*Calendario!DG$13)</f>
        <v>760706.835703726</v>
      </c>
      <c r="DH19" s="12" t="n">
        <f aca="false">IF(DH$9=1,SUMIFS(dr_USD,dr_Mes,106,dr_Cod,"COBRO",dr_Est,"&lt;&gt;Excluido"),(DH$13+DH$15+DH$17+DH$18)*Calendario!DH$13)</f>
        <v>760706.835703726</v>
      </c>
      <c r="DI19" s="12" t="n">
        <f aca="false">IF(DI$9=1,SUMIFS(dr_USD,dr_Mes,107,dr_Cod,"COBRO",dr_Est,"&lt;&gt;Excluido"),(DI$13+DI$15+DI$17+DI$18)*Calendario!DI$13)</f>
        <v>760706.835703726</v>
      </c>
      <c r="DJ19" s="12" t="n">
        <f aca="false">IF(DJ$9=1,SUMIFS(dr_USD,dr_Mes,108,dr_Cod,"COBRO",dr_Est,"&lt;&gt;Excluido"),(DJ$13+DJ$15+DJ$17+DJ$18)*Calendario!DJ$13)</f>
        <v>760706.835703726</v>
      </c>
      <c r="DK19" s="12" t="n">
        <f aca="false">IF(DK$9=1,SUMIFS(dr_USD,dr_Mes,109,dr_Cod,"COBRO",dr_Est,"&lt;&gt;Excluido"),(DK$13+DK$15+DK$17+DK$18)*Calendario!DK$13)</f>
        <v>760706.835703726</v>
      </c>
      <c r="DL19" s="12" t="n">
        <f aca="false">IF(DL$9=1,SUMIFS(dr_USD,dr_Mes,110,dr_Cod,"COBRO",dr_Est,"&lt;&gt;Excluido"),(DL$13+DL$15+DL$17+DL$18)*Calendario!DL$13)</f>
        <v>760706.835703726</v>
      </c>
      <c r="DM19" s="12" t="n">
        <f aca="false">IF(DM$9=1,SUMIFS(dr_USD,dr_Mes,111,dr_Cod,"COBRO",dr_Est,"&lt;&gt;Excluido"),(DM$13+DM$15+DM$17+DM$18)*Calendario!DM$13)</f>
        <v>760706.835703726</v>
      </c>
      <c r="DN19" s="12" t="n">
        <f aca="false">IF(DN$9=1,SUMIFS(dr_USD,dr_Mes,112,dr_Cod,"COBRO",dr_Est,"&lt;&gt;Excluido"),(DN$13+DN$15+DN$17+DN$18)*Calendario!DN$13)</f>
        <v>761123.661367126</v>
      </c>
      <c r="DO19" s="12" t="n">
        <f aca="false">IF(DO$9=1,SUMIFS(dr_USD,dr_Mes,113,dr_Cod,"COBRO",dr_Est,"&lt;&gt;Excluido"),(DO$13+DO$15+DO$17+DO$18)*Calendario!DO$13)</f>
        <v>768313.904060764</v>
      </c>
      <c r="DP19" s="12" t="n">
        <f aca="false">IF(DP$9=1,SUMIFS(dr_USD,dr_Mes,114,dr_Cod,"COBRO",dr_Est,"&lt;&gt;Excluido"),(DP$13+DP$15+DP$17+DP$18)*Calendario!DP$13)</f>
        <v>768313.904060764</v>
      </c>
      <c r="DQ19" s="12" t="n">
        <f aca="false">IF(DQ$9=1,SUMIFS(dr_USD,dr_Mes,115,dr_Cod,"COBRO",dr_Est,"&lt;&gt;Excluido"),(DQ$13+DQ$15+DQ$17+DQ$18)*Calendario!DQ$13)</f>
        <v>768313.904060764</v>
      </c>
      <c r="DR19" s="12" t="n">
        <f aca="false">IF(DR$9=1,SUMIFS(dr_USD,dr_Mes,116,dr_Cod,"COBRO",dr_Est,"&lt;&gt;Excluido"),(DR$13+DR$15+DR$17+DR$18)*Calendario!DR$13)</f>
        <v>768313.904060764</v>
      </c>
      <c r="DS19" s="12" t="n">
        <f aca="false">IF(DS$9=1,SUMIFS(dr_USD,dr_Mes,117,dr_Cod,"COBRO",dr_Est,"&lt;&gt;Excluido"),(DS$13+DS$15+DS$17+DS$18)*Calendario!DS$13)</f>
        <v>768313.904060764</v>
      </c>
      <c r="DT19" s="12" t="n">
        <f aca="false">IF(DT$9=1,SUMIFS(dr_USD,dr_Mes,118,dr_Cod,"COBRO",dr_Est,"&lt;&gt;Excluido"),(DT$13+DT$15+DT$17+DT$18)*Calendario!DT$13)</f>
        <v>768313.904060764</v>
      </c>
      <c r="DU19" s="12" t="n">
        <f aca="false">IF(DU$9=1,SUMIFS(dr_USD,dr_Mes,119,dr_Cod,"COBRO",dr_Est,"&lt;&gt;Excluido"),(DU$13+DU$15+DU$17+DU$18)*Calendario!DU$13)</f>
        <v>768313.904060764</v>
      </c>
      <c r="DV19" s="12" t="n">
        <f aca="false">IF(DV$9=1,SUMIFS(dr_USD,dr_Mes,120,dr_Cod,"COBRO",dr_Est,"&lt;&gt;Excluido"),(DV$13+DV$15+DV$17+DV$18)*Calendario!DV$13)</f>
        <v>768313.904060764</v>
      </c>
      <c r="DW19" s="12" t="n">
        <f aca="false">IF(DW$9=1,SUMIFS(dr_USD,dr_Mes,121,dr_Cod,"COBRO",dr_Est,"&lt;&gt;Excluido"),(DW$13+DW$15+DW$17+DW$18)*Calendario!DW$13)</f>
        <v>0</v>
      </c>
      <c r="DX19" s="12" t="n">
        <f aca="false">IF(DX$9=1,SUMIFS(dr_USD,dr_Mes,122,dr_Cod,"COBRO",dr_Est,"&lt;&gt;Excluido"),(DX$13+DX$15+DX$17+DX$18)*Calendario!DX$13)</f>
        <v>0</v>
      </c>
      <c r="DY19" s="12" t="n">
        <f aca="false">IF(DY$9=1,SUMIFS(dr_USD,dr_Mes,123,dr_Cod,"COBRO",dr_Est,"&lt;&gt;Excluido"),(DY$13+DY$15+DY$17+DY$18)*Calendario!DY$13)</f>
        <v>0</v>
      </c>
      <c r="DZ19" s="12" t="n">
        <f aca="false">IF(DZ$9=1,SUMIFS(dr_USD,dr_Mes,124,dr_Cod,"COBRO",dr_Est,"&lt;&gt;Excluido"),(DZ$13+DZ$15+DZ$17+DZ$18)*Calendario!DZ$13)</f>
        <v>0</v>
      </c>
      <c r="EA19" s="12" t="n">
        <f aca="false">IF(EA$9=1,SUMIFS(dr_USD,dr_Mes,125,dr_Cod,"COBRO",dr_Est,"&lt;&gt;Excluido"),(EA$13+EA$15+EA$17+EA$18)*Calendario!EA$13)</f>
        <v>0</v>
      </c>
      <c r="EB19" s="12" t="n">
        <f aca="false">IF(EB$9=1,SUMIFS(dr_USD,dr_Mes,126,dr_Cod,"COBRO",dr_Est,"&lt;&gt;Excluido"),(EB$13+EB$15+EB$17+EB$18)*Calendario!EB$13)</f>
        <v>0</v>
      </c>
      <c r="EC19" s="12" t="n">
        <f aca="false">IF(EC$9=1,SUMIFS(dr_USD,dr_Mes,127,dr_Cod,"COBRO",dr_Est,"&lt;&gt;Excluido"),(EC$13+EC$15+EC$17+EC$18)*Calendario!EC$13)</f>
        <v>0</v>
      </c>
      <c r="ED19" s="12" t="n">
        <f aca="false">IF(ED$9=1,SUMIFS(dr_USD,dr_Mes,128,dr_Cod,"COBRO",dr_Est,"&lt;&gt;Excluido"),(ED$13+ED$15+ED$17+ED$18)*Calendario!ED$13)</f>
        <v>0</v>
      </c>
      <c r="EE19" s="12" t="n">
        <f aca="false">IF(EE$9=1,SUMIFS(dr_USD,dr_Mes,129,dr_Cod,"COBRO",dr_Est,"&lt;&gt;Excluido"),(EE$13+EE$15+EE$17+EE$18)*Calendario!EE$13)</f>
        <v>0</v>
      </c>
      <c r="EF19" s="12" t="n">
        <f aca="false">IF(EF$9=1,SUMIFS(dr_USD,dr_Mes,130,dr_Cod,"COBRO",dr_Est,"&lt;&gt;Excluido"),(EF$13+EF$15+EF$17+EF$18)*Calendario!EF$13)</f>
        <v>0</v>
      </c>
      <c r="EG19" s="12" t="n">
        <f aca="false">IF(EG$9=1,SUMIFS(dr_USD,dr_Mes,131,dr_Cod,"COBRO",dr_Est,"&lt;&gt;Excluido"),(EG$13+EG$15+EG$17+EG$18)*Calendario!EG$13)</f>
        <v>0</v>
      </c>
      <c r="EH19" s="12" t="n">
        <f aca="false">IF(EH$9=1,SUMIFS(dr_USD,dr_Mes,132,dr_Cod,"COBRO",dr_Est,"&lt;&gt;Excluido"),(EH$13+EH$15+EH$17+EH$18)*Calendario!EH$13)</f>
        <v>0</v>
      </c>
      <c r="EI19" s="12" t="n">
        <f aca="false">IF(EI$9=1,SUMIFS(dr_USD,dr_Mes,133,dr_Cod,"COBRO",dr_Est,"&lt;&gt;Excluido"),(EI$13+EI$15+EI$17+EI$18)*Calendario!EI$13)</f>
        <v>0</v>
      </c>
      <c r="EJ19" s="12" t="n">
        <f aca="false">IF(EJ$9=1,SUMIFS(dr_USD,dr_Mes,134,dr_Cod,"COBRO",dr_Est,"&lt;&gt;Excluido"),(EJ$13+EJ$15+EJ$17+EJ$18)*Calendario!EJ$13)</f>
        <v>0</v>
      </c>
      <c r="EK19" s="12" t="n">
        <f aca="false">IF(EK$9=1,SUMIFS(dr_USD,dr_Mes,135,dr_Cod,"COBRO",dr_Est,"&lt;&gt;Excluido"),(EK$13+EK$15+EK$17+EK$18)*Calendario!EK$13)</f>
        <v>0</v>
      </c>
      <c r="EL19" s="12" t="n">
        <f aca="false">IF(EL$9=1,SUMIFS(dr_USD,dr_Mes,136,dr_Cod,"COBRO",dr_Est,"&lt;&gt;Excluido"),(EL$13+EL$15+EL$17+EL$18)*Calendario!EL$13)</f>
        <v>0</v>
      </c>
      <c r="EM19" s="12" t="n">
        <f aca="false">IF(EM$9=1,SUMIFS(dr_USD,dr_Mes,137,dr_Cod,"COBRO",dr_Est,"&lt;&gt;Excluido"),(EM$13+EM$15+EM$17+EM$18)*Calendario!EM$13)</f>
        <v>0</v>
      </c>
      <c r="EN19" s="12" t="n">
        <f aca="false">IF(EN$9=1,SUMIFS(dr_USD,dr_Mes,138,dr_Cod,"COBRO",dr_Est,"&lt;&gt;Excluido"),(EN$13+EN$15+EN$17+EN$18)*Calendario!EN$13)</f>
        <v>0</v>
      </c>
      <c r="EO19" s="12" t="n">
        <f aca="false">IF(EO$9=1,SUMIFS(dr_USD,dr_Mes,139,dr_Cod,"COBRO",dr_Est,"&lt;&gt;Excluido"),(EO$13+EO$15+EO$17+EO$18)*Calendario!EO$13)</f>
        <v>0</v>
      </c>
      <c r="EP19" s="12" t="n">
        <f aca="false">IF(EP$9=1,SUMIFS(dr_USD,dr_Mes,140,dr_Cod,"COBRO",dr_Est,"&lt;&gt;Excluido"),(EP$13+EP$15+EP$17+EP$18)*Calendario!EP$13)</f>
        <v>0</v>
      </c>
      <c r="EQ19" s="12" t="n">
        <f aca="false">IF(EQ$9=1,SUMIFS(dr_USD,dr_Mes,141,dr_Cod,"COBRO",dr_Est,"&lt;&gt;Excluido"),(EQ$13+EQ$15+EQ$17+EQ$18)*Calendario!EQ$13)</f>
        <v>0</v>
      </c>
      <c r="ER19" s="12" t="n">
        <f aca="false">IF(ER$9=1,SUMIFS(dr_USD,dr_Mes,142,dr_Cod,"COBRO",dr_Est,"&lt;&gt;Excluido"),(ER$13+ER$15+ER$17+ER$18)*Calendario!ER$13)</f>
        <v>0</v>
      </c>
      <c r="ES19" s="12" t="n">
        <f aca="false">IF(ES$9=1,SUMIFS(dr_USD,dr_Mes,143,dr_Cod,"COBRO",dr_Est,"&lt;&gt;Excluido"),(ES$13+ES$15+ES$17+ES$18)*Calendario!ES$13)</f>
        <v>0</v>
      </c>
      <c r="ET19" s="12" t="n">
        <f aca="false">IF(ET$9=1,SUMIFS(dr_USD,dr_Mes,144,dr_Cod,"COBRO",dr_Est,"&lt;&gt;Excluido"),(ET$13+ET$15+ET$17+ET$18)*Calendario!ET$13)</f>
        <v>0</v>
      </c>
      <c r="EU19" s="12" t="n">
        <f aca="false">IF(EU$9=1,SUMIFS(dr_USD,dr_Mes,145,dr_Cod,"COBRO",dr_Est,"&lt;&gt;Excluido"),(EU$13+EU$15+EU$17+EU$18)*Calendario!EU$13)</f>
        <v>0</v>
      </c>
      <c r="EV19" s="12" t="n">
        <f aca="false">IF(EV$9=1,SUMIFS(dr_USD,dr_Mes,146,dr_Cod,"COBRO",dr_Est,"&lt;&gt;Excluido"),(EV$13+EV$15+EV$17+EV$18)*Calendario!EV$13)</f>
        <v>0</v>
      </c>
      <c r="EW19" s="12" t="n">
        <f aca="false">IF(EW$9=1,SUMIFS(dr_USD,dr_Mes,147,dr_Cod,"COBRO",dr_Est,"&lt;&gt;Excluido"),(EW$13+EW$15+EW$17+EW$18)*Calendario!EW$13)</f>
        <v>0</v>
      </c>
      <c r="EX19" s="12" t="n">
        <f aca="false">IF(EX$9=1,SUMIFS(dr_USD,dr_Mes,148,dr_Cod,"COBRO",dr_Est,"&lt;&gt;Excluido"),(EX$13+EX$15+EX$17+EX$18)*Calendario!EX$13)</f>
        <v>0</v>
      </c>
      <c r="EY19" s="12" t="n">
        <f aca="false">IF(EY$9=1,SUMIFS(dr_USD,dr_Mes,149,dr_Cod,"COBRO",dr_Est,"&lt;&gt;Excluido"),(EY$13+EY$15+EY$17+EY$18)*Calendario!EY$13)</f>
        <v>0</v>
      </c>
      <c r="EZ19" s="12" t="n">
        <f aca="false">IF(EZ$9=1,SUMIFS(dr_USD,dr_Mes,150,dr_Cod,"COBRO",dr_Est,"&lt;&gt;Excluido"),(EZ$13+EZ$15+EZ$17+EZ$18)*Calendario!EZ$13)</f>
        <v>0</v>
      </c>
      <c r="FA19" s="12" t="n">
        <f aca="false">IF(FA$9=1,SUMIFS(dr_USD,dr_Mes,151,dr_Cod,"COBRO",dr_Est,"&lt;&gt;Excluido"),(FA$13+FA$15+FA$17+FA$18)*Calendario!FA$13)</f>
        <v>0</v>
      </c>
      <c r="FB19" s="12" t="n">
        <f aca="false">IF(FB$9=1,SUMIFS(dr_USD,dr_Mes,152,dr_Cod,"COBRO",dr_Est,"&lt;&gt;Excluido"),(FB$13+FB$15+FB$17+FB$18)*Calendario!FB$13)</f>
        <v>0</v>
      </c>
      <c r="FC19" s="12" t="n">
        <f aca="false">IF(FC$9=1,SUMIFS(dr_USD,dr_Mes,153,dr_Cod,"COBRO",dr_Est,"&lt;&gt;Excluido"),(FC$13+FC$15+FC$17+FC$18)*Calendario!FC$13)</f>
        <v>0</v>
      </c>
      <c r="FD19" s="12" t="n">
        <f aca="false">IF(FD$9=1,SUMIFS(dr_USD,dr_Mes,154,dr_Cod,"COBRO",dr_Est,"&lt;&gt;Excluido"),(FD$13+FD$15+FD$17+FD$18)*Calendario!FD$13)</f>
        <v>0</v>
      </c>
      <c r="FE19" s="12" t="n">
        <f aca="false">IF(FE$9=1,SUMIFS(dr_USD,dr_Mes,155,dr_Cod,"COBRO",dr_Est,"&lt;&gt;Excluido"),(FE$13+FE$15+FE$17+FE$18)*Calendario!FE$13)</f>
        <v>0</v>
      </c>
      <c r="FF19" s="12" t="n">
        <f aca="false">IF(FF$9=1,SUMIFS(dr_USD,dr_Mes,156,dr_Cod,"COBRO",dr_Est,"&lt;&gt;Excluido"),(FF$13+FF$15+FF$17+FF$18)*Calendario!FF$13)</f>
        <v>0</v>
      </c>
    </row>
    <row r="20" customFormat="false" ht="15" hidden="false" customHeight="false" outlineLevel="0" collapsed="false">
      <c r="A20" s="2" t="s">
        <v>1301</v>
      </c>
      <c r="B20" s="8" t="s">
        <v>1302</v>
      </c>
      <c r="C20" s="8" t="s">
        <v>255</v>
      </c>
      <c r="E20" s="65" t="n">
        <f aca="false">SUM($F20:$FF20)</f>
        <v>78191291.4974057</v>
      </c>
      <c r="F20" s="13" t="n">
        <f aca="false">F$19-F$13-F$15-F$18</f>
        <v>0</v>
      </c>
      <c r="G20" s="13" t="n">
        <f aca="false">G$19-G$13-G$15-G$18</f>
        <v>0</v>
      </c>
      <c r="H20" s="13" t="n">
        <f aca="false">H$19-H$13-H$15-H$18</f>
        <v>0</v>
      </c>
      <c r="I20" s="13" t="n">
        <f aca="false">I$19-I$13-I$15-I$18</f>
        <v>0</v>
      </c>
      <c r="J20" s="13" t="n">
        <f aca="false">J$19-J$13-J$15-J$18</f>
        <v>22146.1187214613</v>
      </c>
      <c r="K20" s="13" t="n">
        <f aca="false">K$19-K$13-K$15-K$18</f>
        <v>404166.666666667</v>
      </c>
      <c r="L20" s="13" t="n">
        <f aca="false">L$19-L$13-L$15-L$18</f>
        <v>404166.666666667</v>
      </c>
      <c r="M20" s="13" t="n">
        <f aca="false">M$19-M$13-M$15-M$18</f>
        <v>404166.666666667</v>
      </c>
      <c r="N20" s="13" t="n">
        <f aca="false">N$19-N$13-N$15-N$18</f>
        <v>404166.666666667</v>
      </c>
      <c r="O20" s="13" t="n">
        <f aca="false">O$19-O$13-O$15-O$18</f>
        <v>404166.666666667</v>
      </c>
      <c r="P20" s="13" t="n">
        <f aca="false">P$19-P$13-P$15-P$18</f>
        <v>404166.666666667</v>
      </c>
      <c r="Q20" s="13" t="n">
        <f aca="false">Q$19-Q$13-Q$15-Q$18</f>
        <v>404166.666666667</v>
      </c>
      <c r="R20" s="13" t="n">
        <f aca="false">R$19-R$13-R$15-R$18</f>
        <v>404166.666666667</v>
      </c>
      <c r="S20" s="13" t="n">
        <f aca="false">S$19-S$13-S$15-S$18</f>
        <v>404166.666666667</v>
      </c>
      <c r="T20" s="13" t="n">
        <f aca="false">T$19-T$13-T$15-T$18</f>
        <v>404166.666666667</v>
      </c>
      <c r="U20" s="13" t="n">
        <f aca="false">U$19-U$13-U$15-U$18</f>
        <v>404166.666666667</v>
      </c>
      <c r="V20" s="13" t="n">
        <f aca="false">V$19-V$13-V$15-V$18</f>
        <v>410245.205479452</v>
      </c>
      <c r="W20" s="13" t="n">
        <f aca="false">W$19-W$13-W$15-W$18</f>
        <v>515100</v>
      </c>
      <c r="X20" s="13" t="n">
        <f aca="false">X$19-X$13-X$15-X$18</f>
        <v>515100</v>
      </c>
      <c r="Y20" s="13" t="n">
        <f aca="false">Y$19-Y$13-Y$15-Y$18</f>
        <v>515100</v>
      </c>
      <c r="Z20" s="13" t="n">
        <f aca="false">Z$19-Z$13-Z$15-Z$18</f>
        <v>515100</v>
      </c>
      <c r="AA20" s="13" t="n">
        <f aca="false">AA$19-AA$13-AA$15-AA$18</f>
        <v>515100</v>
      </c>
      <c r="AB20" s="13" t="n">
        <f aca="false">AB$19-AB$13-AB$15-AB$18</f>
        <v>515100</v>
      </c>
      <c r="AC20" s="13" t="n">
        <f aca="false">AC$19-AC$13-AC$15-AC$18</f>
        <v>515100</v>
      </c>
      <c r="AD20" s="13" t="n">
        <f aca="false">AD$19-AD$13-AD$15-AD$18</f>
        <v>515100</v>
      </c>
      <c r="AE20" s="13" t="n">
        <f aca="false">AE$19-AE$13-AE$15-AE$18</f>
        <v>515100</v>
      </c>
      <c r="AF20" s="13" t="n">
        <f aca="false">AF$19-AF$13-AF$15-AF$18</f>
        <v>515100</v>
      </c>
      <c r="AG20" s="13" t="n">
        <f aca="false">AG$19-AG$13-AG$15-AG$18</f>
        <v>515100</v>
      </c>
      <c r="AH20" s="13" t="n">
        <f aca="false">AH$19-AH$13-AH$15-AH$18</f>
        <v>521297.894977169</v>
      </c>
      <c r="AI20" s="13" t="n">
        <f aca="false">AI$19-AI$13-AI$15-AI$18</f>
        <v>628211.583333333</v>
      </c>
      <c r="AJ20" s="13" t="n">
        <f aca="false">AJ$19-AJ$13-AJ$15-AJ$18</f>
        <v>628211.583333333</v>
      </c>
      <c r="AK20" s="13" t="n">
        <f aca="false">AK$19-AK$13-AK$15-AK$18</f>
        <v>628211.583333333</v>
      </c>
      <c r="AL20" s="13" t="n">
        <f aca="false">AL$19-AL$13-AL$15-AL$18</f>
        <v>628211.583333333</v>
      </c>
      <c r="AM20" s="13" t="n">
        <f aca="false">AM$19-AM$13-AM$15-AM$18</f>
        <v>628211.583333333</v>
      </c>
      <c r="AN20" s="13" t="n">
        <f aca="false">AN$19-AN$13-AN$15-AN$18</f>
        <v>628211.583333333</v>
      </c>
      <c r="AO20" s="13" t="n">
        <f aca="false">AO$19-AO$13-AO$15-AO$18</f>
        <v>628211.583333333</v>
      </c>
      <c r="AP20" s="13" t="n">
        <f aca="false">AP$19-AP$13-AP$15-AP$18</f>
        <v>628211.583333333</v>
      </c>
      <c r="AQ20" s="13" t="n">
        <f aca="false">AQ$19-AQ$13-AQ$15-AQ$18</f>
        <v>628211.583333333</v>
      </c>
      <c r="AR20" s="13" t="n">
        <f aca="false">AR$19-AR$13-AR$15-AR$18</f>
        <v>628211.583333333</v>
      </c>
      <c r="AS20" s="13" t="n">
        <f aca="false">AS$19-AS$13-AS$15-AS$18</f>
        <v>628211.583333333</v>
      </c>
      <c r="AT20" s="13" t="n">
        <f aca="false">AT$19-AT$13-AT$15-AT$18</f>
        <v>633448.562465754</v>
      </c>
      <c r="AU20" s="13" t="n">
        <f aca="false">AU$19-AU$13-AU$15-AU$18</f>
        <v>723786.4525</v>
      </c>
      <c r="AV20" s="13" t="n">
        <f aca="false">AV$19-AV$13-AV$15-AV$18</f>
        <v>723786.4525</v>
      </c>
      <c r="AW20" s="13" t="n">
        <f aca="false">AW$19-AW$13-AW$15-AW$18</f>
        <v>723786.4525</v>
      </c>
      <c r="AX20" s="13" t="n">
        <f aca="false">AX$19-AX$13-AX$15-AX$18</f>
        <v>723786.4525</v>
      </c>
      <c r="AY20" s="13" t="n">
        <f aca="false">AY$19-AY$13-AY$15-AY$18</f>
        <v>723786.4525</v>
      </c>
      <c r="AZ20" s="13" t="n">
        <f aca="false">AZ$19-AZ$13-AZ$15-AZ$18</f>
        <v>723786.4525</v>
      </c>
      <c r="BA20" s="13" t="n">
        <f aca="false">BA$19-BA$13-BA$15-BA$18</f>
        <v>723786.4525</v>
      </c>
      <c r="BB20" s="13" t="n">
        <f aca="false">BB$19-BB$13-BB$15-BB$18</f>
        <v>723786.4525</v>
      </c>
      <c r="BC20" s="13" t="n">
        <f aca="false">BC$19-BC$13-BC$15-BC$18</f>
        <v>723786.4525</v>
      </c>
      <c r="BD20" s="13" t="n">
        <f aca="false">BD$19-BD$13-BD$15-BD$18</f>
        <v>723786.4525</v>
      </c>
      <c r="BE20" s="13" t="n">
        <f aca="false">BE$19-BE$13-BE$15-BE$18</f>
        <v>723786.4525</v>
      </c>
      <c r="BF20" s="13" t="n">
        <f aca="false">BF$19-BF$13-BF$15-BF$18</f>
        <v>724183.047816439</v>
      </c>
      <c r="BG20" s="13" t="n">
        <f aca="false">BG$19-BG$13-BG$15-BG$18</f>
        <v>731024.317025</v>
      </c>
      <c r="BH20" s="13" t="n">
        <f aca="false">BH$19-BH$13-BH$15-BH$18</f>
        <v>731024.317025</v>
      </c>
      <c r="BI20" s="13" t="n">
        <f aca="false">BI$19-BI$13-BI$15-BI$18</f>
        <v>731024.317025</v>
      </c>
      <c r="BJ20" s="13" t="n">
        <f aca="false">BJ$19-BJ$13-BJ$15-BJ$18</f>
        <v>731024.317025</v>
      </c>
      <c r="BK20" s="13" t="n">
        <f aca="false">BK$19-BK$13-BK$15-BK$18</f>
        <v>731024.317025</v>
      </c>
      <c r="BL20" s="13" t="n">
        <f aca="false">BL$19-BL$13-BL$15-BL$18</f>
        <v>731024.317025</v>
      </c>
      <c r="BM20" s="13" t="n">
        <f aca="false">BM$19-BM$13-BM$15-BM$18</f>
        <v>731024.317025</v>
      </c>
      <c r="BN20" s="13" t="n">
        <f aca="false">BN$19-BN$13-BN$15-BN$18</f>
        <v>731024.317025</v>
      </c>
      <c r="BO20" s="13" t="n">
        <f aca="false">BO$19-BO$13-BO$15-BO$18</f>
        <v>731024.317025</v>
      </c>
      <c r="BP20" s="13" t="n">
        <f aca="false">BP$19-BP$13-BP$15-BP$18</f>
        <v>731024.317025</v>
      </c>
      <c r="BQ20" s="13" t="n">
        <f aca="false">BQ$19-BQ$13-BQ$15-BQ$18</f>
        <v>731024.317025</v>
      </c>
      <c r="BR20" s="13" t="n">
        <f aca="false">BR$19-BR$13-BR$15-BR$18</f>
        <v>731424.878294603</v>
      </c>
      <c r="BS20" s="13" t="n">
        <f aca="false">BS$19-BS$13-BS$15-BS$18</f>
        <v>738334.56019525</v>
      </c>
      <c r="BT20" s="13" t="n">
        <f aca="false">BT$19-BT$13-BT$15-BT$18</f>
        <v>738334.56019525</v>
      </c>
      <c r="BU20" s="13" t="n">
        <f aca="false">BU$19-BU$13-BU$15-BU$18</f>
        <v>738334.56019525</v>
      </c>
      <c r="BV20" s="13" t="n">
        <f aca="false">BV$19-BV$13-BV$15-BV$18</f>
        <v>738334.56019525</v>
      </c>
      <c r="BW20" s="13" t="n">
        <f aca="false">BW$19-BW$13-BW$15-BW$18</f>
        <v>738334.56019525</v>
      </c>
      <c r="BX20" s="13" t="n">
        <f aca="false">BX$19-BX$13-BX$15-BX$18</f>
        <v>738334.56019525</v>
      </c>
      <c r="BY20" s="13" t="n">
        <f aca="false">BY$19-BY$13-BY$15-BY$18</f>
        <v>738334.56019525</v>
      </c>
      <c r="BZ20" s="13" t="n">
        <f aca="false">BZ$19-BZ$13-BZ$15-BZ$18</f>
        <v>738334.56019525</v>
      </c>
      <c r="CA20" s="13" t="n">
        <f aca="false">CA$19-CA$13-CA$15-CA$18</f>
        <v>738334.56019525</v>
      </c>
      <c r="CB20" s="13" t="n">
        <f aca="false">CB$19-CB$13-CB$15-CB$18</f>
        <v>738334.56019525</v>
      </c>
      <c r="CC20" s="13" t="n">
        <f aca="false">CC$19-CC$13-CC$15-CC$18</f>
        <v>738334.56019525</v>
      </c>
      <c r="CD20" s="13" t="n">
        <f aca="false">CD$19-CD$13-CD$15-CD$18</f>
        <v>738739.127077549</v>
      </c>
      <c r="CE20" s="13" t="n">
        <f aca="false">CE$19-CE$13-CE$15-CE$18</f>
        <v>745717.905797203</v>
      </c>
      <c r="CF20" s="13" t="n">
        <f aca="false">CF$19-CF$13-CF$15-CF$18</f>
        <v>745717.905797203</v>
      </c>
      <c r="CG20" s="13" t="n">
        <f aca="false">CG$19-CG$13-CG$15-CG$18</f>
        <v>745717.905797203</v>
      </c>
      <c r="CH20" s="13" t="n">
        <f aca="false">CH$19-CH$13-CH$15-CH$18</f>
        <v>745717.905797203</v>
      </c>
      <c r="CI20" s="13" t="n">
        <f aca="false">CI$19-CI$13-CI$15-CI$18</f>
        <v>745717.905797203</v>
      </c>
      <c r="CJ20" s="13" t="n">
        <f aca="false">CJ$19-CJ$13-CJ$15-CJ$18</f>
        <v>745717.905797203</v>
      </c>
      <c r="CK20" s="13" t="n">
        <f aca="false">CK$19-CK$13-CK$15-CK$18</f>
        <v>745717.905797203</v>
      </c>
      <c r="CL20" s="13" t="n">
        <f aca="false">CL$19-CL$13-CL$15-CL$18</f>
        <v>745717.905797203</v>
      </c>
      <c r="CM20" s="13" t="n">
        <f aca="false">CM$19-CM$13-CM$15-CM$18</f>
        <v>745717.905797203</v>
      </c>
      <c r="CN20" s="13" t="n">
        <f aca="false">CN$19-CN$13-CN$15-CN$18</f>
        <v>745717.905797203</v>
      </c>
      <c r="CO20" s="13" t="n">
        <f aca="false">CO$19-CO$13-CO$15-CO$18</f>
        <v>745717.905797203</v>
      </c>
      <c r="CP20" s="13" t="n">
        <f aca="false">CP$19-CP$13-CP$15-CP$18</f>
        <v>746126.518348325</v>
      </c>
      <c r="CQ20" s="13" t="n">
        <f aca="false">CQ$19-CQ$13-CQ$15-CQ$18</f>
        <v>753175.084855175</v>
      </c>
      <c r="CR20" s="13" t="n">
        <f aca="false">CR$19-CR$13-CR$15-CR$18</f>
        <v>753175.084855175</v>
      </c>
      <c r="CS20" s="13" t="n">
        <f aca="false">CS$19-CS$13-CS$15-CS$18</f>
        <v>753175.084855175</v>
      </c>
      <c r="CT20" s="13" t="n">
        <f aca="false">CT$19-CT$13-CT$15-CT$18</f>
        <v>753175.084855175</v>
      </c>
      <c r="CU20" s="13" t="n">
        <f aca="false">CU$19-CU$13-CU$15-CU$18</f>
        <v>753175.084855175</v>
      </c>
      <c r="CV20" s="13" t="n">
        <f aca="false">CV$19-CV$13-CV$15-CV$18</f>
        <v>753175.084855175</v>
      </c>
      <c r="CW20" s="13" t="n">
        <f aca="false">CW$19-CW$13-CW$15-CW$18</f>
        <v>753175.084855175</v>
      </c>
      <c r="CX20" s="13" t="n">
        <f aca="false">CX$19-CX$13-CX$15-CX$18</f>
        <v>753175.084855175</v>
      </c>
      <c r="CY20" s="13" t="n">
        <f aca="false">CY$19-CY$13-CY$15-CY$18</f>
        <v>753175.084855175</v>
      </c>
      <c r="CZ20" s="13" t="n">
        <f aca="false">CZ$19-CZ$13-CZ$15-CZ$18</f>
        <v>753175.084855175</v>
      </c>
      <c r="DA20" s="13" t="n">
        <f aca="false">DA$19-DA$13-DA$15-DA$18</f>
        <v>753175.084855175</v>
      </c>
      <c r="DB20" s="13" t="n">
        <f aca="false">DB$19-DB$13-DB$15-DB$18</f>
        <v>753587.783531808</v>
      </c>
      <c r="DC20" s="13" t="n">
        <f aca="false">DC$19-DC$13-DC$15-DC$18</f>
        <v>760706.835703726</v>
      </c>
      <c r="DD20" s="13" t="n">
        <f aca="false">DD$19-DD$13-DD$15-DD$18</f>
        <v>760706.835703726</v>
      </c>
      <c r="DE20" s="13" t="n">
        <f aca="false">DE$19-DE$13-DE$15-DE$18</f>
        <v>760706.835703726</v>
      </c>
      <c r="DF20" s="13" t="n">
        <f aca="false">DF$19-DF$13-DF$15-DF$18</f>
        <v>760706.835703726</v>
      </c>
      <c r="DG20" s="13" t="n">
        <f aca="false">DG$19-DG$13-DG$15-DG$18</f>
        <v>760706.835703726</v>
      </c>
      <c r="DH20" s="13" t="n">
        <f aca="false">DH$19-DH$13-DH$15-DH$18</f>
        <v>760706.835703726</v>
      </c>
      <c r="DI20" s="13" t="n">
        <f aca="false">DI$19-DI$13-DI$15-DI$18</f>
        <v>760706.835703726</v>
      </c>
      <c r="DJ20" s="13" t="n">
        <f aca="false">DJ$19-DJ$13-DJ$15-DJ$18</f>
        <v>760706.835703726</v>
      </c>
      <c r="DK20" s="13" t="n">
        <f aca="false">DK$19-DK$13-DK$15-DK$18</f>
        <v>760706.835703726</v>
      </c>
      <c r="DL20" s="13" t="n">
        <f aca="false">DL$19-DL$13-DL$15-DL$18</f>
        <v>760706.835703726</v>
      </c>
      <c r="DM20" s="13" t="n">
        <f aca="false">DM$19-DM$13-DM$15-DM$18</f>
        <v>760706.835703726</v>
      </c>
      <c r="DN20" s="13" t="n">
        <f aca="false">DN$19-DN$13-DN$15-DN$18</f>
        <v>761123.661367126</v>
      </c>
      <c r="DO20" s="13" t="n">
        <f aca="false">DO$19-DO$13-DO$15-DO$18</f>
        <v>768313.904060764</v>
      </c>
      <c r="DP20" s="13" t="n">
        <f aca="false">DP$19-DP$13-DP$15-DP$18</f>
        <v>768313.904060764</v>
      </c>
      <c r="DQ20" s="13" t="n">
        <f aca="false">DQ$19-DQ$13-DQ$15-DQ$18</f>
        <v>768313.904060764</v>
      </c>
      <c r="DR20" s="13" t="n">
        <f aca="false">DR$19-DR$13-DR$15-DR$18</f>
        <v>768313.904060764</v>
      </c>
      <c r="DS20" s="13" t="n">
        <f aca="false">DS$19-DS$13-DS$15-DS$18</f>
        <v>768313.904060764</v>
      </c>
      <c r="DT20" s="13" t="n">
        <f aca="false">DT$19-DT$13-DT$15-DT$18</f>
        <v>768313.904060764</v>
      </c>
      <c r="DU20" s="13" t="n">
        <f aca="false">DU$19-DU$13-DU$15-DU$18</f>
        <v>768313.904060764</v>
      </c>
      <c r="DV20" s="13" t="n">
        <f aca="false">DV$19-DV$13-DV$15-DV$18</f>
        <v>768313.904060764</v>
      </c>
      <c r="DW20" s="13" t="n">
        <f aca="false">DW$19-DW$13-DW$15-DW$18</f>
        <v>0</v>
      </c>
      <c r="DX20" s="13" t="n">
        <f aca="false">DX$19-DX$13-DX$15-DX$18</f>
        <v>0</v>
      </c>
      <c r="DY20" s="13" t="n">
        <f aca="false">DY$19-DY$13-DY$15-DY$18</f>
        <v>0</v>
      </c>
      <c r="DZ20" s="13" t="n">
        <f aca="false">DZ$19-DZ$13-DZ$15-DZ$18</f>
        <v>0</v>
      </c>
      <c r="EA20" s="13" t="n">
        <f aca="false">EA$19-EA$13-EA$15-EA$18</f>
        <v>0</v>
      </c>
      <c r="EB20" s="13" t="n">
        <f aca="false">EB$19-EB$13-EB$15-EB$18</f>
        <v>0</v>
      </c>
      <c r="EC20" s="13" t="n">
        <f aca="false">EC$19-EC$13-EC$15-EC$18</f>
        <v>0</v>
      </c>
      <c r="ED20" s="13" t="n">
        <f aca="false">ED$19-ED$13-ED$15-ED$18</f>
        <v>0</v>
      </c>
      <c r="EE20" s="13" t="n">
        <f aca="false">EE$19-EE$13-EE$15-EE$18</f>
        <v>0</v>
      </c>
      <c r="EF20" s="13" t="n">
        <f aca="false">EF$19-EF$13-EF$15-EF$18</f>
        <v>0</v>
      </c>
      <c r="EG20" s="13" t="n">
        <f aca="false">EG$19-EG$13-EG$15-EG$18</f>
        <v>0</v>
      </c>
      <c r="EH20" s="13" t="n">
        <f aca="false">EH$19-EH$13-EH$15-EH$18</f>
        <v>0</v>
      </c>
      <c r="EI20" s="13" t="n">
        <f aca="false">EI$19-EI$13-EI$15-EI$18</f>
        <v>0</v>
      </c>
      <c r="EJ20" s="13" t="n">
        <f aca="false">EJ$19-EJ$13-EJ$15-EJ$18</f>
        <v>0</v>
      </c>
      <c r="EK20" s="13" t="n">
        <f aca="false">EK$19-EK$13-EK$15-EK$18</f>
        <v>0</v>
      </c>
      <c r="EL20" s="13" t="n">
        <f aca="false">EL$19-EL$13-EL$15-EL$18</f>
        <v>0</v>
      </c>
      <c r="EM20" s="13" t="n">
        <f aca="false">EM$19-EM$13-EM$15-EM$18</f>
        <v>0</v>
      </c>
      <c r="EN20" s="13" t="n">
        <f aca="false">EN$19-EN$13-EN$15-EN$18</f>
        <v>0</v>
      </c>
      <c r="EO20" s="13" t="n">
        <f aca="false">EO$19-EO$13-EO$15-EO$18</f>
        <v>0</v>
      </c>
      <c r="EP20" s="13" t="n">
        <f aca="false">EP$19-EP$13-EP$15-EP$18</f>
        <v>0</v>
      </c>
      <c r="EQ20" s="13" t="n">
        <f aca="false">EQ$19-EQ$13-EQ$15-EQ$18</f>
        <v>0</v>
      </c>
      <c r="ER20" s="13" t="n">
        <f aca="false">ER$19-ER$13-ER$15-ER$18</f>
        <v>0</v>
      </c>
      <c r="ES20" s="13" t="n">
        <f aca="false">ES$19-ES$13-ES$15-ES$18</f>
        <v>0</v>
      </c>
      <c r="ET20" s="13" t="n">
        <f aca="false">ET$19-ET$13-ET$15-ET$18</f>
        <v>0</v>
      </c>
      <c r="EU20" s="13" t="n">
        <f aca="false">EU$19-EU$13-EU$15-EU$18</f>
        <v>0</v>
      </c>
      <c r="EV20" s="13" t="n">
        <f aca="false">EV$19-EV$13-EV$15-EV$18</f>
        <v>0</v>
      </c>
      <c r="EW20" s="13" t="n">
        <f aca="false">EW$19-EW$13-EW$15-EW$18</f>
        <v>0</v>
      </c>
      <c r="EX20" s="13" t="n">
        <f aca="false">EX$19-EX$13-EX$15-EX$18</f>
        <v>0</v>
      </c>
      <c r="EY20" s="13" t="n">
        <f aca="false">EY$19-EY$13-EY$15-EY$18</f>
        <v>0</v>
      </c>
      <c r="EZ20" s="13" t="n">
        <f aca="false">EZ$19-EZ$13-EZ$15-EZ$18</f>
        <v>0</v>
      </c>
      <c r="FA20" s="13" t="n">
        <f aca="false">FA$19-FA$13-FA$15-FA$18</f>
        <v>0</v>
      </c>
      <c r="FB20" s="13" t="n">
        <f aca="false">FB$19-FB$13-FB$15-FB$18</f>
        <v>0</v>
      </c>
      <c r="FC20" s="13" t="n">
        <f aca="false">FC$19-FC$13-FC$15-FC$18</f>
        <v>0</v>
      </c>
      <c r="FD20" s="13" t="n">
        <f aca="false">FD$19-FD$13-FD$15-FD$18</f>
        <v>0</v>
      </c>
      <c r="FE20" s="13" t="n">
        <f aca="false">FE$19-FE$13-FE$15-FE$18</f>
        <v>0</v>
      </c>
      <c r="FF20" s="13" t="n">
        <f aca="false">FF$19-FF$13-FF$15-FF$18</f>
        <v>0</v>
      </c>
    </row>
    <row r="21" customFormat="false" ht="15" hidden="false" customHeight="false" outlineLevel="0" collapsed="false">
      <c r="A21" s="2" t="s">
        <v>1303</v>
      </c>
      <c r="B21" s="8" t="s">
        <v>1304</v>
      </c>
      <c r="C21" s="8" t="s">
        <v>255</v>
      </c>
      <c r="F21" s="13" t="n">
        <f aca="false">0+F$12-F$16-F$20-F$18</f>
        <v>0</v>
      </c>
      <c r="G21" s="13" t="n">
        <f aca="false">F$22+G$12-G$16-G$20-G$18</f>
        <v>404166.666666667</v>
      </c>
      <c r="H21" s="13" t="n">
        <f aca="false">G$22+H$12-H$16-H$20-H$18</f>
        <v>808333.333333333</v>
      </c>
      <c r="I21" s="13" t="n">
        <f aca="false">H$22+I$12-I$16-I$20-I$18</f>
        <v>1212500</v>
      </c>
      <c r="J21" s="13" t="n">
        <f aca="false">I$22+J$12-J$16-J$20-J$18</f>
        <v>1594520.54794521</v>
      </c>
      <c r="K21" s="13" t="n">
        <f aca="false">J$22+K$12-K$16-K$20-K$18</f>
        <v>1594520.54794521</v>
      </c>
      <c r="L21" s="13" t="n">
        <f aca="false">K$22+L$12-L$16-L$20-L$18</f>
        <v>1594520.54794521</v>
      </c>
      <c r="M21" s="13" t="n">
        <f aca="false">L$22+M$12-M$16-M$20-M$18</f>
        <v>1594520.54794521</v>
      </c>
      <c r="N21" s="13" t="n">
        <f aca="false">M$22+N$12-N$16-N$20-N$18</f>
        <v>1594520.54794521</v>
      </c>
      <c r="O21" s="13" t="n">
        <f aca="false">N$22+O$12-O$16-O$20-O$18</f>
        <v>1594520.54794521</v>
      </c>
      <c r="P21" s="13" t="n">
        <f aca="false">O$22+P$12-P$16-P$20-P$18</f>
        <v>1594520.54794521</v>
      </c>
      <c r="Q21" s="13" t="n">
        <f aca="false">P$22+Q$12-Q$16-Q$20-Q$18</f>
        <v>1594520.54794521</v>
      </c>
      <c r="R21" s="13" t="n">
        <f aca="false">Q$22+R$12-R$16-R$20-R$18</f>
        <v>1594520.54794521</v>
      </c>
      <c r="S21" s="13" t="n">
        <f aca="false">R$22+S$12-S$16-S$20-S$18</f>
        <v>1705453.88127854</v>
      </c>
      <c r="T21" s="13" t="n">
        <f aca="false">S$22+T$12-T$16-T$20-T$18</f>
        <v>1816387.21461187</v>
      </c>
      <c r="U21" s="13" t="n">
        <f aca="false">T$22+U$12-U$16-U$20-U$18</f>
        <v>1927320.54794521</v>
      </c>
      <c r="V21" s="13" t="n">
        <f aca="false">U$22+V$12-V$16-V$20-V$18</f>
        <v>2032175.34246575</v>
      </c>
      <c r="W21" s="13" t="n">
        <f aca="false">V$22+W$12-W$16-W$20-W$18</f>
        <v>2032175.34246575</v>
      </c>
      <c r="X21" s="13" t="n">
        <f aca="false">W$22+X$12-X$16-X$20-X$18</f>
        <v>2032175.34246575</v>
      </c>
      <c r="Y21" s="13" t="n">
        <f aca="false">X$22+Y$12-Y$16-Y$20-Y$18</f>
        <v>2032175.34246575</v>
      </c>
      <c r="Z21" s="13" t="n">
        <f aca="false">Y$22+Z$12-Z$16-Z$20-Z$18</f>
        <v>2032175.34246575</v>
      </c>
      <c r="AA21" s="13" t="n">
        <f aca="false">Z$22+AA$12-AA$16-AA$20-AA$18</f>
        <v>2032175.34246575</v>
      </c>
      <c r="AB21" s="13" t="n">
        <f aca="false">AA$22+AB$12-AB$16-AB$20-AB$18</f>
        <v>2032175.34246575</v>
      </c>
      <c r="AC21" s="13" t="n">
        <f aca="false">AB$22+AC$12-AC$16-AC$20-AC$18</f>
        <v>2032175.34246575</v>
      </c>
      <c r="AD21" s="13" t="n">
        <f aca="false">AC$22+AD$12-AD$16-AD$20-AD$18</f>
        <v>2032175.34246575</v>
      </c>
      <c r="AE21" s="13" t="n">
        <f aca="false">AD$22+AE$12-AE$16-AE$20-AE$18</f>
        <v>2145286.92579909</v>
      </c>
      <c r="AF21" s="13" t="n">
        <f aca="false">AE$22+AF$12-AF$16-AF$20-AF$18</f>
        <v>2258398.50913242</v>
      </c>
      <c r="AG21" s="13" t="n">
        <f aca="false">AF$22+AG$12-AG$16-AG$20-AG$18</f>
        <v>2371510.09246575</v>
      </c>
      <c r="AH21" s="13" t="n">
        <f aca="false">AG$22+AH$12-AH$16-AH$20-AH$18</f>
        <v>2478423.78082192</v>
      </c>
      <c r="AI21" s="13" t="n">
        <f aca="false">AH$22+AI$12-AI$16-AI$20-AI$18</f>
        <v>2478423.78082192</v>
      </c>
      <c r="AJ21" s="13" t="n">
        <f aca="false">AI$22+AJ$12-AJ$16-AJ$20-AJ$18</f>
        <v>2478423.78082192</v>
      </c>
      <c r="AK21" s="13" t="n">
        <f aca="false">AJ$22+AK$12-AK$16-AK$20-AK$18</f>
        <v>2478423.78082192</v>
      </c>
      <c r="AL21" s="13" t="n">
        <f aca="false">AK$22+AL$12-AL$16-AL$20-AL$18</f>
        <v>2478423.78082192</v>
      </c>
      <c r="AM21" s="13" t="n">
        <f aca="false">AL$22+AM$12-AM$16-AM$20-AM$18</f>
        <v>2478423.78082192</v>
      </c>
      <c r="AN21" s="13" t="n">
        <f aca="false">AM$22+AN$12-AN$16-AN$20-AN$18</f>
        <v>2478423.78082192</v>
      </c>
      <c r="AO21" s="13" t="n">
        <f aca="false">AN$22+AO$12-AO$16-AO$20-AO$18</f>
        <v>2478423.78082192</v>
      </c>
      <c r="AP21" s="13" t="n">
        <f aca="false">AO$22+AP$12-AP$16-AP$20-AP$18</f>
        <v>2478423.78082192</v>
      </c>
      <c r="AQ21" s="13" t="n">
        <f aca="false">AP$22+AQ$12-AQ$16-AQ$20-AQ$18</f>
        <v>2573998.64998859</v>
      </c>
      <c r="AR21" s="13" t="n">
        <f aca="false">AQ$22+AR$12-AR$16-AR$20-AR$18</f>
        <v>2669573.51915525</v>
      </c>
      <c r="AS21" s="13" t="n">
        <f aca="false">AR$22+AS$12-AS$16-AS$20-AS$18</f>
        <v>2765148.38832192</v>
      </c>
      <c r="AT21" s="13" t="n">
        <f aca="false">AS$22+AT$12-AT$16-AT$20-AT$18</f>
        <v>2855486.27835617</v>
      </c>
      <c r="AU21" s="13" t="n">
        <f aca="false">AT$22+AU$12-AU$16-AU$20-AU$18</f>
        <v>2855486.27835617</v>
      </c>
      <c r="AV21" s="13" t="n">
        <f aca="false">AU$22+AV$12-AV$16-AV$20-AV$18</f>
        <v>2855486.27835617</v>
      </c>
      <c r="AW21" s="13" t="n">
        <f aca="false">AV$22+AW$12-AW$16-AW$20-AW$18</f>
        <v>2855486.27835617</v>
      </c>
      <c r="AX21" s="13" t="n">
        <f aca="false">AW$22+AX$12-AX$16-AX$20-AX$18</f>
        <v>2855486.27835617</v>
      </c>
      <c r="AY21" s="13" t="n">
        <f aca="false">AX$22+AY$12-AY$16-AY$20-AY$18</f>
        <v>2855486.27835617</v>
      </c>
      <c r="AZ21" s="13" t="n">
        <f aca="false">AY$22+AZ$12-AZ$16-AZ$20-AZ$18</f>
        <v>2855486.27835617</v>
      </c>
      <c r="BA21" s="13" t="n">
        <f aca="false">AZ$22+BA$12-BA$16-BA$20-BA$18</f>
        <v>2855486.27835617</v>
      </c>
      <c r="BB21" s="13" t="n">
        <f aca="false">BA$22+BB$12-BB$16-BB$20-BB$18</f>
        <v>2855486.27835617</v>
      </c>
      <c r="BC21" s="13" t="n">
        <f aca="false">BB$22+BC$12-BC$16-BC$20-BC$18</f>
        <v>2862724.14288117</v>
      </c>
      <c r="BD21" s="13" t="n">
        <f aca="false">BC$22+BD$12-BD$16-BD$20-BD$18</f>
        <v>2869962.00740617</v>
      </c>
      <c r="BE21" s="13" t="n">
        <f aca="false">BD$22+BE$12-BE$16-BE$20-BE$18</f>
        <v>2877199.87193117</v>
      </c>
      <c r="BF21" s="13" t="n">
        <f aca="false">BE$22+BF$12-BF$16-BF$20-BF$18</f>
        <v>2884041.14113973</v>
      </c>
      <c r="BG21" s="13" t="n">
        <f aca="false">BF$22+BG$12-BG$16-BG$20-BG$18</f>
        <v>2884041.14113973</v>
      </c>
      <c r="BH21" s="13" t="n">
        <f aca="false">BG$22+BH$12-BH$16-BH$20-BH$18</f>
        <v>2884041.14113973</v>
      </c>
      <c r="BI21" s="13" t="n">
        <f aca="false">BH$22+BI$12-BI$16-BI$20-BI$18</f>
        <v>2884041.14113973</v>
      </c>
      <c r="BJ21" s="13" t="n">
        <f aca="false">BI$22+BJ$12-BJ$16-BJ$20-BJ$18</f>
        <v>2884041.14113973</v>
      </c>
      <c r="BK21" s="13" t="n">
        <f aca="false">BJ$22+BK$12-BK$16-BK$20-BK$18</f>
        <v>2884041.14113973</v>
      </c>
      <c r="BL21" s="13" t="n">
        <f aca="false">BK$22+BL$12-BL$16-BL$20-BL$18</f>
        <v>2884041.14113973</v>
      </c>
      <c r="BM21" s="13" t="n">
        <f aca="false">BL$22+BM$12-BM$16-BM$20-BM$18</f>
        <v>2884041.14113973</v>
      </c>
      <c r="BN21" s="13" t="n">
        <f aca="false">BM$22+BN$12-BN$16-BN$20-BN$18</f>
        <v>2884041.14113973</v>
      </c>
      <c r="BO21" s="13" t="n">
        <f aca="false">BN$22+BO$12-BO$16-BO$20-BO$18</f>
        <v>2891351.38430998</v>
      </c>
      <c r="BP21" s="13" t="n">
        <f aca="false">BO$22+BP$12-BP$16-BP$20-BP$18</f>
        <v>2898661.62748023</v>
      </c>
      <c r="BQ21" s="13" t="n">
        <f aca="false">BP$22+BQ$12-BQ$16-BQ$20-BQ$18</f>
        <v>2905971.87065048</v>
      </c>
      <c r="BR21" s="13" t="n">
        <f aca="false">BQ$22+BR$12-BR$16-BR$20-BR$18</f>
        <v>2912881.55255113</v>
      </c>
      <c r="BS21" s="13" t="n">
        <f aca="false">BR$22+BS$12-BS$16-BS$20-BS$18</f>
        <v>2912881.55255113</v>
      </c>
      <c r="BT21" s="13" t="n">
        <f aca="false">BS$22+BT$12-BT$16-BT$20-BT$18</f>
        <v>2912881.55255113</v>
      </c>
      <c r="BU21" s="13" t="n">
        <f aca="false">BT$22+BU$12-BU$16-BU$20-BU$18</f>
        <v>2912881.55255113</v>
      </c>
      <c r="BV21" s="13" t="n">
        <f aca="false">BU$22+BV$12-BV$16-BV$20-BV$18</f>
        <v>2912881.55255113</v>
      </c>
      <c r="BW21" s="13" t="n">
        <f aca="false">BV$22+BW$12-BW$16-BW$20-BW$18</f>
        <v>2912881.55255113</v>
      </c>
      <c r="BX21" s="13" t="n">
        <f aca="false">BW$22+BX$12-BX$16-BX$20-BX$18</f>
        <v>2912881.55255113</v>
      </c>
      <c r="BY21" s="13" t="n">
        <f aca="false">BX$22+BY$12-BY$16-BY$20-BY$18</f>
        <v>2912881.55255113</v>
      </c>
      <c r="BZ21" s="13" t="n">
        <f aca="false">BY$22+BZ$12-BZ$16-BZ$20-BZ$18</f>
        <v>2912881.55255113</v>
      </c>
      <c r="CA21" s="13" t="n">
        <f aca="false">BZ$22+CA$12-CA$16-CA$20-CA$18</f>
        <v>2920264.89815308</v>
      </c>
      <c r="CB21" s="13" t="n">
        <f aca="false">CA$22+CB$12-CB$16-CB$20-CB$18</f>
        <v>2927648.24375503</v>
      </c>
      <c r="CC21" s="13" t="n">
        <f aca="false">CB$22+CC$12-CC$16-CC$20-CC$18</f>
        <v>2935031.58935698</v>
      </c>
      <c r="CD21" s="13" t="n">
        <f aca="false">CC$22+CD$12-CD$16-CD$20-CD$18</f>
        <v>2942010.36807664</v>
      </c>
      <c r="CE21" s="13" t="n">
        <f aca="false">CD$22+CE$12-CE$16-CE$20-CE$18</f>
        <v>2942010.36807664</v>
      </c>
      <c r="CF21" s="13" t="n">
        <f aca="false">CE$22+CF$12-CF$16-CF$20-CF$18</f>
        <v>2942010.36807664</v>
      </c>
      <c r="CG21" s="13" t="n">
        <f aca="false">CF$22+CG$12-CG$16-CG$20-CG$18</f>
        <v>2942010.36807664</v>
      </c>
      <c r="CH21" s="13" t="n">
        <f aca="false">CG$22+CH$12-CH$16-CH$20-CH$18</f>
        <v>2942010.36807664</v>
      </c>
      <c r="CI21" s="13" t="n">
        <f aca="false">CH$22+CI$12-CI$16-CI$20-CI$18</f>
        <v>2942010.36807664</v>
      </c>
      <c r="CJ21" s="13" t="n">
        <f aca="false">CI$22+CJ$12-CJ$16-CJ$20-CJ$18</f>
        <v>2942010.36807664</v>
      </c>
      <c r="CK21" s="13" t="n">
        <f aca="false">CJ$22+CK$12-CK$16-CK$20-CK$18</f>
        <v>2942010.36807664</v>
      </c>
      <c r="CL21" s="13" t="n">
        <f aca="false">CK$22+CL$12-CL$16-CL$20-CL$18</f>
        <v>2942010.36807664</v>
      </c>
      <c r="CM21" s="13" t="n">
        <f aca="false">CL$22+CM$12-CM$16-CM$20-CM$18</f>
        <v>2949467.54713461</v>
      </c>
      <c r="CN21" s="13" t="n">
        <f aca="false">CM$22+CN$12-CN$16-CN$20-CN$18</f>
        <v>2956924.72619258</v>
      </c>
      <c r="CO21" s="13" t="n">
        <f aca="false">CN$22+CO$12-CO$16-CO$20-CO$18</f>
        <v>2964381.90525055</v>
      </c>
      <c r="CP21" s="13" t="n">
        <f aca="false">CO$22+CP$12-CP$16-CP$20-CP$18</f>
        <v>2971430.4717574</v>
      </c>
      <c r="CQ21" s="13" t="n">
        <f aca="false">CP$22+CQ$12-CQ$16-CQ$20-CQ$18</f>
        <v>2971430.4717574</v>
      </c>
      <c r="CR21" s="13" t="n">
        <f aca="false">CQ$22+CR$12-CR$16-CR$20-CR$18</f>
        <v>2971430.4717574</v>
      </c>
      <c r="CS21" s="13" t="n">
        <f aca="false">CR$22+CS$12-CS$16-CS$20-CS$18</f>
        <v>2971430.4717574</v>
      </c>
      <c r="CT21" s="13" t="n">
        <f aca="false">CS$22+CT$12-CT$16-CT$20-CT$18</f>
        <v>2971430.4717574</v>
      </c>
      <c r="CU21" s="13" t="n">
        <f aca="false">CT$22+CU$12-CU$16-CU$20-CU$18</f>
        <v>2971430.4717574</v>
      </c>
      <c r="CV21" s="13" t="n">
        <f aca="false">CU$22+CV$12-CV$16-CV$20-CV$18</f>
        <v>2971430.4717574</v>
      </c>
      <c r="CW21" s="13" t="n">
        <f aca="false">CV$22+CW$12-CW$16-CW$20-CW$18</f>
        <v>2971430.4717574</v>
      </c>
      <c r="CX21" s="13" t="n">
        <f aca="false">CW$22+CX$12-CX$16-CX$20-CX$18</f>
        <v>2971430.4717574</v>
      </c>
      <c r="CY21" s="13" t="n">
        <f aca="false">CX$22+CY$12-CY$16-CY$20-CY$18</f>
        <v>2978962.22260596</v>
      </c>
      <c r="CZ21" s="13" t="n">
        <f aca="false">CY$22+CZ$12-CZ$16-CZ$20-CZ$18</f>
        <v>2986493.97345451</v>
      </c>
      <c r="DA21" s="13" t="n">
        <f aca="false">CZ$22+DA$12-DA$16-DA$20-DA$18</f>
        <v>2994025.72430306</v>
      </c>
      <c r="DB21" s="13" t="n">
        <f aca="false">DA$22+DB$12-DB$16-DB$20-DB$18</f>
        <v>3001144.77647498</v>
      </c>
      <c r="DC21" s="13" t="n">
        <f aca="false">DB$22+DC$12-DC$16-DC$20-DC$18</f>
        <v>3001144.77647498</v>
      </c>
      <c r="DD21" s="13" t="n">
        <f aca="false">DC$22+DD$12-DD$16-DD$20-DD$18</f>
        <v>3001144.77647498</v>
      </c>
      <c r="DE21" s="13" t="n">
        <f aca="false">DD$22+DE$12-DE$16-DE$20-DE$18</f>
        <v>3001144.77647498</v>
      </c>
      <c r="DF21" s="13" t="n">
        <f aca="false">DE$22+DF$12-DF$16-DF$20-DF$18</f>
        <v>3001144.77647498</v>
      </c>
      <c r="DG21" s="13" t="n">
        <f aca="false">DF$22+DG$12-DG$16-DG$20-DG$18</f>
        <v>3001144.77647498</v>
      </c>
      <c r="DH21" s="13" t="n">
        <f aca="false">DG$22+DH$12-DH$16-DH$20-DH$18</f>
        <v>3001144.77647498</v>
      </c>
      <c r="DI21" s="13" t="n">
        <f aca="false">DH$22+DI$12-DI$16-DI$20-DI$18</f>
        <v>3001144.77647498</v>
      </c>
      <c r="DJ21" s="13" t="n">
        <f aca="false">DI$22+DJ$12-DJ$16-DJ$20-DJ$18</f>
        <v>3001144.77647498</v>
      </c>
      <c r="DK21" s="13" t="n">
        <f aca="false">DJ$22+DK$12-DK$16-DK$20-DK$18</f>
        <v>3008751.84483201</v>
      </c>
      <c r="DL21" s="13" t="n">
        <f aca="false">DK$22+DL$12-DL$16-DL$20-DL$18</f>
        <v>3016358.91318905</v>
      </c>
      <c r="DM21" s="13" t="n">
        <f aca="false">DL$22+DM$12-DM$16-DM$20-DM$18</f>
        <v>3023965.98154609</v>
      </c>
      <c r="DN21" s="13" t="n">
        <f aca="false">DM$22+DN$12-DN$16-DN$20-DN$18</f>
        <v>3031156.22423973</v>
      </c>
      <c r="DO21" s="13" t="n">
        <f aca="false">DN$22+DO$12-DO$16-DO$20-DO$18</f>
        <v>3031156.22423973</v>
      </c>
      <c r="DP21" s="13" t="n">
        <f aca="false">DO$22+DP$12-DP$16-DP$20-DP$18</f>
        <v>3031156.22423973</v>
      </c>
      <c r="DQ21" s="13" t="n">
        <f aca="false">DP$22+DQ$12-DQ$16-DQ$20-DQ$18</f>
        <v>3031156.22423973</v>
      </c>
      <c r="DR21" s="13" t="n">
        <f aca="false">DQ$22+DR$12-DR$16-DR$20-DR$18</f>
        <v>3031156.22423973</v>
      </c>
      <c r="DS21" s="13" t="n">
        <f aca="false">DR$22+DS$12-DS$16-DS$20-DS$18</f>
        <v>3031156.22423973</v>
      </c>
      <c r="DT21" s="13" t="n">
        <f aca="false">DS$22+DT$12-DT$16-DT$20-DT$18</f>
        <v>3031156.22423973</v>
      </c>
      <c r="DU21" s="13" t="n">
        <f aca="false">DT$22+DU$12-DU$16-DU$20-DU$18</f>
        <v>3031156.22423973</v>
      </c>
      <c r="DV21" s="13" t="n">
        <f aca="false">DU$22+DV$12-DV$16-DV$20-DV$18</f>
        <v>3031156.22423973</v>
      </c>
      <c r="DW21" s="13" t="n">
        <f aca="false">DV$22+DW$12-DW$16-DW$20-DW$18</f>
        <v>3031156.22423973</v>
      </c>
      <c r="DX21" s="13" t="n">
        <f aca="false">DW$22+DX$12-DX$16-DX$20-DX$18</f>
        <v>3031156.22423973</v>
      </c>
      <c r="DY21" s="13" t="n">
        <f aca="false">DX$22+DY$12-DY$16-DY$20-DY$18</f>
        <v>3031156.22423973</v>
      </c>
      <c r="DZ21" s="13" t="n">
        <f aca="false">DY$22+DZ$12-DZ$16-DZ$20-DZ$18</f>
        <v>3031156.22423973</v>
      </c>
      <c r="EA21" s="13" t="n">
        <f aca="false">DZ$22+EA$12-EA$16-EA$20-EA$18</f>
        <v>3031156.22423973</v>
      </c>
      <c r="EB21" s="13" t="n">
        <f aca="false">EA$22+EB$12-EB$16-EB$20-EB$18</f>
        <v>3031156.22423973</v>
      </c>
      <c r="EC21" s="13" t="n">
        <f aca="false">EB$22+EC$12-EC$16-EC$20-EC$18</f>
        <v>3031156.22423973</v>
      </c>
      <c r="ED21" s="13" t="n">
        <f aca="false">EC$22+ED$12-ED$16-ED$20-ED$18</f>
        <v>3031156.22423973</v>
      </c>
      <c r="EE21" s="13" t="n">
        <f aca="false">ED$22+EE$12-EE$16-EE$20-EE$18</f>
        <v>3031156.22423973</v>
      </c>
      <c r="EF21" s="13" t="n">
        <f aca="false">EE$22+EF$12-EF$16-EF$20-EF$18</f>
        <v>3031156.22423973</v>
      </c>
      <c r="EG21" s="13" t="n">
        <f aca="false">EF$22+EG$12-EG$16-EG$20-EG$18</f>
        <v>3031156.22423973</v>
      </c>
      <c r="EH21" s="13" t="n">
        <f aca="false">EG$22+EH$12-EH$16-EH$20-EH$18</f>
        <v>3031156.22423973</v>
      </c>
      <c r="EI21" s="13" t="n">
        <f aca="false">EH$22+EI$12-EI$16-EI$20-EI$18</f>
        <v>3031156.22423973</v>
      </c>
      <c r="EJ21" s="13" t="n">
        <f aca="false">EI$22+EJ$12-EJ$16-EJ$20-EJ$18</f>
        <v>3031156.22423973</v>
      </c>
      <c r="EK21" s="13" t="n">
        <f aca="false">EJ$22+EK$12-EK$16-EK$20-EK$18</f>
        <v>3031156.22423973</v>
      </c>
      <c r="EL21" s="13" t="n">
        <f aca="false">EK$22+EL$12-EL$16-EL$20-EL$18</f>
        <v>3031156.22423973</v>
      </c>
      <c r="EM21" s="13" t="n">
        <f aca="false">EL$22+EM$12-EM$16-EM$20-EM$18</f>
        <v>3031156.22423973</v>
      </c>
      <c r="EN21" s="13" t="n">
        <f aca="false">EM$22+EN$12-EN$16-EN$20-EN$18</f>
        <v>3031156.22423973</v>
      </c>
      <c r="EO21" s="13" t="n">
        <f aca="false">EN$22+EO$12-EO$16-EO$20-EO$18</f>
        <v>3031156.22423973</v>
      </c>
      <c r="EP21" s="13" t="n">
        <f aca="false">EO$22+EP$12-EP$16-EP$20-EP$18</f>
        <v>3031156.22423973</v>
      </c>
      <c r="EQ21" s="13" t="n">
        <f aca="false">EP$22+EQ$12-EQ$16-EQ$20-EQ$18</f>
        <v>3031156.22423973</v>
      </c>
      <c r="ER21" s="13" t="n">
        <f aca="false">EQ$22+ER$12-ER$16-ER$20-ER$18</f>
        <v>3031156.22423973</v>
      </c>
      <c r="ES21" s="13" t="n">
        <f aca="false">ER$22+ES$12-ES$16-ES$20-ES$18</f>
        <v>3031156.22423973</v>
      </c>
      <c r="ET21" s="13" t="n">
        <f aca="false">ES$22+ET$12-ET$16-ET$20-ET$18</f>
        <v>3031156.22423973</v>
      </c>
      <c r="EU21" s="13" t="n">
        <f aca="false">ET$22+EU$12-EU$16-EU$20-EU$18</f>
        <v>3031156.22423973</v>
      </c>
      <c r="EV21" s="13" t="n">
        <f aca="false">EU$22+EV$12-EV$16-EV$20-EV$18</f>
        <v>3031156.22423973</v>
      </c>
      <c r="EW21" s="13" t="n">
        <f aca="false">EV$22+EW$12-EW$16-EW$20-EW$18</f>
        <v>3031156.22423973</v>
      </c>
      <c r="EX21" s="13" t="n">
        <f aca="false">EW$22+EX$12-EX$16-EX$20-EX$18</f>
        <v>3031156.22423973</v>
      </c>
      <c r="EY21" s="13" t="n">
        <f aca="false">EX$22+EY$12-EY$16-EY$20-EY$18</f>
        <v>3031156.22423973</v>
      </c>
      <c r="EZ21" s="13" t="n">
        <f aca="false">EY$22+EZ$12-EZ$16-EZ$20-EZ$18</f>
        <v>3031156.22423973</v>
      </c>
      <c r="FA21" s="13" t="n">
        <f aca="false">EZ$22+FA$12-FA$16-FA$20-FA$18</f>
        <v>3031156.22423973</v>
      </c>
      <c r="FB21" s="13" t="n">
        <f aca="false">FA$22+FB$12-FB$16-FB$20-FB$18</f>
        <v>3031156.22423973</v>
      </c>
      <c r="FC21" s="13" t="n">
        <f aca="false">FB$22+FC$12-FC$16-FC$20-FC$18</f>
        <v>3031156.22423973</v>
      </c>
      <c r="FD21" s="13" t="n">
        <f aca="false">FC$22+FD$12-FD$16-FD$20-FD$18</f>
        <v>3031156.22423973</v>
      </c>
      <c r="FE21" s="13" t="n">
        <f aca="false">FD$22+FE$12-FE$16-FE$20-FE$18</f>
        <v>3031156.22423973</v>
      </c>
      <c r="FF21" s="13" t="n">
        <f aca="false">FE$22+FF$12-FF$16-FF$20-FF$18</f>
        <v>3031156.22423973</v>
      </c>
    </row>
    <row r="22" customFormat="false" ht="15" hidden="false" customHeight="false" outlineLevel="0" collapsed="false">
      <c r="A22" s="2" t="s">
        <v>1305</v>
      </c>
      <c r="B22" s="66" t="s">
        <v>1306</v>
      </c>
      <c r="C22" s="8" t="s">
        <v>255</v>
      </c>
      <c r="E22" s="67" t="n">
        <f aca="false">INDEX($F22:$FF22,1,p_MesFin+1)</f>
        <v>3031156.22423973</v>
      </c>
      <c r="F22" s="12" t="n">
        <f aca="false">IF(AND(0=p_MesCorte,ISNUMBER(r_S_CXC)),r_S_CXC,F$21)</f>
        <v>0</v>
      </c>
      <c r="G22" s="12" t="n">
        <f aca="false">IF(AND(1=p_MesCorte,ISNUMBER(r_S_CXC)),r_S_CXC,G$21)</f>
        <v>404166.666666667</v>
      </c>
      <c r="H22" s="12" t="n">
        <f aca="false">IF(AND(2=p_MesCorte,ISNUMBER(r_S_CXC)),r_S_CXC,H$21)</f>
        <v>808333.333333333</v>
      </c>
      <c r="I22" s="12" t="n">
        <f aca="false">IF(AND(3=p_MesCorte,ISNUMBER(r_S_CXC)),r_S_CXC,I$21)</f>
        <v>1212500</v>
      </c>
      <c r="J22" s="12" t="n">
        <f aca="false">IF(AND(4=p_MesCorte,ISNUMBER(r_S_CXC)),r_S_CXC,J$21)</f>
        <v>1594520.54794521</v>
      </c>
      <c r="K22" s="12" t="n">
        <f aca="false">IF(AND(5=p_MesCorte,ISNUMBER(r_S_CXC)),r_S_CXC,K$21)</f>
        <v>1594520.54794521</v>
      </c>
      <c r="L22" s="12" t="n">
        <f aca="false">IF(AND(6=p_MesCorte,ISNUMBER(r_S_CXC)),r_S_CXC,L$21)</f>
        <v>1594520.54794521</v>
      </c>
      <c r="M22" s="12" t="n">
        <f aca="false">IF(AND(7=p_MesCorte,ISNUMBER(r_S_CXC)),r_S_CXC,M$21)</f>
        <v>1594520.54794521</v>
      </c>
      <c r="N22" s="12" t="n">
        <f aca="false">IF(AND(8=p_MesCorte,ISNUMBER(r_S_CXC)),r_S_CXC,N$21)</f>
        <v>1594520.54794521</v>
      </c>
      <c r="O22" s="12" t="n">
        <f aca="false">IF(AND(9=p_MesCorte,ISNUMBER(r_S_CXC)),r_S_CXC,O$21)</f>
        <v>1594520.54794521</v>
      </c>
      <c r="P22" s="12" t="n">
        <f aca="false">IF(AND(10=p_MesCorte,ISNUMBER(r_S_CXC)),r_S_CXC,P$21)</f>
        <v>1594520.54794521</v>
      </c>
      <c r="Q22" s="12" t="n">
        <f aca="false">IF(AND(11=p_MesCorte,ISNUMBER(r_S_CXC)),r_S_CXC,Q$21)</f>
        <v>1594520.54794521</v>
      </c>
      <c r="R22" s="12" t="n">
        <f aca="false">IF(AND(12=p_MesCorte,ISNUMBER(r_S_CXC)),r_S_CXC,R$21)</f>
        <v>1594520.54794521</v>
      </c>
      <c r="S22" s="12" t="n">
        <f aca="false">IF(AND(13=p_MesCorte,ISNUMBER(r_S_CXC)),r_S_CXC,S$21)</f>
        <v>1705453.88127854</v>
      </c>
      <c r="T22" s="12" t="n">
        <f aca="false">IF(AND(14=p_MesCorte,ISNUMBER(r_S_CXC)),r_S_CXC,T$21)</f>
        <v>1816387.21461187</v>
      </c>
      <c r="U22" s="12" t="n">
        <f aca="false">IF(AND(15=p_MesCorte,ISNUMBER(r_S_CXC)),r_S_CXC,U$21)</f>
        <v>1927320.54794521</v>
      </c>
      <c r="V22" s="12" t="n">
        <f aca="false">IF(AND(16=p_MesCorte,ISNUMBER(r_S_CXC)),r_S_CXC,V$21)</f>
        <v>2032175.34246575</v>
      </c>
      <c r="W22" s="12" t="n">
        <f aca="false">IF(AND(17=p_MesCorte,ISNUMBER(r_S_CXC)),r_S_CXC,W$21)</f>
        <v>2032175.34246575</v>
      </c>
      <c r="X22" s="12" t="n">
        <f aca="false">IF(AND(18=p_MesCorte,ISNUMBER(r_S_CXC)),r_S_CXC,X$21)</f>
        <v>2032175.34246575</v>
      </c>
      <c r="Y22" s="12" t="n">
        <f aca="false">IF(AND(19=p_MesCorte,ISNUMBER(r_S_CXC)),r_S_CXC,Y$21)</f>
        <v>2032175.34246575</v>
      </c>
      <c r="Z22" s="12" t="n">
        <f aca="false">IF(AND(20=p_MesCorte,ISNUMBER(r_S_CXC)),r_S_CXC,Z$21)</f>
        <v>2032175.34246575</v>
      </c>
      <c r="AA22" s="12" t="n">
        <f aca="false">IF(AND(21=p_MesCorte,ISNUMBER(r_S_CXC)),r_S_CXC,AA$21)</f>
        <v>2032175.34246575</v>
      </c>
      <c r="AB22" s="12" t="n">
        <f aca="false">IF(AND(22=p_MesCorte,ISNUMBER(r_S_CXC)),r_S_CXC,AB$21)</f>
        <v>2032175.34246575</v>
      </c>
      <c r="AC22" s="12" t="n">
        <f aca="false">IF(AND(23=p_MesCorte,ISNUMBER(r_S_CXC)),r_S_CXC,AC$21)</f>
        <v>2032175.34246575</v>
      </c>
      <c r="AD22" s="12" t="n">
        <f aca="false">IF(AND(24=p_MesCorte,ISNUMBER(r_S_CXC)),r_S_CXC,AD$21)</f>
        <v>2032175.34246575</v>
      </c>
      <c r="AE22" s="12" t="n">
        <f aca="false">IF(AND(25=p_MesCorte,ISNUMBER(r_S_CXC)),r_S_CXC,AE$21)</f>
        <v>2145286.92579909</v>
      </c>
      <c r="AF22" s="12" t="n">
        <f aca="false">IF(AND(26=p_MesCorte,ISNUMBER(r_S_CXC)),r_S_CXC,AF$21)</f>
        <v>2258398.50913242</v>
      </c>
      <c r="AG22" s="12" t="n">
        <f aca="false">IF(AND(27=p_MesCorte,ISNUMBER(r_S_CXC)),r_S_CXC,AG$21)</f>
        <v>2371510.09246575</v>
      </c>
      <c r="AH22" s="12" t="n">
        <f aca="false">IF(AND(28=p_MesCorte,ISNUMBER(r_S_CXC)),r_S_CXC,AH$21)</f>
        <v>2478423.78082192</v>
      </c>
      <c r="AI22" s="12" t="n">
        <f aca="false">IF(AND(29=p_MesCorte,ISNUMBER(r_S_CXC)),r_S_CXC,AI$21)</f>
        <v>2478423.78082192</v>
      </c>
      <c r="AJ22" s="12" t="n">
        <f aca="false">IF(AND(30=p_MesCorte,ISNUMBER(r_S_CXC)),r_S_CXC,AJ$21)</f>
        <v>2478423.78082192</v>
      </c>
      <c r="AK22" s="12" t="n">
        <f aca="false">IF(AND(31=p_MesCorte,ISNUMBER(r_S_CXC)),r_S_CXC,AK$21)</f>
        <v>2478423.78082192</v>
      </c>
      <c r="AL22" s="12" t="n">
        <f aca="false">IF(AND(32=p_MesCorte,ISNUMBER(r_S_CXC)),r_S_CXC,AL$21)</f>
        <v>2478423.78082192</v>
      </c>
      <c r="AM22" s="12" t="n">
        <f aca="false">IF(AND(33=p_MesCorte,ISNUMBER(r_S_CXC)),r_S_CXC,AM$21)</f>
        <v>2478423.78082192</v>
      </c>
      <c r="AN22" s="12" t="n">
        <f aca="false">IF(AND(34=p_MesCorte,ISNUMBER(r_S_CXC)),r_S_CXC,AN$21)</f>
        <v>2478423.78082192</v>
      </c>
      <c r="AO22" s="12" t="n">
        <f aca="false">IF(AND(35=p_MesCorte,ISNUMBER(r_S_CXC)),r_S_CXC,AO$21)</f>
        <v>2478423.78082192</v>
      </c>
      <c r="AP22" s="12" t="n">
        <f aca="false">IF(AND(36=p_MesCorte,ISNUMBER(r_S_CXC)),r_S_CXC,AP$21)</f>
        <v>2478423.78082192</v>
      </c>
      <c r="AQ22" s="12" t="n">
        <f aca="false">IF(AND(37=p_MesCorte,ISNUMBER(r_S_CXC)),r_S_CXC,AQ$21)</f>
        <v>2573998.64998859</v>
      </c>
      <c r="AR22" s="12" t="n">
        <f aca="false">IF(AND(38=p_MesCorte,ISNUMBER(r_S_CXC)),r_S_CXC,AR$21)</f>
        <v>2669573.51915525</v>
      </c>
      <c r="AS22" s="12" t="n">
        <f aca="false">IF(AND(39=p_MesCorte,ISNUMBER(r_S_CXC)),r_S_CXC,AS$21)</f>
        <v>2765148.38832192</v>
      </c>
      <c r="AT22" s="12" t="n">
        <f aca="false">IF(AND(40=p_MesCorte,ISNUMBER(r_S_CXC)),r_S_CXC,AT$21)</f>
        <v>2855486.27835617</v>
      </c>
      <c r="AU22" s="12" t="n">
        <f aca="false">IF(AND(41=p_MesCorte,ISNUMBER(r_S_CXC)),r_S_CXC,AU$21)</f>
        <v>2855486.27835617</v>
      </c>
      <c r="AV22" s="12" t="n">
        <f aca="false">IF(AND(42=p_MesCorte,ISNUMBER(r_S_CXC)),r_S_CXC,AV$21)</f>
        <v>2855486.27835617</v>
      </c>
      <c r="AW22" s="12" t="n">
        <f aca="false">IF(AND(43=p_MesCorte,ISNUMBER(r_S_CXC)),r_S_CXC,AW$21)</f>
        <v>2855486.27835617</v>
      </c>
      <c r="AX22" s="12" t="n">
        <f aca="false">IF(AND(44=p_MesCorte,ISNUMBER(r_S_CXC)),r_S_CXC,AX$21)</f>
        <v>2855486.27835617</v>
      </c>
      <c r="AY22" s="12" t="n">
        <f aca="false">IF(AND(45=p_MesCorte,ISNUMBER(r_S_CXC)),r_S_CXC,AY$21)</f>
        <v>2855486.27835617</v>
      </c>
      <c r="AZ22" s="12" t="n">
        <f aca="false">IF(AND(46=p_MesCorte,ISNUMBER(r_S_CXC)),r_S_CXC,AZ$21)</f>
        <v>2855486.27835617</v>
      </c>
      <c r="BA22" s="12" t="n">
        <f aca="false">IF(AND(47=p_MesCorte,ISNUMBER(r_S_CXC)),r_S_CXC,BA$21)</f>
        <v>2855486.27835617</v>
      </c>
      <c r="BB22" s="12" t="n">
        <f aca="false">IF(AND(48=p_MesCorte,ISNUMBER(r_S_CXC)),r_S_CXC,BB$21)</f>
        <v>2855486.27835617</v>
      </c>
      <c r="BC22" s="12" t="n">
        <f aca="false">IF(AND(49=p_MesCorte,ISNUMBER(r_S_CXC)),r_S_CXC,BC$21)</f>
        <v>2862724.14288117</v>
      </c>
      <c r="BD22" s="12" t="n">
        <f aca="false">IF(AND(50=p_MesCorte,ISNUMBER(r_S_CXC)),r_S_CXC,BD$21)</f>
        <v>2869962.00740617</v>
      </c>
      <c r="BE22" s="12" t="n">
        <f aca="false">IF(AND(51=p_MesCorte,ISNUMBER(r_S_CXC)),r_S_CXC,BE$21)</f>
        <v>2877199.87193117</v>
      </c>
      <c r="BF22" s="12" t="n">
        <f aca="false">IF(AND(52=p_MesCorte,ISNUMBER(r_S_CXC)),r_S_CXC,BF$21)</f>
        <v>2884041.14113973</v>
      </c>
      <c r="BG22" s="12" t="n">
        <f aca="false">IF(AND(53=p_MesCorte,ISNUMBER(r_S_CXC)),r_S_CXC,BG$21)</f>
        <v>2884041.14113973</v>
      </c>
      <c r="BH22" s="12" t="n">
        <f aca="false">IF(AND(54=p_MesCorte,ISNUMBER(r_S_CXC)),r_S_CXC,BH$21)</f>
        <v>2884041.14113973</v>
      </c>
      <c r="BI22" s="12" t="n">
        <f aca="false">IF(AND(55=p_MesCorte,ISNUMBER(r_S_CXC)),r_S_CXC,BI$21)</f>
        <v>2884041.14113973</v>
      </c>
      <c r="BJ22" s="12" t="n">
        <f aca="false">IF(AND(56=p_MesCorte,ISNUMBER(r_S_CXC)),r_S_CXC,BJ$21)</f>
        <v>2884041.14113973</v>
      </c>
      <c r="BK22" s="12" t="n">
        <f aca="false">IF(AND(57=p_MesCorte,ISNUMBER(r_S_CXC)),r_S_CXC,BK$21)</f>
        <v>2884041.14113973</v>
      </c>
      <c r="BL22" s="12" t="n">
        <f aca="false">IF(AND(58=p_MesCorte,ISNUMBER(r_S_CXC)),r_S_CXC,BL$21)</f>
        <v>2884041.14113973</v>
      </c>
      <c r="BM22" s="12" t="n">
        <f aca="false">IF(AND(59=p_MesCorte,ISNUMBER(r_S_CXC)),r_S_CXC,BM$21)</f>
        <v>2884041.14113973</v>
      </c>
      <c r="BN22" s="12" t="n">
        <f aca="false">IF(AND(60=p_MesCorte,ISNUMBER(r_S_CXC)),r_S_CXC,BN$21)</f>
        <v>2884041.14113973</v>
      </c>
      <c r="BO22" s="12" t="n">
        <f aca="false">IF(AND(61=p_MesCorte,ISNUMBER(r_S_CXC)),r_S_CXC,BO$21)</f>
        <v>2891351.38430998</v>
      </c>
      <c r="BP22" s="12" t="n">
        <f aca="false">IF(AND(62=p_MesCorte,ISNUMBER(r_S_CXC)),r_S_CXC,BP$21)</f>
        <v>2898661.62748023</v>
      </c>
      <c r="BQ22" s="12" t="n">
        <f aca="false">IF(AND(63=p_MesCorte,ISNUMBER(r_S_CXC)),r_S_CXC,BQ$21)</f>
        <v>2905971.87065048</v>
      </c>
      <c r="BR22" s="12" t="n">
        <f aca="false">IF(AND(64=p_MesCorte,ISNUMBER(r_S_CXC)),r_S_CXC,BR$21)</f>
        <v>2912881.55255113</v>
      </c>
      <c r="BS22" s="12" t="n">
        <f aca="false">IF(AND(65=p_MesCorte,ISNUMBER(r_S_CXC)),r_S_CXC,BS$21)</f>
        <v>2912881.55255113</v>
      </c>
      <c r="BT22" s="12" t="n">
        <f aca="false">IF(AND(66=p_MesCorte,ISNUMBER(r_S_CXC)),r_S_CXC,BT$21)</f>
        <v>2912881.55255113</v>
      </c>
      <c r="BU22" s="12" t="n">
        <f aca="false">IF(AND(67=p_MesCorte,ISNUMBER(r_S_CXC)),r_S_CXC,BU$21)</f>
        <v>2912881.55255113</v>
      </c>
      <c r="BV22" s="12" t="n">
        <f aca="false">IF(AND(68=p_MesCorte,ISNUMBER(r_S_CXC)),r_S_CXC,BV$21)</f>
        <v>2912881.55255113</v>
      </c>
      <c r="BW22" s="12" t="n">
        <f aca="false">IF(AND(69=p_MesCorte,ISNUMBER(r_S_CXC)),r_S_CXC,BW$21)</f>
        <v>2912881.55255113</v>
      </c>
      <c r="BX22" s="12" t="n">
        <f aca="false">IF(AND(70=p_MesCorte,ISNUMBER(r_S_CXC)),r_S_CXC,BX$21)</f>
        <v>2912881.55255113</v>
      </c>
      <c r="BY22" s="12" t="n">
        <f aca="false">IF(AND(71=p_MesCorte,ISNUMBER(r_S_CXC)),r_S_CXC,BY$21)</f>
        <v>2912881.55255113</v>
      </c>
      <c r="BZ22" s="12" t="n">
        <f aca="false">IF(AND(72=p_MesCorte,ISNUMBER(r_S_CXC)),r_S_CXC,BZ$21)</f>
        <v>2912881.55255113</v>
      </c>
      <c r="CA22" s="12" t="n">
        <f aca="false">IF(AND(73=p_MesCorte,ISNUMBER(r_S_CXC)),r_S_CXC,CA$21)</f>
        <v>2920264.89815308</v>
      </c>
      <c r="CB22" s="12" t="n">
        <f aca="false">IF(AND(74=p_MesCorte,ISNUMBER(r_S_CXC)),r_S_CXC,CB$21)</f>
        <v>2927648.24375503</v>
      </c>
      <c r="CC22" s="12" t="n">
        <f aca="false">IF(AND(75=p_MesCorte,ISNUMBER(r_S_CXC)),r_S_CXC,CC$21)</f>
        <v>2935031.58935698</v>
      </c>
      <c r="CD22" s="12" t="n">
        <f aca="false">IF(AND(76=p_MesCorte,ISNUMBER(r_S_CXC)),r_S_CXC,CD$21)</f>
        <v>2942010.36807664</v>
      </c>
      <c r="CE22" s="12" t="n">
        <f aca="false">IF(AND(77=p_MesCorte,ISNUMBER(r_S_CXC)),r_S_CXC,CE$21)</f>
        <v>2942010.36807664</v>
      </c>
      <c r="CF22" s="12" t="n">
        <f aca="false">IF(AND(78=p_MesCorte,ISNUMBER(r_S_CXC)),r_S_CXC,CF$21)</f>
        <v>2942010.36807664</v>
      </c>
      <c r="CG22" s="12" t="n">
        <f aca="false">IF(AND(79=p_MesCorte,ISNUMBER(r_S_CXC)),r_S_CXC,CG$21)</f>
        <v>2942010.36807664</v>
      </c>
      <c r="CH22" s="12" t="n">
        <f aca="false">IF(AND(80=p_MesCorte,ISNUMBER(r_S_CXC)),r_S_CXC,CH$21)</f>
        <v>2942010.36807664</v>
      </c>
      <c r="CI22" s="12" t="n">
        <f aca="false">IF(AND(81=p_MesCorte,ISNUMBER(r_S_CXC)),r_S_CXC,CI$21)</f>
        <v>2942010.36807664</v>
      </c>
      <c r="CJ22" s="12" t="n">
        <f aca="false">IF(AND(82=p_MesCorte,ISNUMBER(r_S_CXC)),r_S_CXC,CJ$21)</f>
        <v>2942010.36807664</v>
      </c>
      <c r="CK22" s="12" t="n">
        <f aca="false">IF(AND(83=p_MesCorte,ISNUMBER(r_S_CXC)),r_S_CXC,CK$21)</f>
        <v>2942010.36807664</v>
      </c>
      <c r="CL22" s="12" t="n">
        <f aca="false">IF(AND(84=p_MesCorte,ISNUMBER(r_S_CXC)),r_S_CXC,CL$21)</f>
        <v>2942010.36807664</v>
      </c>
      <c r="CM22" s="12" t="n">
        <f aca="false">IF(AND(85=p_MesCorte,ISNUMBER(r_S_CXC)),r_S_CXC,CM$21)</f>
        <v>2949467.54713461</v>
      </c>
      <c r="CN22" s="12" t="n">
        <f aca="false">IF(AND(86=p_MesCorte,ISNUMBER(r_S_CXC)),r_S_CXC,CN$21)</f>
        <v>2956924.72619258</v>
      </c>
      <c r="CO22" s="12" t="n">
        <f aca="false">IF(AND(87=p_MesCorte,ISNUMBER(r_S_CXC)),r_S_CXC,CO$21)</f>
        <v>2964381.90525055</v>
      </c>
      <c r="CP22" s="12" t="n">
        <f aca="false">IF(AND(88=p_MesCorte,ISNUMBER(r_S_CXC)),r_S_CXC,CP$21)</f>
        <v>2971430.4717574</v>
      </c>
      <c r="CQ22" s="12" t="n">
        <f aca="false">IF(AND(89=p_MesCorte,ISNUMBER(r_S_CXC)),r_S_CXC,CQ$21)</f>
        <v>2971430.4717574</v>
      </c>
      <c r="CR22" s="12" t="n">
        <f aca="false">IF(AND(90=p_MesCorte,ISNUMBER(r_S_CXC)),r_S_CXC,CR$21)</f>
        <v>2971430.4717574</v>
      </c>
      <c r="CS22" s="12" t="n">
        <f aca="false">IF(AND(91=p_MesCorte,ISNUMBER(r_S_CXC)),r_S_CXC,CS$21)</f>
        <v>2971430.4717574</v>
      </c>
      <c r="CT22" s="12" t="n">
        <f aca="false">IF(AND(92=p_MesCorte,ISNUMBER(r_S_CXC)),r_S_CXC,CT$21)</f>
        <v>2971430.4717574</v>
      </c>
      <c r="CU22" s="12" t="n">
        <f aca="false">IF(AND(93=p_MesCorte,ISNUMBER(r_S_CXC)),r_S_CXC,CU$21)</f>
        <v>2971430.4717574</v>
      </c>
      <c r="CV22" s="12" t="n">
        <f aca="false">IF(AND(94=p_MesCorte,ISNUMBER(r_S_CXC)),r_S_CXC,CV$21)</f>
        <v>2971430.4717574</v>
      </c>
      <c r="CW22" s="12" t="n">
        <f aca="false">IF(AND(95=p_MesCorte,ISNUMBER(r_S_CXC)),r_S_CXC,CW$21)</f>
        <v>2971430.4717574</v>
      </c>
      <c r="CX22" s="12" t="n">
        <f aca="false">IF(AND(96=p_MesCorte,ISNUMBER(r_S_CXC)),r_S_CXC,CX$21)</f>
        <v>2971430.4717574</v>
      </c>
      <c r="CY22" s="12" t="n">
        <f aca="false">IF(AND(97=p_MesCorte,ISNUMBER(r_S_CXC)),r_S_CXC,CY$21)</f>
        <v>2978962.22260596</v>
      </c>
      <c r="CZ22" s="12" t="n">
        <f aca="false">IF(AND(98=p_MesCorte,ISNUMBER(r_S_CXC)),r_S_CXC,CZ$21)</f>
        <v>2986493.97345451</v>
      </c>
      <c r="DA22" s="12" t="n">
        <f aca="false">IF(AND(99=p_MesCorte,ISNUMBER(r_S_CXC)),r_S_CXC,DA$21)</f>
        <v>2994025.72430306</v>
      </c>
      <c r="DB22" s="12" t="n">
        <f aca="false">IF(AND(100=p_MesCorte,ISNUMBER(r_S_CXC)),r_S_CXC,DB$21)</f>
        <v>3001144.77647498</v>
      </c>
      <c r="DC22" s="12" t="n">
        <f aca="false">IF(AND(101=p_MesCorte,ISNUMBER(r_S_CXC)),r_S_CXC,DC$21)</f>
        <v>3001144.77647498</v>
      </c>
      <c r="DD22" s="12" t="n">
        <f aca="false">IF(AND(102=p_MesCorte,ISNUMBER(r_S_CXC)),r_S_CXC,DD$21)</f>
        <v>3001144.77647498</v>
      </c>
      <c r="DE22" s="12" t="n">
        <f aca="false">IF(AND(103=p_MesCorte,ISNUMBER(r_S_CXC)),r_S_CXC,DE$21)</f>
        <v>3001144.77647498</v>
      </c>
      <c r="DF22" s="12" t="n">
        <f aca="false">IF(AND(104=p_MesCorte,ISNUMBER(r_S_CXC)),r_S_CXC,DF$21)</f>
        <v>3001144.77647498</v>
      </c>
      <c r="DG22" s="12" t="n">
        <f aca="false">IF(AND(105=p_MesCorte,ISNUMBER(r_S_CXC)),r_S_CXC,DG$21)</f>
        <v>3001144.77647498</v>
      </c>
      <c r="DH22" s="12" t="n">
        <f aca="false">IF(AND(106=p_MesCorte,ISNUMBER(r_S_CXC)),r_S_CXC,DH$21)</f>
        <v>3001144.77647498</v>
      </c>
      <c r="DI22" s="12" t="n">
        <f aca="false">IF(AND(107=p_MesCorte,ISNUMBER(r_S_CXC)),r_S_CXC,DI$21)</f>
        <v>3001144.77647498</v>
      </c>
      <c r="DJ22" s="12" t="n">
        <f aca="false">IF(AND(108=p_MesCorte,ISNUMBER(r_S_CXC)),r_S_CXC,DJ$21)</f>
        <v>3001144.77647498</v>
      </c>
      <c r="DK22" s="12" t="n">
        <f aca="false">IF(AND(109=p_MesCorte,ISNUMBER(r_S_CXC)),r_S_CXC,DK$21)</f>
        <v>3008751.84483201</v>
      </c>
      <c r="DL22" s="12" t="n">
        <f aca="false">IF(AND(110=p_MesCorte,ISNUMBER(r_S_CXC)),r_S_CXC,DL$21)</f>
        <v>3016358.91318905</v>
      </c>
      <c r="DM22" s="12" t="n">
        <f aca="false">IF(AND(111=p_MesCorte,ISNUMBER(r_S_CXC)),r_S_CXC,DM$21)</f>
        <v>3023965.98154609</v>
      </c>
      <c r="DN22" s="12" t="n">
        <f aca="false">IF(AND(112=p_MesCorte,ISNUMBER(r_S_CXC)),r_S_CXC,DN$21)</f>
        <v>3031156.22423973</v>
      </c>
      <c r="DO22" s="12" t="n">
        <f aca="false">IF(AND(113=p_MesCorte,ISNUMBER(r_S_CXC)),r_S_CXC,DO$21)</f>
        <v>3031156.22423973</v>
      </c>
      <c r="DP22" s="12" t="n">
        <f aca="false">IF(AND(114=p_MesCorte,ISNUMBER(r_S_CXC)),r_S_CXC,DP$21)</f>
        <v>3031156.22423973</v>
      </c>
      <c r="DQ22" s="12" t="n">
        <f aca="false">IF(AND(115=p_MesCorte,ISNUMBER(r_S_CXC)),r_S_CXC,DQ$21)</f>
        <v>3031156.22423973</v>
      </c>
      <c r="DR22" s="12" t="n">
        <f aca="false">IF(AND(116=p_MesCorte,ISNUMBER(r_S_CXC)),r_S_CXC,DR$21)</f>
        <v>3031156.22423973</v>
      </c>
      <c r="DS22" s="12" t="n">
        <f aca="false">IF(AND(117=p_MesCorte,ISNUMBER(r_S_CXC)),r_S_CXC,DS$21)</f>
        <v>3031156.22423973</v>
      </c>
      <c r="DT22" s="12" t="n">
        <f aca="false">IF(AND(118=p_MesCorte,ISNUMBER(r_S_CXC)),r_S_CXC,DT$21)</f>
        <v>3031156.22423973</v>
      </c>
      <c r="DU22" s="12" t="n">
        <f aca="false">IF(AND(119=p_MesCorte,ISNUMBER(r_S_CXC)),r_S_CXC,DU$21)</f>
        <v>3031156.22423973</v>
      </c>
      <c r="DV22" s="12" t="n">
        <f aca="false">IF(AND(120=p_MesCorte,ISNUMBER(r_S_CXC)),r_S_CXC,DV$21)</f>
        <v>3031156.22423973</v>
      </c>
      <c r="DW22" s="12" t="n">
        <f aca="false">IF(AND(121=p_MesCorte,ISNUMBER(r_S_CXC)),r_S_CXC,DW$21)</f>
        <v>3031156.22423973</v>
      </c>
      <c r="DX22" s="12" t="n">
        <f aca="false">IF(AND(122=p_MesCorte,ISNUMBER(r_S_CXC)),r_S_CXC,DX$21)</f>
        <v>3031156.22423973</v>
      </c>
      <c r="DY22" s="12" t="n">
        <f aca="false">IF(AND(123=p_MesCorte,ISNUMBER(r_S_CXC)),r_S_CXC,DY$21)</f>
        <v>3031156.22423973</v>
      </c>
      <c r="DZ22" s="12" t="n">
        <f aca="false">IF(AND(124=p_MesCorte,ISNUMBER(r_S_CXC)),r_S_CXC,DZ$21)</f>
        <v>3031156.22423973</v>
      </c>
      <c r="EA22" s="12" t="n">
        <f aca="false">IF(AND(125=p_MesCorte,ISNUMBER(r_S_CXC)),r_S_CXC,EA$21)</f>
        <v>3031156.22423973</v>
      </c>
      <c r="EB22" s="12" t="n">
        <f aca="false">IF(AND(126=p_MesCorte,ISNUMBER(r_S_CXC)),r_S_CXC,EB$21)</f>
        <v>3031156.22423973</v>
      </c>
      <c r="EC22" s="12" t="n">
        <f aca="false">IF(AND(127=p_MesCorte,ISNUMBER(r_S_CXC)),r_S_CXC,EC$21)</f>
        <v>3031156.22423973</v>
      </c>
      <c r="ED22" s="12" t="n">
        <f aca="false">IF(AND(128=p_MesCorte,ISNUMBER(r_S_CXC)),r_S_CXC,ED$21)</f>
        <v>3031156.22423973</v>
      </c>
      <c r="EE22" s="12" t="n">
        <f aca="false">IF(AND(129=p_MesCorte,ISNUMBER(r_S_CXC)),r_S_CXC,EE$21)</f>
        <v>3031156.22423973</v>
      </c>
      <c r="EF22" s="12" t="n">
        <f aca="false">IF(AND(130=p_MesCorte,ISNUMBER(r_S_CXC)),r_S_CXC,EF$21)</f>
        <v>3031156.22423973</v>
      </c>
      <c r="EG22" s="12" t="n">
        <f aca="false">IF(AND(131=p_MesCorte,ISNUMBER(r_S_CXC)),r_S_CXC,EG$21)</f>
        <v>3031156.22423973</v>
      </c>
      <c r="EH22" s="12" t="n">
        <f aca="false">IF(AND(132=p_MesCorte,ISNUMBER(r_S_CXC)),r_S_CXC,EH$21)</f>
        <v>3031156.22423973</v>
      </c>
      <c r="EI22" s="12" t="n">
        <f aca="false">IF(AND(133=p_MesCorte,ISNUMBER(r_S_CXC)),r_S_CXC,EI$21)</f>
        <v>3031156.22423973</v>
      </c>
      <c r="EJ22" s="12" t="n">
        <f aca="false">IF(AND(134=p_MesCorte,ISNUMBER(r_S_CXC)),r_S_CXC,EJ$21)</f>
        <v>3031156.22423973</v>
      </c>
      <c r="EK22" s="12" t="n">
        <f aca="false">IF(AND(135=p_MesCorte,ISNUMBER(r_S_CXC)),r_S_CXC,EK$21)</f>
        <v>3031156.22423973</v>
      </c>
      <c r="EL22" s="12" t="n">
        <f aca="false">IF(AND(136=p_MesCorte,ISNUMBER(r_S_CXC)),r_S_CXC,EL$21)</f>
        <v>3031156.22423973</v>
      </c>
      <c r="EM22" s="12" t="n">
        <f aca="false">IF(AND(137=p_MesCorte,ISNUMBER(r_S_CXC)),r_S_CXC,EM$21)</f>
        <v>3031156.22423973</v>
      </c>
      <c r="EN22" s="12" t="n">
        <f aca="false">IF(AND(138=p_MesCorte,ISNUMBER(r_S_CXC)),r_S_CXC,EN$21)</f>
        <v>3031156.22423973</v>
      </c>
      <c r="EO22" s="12" t="n">
        <f aca="false">IF(AND(139=p_MesCorte,ISNUMBER(r_S_CXC)),r_S_CXC,EO$21)</f>
        <v>3031156.22423973</v>
      </c>
      <c r="EP22" s="12" t="n">
        <f aca="false">IF(AND(140=p_MesCorte,ISNUMBER(r_S_CXC)),r_S_CXC,EP$21)</f>
        <v>3031156.22423973</v>
      </c>
      <c r="EQ22" s="12" t="n">
        <f aca="false">IF(AND(141=p_MesCorte,ISNUMBER(r_S_CXC)),r_S_CXC,EQ$21)</f>
        <v>3031156.22423973</v>
      </c>
      <c r="ER22" s="12" t="n">
        <f aca="false">IF(AND(142=p_MesCorte,ISNUMBER(r_S_CXC)),r_S_CXC,ER$21)</f>
        <v>3031156.22423973</v>
      </c>
      <c r="ES22" s="12" t="n">
        <f aca="false">IF(AND(143=p_MesCorte,ISNUMBER(r_S_CXC)),r_S_CXC,ES$21)</f>
        <v>3031156.22423973</v>
      </c>
      <c r="ET22" s="12" t="n">
        <f aca="false">IF(AND(144=p_MesCorte,ISNUMBER(r_S_CXC)),r_S_CXC,ET$21)</f>
        <v>3031156.22423973</v>
      </c>
      <c r="EU22" s="12" t="n">
        <f aca="false">IF(AND(145=p_MesCorte,ISNUMBER(r_S_CXC)),r_S_CXC,EU$21)</f>
        <v>3031156.22423973</v>
      </c>
      <c r="EV22" s="12" t="n">
        <f aca="false">IF(AND(146=p_MesCorte,ISNUMBER(r_S_CXC)),r_S_CXC,EV$21)</f>
        <v>3031156.22423973</v>
      </c>
      <c r="EW22" s="12" t="n">
        <f aca="false">IF(AND(147=p_MesCorte,ISNUMBER(r_S_CXC)),r_S_CXC,EW$21)</f>
        <v>3031156.22423973</v>
      </c>
      <c r="EX22" s="12" t="n">
        <f aca="false">IF(AND(148=p_MesCorte,ISNUMBER(r_S_CXC)),r_S_CXC,EX$21)</f>
        <v>3031156.22423973</v>
      </c>
      <c r="EY22" s="12" t="n">
        <f aca="false">IF(AND(149=p_MesCorte,ISNUMBER(r_S_CXC)),r_S_CXC,EY$21)</f>
        <v>3031156.22423973</v>
      </c>
      <c r="EZ22" s="12" t="n">
        <f aca="false">IF(AND(150=p_MesCorte,ISNUMBER(r_S_CXC)),r_S_CXC,EZ$21)</f>
        <v>3031156.22423973</v>
      </c>
      <c r="FA22" s="12" t="n">
        <f aca="false">IF(AND(151=p_MesCorte,ISNUMBER(r_S_CXC)),r_S_CXC,FA$21)</f>
        <v>3031156.22423973</v>
      </c>
      <c r="FB22" s="12" t="n">
        <f aca="false">IF(AND(152=p_MesCorte,ISNUMBER(r_S_CXC)),r_S_CXC,FB$21)</f>
        <v>3031156.22423973</v>
      </c>
      <c r="FC22" s="12" t="n">
        <f aca="false">IF(AND(153=p_MesCorte,ISNUMBER(r_S_CXC)),r_S_CXC,FC$21)</f>
        <v>3031156.22423973</v>
      </c>
      <c r="FD22" s="12" t="n">
        <f aca="false">IF(AND(154=p_MesCorte,ISNUMBER(r_S_CXC)),r_S_CXC,FD$21)</f>
        <v>3031156.22423973</v>
      </c>
      <c r="FE22" s="12" t="n">
        <f aca="false">IF(AND(155=p_MesCorte,ISNUMBER(r_S_CXC)),r_S_CXC,FE$21)</f>
        <v>3031156.22423973</v>
      </c>
      <c r="FF22" s="12" t="n">
        <f aca="false">IF(AND(156=p_MesCorte,ISNUMBER(r_S_CXC)),r_S_CXC,FF$21)</f>
        <v>3031156.22423973</v>
      </c>
    </row>
    <row r="23" customFormat="false" ht="15" hidden="false" customHeight="false" outlineLevel="0" collapsed="false">
      <c r="A23" s="2" t="s">
        <v>1307</v>
      </c>
      <c r="B23" s="8" t="s">
        <v>1308</v>
      </c>
      <c r="C23" s="8" t="s">
        <v>255</v>
      </c>
      <c r="E23" s="65" t="n">
        <f aca="false">SUM($F23:$FF23)</f>
        <v>0</v>
      </c>
      <c r="F23" s="13" t="n">
        <f aca="false">F$22-F$21</f>
        <v>0</v>
      </c>
      <c r="G23" s="13" t="n">
        <f aca="false">G$22-G$21</f>
        <v>0</v>
      </c>
      <c r="H23" s="13" t="n">
        <f aca="false">H$22-H$21</f>
        <v>0</v>
      </c>
      <c r="I23" s="13" t="n">
        <f aca="false">I$22-I$21</f>
        <v>0</v>
      </c>
      <c r="J23" s="13" t="n">
        <f aca="false">J$22-J$21</f>
        <v>0</v>
      </c>
      <c r="K23" s="13" t="n">
        <f aca="false">K$22-K$21</f>
        <v>0</v>
      </c>
      <c r="L23" s="13" t="n">
        <f aca="false">L$22-L$21</f>
        <v>0</v>
      </c>
      <c r="M23" s="13" t="n">
        <f aca="false">M$22-M$21</f>
        <v>0</v>
      </c>
      <c r="N23" s="13" t="n">
        <f aca="false">N$22-N$21</f>
        <v>0</v>
      </c>
      <c r="O23" s="13" t="n">
        <f aca="false">O$22-O$21</f>
        <v>0</v>
      </c>
      <c r="P23" s="13" t="n">
        <f aca="false">P$22-P$21</f>
        <v>0</v>
      </c>
      <c r="Q23" s="13" t="n">
        <f aca="false">Q$22-Q$21</f>
        <v>0</v>
      </c>
      <c r="R23" s="13" t="n">
        <f aca="false">R$22-R$21</f>
        <v>0</v>
      </c>
      <c r="S23" s="13" t="n">
        <f aca="false">S$22-S$21</f>
        <v>0</v>
      </c>
      <c r="T23" s="13" t="n">
        <f aca="false">T$22-T$21</f>
        <v>0</v>
      </c>
      <c r="U23" s="13" t="n">
        <f aca="false">U$22-U$21</f>
        <v>0</v>
      </c>
      <c r="V23" s="13" t="n">
        <f aca="false">V$22-V$21</f>
        <v>0</v>
      </c>
      <c r="W23" s="13" t="n">
        <f aca="false">W$22-W$21</f>
        <v>0</v>
      </c>
      <c r="X23" s="13" t="n">
        <f aca="false">X$22-X$21</f>
        <v>0</v>
      </c>
      <c r="Y23" s="13" t="n">
        <f aca="false">Y$22-Y$21</f>
        <v>0</v>
      </c>
      <c r="Z23" s="13" t="n">
        <f aca="false">Z$22-Z$21</f>
        <v>0</v>
      </c>
      <c r="AA23" s="13" t="n">
        <f aca="false">AA$22-AA$21</f>
        <v>0</v>
      </c>
      <c r="AB23" s="13" t="n">
        <f aca="false">AB$22-AB$21</f>
        <v>0</v>
      </c>
      <c r="AC23" s="13" t="n">
        <f aca="false">AC$22-AC$21</f>
        <v>0</v>
      </c>
      <c r="AD23" s="13" t="n">
        <f aca="false">AD$22-AD$21</f>
        <v>0</v>
      </c>
      <c r="AE23" s="13" t="n">
        <f aca="false">AE$22-AE$21</f>
        <v>0</v>
      </c>
      <c r="AF23" s="13" t="n">
        <f aca="false">AF$22-AF$21</f>
        <v>0</v>
      </c>
      <c r="AG23" s="13" t="n">
        <f aca="false">AG$22-AG$21</f>
        <v>0</v>
      </c>
      <c r="AH23" s="13" t="n">
        <f aca="false">AH$22-AH$21</f>
        <v>0</v>
      </c>
      <c r="AI23" s="13" t="n">
        <f aca="false">AI$22-AI$21</f>
        <v>0</v>
      </c>
      <c r="AJ23" s="13" t="n">
        <f aca="false">AJ$22-AJ$21</f>
        <v>0</v>
      </c>
      <c r="AK23" s="13" t="n">
        <f aca="false">AK$22-AK$21</f>
        <v>0</v>
      </c>
      <c r="AL23" s="13" t="n">
        <f aca="false">AL$22-AL$21</f>
        <v>0</v>
      </c>
      <c r="AM23" s="13" t="n">
        <f aca="false">AM$22-AM$21</f>
        <v>0</v>
      </c>
      <c r="AN23" s="13" t="n">
        <f aca="false">AN$22-AN$21</f>
        <v>0</v>
      </c>
      <c r="AO23" s="13" t="n">
        <f aca="false">AO$22-AO$21</f>
        <v>0</v>
      </c>
      <c r="AP23" s="13" t="n">
        <f aca="false">AP$22-AP$21</f>
        <v>0</v>
      </c>
      <c r="AQ23" s="13" t="n">
        <f aca="false">AQ$22-AQ$21</f>
        <v>0</v>
      </c>
      <c r="AR23" s="13" t="n">
        <f aca="false">AR$22-AR$21</f>
        <v>0</v>
      </c>
      <c r="AS23" s="13" t="n">
        <f aca="false">AS$22-AS$21</f>
        <v>0</v>
      </c>
      <c r="AT23" s="13" t="n">
        <f aca="false">AT$22-AT$21</f>
        <v>0</v>
      </c>
      <c r="AU23" s="13" t="n">
        <f aca="false">AU$22-AU$21</f>
        <v>0</v>
      </c>
      <c r="AV23" s="13" t="n">
        <f aca="false">AV$22-AV$21</f>
        <v>0</v>
      </c>
      <c r="AW23" s="13" t="n">
        <f aca="false">AW$22-AW$21</f>
        <v>0</v>
      </c>
      <c r="AX23" s="13" t="n">
        <f aca="false">AX$22-AX$21</f>
        <v>0</v>
      </c>
      <c r="AY23" s="13" t="n">
        <f aca="false">AY$22-AY$21</f>
        <v>0</v>
      </c>
      <c r="AZ23" s="13" t="n">
        <f aca="false">AZ$22-AZ$21</f>
        <v>0</v>
      </c>
      <c r="BA23" s="13" t="n">
        <f aca="false">BA$22-BA$21</f>
        <v>0</v>
      </c>
      <c r="BB23" s="13" t="n">
        <f aca="false">BB$22-BB$21</f>
        <v>0</v>
      </c>
      <c r="BC23" s="13" t="n">
        <f aca="false">BC$22-BC$21</f>
        <v>0</v>
      </c>
      <c r="BD23" s="13" t="n">
        <f aca="false">BD$22-BD$21</f>
        <v>0</v>
      </c>
      <c r="BE23" s="13" t="n">
        <f aca="false">BE$22-BE$21</f>
        <v>0</v>
      </c>
      <c r="BF23" s="13" t="n">
        <f aca="false">BF$22-BF$21</f>
        <v>0</v>
      </c>
      <c r="BG23" s="13" t="n">
        <f aca="false">BG$22-BG$21</f>
        <v>0</v>
      </c>
      <c r="BH23" s="13" t="n">
        <f aca="false">BH$22-BH$21</f>
        <v>0</v>
      </c>
      <c r="BI23" s="13" t="n">
        <f aca="false">BI$22-BI$21</f>
        <v>0</v>
      </c>
      <c r="BJ23" s="13" t="n">
        <f aca="false">BJ$22-BJ$21</f>
        <v>0</v>
      </c>
      <c r="BK23" s="13" t="n">
        <f aca="false">BK$22-BK$21</f>
        <v>0</v>
      </c>
      <c r="BL23" s="13" t="n">
        <f aca="false">BL$22-BL$21</f>
        <v>0</v>
      </c>
      <c r="BM23" s="13" t="n">
        <f aca="false">BM$22-BM$21</f>
        <v>0</v>
      </c>
      <c r="BN23" s="13" t="n">
        <f aca="false">BN$22-BN$21</f>
        <v>0</v>
      </c>
      <c r="BO23" s="13" t="n">
        <f aca="false">BO$22-BO$21</f>
        <v>0</v>
      </c>
      <c r="BP23" s="13" t="n">
        <f aca="false">BP$22-BP$21</f>
        <v>0</v>
      </c>
      <c r="BQ23" s="13" t="n">
        <f aca="false">BQ$22-BQ$21</f>
        <v>0</v>
      </c>
      <c r="BR23" s="13" t="n">
        <f aca="false">BR$22-BR$21</f>
        <v>0</v>
      </c>
      <c r="BS23" s="13" t="n">
        <f aca="false">BS$22-BS$21</f>
        <v>0</v>
      </c>
      <c r="BT23" s="13" t="n">
        <f aca="false">BT$22-BT$21</f>
        <v>0</v>
      </c>
      <c r="BU23" s="13" t="n">
        <f aca="false">BU$22-BU$21</f>
        <v>0</v>
      </c>
      <c r="BV23" s="13" t="n">
        <f aca="false">BV$22-BV$21</f>
        <v>0</v>
      </c>
      <c r="BW23" s="13" t="n">
        <f aca="false">BW$22-BW$21</f>
        <v>0</v>
      </c>
      <c r="BX23" s="13" t="n">
        <f aca="false">BX$22-BX$21</f>
        <v>0</v>
      </c>
      <c r="BY23" s="13" t="n">
        <f aca="false">BY$22-BY$21</f>
        <v>0</v>
      </c>
      <c r="BZ23" s="13" t="n">
        <f aca="false">BZ$22-BZ$21</f>
        <v>0</v>
      </c>
      <c r="CA23" s="13" t="n">
        <f aca="false">CA$22-CA$21</f>
        <v>0</v>
      </c>
      <c r="CB23" s="13" t="n">
        <f aca="false">CB$22-CB$21</f>
        <v>0</v>
      </c>
      <c r="CC23" s="13" t="n">
        <f aca="false">CC$22-CC$21</f>
        <v>0</v>
      </c>
      <c r="CD23" s="13" t="n">
        <f aca="false">CD$22-CD$21</f>
        <v>0</v>
      </c>
      <c r="CE23" s="13" t="n">
        <f aca="false">CE$22-CE$21</f>
        <v>0</v>
      </c>
      <c r="CF23" s="13" t="n">
        <f aca="false">CF$22-CF$21</f>
        <v>0</v>
      </c>
      <c r="CG23" s="13" t="n">
        <f aca="false">CG$22-CG$21</f>
        <v>0</v>
      </c>
      <c r="CH23" s="13" t="n">
        <f aca="false">CH$22-CH$21</f>
        <v>0</v>
      </c>
      <c r="CI23" s="13" t="n">
        <f aca="false">CI$22-CI$21</f>
        <v>0</v>
      </c>
      <c r="CJ23" s="13" t="n">
        <f aca="false">CJ$22-CJ$21</f>
        <v>0</v>
      </c>
      <c r="CK23" s="13" t="n">
        <f aca="false">CK$22-CK$21</f>
        <v>0</v>
      </c>
      <c r="CL23" s="13" t="n">
        <f aca="false">CL$22-CL$21</f>
        <v>0</v>
      </c>
      <c r="CM23" s="13" t="n">
        <f aca="false">CM$22-CM$21</f>
        <v>0</v>
      </c>
      <c r="CN23" s="13" t="n">
        <f aca="false">CN$22-CN$21</f>
        <v>0</v>
      </c>
      <c r="CO23" s="13" t="n">
        <f aca="false">CO$22-CO$21</f>
        <v>0</v>
      </c>
      <c r="CP23" s="13" t="n">
        <f aca="false">CP$22-CP$21</f>
        <v>0</v>
      </c>
      <c r="CQ23" s="13" t="n">
        <f aca="false">CQ$22-CQ$21</f>
        <v>0</v>
      </c>
      <c r="CR23" s="13" t="n">
        <f aca="false">CR$22-CR$21</f>
        <v>0</v>
      </c>
      <c r="CS23" s="13" t="n">
        <f aca="false">CS$22-CS$21</f>
        <v>0</v>
      </c>
      <c r="CT23" s="13" t="n">
        <f aca="false">CT$22-CT$21</f>
        <v>0</v>
      </c>
      <c r="CU23" s="13" t="n">
        <f aca="false">CU$22-CU$21</f>
        <v>0</v>
      </c>
      <c r="CV23" s="13" t="n">
        <f aca="false">CV$22-CV$21</f>
        <v>0</v>
      </c>
      <c r="CW23" s="13" t="n">
        <f aca="false">CW$22-CW$21</f>
        <v>0</v>
      </c>
      <c r="CX23" s="13" t="n">
        <f aca="false">CX$22-CX$21</f>
        <v>0</v>
      </c>
      <c r="CY23" s="13" t="n">
        <f aca="false">CY$22-CY$21</f>
        <v>0</v>
      </c>
      <c r="CZ23" s="13" t="n">
        <f aca="false">CZ$22-CZ$21</f>
        <v>0</v>
      </c>
      <c r="DA23" s="13" t="n">
        <f aca="false">DA$22-DA$21</f>
        <v>0</v>
      </c>
      <c r="DB23" s="13" t="n">
        <f aca="false">DB$22-DB$21</f>
        <v>0</v>
      </c>
      <c r="DC23" s="13" t="n">
        <f aca="false">DC$22-DC$21</f>
        <v>0</v>
      </c>
      <c r="DD23" s="13" t="n">
        <f aca="false">DD$22-DD$21</f>
        <v>0</v>
      </c>
      <c r="DE23" s="13" t="n">
        <f aca="false">DE$22-DE$21</f>
        <v>0</v>
      </c>
      <c r="DF23" s="13" t="n">
        <f aca="false">DF$22-DF$21</f>
        <v>0</v>
      </c>
      <c r="DG23" s="13" t="n">
        <f aca="false">DG$22-DG$21</f>
        <v>0</v>
      </c>
      <c r="DH23" s="13" t="n">
        <f aca="false">DH$22-DH$21</f>
        <v>0</v>
      </c>
      <c r="DI23" s="13" t="n">
        <f aca="false">DI$22-DI$21</f>
        <v>0</v>
      </c>
      <c r="DJ23" s="13" t="n">
        <f aca="false">DJ$22-DJ$21</f>
        <v>0</v>
      </c>
      <c r="DK23" s="13" t="n">
        <f aca="false">DK$22-DK$21</f>
        <v>0</v>
      </c>
      <c r="DL23" s="13" t="n">
        <f aca="false">DL$22-DL$21</f>
        <v>0</v>
      </c>
      <c r="DM23" s="13" t="n">
        <f aca="false">DM$22-DM$21</f>
        <v>0</v>
      </c>
      <c r="DN23" s="13" t="n">
        <f aca="false">DN$22-DN$21</f>
        <v>0</v>
      </c>
      <c r="DO23" s="13" t="n">
        <f aca="false">DO$22-DO$21</f>
        <v>0</v>
      </c>
      <c r="DP23" s="13" t="n">
        <f aca="false">DP$22-DP$21</f>
        <v>0</v>
      </c>
      <c r="DQ23" s="13" t="n">
        <f aca="false">DQ$22-DQ$21</f>
        <v>0</v>
      </c>
      <c r="DR23" s="13" t="n">
        <f aca="false">DR$22-DR$21</f>
        <v>0</v>
      </c>
      <c r="DS23" s="13" t="n">
        <f aca="false">DS$22-DS$21</f>
        <v>0</v>
      </c>
      <c r="DT23" s="13" t="n">
        <f aca="false">DT$22-DT$21</f>
        <v>0</v>
      </c>
      <c r="DU23" s="13" t="n">
        <f aca="false">DU$22-DU$21</f>
        <v>0</v>
      </c>
      <c r="DV23" s="13" t="n">
        <f aca="false">DV$22-DV$21</f>
        <v>0</v>
      </c>
      <c r="DW23" s="13" t="n">
        <f aca="false">DW$22-DW$21</f>
        <v>0</v>
      </c>
      <c r="DX23" s="13" t="n">
        <f aca="false">DX$22-DX$21</f>
        <v>0</v>
      </c>
      <c r="DY23" s="13" t="n">
        <f aca="false">DY$22-DY$21</f>
        <v>0</v>
      </c>
      <c r="DZ23" s="13" t="n">
        <f aca="false">DZ$22-DZ$21</f>
        <v>0</v>
      </c>
      <c r="EA23" s="13" t="n">
        <f aca="false">EA$22-EA$21</f>
        <v>0</v>
      </c>
      <c r="EB23" s="13" t="n">
        <f aca="false">EB$22-EB$21</f>
        <v>0</v>
      </c>
      <c r="EC23" s="13" t="n">
        <f aca="false">EC$22-EC$21</f>
        <v>0</v>
      </c>
      <c r="ED23" s="13" t="n">
        <f aca="false">ED$22-ED$21</f>
        <v>0</v>
      </c>
      <c r="EE23" s="13" t="n">
        <f aca="false">EE$22-EE$21</f>
        <v>0</v>
      </c>
      <c r="EF23" s="13" t="n">
        <f aca="false">EF$22-EF$21</f>
        <v>0</v>
      </c>
      <c r="EG23" s="13" t="n">
        <f aca="false">EG$22-EG$21</f>
        <v>0</v>
      </c>
      <c r="EH23" s="13" t="n">
        <f aca="false">EH$22-EH$21</f>
        <v>0</v>
      </c>
      <c r="EI23" s="13" t="n">
        <f aca="false">EI$22-EI$21</f>
        <v>0</v>
      </c>
      <c r="EJ23" s="13" t="n">
        <f aca="false">EJ$22-EJ$21</f>
        <v>0</v>
      </c>
      <c r="EK23" s="13" t="n">
        <f aca="false">EK$22-EK$21</f>
        <v>0</v>
      </c>
      <c r="EL23" s="13" t="n">
        <f aca="false">EL$22-EL$21</f>
        <v>0</v>
      </c>
      <c r="EM23" s="13" t="n">
        <f aca="false">EM$22-EM$21</f>
        <v>0</v>
      </c>
      <c r="EN23" s="13" t="n">
        <f aca="false">EN$22-EN$21</f>
        <v>0</v>
      </c>
      <c r="EO23" s="13" t="n">
        <f aca="false">EO$22-EO$21</f>
        <v>0</v>
      </c>
      <c r="EP23" s="13" t="n">
        <f aca="false">EP$22-EP$21</f>
        <v>0</v>
      </c>
      <c r="EQ23" s="13" t="n">
        <f aca="false">EQ$22-EQ$21</f>
        <v>0</v>
      </c>
      <c r="ER23" s="13" t="n">
        <f aca="false">ER$22-ER$21</f>
        <v>0</v>
      </c>
      <c r="ES23" s="13" t="n">
        <f aca="false">ES$22-ES$21</f>
        <v>0</v>
      </c>
      <c r="ET23" s="13" t="n">
        <f aca="false">ET$22-ET$21</f>
        <v>0</v>
      </c>
      <c r="EU23" s="13" t="n">
        <f aca="false">EU$22-EU$21</f>
        <v>0</v>
      </c>
      <c r="EV23" s="13" t="n">
        <f aca="false">EV$22-EV$21</f>
        <v>0</v>
      </c>
      <c r="EW23" s="13" t="n">
        <f aca="false">EW$22-EW$21</f>
        <v>0</v>
      </c>
      <c r="EX23" s="13" t="n">
        <f aca="false">EX$22-EX$21</f>
        <v>0</v>
      </c>
      <c r="EY23" s="13" t="n">
        <f aca="false">EY$22-EY$21</f>
        <v>0</v>
      </c>
      <c r="EZ23" s="13" t="n">
        <f aca="false">EZ$22-EZ$21</f>
        <v>0</v>
      </c>
      <c r="FA23" s="13" t="n">
        <f aca="false">FA$22-FA$21</f>
        <v>0</v>
      </c>
      <c r="FB23" s="13" t="n">
        <f aca="false">FB$22-FB$21</f>
        <v>0</v>
      </c>
      <c r="FC23" s="13" t="n">
        <f aca="false">FC$22-FC$21</f>
        <v>0</v>
      </c>
      <c r="FD23" s="13" t="n">
        <f aca="false">FD$22-FD$21</f>
        <v>0</v>
      </c>
      <c r="FE23" s="13" t="n">
        <f aca="false">FE$22-FE$21</f>
        <v>0</v>
      </c>
      <c r="FF23" s="13" t="n">
        <f aca="false">FF$22-FF$21</f>
        <v>0</v>
      </c>
    </row>
    <row r="24" customFormat="false" ht="15" hidden="false" customHeight="false" outlineLevel="0" collapsed="false">
      <c r="A24" s="2" t="s">
        <v>1309</v>
      </c>
      <c r="B24" s="8" t="s">
        <v>1310</v>
      </c>
      <c r="C24" s="8" t="s">
        <v>255</v>
      </c>
      <c r="E24" s="65" t="n">
        <f aca="false">INDEX($F24:$FF24,1,p_MesFin+1)</f>
        <v>0</v>
      </c>
      <c r="F24" s="13" t="n">
        <f aca="false">0+F$23-F$18</f>
        <v>0</v>
      </c>
      <c r="G24" s="13" t="n">
        <f aca="false">F$24+G$23-G$18</f>
        <v>0</v>
      </c>
      <c r="H24" s="13" t="n">
        <f aca="false">G$24+H$23-H$18</f>
        <v>0</v>
      </c>
      <c r="I24" s="13" t="n">
        <f aca="false">H$24+I$23-I$18</f>
        <v>0</v>
      </c>
      <c r="J24" s="13" t="n">
        <f aca="false">I$24+J$23-J$18</f>
        <v>0</v>
      </c>
      <c r="K24" s="13" t="n">
        <f aca="false">J$24+K$23-K$18</f>
        <v>0</v>
      </c>
      <c r="L24" s="13" t="n">
        <f aca="false">K$24+L$23-L$18</f>
        <v>0</v>
      </c>
      <c r="M24" s="13" t="n">
        <f aca="false">L$24+M$23-M$18</f>
        <v>0</v>
      </c>
      <c r="N24" s="13" t="n">
        <f aca="false">M$24+N$23-N$18</f>
        <v>0</v>
      </c>
      <c r="O24" s="13" t="n">
        <f aca="false">N$24+O$23-O$18</f>
        <v>0</v>
      </c>
      <c r="P24" s="13" t="n">
        <f aca="false">O$24+P$23-P$18</f>
        <v>0</v>
      </c>
      <c r="Q24" s="13" t="n">
        <f aca="false">P$24+Q$23-Q$18</f>
        <v>0</v>
      </c>
      <c r="R24" s="13" t="n">
        <f aca="false">Q$24+R$23-R$18</f>
        <v>0</v>
      </c>
      <c r="S24" s="13" t="n">
        <f aca="false">R$24+S$23-S$18</f>
        <v>0</v>
      </c>
      <c r="T24" s="13" t="n">
        <f aca="false">S$24+T$23-T$18</f>
        <v>0</v>
      </c>
      <c r="U24" s="13" t="n">
        <f aca="false">T$24+U$23-U$18</f>
        <v>0</v>
      </c>
      <c r="V24" s="13" t="n">
        <f aca="false">U$24+V$23-V$18</f>
        <v>0</v>
      </c>
      <c r="W24" s="13" t="n">
        <f aca="false">V$24+W$23-W$18</f>
        <v>0</v>
      </c>
      <c r="X24" s="13" t="n">
        <f aca="false">W$24+X$23-X$18</f>
        <v>0</v>
      </c>
      <c r="Y24" s="13" t="n">
        <f aca="false">X$24+Y$23-Y$18</f>
        <v>0</v>
      </c>
      <c r="Z24" s="13" t="n">
        <f aca="false">Y$24+Z$23-Z$18</f>
        <v>0</v>
      </c>
      <c r="AA24" s="13" t="n">
        <f aca="false">Z$24+AA$23-AA$18</f>
        <v>0</v>
      </c>
      <c r="AB24" s="13" t="n">
        <f aca="false">AA$24+AB$23-AB$18</f>
        <v>0</v>
      </c>
      <c r="AC24" s="13" t="n">
        <f aca="false">AB$24+AC$23-AC$18</f>
        <v>0</v>
      </c>
      <c r="AD24" s="13" t="n">
        <f aca="false">AC$24+AD$23-AD$18</f>
        <v>0</v>
      </c>
      <c r="AE24" s="13" t="n">
        <f aca="false">AD$24+AE$23-AE$18</f>
        <v>0</v>
      </c>
      <c r="AF24" s="13" t="n">
        <f aca="false">AE$24+AF$23-AF$18</f>
        <v>0</v>
      </c>
      <c r="AG24" s="13" t="n">
        <f aca="false">AF$24+AG$23-AG$18</f>
        <v>0</v>
      </c>
      <c r="AH24" s="13" t="n">
        <f aca="false">AG$24+AH$23-AH$18</f>
        <v>0</v>
      </c>
      <c r="AI24" s="13" t="n">
        <f aca="false">AH$24+AI$23-AI$18</f>
        <v>0</v>
      </c>
      <c r="AJ24" s="13" t="n">
        <f aca="false">AI$24+AJ$23-AJ$18</f>
        <v>0</v>
      </c>
      <c r="AK24" s="13" t="n">
        <f aca="false">AJ$24+AK$23-AK$18</f>
        <v>0</v>
      </c>
      <c r="AL24" s="13" t="n">
        <f aca="false">AK$24+AL$23-AL$18</f>
        <v>0</v>
      </c>
      <c r="AM24" s="13" t="n">
        <f aca="false">AL$24+AM$23-AM$18</f>
        <v>0</v>
      </c>
      <c r="AN24" s="13" t="n">
        <f aca="false">AM$24+AN$23-AN$18</f>
        <v>0</v>
      </c>
      <c r="AO24" s="13" t="n">
        <f aca="false">AN$24+AO$23-AO$18</f>
        <v>0</v>
      </c>
      <c r="AP24" s="13" t="n">
        <f aca="false">AO$24+AP$23-AP$18</f>
        <v>0</v>
      </c>
      <c r="AQ24" s="13" t="n">
        <f aca="false">AP$24+AQ$23-AQ$18</f>
        <v>0</v>
      </c>
      <c r="AR24" s="13" t="n">
        <f aca="false">AQ$24+AR$23-AR$18</f>
        <v>0</v>
      </c>
      <c r="AS24" s="13" t="n">
        <f aca="false">AR$24+AS$23-AS$18</f>
        <v>0</v>
      </c>
      <c r="AT24" s="13" t="n">
        <f aca="false">AS$24+AT$23-AT$18</f>
        <v>0</v>
      </c>
      <c r="AU24" s="13" t="n">
        <f aca="false">AT$24+AU$23-AU$18</f>
        <v>0</v>
      </c>
      <c r="AV24" s="13" t="n">
        <f aca="false">AU$24+AV$23-AV$18</f>
        <v>0</v>
      </c>
      <c r="AW24" s="13" t="n">
        <f aca="false">AV$24+AW$23-AW$18</f>
        <v>0</v>
      </c>
      <c r="AX24" s="13" t="n">
        <f aca="false">AW$24+AX$23-AX$18</f>
        <v>0</v>
      </c>
      <c r="AY24" s="13" t="n">
        <f aca="false">AX$24+AY$23-AY$18</f>
        <v>0</v>
      </c>
      <c r="AZ24" s="13" t="n">
        <f aca="false">AY$24+AZ$23-AZ$18</f>
        <v>0</v>
      </c>
      <c r="BA24" s="13" t="n">
        <f aca="false">AZ$24+BA$23-BA$18</f>
        <v>0</v>
      </c>
      <c r="BB24" s="13" t="n">
        <f aca="false">BA$24+BB$23-BB$18</f>
        <v>0</v>
      </c>
      <c r="BC24" s="13" t="n">
        <f aca="false">BB$24+BC$23-BC$18</f>
        <v>0</v>
      </c>
      <c r="BD24" s="13" t="n">
        <f aca="false">BC$24+BD$23-BD$18</f>
        <v>0</v>
      </c>
      <c r="BE24" s="13" t="n">
        <f aca="false">BD$24+BE$23-BE$18</f>
        <v>0</v>
      </c>
      <c r="BF24" s="13" t="n">
        <f aca="false">BE$24+BF$23-BF$18</f>
        <v>0</v>
      </c>
      <c r="BG24" s="13" t="n">
        <f aca="false">BF$24+BG$23-BG$18</f>
        <v>0</v>
      </c>
      <c r="BH24" s="13" t="n">
        <f aca="false">BG$24+BH$23-BH$18</f>
        <v>0</v>
      </c>
      <c r="BI24" s="13" t="n">
        <f aca="false">BH$24+BI$23-BI$18</f>
        <v>0</v>
      </c>
      <c r="BJ24" s="13" t="n">
        <f aca="false">BI$24+BJ$23-BJ$18</f>
        <v>0</v>
      </c>
      <c r="BK24" s="13" t="n">
        <f aca="false">BJ$24+BK$23-BK$18</f>
        <v>0</v>
      </c>
      <c r="BL24" s="13" t="n">
        <f aca="false">BK$24+BL$23-BL$18</f>
        <v>0</v>
      </c>
      <c r="BM24" s="13" t="n">
        <f aca="false">BL$24+BM$23-BM$18</f>
        <v>0</v>
      </c>
      <c r="BN24" s="13" t="n">
        <f aca="false">BM$24+BN$23-BN$18</f>
        <v>0</v>
      </c>
      <c r="BO24" s="13" t="n">
        <f aca="false">BN$24+BO$23-BO$18</f>
        <v>0</v>
      </c>
      <c r="BP24" s="13" t="n">
        <f aca="false">BO$24+BP$23-BP$18</f>
        <v>0</v>
      </c>
      <c r="BQ24" s="13" t="n">
        <f aca="false">BP$24+BQ$23-BQ$18</f>
        <v>0</v>
      </c>
      <c r="BR24" s="13" t="n">
        <f aca="false">BQ$24+BR$23-BR$18</f>
        <v>0</v>
      </c>
      <c r="BS24" s="13" t="n">
        <f aca="false">BR$24+BS$23-BS$18</f>
        <v>0</v>
      </c>
      <c r="BT24" s="13" t="n">
        <f aca="false">BS$24+BT$23-BT$18</f>
        <v>0</v>
      </c>
      <c r="BU24" s="13" t="n">
        <f aca="false">BT$24+BU$23-BU$18</f>
        <v>0</v>
      </c>
      <c r="BV24" s="13" t="n">
        <f aca="false">BU$24+BV$23-BV$18</f>
        <v>0</v>
      </c>
      <c r="BW24" s="13" t="n">
        <f aca="false">BV$24+BW$23-BW$18</f>
        <v>0</v>
      </c>
      <c r="BX24" s="13" t="n">
        <f aca="false">BW$24+BX$23-BX$18</f>
        <v>0</v>
      </c>
      <c r="BY24" s="13" t="n">
        <f aca="false">BX$24+BY$23-BY$18</f>
        <v>0</v>
      </c>
      <c r="BZ24" s="13" t="n">
        <f aca="false">BY$24+BZ$23-BZ$18</f>
        <v>0</v>
      </c>
      <c r="CA24" s="13" t="n">
        <f aca="false">BZ$24+CA$23-CA$18</f>
        <v>0</v>
      </c>
      <c r="CB24" s="13" t="n">
        <f aca="false">CA$24+CB$23-CB$18</f>
        <v>0</v>
      </c>
      <c r="CC24" s="13" t="n">
        <f aca="false">CB$24+CC$23-CC$18</f>
        <v>0</v>
      </c>
      <c r="CD24" s="13" t="n">
        <f aca="false">CC$24+CD$23-CD$18</f>
        <v>0</v>
      </c>
      <c r="CE24" s="13" t="n">
        <f aca="false">CD$24+CE$23-CE$18</f>
        <v>0</v>
      </c>
      <c r="CF24" s="13" t="n">
        <f aca="false">CE$24+CF$23-CF$18</f>
        <v>0</v>
      </c>
      <c r="CG24" s="13" t="n">
        <f aca="false">CF$24+CG$23-CG$18</f>
        <v>0</v>
      </c>
      <c r="CH24" s="13" t="n">
        <f aca="false">CG$24+CH$23-CH$18</f>
        <v>0</v>
      </c>
      <c r="CI24" s="13" t="n">
        <f aca="false">CH$24+CI$23-CI$18</f>
        <v>0</v>
      </c>
      <c r="CJ24" s="13" t="n">
        <f aca="false">CI$24+CJ$23-CJ$18</f>
        <v>0</v>
      </c>
      <c r="CK24" s="13" t="n">
        <f aca="false">CJ$24+CK$23-CK$18</f>
        <v>0</v>
      </c>
      <c r="CL24" s="13" t="n">
        <f aca="false">CK$24+CL$23-CL$18</f>
        <v>0</v>
      </c>
      <c r="CM24" s="13" t="n">
        <f aca="false">CL$24+CM$23-CM$18</f>
        <v>0</v>
      </c>
      <c r="CN24" s="13" t="n">
        <f aca="false">CM$24+CN$23-CN$18</f>
        <v>0</v>
      </c>
      <c r="CO24" s="13" t="n">
        <f aca="false">CN$24+CO$23-CO$18</f>
        <v>0</v>
      </c>
      <c r="CP24" s="13" t="n">
        <f aca="false">CO$24+CP$23-CP$18</f>
        <v>0</v>
      </c>
      <c r="CQ24" s="13" t="n">
        <f aca="false">CP$24+CQ$23-CQ$18</f>
        <v>0</v>
      </c>
      <c r="CR24" s="13" t="n">
        <f aca="false">CQ$24+CR$23-CR$18</f>
        <v>0</v>
      </c>
      <c r="CS24" s="13" t="n">
        <f aca="false">CR$24+CS$23-CS$18</f>
        <v>0</v>
      </c>
      <c r="CT24" s="13" t="n">
        <f aca="false">CS$24+CT$23-CT$18</f>
        <v>0</v>
      </c>
      <c r="CU24" s="13" t="n">
        <f aca="false">CT$24+CU$23-CU$18</f>
        <v>0</v>
      </c>
      <c r="CV24" s="13" t="n">
        <f aca="false">CU$24+CV$23-CV$18</f>
        <v>0</v>
      </c>
      <c r="CW24" s="13" t="n">
        <f aca="false">CV$24+CW$23-CW$18</f>
        <v>0</v>
      </c>
      <c r="CX24" s="13" t="n">
        <f aca="false">CW$24+CX$23-CX$18</f>
        <v>0</v>
      </c>
      <c r="CY24" s="13" t="n">
        <f aca="false">CX$24+CY$23-CY$18</f>
        <v>0</v>
      </c>
      <c r="CZ24" s="13" t="n">
        <f aca="false">CY$24+CZ$23-CZ$18</f>
        <v>0</v>
      </c>
      <c r="DA24" s="13" t="n">
        <f aca="false">CZ$24+DA$23-DA$18</f>
        <v>0</v>
      </c>
      <c r="DB24" s="13" t="n">
        <f aca="false">DA$24+DB$23-DB$18</f>
        <v>0</v>
      </c>
      <c r="DC24" s="13" t="n">
        <f aca="false">DB$24+DC$23-DC$18</f>
        <v>0</v>
      </c>
      <c r="DD24" s="13" t="n">
        <f aca="false">DC$24+DD$23-DD$18</f>
        <v>0</v>
      </c>
      <c r="DE24" s="13" t="n">
        <f aca="false">DD$24+DE$23-DE$18</f>
        <v>0</v>
      </c>
      <c r="DF24" s="13" t="n">
        <f aca="false">DE$24+DF$23-DF$18</f>
        <v>0</v>
      </c>
      <c r="DG24" s="13" t="n">
        <f aca="false">DF$24+DG$23-DG$18</f>
        <v>0</v>
      </c>
      <c r="DH24" s="13" t="n">
        <f aca="false">DG$24+DH$23-DH$18</f>
        <v>0</v>
      </c>
      <c r="DI24" s="13" t="n">
        <f aca="false">DH$24+DI$23-DI$18</f>
        <v>0</v>
      </c>
      <c r="DJ24" s="13" t="n">
        <f aca="false">DI$24+DJ$23-DJ$18</f>
        <v>0</v>
      </c>
      <c r="DK24" s="13" t="n">
        <f aca="false">DJ$24+DK$23-DK$18</f>
        <v>0</v>
      </c>
      <c r="DL24" s="13" t="n">
        <f aca="false">DK$24+DL$23-DL$18</f>
        <v>0</v>
      </c>
      <c r="DM24" s="13" t="n">
        <f aca="false">DL$24+DM$23-DM$18</f>
        <v>0</v>
      </c>
      <c r="DN24" s="13" t="n">
        <f aca="false">DM$24+DN$23-DN$18</f>
        <v>0</v>
      </c>
      <c r="DO24" s="13" t="n">
        <f aca="false">DN$24+DO$23-DO$18</f>
        <v>0</v>
      </c>
      <c r="DP24" s="13" t="n">
        <f aca="false">DO$24+DP$23-DP$18</f>
        <v>0</v>
      </c>
      <c r="DQ24" s="13" t="n">
        <f aca="false">DP$24+DQ$23-DQ$18</f>
        <v>0</v>
      </c>
      <c r="DR24" s="13" t="n">
        <f aca="false">DQ$24+DR$23-DR$18</f>
        <v>0</v>
      </c>
      <c r="DS24" s="13" t="n">
        <f aca="false">DR$24+DS$23-DS$18</f>
        <v>0</v>
      </c>
      <c r="DT24" s="13" t="n">
        <f aca="false">DS$24+DT$23-DT$18</f>
        <v>0</v>
      </c>
      <c r="DU24" s="13" t="n">
        <f aca="false">DT$24+DU$23-DU$18</f>
        <v>0</v>
      </c>
      <c r="DV24" s="13" t="n">
        <f aca="false">DU$24+DV$23-DV$18</f>
        <v>0</v>
      </c>
      <c r="DW24" s="13" t="n">
        <f aca="false">DV$24+DW$23-DW$18</f>
        <v>0</v>
      </c>
      <c r="DX24" s="13" t="n">
        <f aca="false">DW$24+DX$23-DX$18</f>
        <v>0</v>
      </c>
      <c r="DY24" s="13" t="n">
        <f aca="false">DX$24+DY$23-DY$18</f>
        <v>0</v>
      </c>
      <c r="DZ24" s="13" t="n">
        <f aca="false">DY$24+DZ$23-DZ$18</f>
        <v>0</v>
      </c>
      <c r="EA24" s="13" t="n">
        <f aca="false">DZ$24+EA$23-EA$18</f>
        <v>0</v>
      </c>
      <c r="EB24" s="13" t="n">
        <f aca="false">EA$24+EB$23-EB$18</f>
        <v>0</v>
      </c>
      <c r="EC24" s="13" t="n">
        <f aca="false">EB$24+EC$23-EC$18</f>
        <v>0</v>
      </c>
      <c r="ED24" s="13" t="n">
        <f aca="false">EC$24+ED$23-ED$18</f>
        <v>0</v>
      </c>
      <c r="EE24" s="13" t="n">
        <f aca="false">ED$24+EE$23-EE$18</f>
        <v>0</v>
      </c>
      <c r="EF24" s="13" t="n">
        <f aca="false">EE$24+EF$23-EF$18</f>
        <v>0</v>
      </c>
      <c r="EG24" s="13" t="n">
        <f aca="false">EF$24+EG$23-EG$18</f>
        <v>0</v>
      </c>
      <c r="EH24" s="13" t="n">
        <f aca="false">EG$24+EH$23-EH$18</f>
        <v>0</v>
      </c>
      <c r="EI24" s="13" t="n">
        <f aca="false">EH$24+EI$23-EI$18</f>
        <v>0</v>
      </c>
      <c r="EJ24" s="13" t="n">
        <f aca="false">EI$24+EJ$23-EJ$18</f>
        <v>0</v>
      </c>
      <c r="EK24" s="13" t="n">
        <f aca="false">EJ$24+EK$23-EK$18</f>
        <v>0</v>
      </c>
      <c r="EL24" s="13" t="n">
        <f aca="false">EK$24+EL$23-EL$18</f>
        <v>0</v>
      </c>
      <c r="EM24" s="13" t="n">
        <f aca="false">EL$24+EM$23-EM$18</f>
        <v>0</v>
      </c>
      <c r="EN24" s="13" t="n">
        <f aca="false">EM$24+EN$23-EN$18</f>
        <v>0</v>
      </c>
      <c r="EO24" s="13" t="n">
        <f aca="false">EN$24+EO$23-EO$18</f>
        <v>0</v>
      </c>
      <c r="EP24" s="13" t="n">
        <f aca="false">EO$24+EP$23-EP$18</f>
        <v>0</v>
      </c>
      <c r="EQ24" s="13" t="n">
        <f aca="false">EP$24+EQ$23-EQ$18</f>
        <v>0</v>
      </c>
      <c r="ER24" s="13" t="n">
        <f aca="false">EQ$24+ER$23-ER$18</f>
        <v>0</v>
      </c>
      <c r="ES24" s="13" t="n">
        <f aca="false">ER$24+ES$23-ES$18</f>
        <v>0</v>
      </c>
      <c r="ET24" s="13" t="n">
        <f aca="false">ES$24+ET$23-ET$18</f>
        <v>0</v>
      </c>
      <c r="EU24" s="13" t="n">
        <f aca="false">ET$24+EU$23-EU$18</f>
        <v>0</v>
      </c>
      <c r="EV24" s="13" t="n">
        <f aca="false">EU$24+EV$23-EV$18</f>
        <v>0</v>
      </c>
      <c r="EW24" s="13" t="n">
        <f aca="false">EV$24+EW$23-EW$18</f>
        <v>0</v>
      </c>
      <c r="EX24" s="13" t="n">
        <f aca="false">EW$24+EX$23-EX$18</f>
        <v>0</v>
      </c>
      <c r="EY24" s="13" t="n">
        <f aca="false">EX$24+EY$23-EY$18</f>
        <v>0</v>
      </c>
      <c r="EZ24" s="13" t="n">
        <f aca="false">EY$24+EZ$23-EZ$18</f>
        <v>0</v>
      </c>
      <c r="FA24" s="13" t="n">
        <f aca="false">EZ$24+FA$23-FA$18</f>
        <v>0</v>
      </c>
      <c r="FB24" s="13" t="n">
        <f aca="false">FA$24+FB$23-FB$18</f>
        <v>0</v>
      </c>
      <c r="FC24" s="13" t="n">
        <f aca="false">FB$24+FC$23-FC$18</f>
        <v>0</v>
      </c>
      <c r="FD24" s="13" t="n">
        <f aca="false">FC$24+FD$23-FD$18</f>
        <v>0</v>
      </c>
      <c r="FE24" s="13" t="n">
        <f aca="false">FD$24+FE$23-FE$18</f>
        <v>0</v>
      </c>
      <c r="FF24" s="13" t="n">
        <f aca="false">FE$24+FF$23-FF$18</f>
        <v>0</v>
      </c>
    </row>
    <row r="25" customFormat="false" ht="15" hidden="false" customHeight="false" outlineLevel="0" collapsed="false">
      <c r="A25" s="2" t="s">
        <v>1311</v>
      </c>
      <c r="B25" s="8" t="s">
        <v>1312</v>
      </c>
      <c r="C25" s="8" t="s">
        <v>255</v>
      </c>
      <c r="E25" s="65" t="n">
        <f aca="false">INDEX($F25:$FF25,1,p_MesFin+1)</f>
        <v>0</v>
      </c>
      <c r="F25" s="13" t="n">
        <f aca="false">0+F$15-F$14</f>
        <v>0</v>
      </c>
      <c r="G25" s="13" t="n">
        <f aca="false">F$25+G$15-G$14</f>
        <v>0</v>
      </c>
      <c r="H25" s="13" t="n">
        <f aca="false">G$25+H$15-H$14</f>
        <v>0</v>
      </c>
      <c r="I25" s="13" t="n">
        <f aca="false">H$25+I$15-I$14</f>
        <v>0</v>
      </c>
      <c r="J25" s="13" t="n">
        <f aca="false">I$25+J$15-J$14</f>
        <v>0</v>
      </c>
      <c r="K25" s="13" t="n">
        <f aca="false">J$25+K$15-K$14</f>
        <v>0</v>
      </c>
      <c r="L25" s="13" t="n">
        <f aca="false">K$25+L$15-L$14</f>
        <v>0</v>
      </c>
      <c r="M25" s="13" t="n">
        <f aca="false">L$25+M$15-M$14</f>
        <v>0</v>
      </c>
      <c r="N25" s="13" t="n">
        <f aca="false">M$25+N$15-N$14</f>
        <v>0</v>
      </c>
      <c r="O25" s="13" t="n">
        <f aca="false">N$25+O$15-O$14</f>
        <v>0</v>
      </c>
      <c r="P25" s="13" t="n">
        <f aca="false">O$25+P$15-P$14</f>
        <v>0</v>
      </c>
      <c r="Q25" s="13" t="n">
        <f aca="false">P$25+Q$15-Q$14</f>
        <v>0</v>
      </c>
      <c r="R25" s="13" t="n">
        <f aca="false">Q$25+R$15-R$14</f>
        <v>0</v>
      </c>
      <c r="S25" s="13" t="n">
        <f aca="false">R$25+S$15-S$14</f>
        <v>0</v>
      </c>
      <c r="T25" s="13" t="n">
        <f aca="false">S$25+T$15-T$14</f>
        <v>0</v>
      </c>
      <c r="U25" s="13" t="n">
        <f aca="false">T$25+U$15-U$14</f>
        <v>0</v>
      </c>
      <c r="V25" s="13" t="n">
        <f aca="false">U$25+V$15-V$14</f>
        <v>0</v>
      </c>
      <c r="W25" s="13" t="n">
        <f aca="false">V$25+W$15-W$14</f>
        <v>0</v>
      </c>
      <c r="X25" s="13" t="n">
        <f aca="false">W$25+X$15-X$14</f>
        <v>0</v>
      </c>
      <c r="Y25" s="13" t="n">
        <f aca="false">X$25+Y$15-Y$14</f>
        <v>0</v>
      </c>
      <c r="Z25" s="13" t="n">
        <f aca="false">Y$25+Z$15-Z$14</f>
        <v>0</v>
      </c>
      <c r="AA25" s="13" t="n">
        <f aca="false">Z$25+AA$15-AA$14</f>
        <v>0</v>
      </c>
      <c r="AB25" s="13" t="n">
        <f aca="false">AA$25+AB$15-AB$14</f>
        <v>0</v>
      </c>
      <c r="AC25" s="13" t="n">
        <f aca="false">AB$25+AC$15-AC$14</f>
        <v>0</v>
      </c>
      <c r="AD25" s="13" t="n">
        <f aca="false">AC$25+AD$15-AD$14</f>
        <v>0</v>
      </c>
      <c r="AE25" s="13" t="n">
        <f aca="false">AD$25+AE$15-AE$14</f>
        <v>0</v>
      </c>
      <c r="AF25" s="13" t="n">
        <f aca="false">AE$25+AF$15-AF$14</f>
        <v>0</v>
      </c>
      <c r="AG25" s="13" t="n">
        <f aca="false">AF$25+AG$15-AG$14</f>
        <v>0</v>
      </c>
      <c r="AH25" s="13" t="n">
        <f aca="false">AG$25+AH$15-AH$14</f>
        <v>0</v>
      </c>
      <c r="AI25" s="13" t="n">
        <f aca="false">AH$25+AI$15-AI$14</f>
        <v>0</v>
      </c>
      <c r="AJ25" s="13" t="n">
        <f aca="false">AI$25+AJ$15-AJ$14</f>
        <v>0</v>
      </c>
      <c r="AK25" s="13" t="n">
        <f aca="false">AJ$25+AK$15-AK$14</f>
        <v>0</v>
      </c>
      <c r="AL25" s="13" t="n">
        <f aca="false">AK$25+AL$15-AL$14</f>
        <v>0</v>
      </c>
      <c r="AM25" s="13" t="n">
        <f aca="false">AL$25+AM$15-AM$14</f>
        <v>0</v>
      </c>
      <c r="AN25" s="13" t="n">
        <f aca="false">AM$25+AN$15-AN$14</f>
        <v>0</v>
      </c>
      <c r="AO25" s="13" t="n">
        <f aca="false">AN$25+AO$15-AO$14</f>
        <v>0</v>
      </c>
      <c r="AP25" s="13" t="n">
        <f aca="false">AO$25+AP$15-AP$14</f>
        <v>0</v>
      </c>
      <c r="AQ25" s="13" t="n">
        <f aca="false">AP$25+AQ$15-AQ$14</f>
        <v>0</v>
      </c>
      <c r="AR25" s="13" t="n">
        <f aca="false">AQ$25+AR$15-AR$14</f>
        <v>0</v>
      </c>
      <c r="AS25" s="13" t="n">
        <f aca="false">AR$25+AS$15-AS$14</f>
        <v>0</v>
      </c>
      <c r="AT25" s="13" t="n">
        <f aca="false">AS$25+AT$15-AT$14</f>
        <v>0</v>
      </c>
      <c r="AU25" s="13" t="n">
        <f aca="false">AT$25+AU$15-AU$14</f>
        <v>0</v>
      </c>
      <c r="AV25" s="13" t="n">
        <f aca="false">AU$25+AV$15-AV$14</f>
        <v>0</v>
      </c>
      <c r="AW25" s="13" t="n">
        <f aca="false">AV$25+AW$15-AW$14</f>
        <v>0</v>
      </c>
      <c r="AX25" s="13" t="n">
        <f aca="false">AW$25+AX$15-AX$14</f>
        <v>0</v>
      </c>
      <c r="AY25" s="13" t="n">
        <f aca="false">AX$25+AY$15-AY$14</f>
        <v>0</v>
      </c>
      <c r="AZ25" s="13" t="n">
        <f aca="false">AY$25+AZ$15-AZ$14</f>
        <v>0</v>
      </c>
      <c r="BA25" s="13" t="n">
        <f aca="false">AZ$25+BA$15-BA$14</f>
        <v>0</v>
      </c>
      <c r="BB25" s="13" t="n">
        <f aca="false">BA$25+BB$15-BB$14</f>
        <v>0</v>
      </c>
      <c r="BC25" s="13" t="n">
        <f aca="false">BB$25+BC$15-BC$14</f>
        <v>0</v>
      </c>
      <c r="BD25" s="13" t="n">
        <f aca="false">BC$25+BD$15-BD$14</f>
        <v>0</v>
      </c>
      <c r="BE25" s="13" t="n">
        <f aca="false">BD$25+BE$15-BE$14</f>
        <v>0</v>
      </c>
      <c r="BF25" s="13" t="n">
        <f aca="false">BE$25+BF$15-BF$14</f>
        <v>0</v>
      </c>
      <c r="BG25" s="13" t="n">
        <f aca="false">BF$25+BG$15-BG$14</f>
        <v>0</v>
      </c>
      <c r="BH25" s="13" t="n">
        <f aca="false">BG$25+BH$15-BH$14</f>
        <v>0</v>
      </c>
      <c r="BI25" s="13" t="n">
        <f aca="false">BH$25+BI$15-BI$14</f>
        <v>0</v>
      </c>
      <c r="BJ25" s="13" t="n">
        <f aca="false">BI$25+BJ$15-BJ$14</f>
        <v>0</v>
      </c>
      <c r="BK25" s="13" t="n">
        <f aca="false">BJ$25+BK$15-BK$14</f>
        <v>0</v>
      </c>
      <c r="BL25" s="13" t="n">
        <f aca="false">BK$25+BL$15-BL$14</f>
        <v>0</v>
      </c>
      <c r="BM25" s="13" t="n">
        <f aca="false">BL$25+BM$15-BM$14</f>
        <v>0</v>
      </c>
      <c r="BN25" s="13" t="n">
        <f aca="false">BM$25+BN$15-BN$14</f>
        <v>0</v>
      </c>
      <c r="BO25" s="13" t="n">
        <f aca="false">BN$25+BO$15-BO$14</f>
        <v>0</v>
      </c>
      <c r="BP25" s="13" t="n">
        <f aca="false">BO$25+BP$15-BP$14</f>
        <v>0</v>
      </c>
      <c r="BQ25" s="13" t="n">
        <f aca="false">BP$25+BQ$15-BQ$14</f>
        <v>0</v>
      </c>
      <c r="BR25" s="13" t="n">
        <f aca="false">BQ$25+BR$15-BR$14</f>
        <v>0</v>
      </c>
      <c r="BS25" s="13" t="n">
        <f aca="false">BR$25+BS$15-BS$14</f>
        <v>0</v>
      </c>
      <c r="BT25" s="13" t="n">
        <f aca="false">BS$25+BT$15-BT$14</f>
        <v>0</v>
      </c>
      <c r="BU25" s="13" t="n">
        <f aca="false">BT$25+BU$15-BU$14</f>
        <v>0</v>
      </c>
      <c r="BV25" s="13" t="n">
        <f aca="false">BU$25+BV$15-BV$14</f>
        <v>0</v>
      </c>
      <c r="BW25" s="13" t="n">
        <f aca="false">BV$25+BW$15-BW$14</f>
        <v>0</v>
      </c>
      <c r="BX25" s="13" t="n">
        <f aca="false">BW$25+BX$15-BX$14</f>
        <v>0</v>
      </c>
      <c r="BY25" s="13" t="n">
        <f aca="false">BX$25+BY$15-BY$14</f>
        <v>0</v>
      </c>
      <c r="BZ25" s="13" t="n">
        <f aca="false">BY$25+BZ$15-BZ$14</f>
        <v>0</v>
      </c>
      <c r="CA25" s="13" t="n">
        <f aca="false">BZ$25+CA$15-CA$14</f>
        <v>0</v>
      </c>
      <c r="CB25" s="13" t="n">
        <f aca="false">CA$25+CB$15-CB$14</f>
        <v>0</v>
      </c>
      <c r="CC25" s="13" t="n">
        <f aca="false">CB$25+CC$15-CC$14</f>
        <v>0</v>
      </c>
      <c r="CD25" s="13" t="n">
        <f aca="false">CC$25+CD$15-CD$14</f>
        <v>0</v>
      </c>
      <c r="CE25" s="13" t="n">
        <f aca="false">CD$25+CE$15-CE$14</f>
        <v>0</v>
      </c>
      <c r="CF25" s="13" t="n">
        <f aca="false">CE$25+CF$15-CF$14</f>
        <v>0</v>
      </c>
      <c r="CG25" s="13" t="n">
        <f aca="false">CF$25+CG$15-CG$14</f>
        <v>0</v>
      </c>
      <c r="CH25" s="13" t="n">
        <f aca="false">CG$25+CH$15-CH$14</f>
        <v>0</v>
      </c>
      <c r="CI25" s="13" t="n">
        <f aca="false">CH$25+CI$15-CI$14</f>
        <v>0</v>
      </c>
      <c r="CJ25" s="13" t="n">
        <f aca="false">CI$25+CJ$15-CJ$14</f>
        <v>0</v>
      </c>
      <c r="CK25" s="13" t="n">
        <f aca="false">CJ$25+CK$15-CK$14</f>
        <v>0</v>
      </c>
      <c r="CL25" s="13" t="n">
        <f aca="false">CK$25+CL$15-CL$14</f>
        <v>0</v>
      </c>
      <c r="CM25" s="13" t="n">
        <f aca="false">CL$25+CM$15-CM$14</f>
        <v>0</v>
      </c>
      <c r="CN25" s="13" t="n">
        <f aca="false">CM$25+CN$15-CN$14</f>
        <v>0</v>
      </c>
      <c r="CO25" s="13" t="n">
        <f aca="false">CN$25+CO$15-CO$14</f>
        <v>0</v>
      </c>
      <c r="CP25" s="13" t="n">
        <f aca="false">CO$25+CP$15-CP$14</f>
        <v>0</v>
      </c>
      <c r="CQ25" s="13" t="n">
        <f aca="false">CP$25+CQ$15-CQ$14</f>
        <v>0</v>
      </c>
      <c r="CR25" s="13" t="n">
        <f aca="false">CQ$25+CR$15-CR$14</f>
        <v>0</v>
      </c>
      <c r="CS25" s="13" t="n">
        <f aca="false">CR$25+CS$15-CS$14</f>
        <v>0</v>
      </c>
      <c r="CT25" s="13" t="n">
        <f aca="false">CS$25+CT$15-CT$14</f>
        <v>0</v>
      </c>
      <c r="CU25" s="13" t="n">
        <f aca="false">CT$25+CU$15-CU$14</f>
        <v>0</v>
      </c>
      <c r="CV25" s="13" t="n">
        <f aca="false">CU$25+CV$15-CV$14</f>
        <v>0</v>
      </c>
      <c r="CW25" s="13" t="n">
        <f aca="false">CV$25+CW$15-CW$14</f>
        <v>0</v>
      </c>
      <c r="CX25" s="13" t="n">
        <f aca="false">CW$25+CX$15-CX$14</f>
        <v>0</v>
      </c>
      <c r="CY25" s="13" t="n">
        <f aca="false">CX$25+CY$15-CY$14</f>
        <v>0</v>
      </c>
      <c r="CZ25" s="13" t="n">
        <f aca="false">CY$25+CZ$15-CZ$14</f>
        <v>0</v>
      </c>
      <c r="DA25" s="13" t="n">
        <f aca="false">CZ$25+DA$15-DA$14</f>
        <v>0</v>
      </c>
      <c r="DB25" s="13" t="n">
        <f aca="false">DA$25+DB$15-DB$14</f>
        <v>0</v>
      </c>
      <c r="DC25" s="13" t="n">
        <f aca="false">DB$25+DC$15-DC$14</f>
        <v>0</v>
      </c>
      <c r="DD25" s="13" t="n">
        <f aca="false">DC$25+DD$15-DD$14</f>
        <v>0</v>
      </c>
      <c r="DE25" s="13" t="n">
        <f aca="false">DD$25+DE$15-DE$14</f>
        <v>0</v>
      </c>
      <c r="DF25" s="13" t="n">
        <f aca="false">DE$25+DF$15-DF$14</f>
        <v>0</v>
      </c>
      <c r="DG25" s="13" t="n">
        <f aca="false">DF$25+DG$15-DG$14</f>
        <v>0</v>
      </c>
      <c r="DH25" s="13" t="n">
        <f aca="false">DG$25+DH$15-DH$14</f>
        <v>0</v>
      </c>
      <c r="DI25" s="13" t="n">
        <f aca="false">DH$25+DI$15-DI$14</f>
        <v>0</v>
      </c>
      <c r="DJ25" s="13" t="n">
        <f aca="false">DI$25+DJ$15-DJ$14</f>
        <v>0</v>
      </c>
      <c r="DK25" s="13" t="n">
        <f aca="false">DJ$25+DK$15-DK$14</f>
        <v>0</v>
      </c>
      <c r="DL25" s="13" t="n">
        <f aca="false">DK$25+DL$15-DL$14</f>
        <v>0</v>
      </c>
      <c r="DM25" s="13" t="n">
        <f aca="false">DL$25+DM$15-DM$14</f>
        <v>0</v>
      </c>
      <c r="DN25" s="13" t="n">
        <f aca="false">DM$25+DN$15-DN$14</f>
        <v>0</v>
      </c>
      <c r="DO25" s="13" t="n">
        <f aca="false">DN$25+DO$15-DO$14</f>
        <v>0</v>
      </c>
      <c r="DP25" s="13" t="n">
        <f aca="false">DO$25+DP$15-DP$14</f>
        <v>0</v>
      </c>
      <c r="DQ25" s="13" t="n">
        <f aca="false">DP$25+DQ$15-DQ$14</f>
        <v>0</v>
      </c>
      <c r="DR25" s="13" t="n">
        <f aca="false">DQ$25+DR$15-DR$14</f>
        <v>0</v>
      </c>
      <c r="DS25" s="13" t="n">
        <f aca="false">DR$25+DS$15-DS$14</f>
        <v>0</v>
      </c>
      <c r="DT25" s="13" t="n">
        <f aca="false">DS$25+DT$15-DT$14</f>
        <v>0</v>
      </c>
      <c r="DU25" s="13" t="n">
        <f aca="false">DT$25+DU$15-DU$14</f>
        <v>0</v>
      </c>
      <c r="DV25" s="13" t="n">
        <f aca="false">DU$25+DV$15-DV$14</f>
        <v>0</v>
      </c>
      <c r="DW25" s="13" t="n">
        <f aca="false">DV$25+DW$15-DW$14</f>
        <v>0</v>
      </c>
      <c r="DX25" s="13" t="n">
        <f aca="false">DW$25+DX$15-DX$14</f>
        <v>0</v>
      </c>
      <c r="DY25" s="13" t="n">
        <f aca="false">DX$25+DY$15-DY$14</f>
        <v>0</v>
      </c>
      <c r="DZ25" s="13" t="n">
        <f aca="false">DY$25+DZ$15-DZ$14</f>
        <v>0</v>
      </c>
      <c r="EA25" s="13" t="n">
        <f aca="false">DZ$25+EA$15-EA$14</f>
        <v>0</v>
      </c>
      <c r="EB25" s="13" t="n">
        <f aca="false">EA$25+EB$15-EB$14</f>
        <v>0</v>
      </c>
      <c r="EC25" s="13" t="n">
        <f aca="false">EB$25+EC$15-EC$14</f>
        <v>0</v>
      </c>
      <c r="ED25" s="13" t="n">
        <f aca="false">EC$25+ED$15-ED$14</f>
        <v>0</v>
      </c>
      <c r="EE25" s="13" t="n">
        <f aca="false">ED$25+EE$15-EE$14</f>
        <v>0</v>
      </c>
      <c r="EF25" s="13" t="n">
        <f aca="false">EE$25+EF$15-EF$14</f>
        <v>0</v>
      </c>
      <c r="EG25" s="13" t="n">
        <f aca="false">EF$25+EG$15-EG$14</f>
        <v>0</v>
      </c>
      <c r="EH25" s="13" t="n">
        <f aca="false">EG$25+EH$15-EH$14</f>
        <v>0</v>
      </c>
      <c r="EI25" s="13" t="n">
        <f aca="false">EH$25+EI$15-EI$14</f>
        <v>0</v>
      </c>
      <c r="EJ25" s="13" t="n">
        <f aca="false">EI$25+EJ$15-EJ$14</f>
        <v>0</v>
      </c>
      <c r="EK25" s="13" t="n">
        <f aca="false">EJ$25+EK$15-EK$14</f>
        <v>0</v>
      </c>
      <c r="EL25" s="13" t="n">
        <f aca="false">EK$25+EL$15-EL$14</f>
        <v>0</v>
      </c>
      <c r="EM25" s="13" t="n">
        <f aca="false">EL$25+EM$15-EM$14</f>
        <v>0</v>
      </c>
      <c r="EN25" s="13" t="n">
        <f aca="false">EM$25+EN$15-EN$14</f>
        <v>0</v>
      </c>
      <c r="EO25" s="13" t="n">
        <f aca="false">EN$25+EO$15-EO$14</f>
        <v>0</v>
      </c>
      <c r="EP25" s="13" t="n">
        <f aca="false">EO$25+EP$15-EP$14</f>
        <v>0</v>
      </c>
      <c r="EQ25" s="13" t="n">
        <f aca="false">EP$25+EQ$15-EQ$14</f>
        <v>0</v>
      </c>
      <c r="ER25" s="13" t="n">
        <f aca="false">EQ$25+ER$15-ER$14</f>
        <v>0</v>
      </c>
      <c r="ES25" s="13" t="n">
        <f aca="false">ER$25+ES$15-ES$14</f>
        <v>0</v>
      </c>
      <c r="ET25" s="13" t="n">
        <f aca="false">ES$25+ET$15-ET$14</f>
        <v>0</v>
      </c>
      <c r="EU25" s="13" t="n">
        <f aca="false">ET$25+EU$15-EU$14</f>
        <v>0</v>
      </c>
      <c r="EV25" s="13" t="n">
        <f aca="false">EU$25+EV$15-EV$14</f>
        <v>0</v>
      </c>
      <c r="EW25" s="13" t="n">
        <f aca="false">EV$25+EW$15-EW$14</f>
        <v>0</v>
      </c>
      <c r="EX25" s="13" t="n">
        <f aca="false">EW$25+EX$15-EX$14</f>
        <v>0</v>
      </c>
      <c r="EY25" s="13" t="n">
        <f aca="false">EX$25+EY$15-EY$14</f>
        <v>0</v>
      </c>
      <c r="EZ25" s="13" t="n">
        <f aca="false">EY$25+EZ$15-EZ$14</f>
        <v>0</v>
      </c>
      <c r="FA25" s="13" t="n">
        <f aca="false">EZ$25+FA$15-FA$14</f>
        <v>0</v>
      </c>
      <c r="FB25" s="13" t="n">
        <f aca="false">FA$25+FB$15-FB$14</f>
        <v>0</v>
      </c>
      <c r="FC25" s="13" t="n">
        <f aca="false">FB$25+FC$15-FC$14</f>
        <v>0</v>
      </c>
      <c r="FD25" s="13" t="n">
        <f aca="false">FC$25+FD$15-FD$14</f>
        <v>0</v>
      </c>
      <c r="FE25" s="13" t="n">
        <f aca="false">FD$25+FE$15-FE$14</f>
        <v>0</v>
      </c>
      <c r="FF25" s="13" t="n">
        <f aca="false">FE$25+FF$15-FF$14</f>
        <v>0</v>
      </c>
    </row>
    <row r="26" customFormat="false" ht="15" hidden="false" customHeight="false" outlineLevel="0" collapsed="false">
      <c r="A26" s="4"/>
      <c r="B26" s="3" t="s">
        <v>1313</v>
      </c>
      <c r="C26" s="4"/>
      <c r="D26" s="4"/>
      <c r="E26" s="4"/>
    </row>
    <row r="27" customFormat="false" ht="15" hidden="false" customHeight="false" outlineLevel="0" collapsed="false">
      <c r="A27" s="2" t="s">
        <v>1314</v>
      </c>
      <c r="B27" s="8" t="s">
        <v>1315</v>
      </c>
      <c r="C27" s="8" t="s">
        <v>255</v>
      </c>
      <c r="E27" s="65" t="n">
        <f aca="false">SUM($F27:$FF27)</f>
        <v>48879883.2717656</v>
      </c>
      <c r="F27" s="28" t="n">
        <f aca="false">Costos_Personal!F$115</f>
        <v>0</v>
      </c>
      <c r="G27" s="28" t="n">
        <f aca="false">Costos_Personal!G$115</f>
        <v>330839.10696347</v>
      </c>
      <c r="H27" s="28" t="n">
        <f aca="false">Costos_Personal!H$115</f>
        <v>248982.008333333</v>
      </c>
      <c r="I27" s="28" t="n">
        <f aca="false">Costos_Personal!I$115</f>
        <v>248982.008333333</v>
      </c>
      <c r="J27" s="28" t="n">
        <f aca="false">Costos_Personal!J$115</f>
        <v>248982.008333333</v>
      </c>
      <c r="K27" s="28" t="n">
        <f aca="false">Costos_Personal!K$115</f>
        <v>248982.008333333</v>
      </c>
      <c r="L27" s="28" t="n">
        <f aca="false">Costos_Personal!L$115</f>
        <v>248982.008333333</v>
      </c>
      <c r="M27" s="28" t="n">
        <f aca="false">Costos_Personal!M$115</f>
        <v>248982.008333333</v>
      </c>
      <c r="N27" s="28" t="n">
        <f aca="false">Costos_Personal!N$115</f>
        <v>248982.008333333</v>
      </c>
      <c r="O27" s="28" t="n">
        <f aca="false">Costos_Personal!O$115</f>
        <v>248982.008333333</v>
      </c>
      <c r="P27" s="28" t="n">
        <f aca="false">Costos_Personal!P$115</f>
        <v>248982.008333333</v>
      </c>
      <c r="Q27" s="28" t="n">
        <f aca="false">Costos_Personal!Q$115</f>
        <v>248982.008333333</v>
      </c>
      <c r="R27" s="28" t="n">
        <f aca="false">Costos_Personal!R$115</f>
        <v>270498.257648402</v>
      </c>
      <c r="S27" s="28" t="n">
        <f aca="false">Costos_Personal!S$115</f>
        <v>316063.807916667</v>
      </c>
      <c r="T27" s="28" t="n">
        <f aca="false">Costos_Personal!T$115</f>
        <v>316063.807916667</v>
      </c>
      <c r="U27" s="28" t="n">
        <f aca="false">Costos_Personal!U$115</f>
        <v>316063.807916667</v>
      </c>
      <c r="V27" s="28" t="n">
        <f aca="false">Costos_Personal!V$115</f>
        <v>316063.807916667</v>
      </c>
      <c r="W27" s="28" t="n">
        <f aca="false">Costos_Personal!W$115</f>
        <v>316063.807916667</v>
      </c>
      <c r="X27" s="28" t="n">
        <f aca="false">Costos_Personal!X$115</f>
        <v>316063.807916667</v>
      </c>
      <c r="Y27" s="28" t="n">
        <f aca="false">Costos_Personal!Y$115</f>
        <v>316063.807916667</v>
      </c>
      <c r="Z27" s="28" t="n">
        <f aca="false">Costos_Personal!Z$115</f>
        <v>316063.807916667</v>
      </c>
      <c r="AA27" s="28" t="n">
        <f aca="false">Costos_Personal!AA$115</f>
        <v>316063.807916667</v>
      </c>
      <c r="AB27" s="28" t="n">
        <f aca="false">Costos_Personal!AB$115</f>
        <v>316063.807916667</v>
      </c>
      <c r="AC27" s="28" t="n">
        <f aca="false">Costos_Personal!AC$115</f>
        <v>316063.807916667</v>
      </c>
      <c r="AD27" s="28" t="n">
        <f aca="false">Costos_Personal!AD$115</f>
        <v>337691.847505708</v>
      </c>
      <c r="AE27" s="28" t="n">
        <f aca="false">Costos_Personal!AE$115</f>
        <v>383845.4307</v>
      </c>
      <c r="AF27" s="28" t="n">
        <f aca="false">Costos_Personal!AF$115</f>
        <v>383845.4307</v>
      </c>
      <c r="AG27" s="28" t="n">
        <f aca="false">Costos_Personal!AG$115</f>
        <v>383845.4307</v>
      </c>
      <c r="AH27" s="28" t="n">
        <f aca="false">Costos_Personal!AH$115</f>
        <v>383845.4307</v>
      </c>
      <c r="AI27" s="28" t="n">
        <f aca="false">Costos_Personal!AI$115</f>
        <v>383845.4307</v>
      </c>
      <c r="AJ27" s="28" t="n">
        <f aca="false">Costos_Personal!AJ$115</f>
        <v>383845.4307</v>
      </c>
      <c r="AK27" s="28" t="n">
        <f aca="false">Costos_Personal!AK$115</f>
        <v>383845.4307</v>
      </c>
      <c r="AL27" s="28" t="n">
        <f aca="false">Costos_Personal!AL$115</f>
        <v>383845.4307</v>
      </c>
      <c r="AM27" s="28" t="n">
        <f aca="false">Costos_Personal!AM$115</f>
        <v>383845.4307</v>
      </c>
      <c r="AN27" s="28" t="n">
        <f aca="false">Costos_Personal!AN$115</f>
        <v>383845.4307</v>
      </c>
      <c r="AO27" s="28" t="n">
        <f aca="false">Costos_Personal!AO$115</f>
        <v>383845.4307</v>
      </c>
      <c r="AP27" s="28" t="n">
        <f aca="false">Costos_Personal!AP$115</f>
        <v>401336.449909589</v>
      </c>
      <c r="AQ27" s="28" t="n">
        <f aca="false">Costos_Personal!AQ$115</f>
        <v>439345.562270458</v>
      </c>
      <c r="AR27" s="28" t="n">
        <f aca="false">Costos_Personal!AR$115</f>
        <v>439345.562270458</v>
      </c>
      <c r="AS27" s="28" t="n">
        <f aca="false">Costos_Personal!AS$115</f>
        <v>439345.562270458</v>
      </c>
      <c r="AT27" s="28" t="n">
        <f aca="false">Costos_Personal!AT$115</f>
        <v>439345.562270458</v>
      </c>
      <c r="AU27" s="28" t="n">
        <f aca="false">Costos_Personal!AU$115</f>
        <v>439345.562270458</v>
      </c>
      <c r="AV27" s="28" t="n">
        <f aca="false">Costos_Personal!AV$115</f>
        <v>439345.562270458</v>
      </c>
      <c r="AW27" s="28" t="n">
        <f aca="false">Costos_Personal!AW$115</f>
        <v>439345.562270458</v>
      </c>
      <c r="AX27" s="28" t="n">
        <f aca="false">Costos_Personal!AX$115</f>
        <v>439345.562270458</v>
      </c>
      <c r="AY27" s="28" t="n">
        <f aca="false">Costos_Personal!AY$115</f>
        <v>439345.562270458</v>
      </c>
      <c r="AZ27" s="28" t="n">
        <f aca="false">Costos_Personal!AZ$115</f>
        <v>439345.562270458</v>
      </c>
      <c r="BA27" s="28" t="n">
        <f aca="false">Costos_Personal!BA$115</f>
        <v>439345.562270458</v>
      </c>
      <c r="BB27" s="28" t="n">
        <f aca="false">Costos_Personal!BB$115</f>
        <v>439345.562270458</v>
      </c>
      <c r="BC27" s="28" t="n">
        <f aca="false">Costos_Personal!BC$115</f>
        <v>441666.82655983</v>
      </c>
      <c r="BD27" s="28" t="n">
        <f aca="false">Costos_Personal!BD$115</f>
        <v>441666.82655983</v>
      </c>
      <c r="BE27" s="28" t="n">
        <f aca="false">Costos_Personal!BE$115</f>
        <v>441666.82655983</v>
      </c>
      <c r="BF27" s="28" t="n">
        <f aca="false">Costos_Personal!BF$115</f>
        <v>441666.82655983</v>
      </c>
      <c r="BG27" s="28" t="n">
        <f aca="false">Costos_Personal!BG$115</f>
        <v>441666.82655983</v>
      </c>
      <c r="BH27" s="28" t="n">
        <f aca="false">Costos_Personal!BH$115</f>
        <v>441666.82655983</v>
      </c>
      <c r="BI27" s="28" t="n">
        <f aca="false">Costos_Personal!BI$115</f>
        <v>441666.82655983</v>
      </c>
      <c r="BJ27" s="28" t="n">
        <f aca="false">Costos_Personal!BJ$115</f>
        <v>441666.82655983</v>
      </c>
      <c r="BK27" s="28" t="n">
        <f aca="false">Costos_Personal!BK$115</f>
        <v>441666.82655983</v>
      </c>
      <c r="BL27" s="28" t="n">
        <f aca="false">Costos_Personal!BL$115</f>
        <v>441666.82655983</v>
      </c>
      <c r="BM27" s="28" t="n">
        <f aca="false">Costos_Personal!BM$115</f>
        <v>441666.82655983</v>
      </c>
      <c r="BN27" s="28" t="n">
        <f aca="false">Costos_Personal!BN$115</f>
        <v>441666.82655983</v>
      </c>
      <c r="BO27" s="28" t="n">
        <f aca="false">Costos_Personal!BO$115</f>
        <v>444011.303492095</v>
      </c>
      <c r="BP27" s="28" t="n">
        <f aca="false">Costos_Personal!BP$115</f>
        <v>444011.303492095</v>
      </c>
      <c r="BQ27" s="28" t="n">
        <f aca="false">Costos_Personal!BQ$115</f>
        <v>444011.303492095</v>
      </c>
      <c r="BR27" s="28" t="n">
        <f aca="false">Costos_Personal!BR$115</f>
        <v>444011.303492095</v>
      </c>
      <c r="BS27" s="28" t="n">
        <f aca="false">Costos_Personal!BS$115</f>
        <v>444011.303492095</v>
      </c>
      <c r="BT27" s="28" t="n">
        <f aca="false">Costos_Personal!BT$115</f>
        <v>444011.303492095</v>
      </c>
      <c r="BU27" s="28" t="n">
        <f aca="false">Costos_Personal!BU$115</f>
        <v>444011.303492095</v>
      </c>
      <c r="BV27" s="28" t="n">
        <f aca="false">Costos_Personal!BV$115</f>
        <v>444011.303492095</v>
      </c>
      <c r="BW27" s="28" t="n">
        <f aca="false">Costos_Personal!BW$115</f>
        <v>444011.303492095</v>
      </c>
      <c r="BX27" s="28" t="n">
        <f aca="false">Costos_Personal!BX$115</f>
        <v>444011.303492095</v>
      </c>
      <c r="BY27" s="28" t="n">
        <f aca="false">Costos_Personal!BY$115</f>
        <v>444011.303492095</v>
      </c>
      <c r="BZ27" s="28" t="n">
        <f aca="false">Costos_Personal!BZ$115</f>
        <v>444011.303492095</v>
      </c>
      <c r="CA27" s="28" t="n">
        <f aca="false">Costos_Personal!CA$115</f>
        <v>446379.225193682</v>
      </c>
      <c r="CB27" s="28" t="n">
        <f aca="false">Costos_Personal!CB$115</f>
        <v>446379.225193682</v>
      </c>
      <c r="CC27" s="28" t="n">
        <f aca="false">Costos_Personal!CC$115</f>
        <v>446379.225193682</v>
      </c>
      <c r="CD27" s="28" t="n">
        <f aca="false">Costos_Personal!CD$115</f>
        <v>446379.225193682</v>
      </c>
      <c r="CE27" s="28" t="n">
        <f aca="false">Costos_Personal!CE$115</f>
        <v>446379.225193682</v>
      </c>
      <c r="CF27" s="28" t="n">
        <f aca="false">Costos_Personal!CF$115</f>
        <v>446379.225193682</v>
      </c>
      <c r="CG27" s="28" t="n">
        <f aca="false">Costos_Personal!CG$115</f>
        <v>446379.225193682</v>
      </c>
      <c r="CH27" s="28" t="n">
        <f aca="false">Costos_Personal!CH$115</f>
        <v>446379.225193682</v>
      </c>
      <c r="CI27" s="28" t="n">
        <f aca="false">Costos_Personal!CI$115</f>
        <v>446379.225193682</v>
      </c>
      <c r="CJ27" s="28" t="n">
        <f aca="false">Costos_Personal!CJ$115</f>
        <v>446379.225193682</v>
      </c>
      <c r="CK27" s="28" t="n">
        <f aca="false">Costos_Personal!CK$115</f>
        <v>446379.225193682</v>
      </c>
      <c r="CL27" s="28" t="n">
        <f aca="false">Costos_Personal!CL$115</f>
        <v>446379.225193682</v>
      </c>
      <c r="CM27" s="28" t="n">
        <f aca="false">Costos_Personal!CM$115</f>
        <v>448770.826112286</v>
      </c>
      <c r="CN27" s="28" t="n">
        <f aca="false">Costos_Personal!CN$115</f>
        <v>448770.826112286</v>
      </c>
      <c r="CO27" s="28" t="n">
        <f aca="false">Costos_Personal!CO$115</f>
        <v>448770.826112286</v>
      </c>
      <c r="CP27" s="28" t="n">
        <f aca="false">Costos_Personal!CP$115</f>
        <v>448770.826112286</v>
      </c>
      <c r="CQ27" s="28" t="n">
        <f aca="false">Costos_Personal!CQ$115</f>
        <v>448770.826112286</v>
      </c>
      <c r="CR27" s="28" t="n">
        <f aca="false">Costos_Personal!CR$115</f>
        <v>448770.826112286</v>
      </c>
      <c r="CS27" s="28" t="n">
        <f aca="false">Costos_Personal!CS$115</f>
        <v>448770.826112286</v>
      </c>
      <c r="CT27" s="28" t="n">
        <f aca="false">Costos_Personal!CT$115</f>
        <v>448770.826112286</v>
      </c>
      <c r="CU27" s="28" t="n">
        <f aca="false">Costos_Personal!CU$115</f>
        <v>448770.826112286</v>
      </c>
      <c r="CV27" s="28" t="n">
        <f aca="false">Costos_Personal!CV$115</f>
        <v>448770.826112286</v>
      </c>
      <c r="CW27" s="28" t="n">
        <f aca="false">Costos_Personal!CW$115</f>
        <v>448770.826112286</v>
      </c>
      <c r="CX27" s="28" t="n">
        <f aca="false">Costos_Personal!CX$115</f>
        <v>448770.826112286</v>
      </c>
      <c r="CY27" s="28" t="n">
        <f aca="false">Costos_Personal!CY$115</f>
        <v>451186.343040075</v>
      </c>
      <c r="CZ27" s="28" t="n">
        <f aca="false">Costos_Personal!CZ$115</f>
        <v>451186.343040075</v>
      </c>
      <c r="DA27" s="28" t="n">
        <f aca="false">Costos_Personal!DA$115</f>
        <v>451186.343040075</v>
      </c>
      <c r="DB27" s="28" t="n">
        <f aca="false">Costos_Personal!DB$115</f>
        <v>451186.343040075</v>
      </c>
      <c r="DC27" s="28" t="n">
        <f aca="false">Costos_Personal!DC$115</f>
        <v>451186.343040075</v>
      </c>
      <c r="DD27" s="28" t="n">
        <f aca="false">Costos_Personal!DD$115</f>
        <v>451186.343040075</v>
      </c>
      <c r="DE27" s="28" t="n">
        <f aca="false">Costos_Personal!DE$115</f>
        <v>451186.343040075</v>
      </c>
      <c r="DF27" s="28" t="n">
        <f aca="false">Costos_Personal!DF$115</f>
        <v>451186.343040075</v>
      </c>
      <c r="DG27" s="28" t="n">
        <f aca="false">Costos_Personal!DG$115</f>
        <v>451186.343040075</v>
      </c>
      <c r="DH27" s="28" t="n">
        <f aca="false">Costos_Personal!DH$115</f>
        <v>451186.343040075</v>
      </c>
      <c r="DI27" s="28" t="n">
        <f aca="false">Costos_Personal!DI$115</f>
        <v>451186.343040075</v>
      </c>
      <c r="DJ27" s="28" t="n">
        <f aca="false">Costos_Personal!DJ$115</f>
        <v>451186.343040075</v>
      </c>
      <c r="DK27" s="28" t="n">
        <f aca="false">Costos_Personal!DK$115</f>
        <v>453626.015137143</v>
      </c>
      <c r="DL27" s="28" t="n">
        <f aca="false">Costos_Personal!DL$115</f>
        <v>453626.015137143</v>
      </c>
      <c r="DM27" s="28" t="n">
        <f aca="false">Costos_Personal!DM$115</f>
        <v>453626.015137143</v>
      </c>
      <c r="DN27" s="28" t="n">
        <f aca="false">Costos_Personal!DN$115</f>
        <v>453626.015137143</v>
      </c>
      <c r="DO27" s="28" t="n">
        <f aca="false">Costos_Personal!DO$115</f>
        <v>453626.015137143</v>
      </c>
      <c r="DP27" s="28" t="n">
        <f aca="false">Costos_Personal!DP$115</f>
        <v>453626.015137143</v>
      </c>
      <c r="DQ27" s="28" t="n">
        <f aca="false">Costos_Personal!DQ$115</f>
        <v>453626.015137143</v>
      </c>
      <c r="DR27" s="28" t="n">
        <f aca="false">Costos_Personal!DR$115</f>
        <v>453626.015137143</v>
      </c>
      <c r="DS27" s="28" t="n">
        <f aca="false">Costos_Personal!DS$115</f>
        <v>453626.015137143</v>
      </c>
      <c r="DT27" s="28" t="n">
        <f aca="false">Costos_Personal!DT$115</f>
        <v>453626.015137143</v>
      </c>
      <c r="DU27" s="28" t="n">
        <f aca="false">Costos_Personal!DU$115</f>
        <v>453626.015137143</v>
      </c>
      <c r="DV27" s="28" t="n">
        <f aca="false">Costos_Personal!DV$115</f>
        <v>304488.695092055</v>
      </c>
      <c r="DW27" s="28" t="n">
        <f aca="false">Costos_Personal!DW$115</f>
        <v>0</v>
      </c>
      <c r="DX27" s="28" t="n">
        <f aca="false">Costos_Personal!DX$115</f>
        <v>0</v>
      </c>
      <c r="DY27" s="28" t="n">
        <f aca="false">Costos_Personal!DY$115</f>
        <v>0</v>
      </c>
      <c r="DZ27" s="28" t="n">
        <f aca="false">Costos_Personal!DZ$115</f>
        <v>0</v>
      </c>
      <c r="EA27" s="28" t="n">
        <f aca="false">Costos_Personal!EA$115</f>
        <v>0</v>
      </c>
      <c r="EB27" s="28" t="n">
        <f aca="false">Costos_Personal!EB$115</f>
        <v>0</v>
      </c>
      <c r="EC27" s="28" t="n">
        <f aca="false">Costos_Personal!EC$115</f>
        <v>0</v>
      </c>
      <c r="ED27" s="28" t="n">
        <f aca="false">Costos_Personal!ED$115</f>
        <v>0</v>
      </c>
      <c r="EE27" s="28" t="n">
        <f aca="false">Costos_Personal!EE$115</f>
        <v>0</v>
      </c>
      <c r="EF27" s="28" t="n">
        <f aca="false">Costos_Personal!EF$115</f>
        <v>0</v>
      </c>
      <c r="EG27" s="28" t="n">
        <f aca="false">Costos_Personal!EG$115</f>
        <v>0</v>
      </c>
      <c r="EH27" s="28" t="n">
        <f aca="false">Costos_Personal!EH$115</f>
        <v>0</v>
      </c>
      <c r="EI27" s="28" t="n">
        <f aca="false">Costos_Personal!EI$115</f>
        <v>0</v>
      </c>
      <c r="EJ27" s="28" t="n">
        <f aca="false">Costos_Personal!EJ$115</f>
        <v>0</v>
      </c>
      <c r="EK27" s="28" t="n">
        <f aca="false">Costos_Personal!EK$115</f>
        <v>0</v>
      </c>
      <c r="EL27" s="28" t="n">
        <f aca="false">Costos_Personal!EL$115</f>
        <v>0</v>
      </c>
      <c r="EM27" s="28" t="n">
        <f aca="false">Costos_Personal!EM$115</f>
        <v>0</v>
      </c>
      <c r="EN27" s="28" t="n">
        <f aca="false">Costos_Personal!EN$115</f>
        <v>0</v>
      </c>
      <c r="EO27" s="28" t="n">
        <f aca="false">Costos_Personal!EO$115</f>
        <v>0</v>
      </c>
      <c r="EP27" s="28" t="n">
        <f aca="false">Costos_Personal!EP$115</f>
        <v>0</v>
      </c>
      <c r="EQ27" s="28" t="n">
        <f aca="false">Costos_Personal!EQ$115</f>
        <v>0</v>
      </c>
      <c r="ER27" s="28" t="n">
        <f aca="false">Costos_Personal!ER$115</f>
        <v>0</v>
      </c>
      <c r="ES27" s="28" t="n">
        <f aca="false">Costos_Personal!ES$115</f>
        <v>0</v>
      </c>
      <c r="ET27" s="28" t="n">
        <f aca="false">Costos_Personal!ET$115</f>
        <v>0</v>
      </c>
      <c r="EU27" s="28" t="n">
        <f aca="false">Costos_Personal!EU$115</f>
        <v>0</v>
      </c>
      <c r="EV27" s="28" t="n">
        <f aca="false">Costos_Personal!EV$115</f>
        <v>0</v>
      </c>
      <c r="EW27" s="28" t="n">
        <f aca="false">Costos_Personal!EW$115</f>
        <v>0</v>
      </c>
      <c r="EX27" s="28" t="n">
        <f aca="false">Costos_Personal!EX$115</f>
        <v>0</v>
      </c>
      <c r="EY27" s="28" t="n">
        <f aca="false">Costos_Personal!EY$115</f>
        <v>0</v>
      </c>
      <c r="EZ27" s="28" t="n">
        <f aca="false">Costos_Personal!EZ$115</f>
        <v>0</v>
      </c>
      <c r="FA27" s="28" t="n">
        <f aca="false">Costos_Personal!FA$115</f>
        <v>0</v>
      </c>
      <c r="FB27" s="28" t="n">
        <f aca="false">Costos_Personal!FB$115</f>
        <v>0</v>
      </c>
      <c r="FC27" s="28" t="n">
        <f aca="false">Costos_Personal!FC$115</f>
        <v>0</v>
      </c>
      <c r="FD27" s="28" t="n">
        <f aca="false">Costos_Personal!FD$115</f>
        <v>0</v>
      </c>
      <c r="FE27" s="28" t="n">
        <f aca="false">Costos_Personal!FE$115</f>
        <v>0</v>
      </c>
      <c r="FF27" s="28" t="n">
        <f aca="false">Costos_Personal!FF$115</f>
        <v>0</v>
      </c>
    </row>
    <row r="28" customFormat="false" ht="15" hidden="false" customHeight="false" outlineLevel="0" collapsed="false">
      <c r="A28" s="2" t="s">
        <v>1316</v>
      </c>
      <c r="B28" s="8" t="s">
        <v>1317</v>
      </c>
      <c r="C28" s="8" t="s">
        <v>255</v>
      </c>
      <c r="F28" s="13" t="n">
        <f aca="false">IF(p_Sk&gt;0,SUM(INDEX($F$27:$FF$27,1,MIN(157,0+2)):INDEX($F$27:$FF$27,1,MIN(157,0+1+p_Sk))),0)+p_Sf*INDEX($F$27:$FF$27,1,MIN(157,0+2+p_Sk))</f>
        <v>1064142.28219178</v>
      </c>
      <c r="G28" s="13" t="n">
        <f aca="false">IF(p_Sk&gt;0,SUM(INDEX($F$27:$FF$27,1,MIN(157,1+2)):INDEX($F$27:$FF$27,1,MIN(157,1+1+p_Sk))),0)+p_Sf*INDEX($F$27:$FF$27,1,MIN(157,1+2+p_Sk))</f>
        <v>982285.183561644</v>
      </c>
      <c r="H28" s="13" t="n">
        <f aca="false">IF(p_Sk&gt;0,SUM(INDEX($F$27:$FF$27,1,MIN(157,2+2)):INDEX($F$27:$FF$27,1,MIN(157,2+1+p_Sk))),0)+p_Sf*INDEX($F$27:$FF$27,1,MIN(157,2+2+p_Sk))</f>
        <v>982285.183561644</v>
      </c>
      <c r="I28" s="13" t="n">
        <f aca="false">IF(p_Sk&gt;0,SUM(INDEX($F$27:$FF$27,1,MIN(157,3+2)):INDEX($F$27:$FF$27,1,MIN(157,3+1+p_Sk))),0)+p_Sf*INDEX($F$27:$FF$27,1,MIN(157,3+2+p_Sk))</f>
        <v>982285.183561644</v>
      </c>
      <c r="J28" s="13" t="n">
        <f aca="false">IF(p_Sk&gt;0,SUM(INDEX($F$27:$FF$27,1,MIN(157,4+2)):INDEX($F$27:$FF$27,1,MIN(157,4+1+p_Sk))),0)+p_Sf*INDEX($F$27:$FF$27,1,MIN(157,4+2+p_Sk))</f>
        <v>982285.183561644</v>
      </c>
      <c r="K28" s="13" t="n">
        <f aca="false">IF(p_Sk&gt;0,SUM(INDEX($F$27:$FF$27,1,MIN(157,5+2)):INDEX($F$27:$FF$27,1,MIN(157,5+1+p_Sk))),0)+p_Sf*INDEX($F$27:$FF$27,1,MIN(157,5+2+p_Sk))</f>
        <v>982285.183561644</v>
      </c>
      <c r="L28" s="13" t="n">
        <f aca="false">IF(p_Sk&gt;0,SUM(INDEX($F$27:$FF$27,1,MIN(157,6+2)):INDEX($F$27:$FF$27,1,MIN(157,6+1+p_Sk))),0)+p_Sf*INDEX($F$27:$FF$27,1,MIN(157,6+2+p_Sk))</f>
        <v>982285.183561644</v>
      </c>
      <c r="M28" s="13" t="n">
        <f aca="false">IF(p_Sk&gt;0,SUM(INDEX($F$27:$FF$27,1,MIN(157,7+2)):INDEX($F$27:$FF$27,1,MIN(157,7+1+p_Sk))),0)+p_Sf*INDEX($F$27:$FF$27,1,MIN(157,7+2+p_Sk))</f>
        <v>982285.183561644</v>
      </c>
      <c r="N28" s="13" t="n">
        <f aca="false">IF(p_Sk&gt;0,SUM(INDEX($F$27:$FF$27,1,MIN(157,8+2)):INDEX($F$27:$FF$27,1,MIN(157,8+1+p_Sk))),0)+p_Sf*INDEX($F$27:$FF$27,1,MIN(157,8+2+p_Sk))</f>
        <v>1002622.4603115</v>
      </c>
      <c r="O28" s="13" t="n">
        <f aca="false">IF(p_Sk&gt;0,SUM(INDEX($F$27:$FF$27,1,MIN(157,9+2)):INDEX($F$27:$FF$27,1,MIN(157,9+1+p_Sk))),0)+p_Sf*INDEX($F$27:$FF$27,1,MIN(157,9+2+p_Sk))</f>
        <v>1067207.51741438</v>
      </c>
      <c r="P28" s="13" t="n">
        <f aca="false">IF(p_Sk&gt;0,SUM(INDEX($F$27:$FF$27,1,MIN(157,10+2)):INDEX($F$27:$FF$27,1,MIN(157,10+1+p_Sk))),0)+p_Sf*INDEX($F$27:$FF$27,1,MIN(157,10+2+p_Sk))</f>
        <v>1134289.31699772</v>
      </c>
      <c r="Q28" s="13" t="n">
        <f aca="false">IF(p_Sk&gt;0,SUM(INDEX($F$27:$FF$27,1,MIN(157,11+2)):INDEX($F$27:$FF$27,1,MIN(157,11+1+p_Sk))),0)+p_Sf*INDEX($F$27:$FF$27,1,MIN(157,11+2+p_Sk))</f>
        <v>1201371.11658105</v>
      </c>
      <c r="R28" s="13" t="n">
        <f aca="false">IF(p_Sk&gt;0,SUM(INDEX($F$27:$FF$27,1,MIN(157,12+2)):INDEX($F$27:$FF$27,1,MIN(157,12+1+p_Sk))),0)+p_Sf*INDEX($F$27:$FF$27,1,MIN(157,12+2+p_Sk))</f>
        <v>1246936.66684932</v>
      </c>
      <c r="S28" s="13" t="n">
        <f aca="false">IF(p_Sk&gt;0,SUM(INDEX($F$27:$FF$27,1,MIN(157,13+2)):INDEX($F$27:$FF$27,1,MIN(157,13+1+p_Sk))),0)+p_Sf*INDEX($F$27:$FF$27,1,MIN(157,13+2+p_Sk))</f>
        <v>1246936.66684932</v>
      </c>
      <c r="T28" s="13" t="n">
        <f aca="false">IF(p_Sk&gt;0,SUM(INDEX($F$27:$FF$27,1,MIN(157,14+2)):INDEX($F$27:$FF$27,1,MIN(157,14+1+p_Sk))),0)+p_Sf*INDEX($F$27:$FF$27,1,MIN(157,14+2+p_Sk))</f>
        <v>1246936.66684932</v>
      </c>
      <c r="U28" s="13" t="n">
        <f aca="false">IF(p_Sk&gt;0,SUM(INDEX($F$27:$FF$27,1,MIN(157,15+2)):INDEX($F$27:$FF$27,1,MIN(157,15+1+p_Sk))),0)+p_Sf*INDEX($F$27:$FF$27,1,MIN(157,15+2+p_Sk))</f>
        <v>1246936.66684932</v>
      </c>
      <c r="V28" s="13" t="n">
        <f aca="false">IF(p_Sk&gt;0,SUM(INDEX($F$27:$FF$27,1,MIN(157,16+2)):INDEX($F$27:$FF$27,1,MIN(157,16+1+p_Sk))),0)+p_Sf*INDEX($F$27:$FF$27,1,MIN(157,16+2+p_Sk))</f>
        <v>1246936.66684932</v>
      </c>
      <c r="W28" s="13" t="n">
        <f aca="false">IF(p_Sk&gt;0,SUM(INDEX($F$27:$FF$27,1,MIN(157,17+2)):INDEX($F$27:$FF$27,1,MIN(157,17+1+p_Sk))),0)+p_Sf*INDEX($F$27:$FF$27,1,MIN(157,17+2+p_Sk))</f>
        <v>1246936.66684932</v>
      </c>
      <c r="X28" s="13" t="n">
        <f aca="false">IF(p_Sk&gt;0,SUM(INDEX($F$27:$FF$27,1,MIN(157,18+2)):INDEX($F$27:$FF$27,1,MIN(157,18+1+p_Sk))),0)+p_Sf*INDEX($F$27:$FF$27,1,MIN(157,18+2+p_Sk))</f>
        <v>1246936.66684932</v>
      </c>
      <c r="Y28" s="13" t="n">
        <f aca="false">IF(p_Sk&gt;0,SUM(INDEX($F$27:$FF$27,1,MIN(157,19+2)):INDEX($F$27:$FF$27,1,MIN(157,19+1+p_Sk))),0)+p_Sf*INDEX($F$27:$FF$27,1,MIN(157,19+2+p_Sk))</f>
        <v>1246936.66684932</v>
      </c>
      <c r="Z28" s="13" t="n">
        <f aca="false">IF(p_Sk&gt;0,SUM(INDEX($F$27:$FF$27,1,MIN(157,20+2)):INDEX($F$27:$FF$27,1,MIN(157,20+1+p_Sk))),0)+p_Sf*INDEX($F$27:$FF$27,1,MIN(157,20+2+p_Sk))</f>
        <v>1267379.60837868</v>
      </c>
      <c r="AA28" s="13" t="n">
        <f aca="false">IF(p_Sk&gt;0,SUM(INDEX($F$27:$FF$27,1,MIN(157,21+2)):INDEX($F$27:$FF$27,1,MIN(157,21+1+p_Sk))),0)+p_Sf*INDEX($F$27:$FF$27,1,MIN(157,21+2+p_Sk))</f>
        <v>1332632.26769932</v>
      </c>
      <c r="AB28" s="13" t="n">
        <f aca="false">IF(p_Sk&gt;0,SUM(INDEX($F$27:$FF$27,1,MIN(157,22+2)):INDEX($F$27:$FF$27,1,MIN(157,22+1+p_Sk))),0)+p_Sf*INDEX($F$27:$FF$27,1,MIN(157,22+2+p_Sk))</f>
        <v>1400413.89048265</v>
      </c>
      <c r="AC28" s="13" t="n">
        <f aca="false">IF(p_Sk&gt;0,SUM(INDEX($F$27:$FF$27,1,MIN(157,23+2)):INDEX($F$27:$FF$27,1,MIN(157,23+1+p_Sk))),0)+p_Sf*INDEX($F$27:$FF$27,1,MIN(157,23+2+p_Sk))</f>
        <v>1468195.51326598</v>
      </c>
      <c r="AD28" s="13" t="n">
        <f aca="false">IF(p_Sk&gt;0,SUM(INDEX($F$27:$FF$27,1,MIN(157,24+2)):INDEX($F$27:$FF$27,1,MIN(157,24+1+p_Sk))),0)+p_Sf*INDEX($F$27:$FF$27,1,MIN(157,24+2+p_Sk))</f>
        <v>1514349.09646027</v>
      </c>
      <c r="AE28" s="13" t="n">
        <f aca="false">IF(p_Sk&gt;0,SUM(INDEX($F$27:$FF$27,1,MIN(157,25+2)):INDEX($F$27:$FF$27,1,MIN(157,25+1+p_Sk))),0)+p_Sf*INDEX($F$27:$FF$27,1,MIN(157,25+2+p_Sk))</f>
        <v>1514349.09646027</v>
      </c>
      <c r="AF28" s="13" t="n">
        <f aca="false">IF(p_Sk&gt;0,SUM(INDEX($F$27:$FF$27,1,MIN(157,26+2)):INDEX($F$27:$FF$27,1,MIN(157,26+1+p_Sk))),0)+p_Sf*INDEX($F$27:$FF$27,1,MIN(157,26+2+p_Sk))</f>
        <v>1514349.09646027</v>
      </c>
      <c r="AG28" s="13" t="n">
        <f aca="false">IF(p_Sk&gt;0,SUM(INDEX($F$27:$FF$27,1,MIN(157,27+2)):INDEX($F$27:$FF$27,1,MIN(157,27+1+p_Sk))),0)+p_Sf*INDEX($F$27:$FF$27,1,MIN(157,27+2+p_Sk))</f>
        <v>1514349.09646027</v>
      </c>
      <c r="AH28" s="13" t="n">
        <f aca="false">IF(p_Sk&gt;0,SUM(INDEX($F$27:$FF$27,1,MIN(157,28+2)):INDEX($F$27:$FF$27,1,MIN(157,28+1+p_Sk))),0)+p_Sf*INDEX($F$27:$FF$27,1,MIN(157,28+2+p_Sk))</f>
        <v>1514349.09646027</v>
      </c>
      <c r="AI28" s="13" t="n">
        <f aca="false">IF(p_Sk&gt;0,SUM(INDEX($F$27:$FF$27,1,MIN(157,29+2)):INDEX($F$27:$FF$27,1,MIN(157,29+1+p_Sk))),0)+p_Sf*INDEX($F$27:$FF$27,1,MIN(157,29+2+p_Sk))</f>
        <v>1514349.09646027</v>
      </c>
      <c r="AJ28" s="13" t="n">
        <f aca="false">IF(p_Sk&gt;0,SUM(INDEX($F$27:$FF$27,1,MIN(157,30+2)):INDEX($F$27:$FF$27,1,MIN(157,30+1+p_Sk))),0)+p_Sf*INDEX($F$27:$FF$27,1,MIN(157,30+2+p_Sk))</f>
        <v>1514349.09646027</v>
      </c>
      <c r="AK28" s="13" t="n">
        <f aca="false">IF(p_Sk&gt;0,SUM(INDEX($F$27:$FF$27,1,MIN(157,31+2)):INDEX($F$27:$FF$27,1,MIN(157,31+1+p_Sk))),0)+p_Sf*INDEX($F$27:$FF$27,1,MIN(157,31+2+p_Sk))</f>
        <v>1514349.09646027</v>
      </c>
      <c r="AL28" s="13" t="n">
        <f aca="false">IF(p_Sk&gt;0,SUM(INDEX($F$27:$FF$27,1,MIN(157,32+2)):INDEX($F$27:$FF$27,1,MIN(157,32+1+p_Sk))),0)+p_Sf*INDEX($F$27:$FF$27,1,MIN(157,32+2+p_Sk))</f>
        <v>1530881.70365838</v>
      </c>
      <c r="AM28" s="13" t="n">
        <f aca="false">IF(p_Sk&gt;0,SUM(INDEX($F$27:$FF$27,1,MIN(157,33+2)):INDEX($F$27:$FF$27,1,MIN(157,33+1+p_Sk))),0)+p_Sf*INDEX($F$27:$FF$27,1,MIN(157,33+2+p_Sk))</f>
        <v>1584299.14414057</v>
      </c>
      <c r="AN28" s="13" t="n">
        <f aca="false">IF(p_Sk&gt;0,SUM(INDEX($F$27:$FF$27,1,MIN(157,34+2)):INDEX($F$27:$FF$27,1,MIN(157,34+1+p_Sk))),0)+p_Sf*INDEX($F$27:$FF$27,1,MIN(157,34+2+p_Sk))</f>
        <v>1639799.27571103</v>
      </c>
      <c r="AO28" s="13" t="n">
        <f aca="false">IF(p_Sk&gt;0,SUM(INDEX($F$27:$FF$27,1,MIN(157,35+2)):INDEX($F$27:$FF$27,1,MIN(157,35+1+p_Sk))),0)+p_Sf*INDEX($F$27:$FF$27,1,MIN(157,35+2+p_Sk))</f>
        <v>1695299.40728149</v>
      </c>
      <c r="AP28" s="13" t="n">
        <f aca="false">IF(p_Sk&gt;0,SUM(INDEX($F$27:$FF$27,1,MIN(157,36+2)):INDEX($F$27:$FF$27,1,MIN(157,36+1+p_Sk))),0)+p_Sf*INDEX($F$27:$FF$27,1,MIN(157,36+2+p_Sk))</f>
        <v>1733308.51964236</v>
      </c>
      <c r="AQ28" s="13" t="n">
        <f aca="false">IF(p_Sk&gt;0,SUM(INDEX($F$27:$FF$27,1,MIN(157,37+2)):INDEX($F$27:$FF$27,1,MIN(157,37+1+p_Sk))),0)+p_Sf*INDEX($F$27:$FF$27,1,MIN(157,37+2+p_Sk))</f>
        <v>1733308.51964236</v>
      </c>
      <c r="AR28" s="13" t="n">
        <f aca="false">IF(p_Sk&gt;0,SUM(INDEX($F$27:$FF$27,1,MIN(157,38+2)):INDEX($F$27:$FF$27,1,MIN(157,38+1+p_Sk))),0)+p_Sf*INDEX($F$27:$FF$27,1,MIN(157,38+2+p_Sk))</f>
        <v>1733308.51964236</v>
      </c>
      <c r="AS28" s="13" t="n">
        <f aca="false">IF(p_Sk&gt;0,SUM(INDEX($F$27:$FF$27,1,MIN(157,39+2)):INDEX($F$27:$FF$27,1,MIN(157,39+1+p_Sk))),0)+p_Sf*INDEX($F$27:$FF$27,1,MIN(157,39+2+p_Sk))</f>
        <v>1733308.51964236</v>
      </c>
      <c r="AT28" s="13" t="n">
        <f aca="false">IF(p_Sk&gt;0,SUM(INDEX($F$27:$FF$27,1,MIN(157,40+2)):INDEX($F$27:$FF$27,1,MIN(157,40+1+p_Sk))),0)+p_Sf*INDEX($F$27:$FF$27,1,MIN(157,40+2+p_Sk))</f>
        <v>1733308.51964236</v>
      </c>
      <c r="AU28" s="13" t="n">
        <f aca="false">IF(p_Sk&gt;0,SUM(INDEX($F$27:$FF$27,1,MIN(157,41+2)):INDEX($F$27:$FF$27,1,MIN(157,41+1+p_Sk))),0)+p_Sf*INDEX($F$27:$FF$27,1,MIN(157,41+2+p_Sk))</f>
        <v>1733308.51964236</v>
      </c>
      <c r="AV28" s="13" t="n">
        <f aca="false">IF(p_Sk&gt;0,SUM(INDEX($F$27:$FF$27,1,MIN(157,42+2)):INDEX($F$27:$FF$27,1,MIN(157,42+1+p_Sk))),0)+p_Sf*INDEX($F$27:$FF$27,1,MIN(157,42+2+p_Sk))</f>
        <v>1733308.51964236</v>
      </c>
      <c r="AW28" s="13" t="n">
        <f aca="false">IF(p_Sk&gt;0,SUM(INDEX($F$27:$FF$27,1,MIN(157,43+2)):INDEX($F$27:$FF$27,1,MIN(157,43+1+p_Sk))),0)+p_Sf*INDEX($F$27:$FF$27,1,MIN(157,43+2+p_Sk))</f>
        <v>1733308.51964236</v>
      </c>
      <c r="AX28" s="13" t="n">
        <f aca="false">IF(p_Sk&gt;0,SUM(INDEX($F$27:$FF$27,1,MIN(157,44+2)):INDEX($F$27:$FF$27,1,MIN(157,44+1+p_Sk))),0)+p_Sf*INDEX($F$27:$FF$27,1,MIN(157,44+2+p_Sk))</f>
        <v>1733308.51964236</v>
      </c>
      <c r="AY28" s="13" t="n">
        <f aca="false">IF(p_Sk&gt;0,SUM(INDEX($F$27:$FF$27,1,MIN(157,45+2)):INDEX($F$27:$FF$27,1,MIN(157,45+1+p_Sk))),0)+p_Sf*INDEX($F$27:$FF$27,1,MIN(157,45+2+p_Sk))</f>
        <v>1735502.59136793</v>
      </c>
      <c r="AZ28" s="13" t="n">
        <f aca="false">IF(p_Sk&gt;0,SUM(INDEX($F$27:$FF$27,1,MIN(157,46+2)):INDEX($F$27:$FF$27,1,MIN(157,46+1+p_Sk))),0)+p_Sf*INDEX($F$27:$FF$27,1,MIN(157,46+2+p_Sk))</f>
        <v>1737823.8556573</v>
      </c>
      <c r="BA28" s="13" t="n">
        <f aca="false">IF(p_Sk&gt;0,SUM(INDEX($F$27:$FF$27,1,MIN(157,47+2)):INDEX($F$27:$FF$27,1,MIN(157,47+1+p_Sk))),0)+p_Sf*INDEX($F$27:$FF$27,1,MIN(157,47+2+p_Sk))</f>
        <v>1740145.11994667</v>
      </c>
      <c r="BB28" s="13" t="n">
        <f aca="false">IF(p_Sk&gt;0,SUM(INDEX($F$27:$FF$27,1,MIN(157,48+2)):INDEX($F$27:$FF$27,1,MIN(157,48+1+p_Sk))),0)+p_Sf*INDEX($F$27:$FF$27,1,MIN(157,48+2+p_Sk))</f>
        <v>1742466.38423604</v>
      </c>
      <c r="BC28" s="13" t="n">
        <f aca="false">IF(p_Sk&gt;0,SUM(INDEX($F$27:$FF$27,1,MIN(157,49+2)):INDEX($F$27:$FF$27,1,MIN(157,49+1+p_Sk))),0)+p_Sf*INDEX($F$27:$FF$27,1,MIN(157,49+2+p_Sk))</f>
        <v>1742466.38423604</v>
      </c>
      <c r="BD28" s="13" t="n">
        <f aca="false">IF(p_Sk&gt;0,SUM(INDEX($F$27:$FF$27,1,MIN(157,50+2)):INDEX($F$27:$FF$27,1,MIN(157,50+1+p_Sk))),0)+p_Sf*INDEX($F$27:$FF$27,1,MIN(157,50+2+p_Sk))</f>
        <v>1742466.38423604</v>
      </c>
      <c r="BE28" s="13" t="n">
        <f aca="false">IF(p_Sk&gt;0,SUM(INDEX($F$27:$FF$27,1,MIN(157,51+2)):INDEX($F$27:$FF$27,1,MIN(157,51+1+p_Sk))),0)+p_Sf*INDEX($F$27:$FF$27,1,MIN(157,51+2+p_Sk))</f>
        <v>1742466.38423604</v>
      </c>
      <c r="BF28" s="13" t="n">
        <f aca="false">IF(p_Sk&gt;0,SUM(INDEX($F$27:$FF$27,1,MIN(157,52+2)):INDEX($F$27:$FF$27,1,MIN(157,52+1+p_Sk))),0)+p_Sf*INDEX($F$27:$FF$27,1,MIN(157,52+2+p_Sk))</f>
        <v>1742466.38423604</v>
      </c>
      <c r="BG28" s="13" t="n">
        <f aca="false">IF(p_Sk&gt;0,SUM(INDEX($F$27:$FF$27,1,MIN(157,53+2)):INDEX($F$27:$FF$27,1,MIN(157,53+1+p_Sk))),0)+p_Sf*INDEX($F$27:$FF$27,1,MIN(157,53+2+p_Sk))</f>
        <v>1742466.38423604</v>
      </c>
      <c r="BH28" s="13" t="n">
        <f aca="false">IF(p_Sk&gt;0,SUM(INDEX($F$27:$FF$27,1,MIN(157,54+2)):INDEX($F$27:$FF$27,1,MIN(157,54+1+p_Sk))),0)+p_Sf*INDEX($F$27:$FF$27,1,MIN(157,54+2+p_Sk))</f>
        <v>1742466.38423604</v>
      </c>
      <c r="BI28" s="13" t="n">
        <f aca="false">IF(p_Sk&gt;0,SUM(INDEX($F$27:$FF$27,1,MIN(157,55+2)):INDEX($F$27:$FF$27,1,MIN(157,55+1+p_Sk))),0)+p_Sf*INDEX($F$27:$FF$27,1,MIN(157,55+2+p_Sk))</f>
        <v>1742466.38423604</v>
      </c>
      <c r="BJ28" s="13" t="n">
        <f aca="false">IF(p_Sk&gt;0,SUM(INDEX($F$27:$FF$27,1,MIN(157,56+2)):INDEX($F$27:$FF$27,1,MIN(157,56+1+p_Sk))),0)+p_Sf*INDEX($F$27:$FF$27,1,MIN(157,56+2+p_Sk))</f>
        <v>1742466.38423604</v>
      </c>
      <c r="BK28" s="13" t="n">
        <f aca="false">IF(p_Sk&gt;0,SUM(INDEX($F$27:$FF$27,1,MIN(157,57+2)):INDEX($F$27:$FF$27,1,MIN(157,57+1+p_Sk))),0)+p_Sf*INDEX($F$27:$FF$27,1,MIN(157,57+2+p_Sk))</f>
        <v>1744682.39667887</v>
      </c>
      <c r="BL28" s="13" t="n">
        <f aca="false">IF(p_Sk&gt;0,SUM(INDEX($F$27:$FF$27,1,MIN(157,58+2)):INDEX($F$27:$FF$27,1,MIN(157,58+1+p_Sk))),0)+p_Sf*INDEX($F$27:$FF$27,1,MIN(157,58+2+p_Sk))</f>
        <v>1747026.87361113</v>
      </c>
      <c r="BM28" s="13" t="n">
        <f aca="false">IF(p_Sk&gt;0,SUM(INDEX($F$27:$FF$27,1,MIN(157,59+2)):INDEX($F$27:$FF$27,1,MIN(157,59+1+p_Sk))),0)+p_Sf*INDEX($F$27:$FF$27,1,MIN(157,59+2+p_Sk))</f>
        <v>1749371.3505434</v>
      </c>
      <c r="BN28" s="13" t="n">
        <f aca="false">IF(p_Sk&gt;0,SUM(INDEX($F$27:$FF$27,1,MIN(157,60+2)):INDEX($F$27:$FF$27,1,MIN(157,60+1+p_Sk))),0)+p_Sf*INDEX($F$27:$FF$27,1,MIN(157,60+2+p_Sk))</f>
        <v>1751715.82747566</v>
      </c>
      <c r="BO28" s="13" t="n">
        <f aca="false">IF(p_Sk&gt;0,SUM(INDEX($F$27:$FF$27,1,MIN(157,61+2)):INDEX($F$27:$FF$27,1,MIN(157,61+1+p_Sk))),0)+p_Sf*INDEX($F$27:$FF$27,1,MIN(157,61+2+p_Sk))</f>
        <v>1751715.82747566</v>
      </c>
      <c r="BP28" s="13" t="n">
        <f aca="false">IF(p_Sk&gt;0,SUM(INDEX($F$27:$FF$27,1,MIN(157,62+2)):INDEX($F$27:$FF$27,1,MIN(157,62+1+p_Sk))),0)+p_Sf*INDEX($F$27:$FF$27,1,MIN(157,62+2+p_Sk))</f>
        <v>1751715.82747566</v>
      </c>
      <c r="BQ28" s="13" t="n">
        <f aca="false">IF(p_Sk&gt;0,SUM(INDEX($F$27:$FF$27,1,MIN(157,63+2)):INDEX($F$27:$FF$27,1,MIN(157,63+1+p_Sk))),0)+p_Sf*INDEX($F$27:$FF$27,1,MIN(157,63+2+p_Sk))</f>
        <v>1751715.82747566</v>
      </c>
      <c r="BR28" s="13" t="n">
        <f aca="false">IF(p_Sk&gt;0,SUM(INDEX($F$27:$FF$27,1,MIN(157,64+2)):INDEX($F$27:$FF$27,1,MIN(157,64+1+p_Sk))),0)+p_Sf*INDEX($F$27:$FF$27,1,MIN(157,64+2+p_Sk))</f>
        <v>1751715.82747566</v>
      </c>
      <c r="BS28" s="13" t="n">
        <f aca="false">IF(p_Sk&gt;0,SUM(INDEX($F$27:$FF$27,1,MIN(157,65+2)):INDEX($F$27:$FF$27,1,MIN(157,65+1+p_Sk))),0)+p_Sf*INDEX($F$27:$FF$27,1,MIN(157,65+2+p_Sk))</f>
        <v>1751715.82747566</v>
      </c>
      <c r="BT28" s="13" t="n">
        <f aca="false">IF(p_Sk&gt;0,SUM(INDEX($F$27:$FF$27,1,MIN(157,66+2)):INDEX($F$27:$FF$27,1,MIN(157,66+1+p_Sk))),0)+p_Sf*INDEX($F$27:$FF$27,1,MIN(157,66+2+p_Sk))</f>
        <v>1751715.82747566</v>
      </c>
      <c r="BU28" s="13" t="n">
        <f aca="false">IF(p_Sk&gt;0,SUM(INDEX($F$27:$FF$27,1,MIN(157,67+2)):INDEX($F$27:$FF$27,1,MIN(157,67+1+p_Sk))),0)+p_Sf*INDEX($F$27:$FF$27,1,MIN(157,67+2+p_Sk))</f>
        <v>1751715.82747566</v>
      </c>
      <c r="BV28" s="13" t="n">
        <f aca="false">IF(p_Sk&gt;0,SUM(INDEX($F$27:$FF$27,1,MIN(157,68+2)):INDEX($F$27:$FF$27,1,MIN(157,68+1+p_Sk))),0)+p_Sf*INDEX($F$27:$FF$27,1,MIN(157,68+2+p_Sk))</f>
        <v>1751715.82747566</v>
      </c>
      <c r="BW28" s="13" t="n">
        <f aca="false">IF(p_Sk&gt;0,SUM(INDEX($F$27:$FF$27,1,MIN(157,69+2)):INDEX($F$27:$FF$27,1,MIN(157,69+1+p_Sk))),0)+p_Sf*INDEX($F$27:$FF$27,1,MIN(157,69+2+p_Sk))</f>
        <v>1753954.00004291</v>
      </c>
      <c r="BX28" s="13" t="n">
        <f aca="false">IF(p_Sk&gt;0,SUM(INDEX($F$27:$FF$27,1,MIN(157,70+2)):INDEX($F$27:$FF$27,1,MIN(157,70+1+p_Sk))),0)+p_Sf*INDEX($F$27:$FF$27,1,MIN(157,70+2+p_Sk))</f>
        <v>1756321.9217445</v>
      </c>
      <c r="BY28" s="13" t="n">
        <f aca="false">IF(p_Sk&gt;0,SUM(INDEX($F$27:$FF$27,1,MIN(157,71+2)):INDEX($F$27:$FF$27,1,MIN(157,71+1+p_Sk))),0)+p_Sf*INDEX($F$27:$FF$27,1,MIN(157,71+2+p_Sk))</f>
        <v>1758689.84344609</v>
      </c>
      <c r="BZ28" s="13" t="n">
        <f aca="false">IF(p_Sk&gt;0,SUM(INDEX($F$27:$FF$27,1,MIN(157,72+2)):INDEX($F$27:$FF$27,1,MIN(157,72+1+p_Sk))),0)+p_Sf*INDEX($F$27:$FF$27,1,MIN(157,72+2+p_Sk))</f>
        <v>1761057.76514768</v>
      </c>
      <c r="CA28" s="13" t="n">
        <f aca="false">IF(p_Sk&gt;0,SUM(INDEX($F$27:$FF$27,1,MIN(157,73+2)):INDEX($F$27:$FF$27,1,MIN(157,73+1+p_Sk))),0)+p_Sf*INDEX($F$27:$FF$27,1,MIN(157,73+2+p_Sk))</f>
        <v>1761057.76514768</v>
      </c>
      <c r="CB28" s="13" t="n">
        <f aca="false">IF(p_Sk&gt;0,SUM(INDEX($F$27:$FF$27,1,MIN(157,74+2)):INDEX($F$27:$FF$27,1,MIN(157,74+1+p_Sk))),0)+p_Sf*INDEX($F$27:$FF$27,1,MIN(157,74+2+p_Sk))</f>
        <v>1761057.76514768</v>
      </c>
      <c r="CC28" s="13" t="n">
        <f aca="false">IF(p_Sk&gt;0,SUM(INDEX($F$27:$FF$27,1,MIN(157,75+2)):INDEX($F$27:$FF$27,1,MIN(157,75+1+p_Sk))),0)+p_Sf*INDEX($F$27:$FF$27,1,MIN(157,75+2+p_Sk))</f>
        <v>1761057.76514768</v>
      </c>
      <c r="CD28" s="13" t="n">
        <f aca="false">IF(p_Sk&gt;0,SUM(INDEX($F$27:$FF$27,1,MIN(157,76+2)):INDEX($F$27:$FF$27,1,MIN(157,76+1+p_Sk))),0)+p_Sf*INDEX($F$27:$FF$27,1,MIN(157,76+2+p_Sk))</f>
        <v>1761057.76514768</v>
      </c>
      <c r="CE28" s="13" t="n">
        <f aca="false">IF(p_Sk&gt;0,SUM(INDEX($F$27:$FF$27,1,MIN(157,77+2)):INDEX($F$27:$FF$27,1,MIN(157,77+1+p_Sk))),0)+p_Sf*INDEX($F$27:$FF$27,1,MIN(157,77+2+p_Sk))</f>
        <v>1761057.76514768</v>
      </c>
      <c r="CF28" s="13" t="n">
        <f aca="false">IF(p_Sk&gt;0,SUM(INDEX($F$27:$FF$27,1,MIN(157,78+2)):INDEX($F$27:$FF$27,1,MIN(157,78+1+p_Sk))),0)+p_Sf*INDEX($F$27:$FF$27,1,MIN(157,78+2+p_Sk))</f>
        <v>1761057.76514768</v>
      </c>
      <c r="CG28" s="13" t="n">
        <f aca="false">IF(p_Sk&gt;0,SUM(INDEX($F$27:$FF$27,1,MIN(157,79+2)):INDEX($F$27:$FF$27,1,MIN(157,79+1+p_Sk))),0)+p_Sf*INDEX($F$27:$FF$27,1,MIN(157,79+2+p_Sk))</f>
        <v>1761057.76514768</v>
      </c>
      <c r="CH28" s="13" t="n">
        <f aca="false">IF(p_Sk&gt;0,SUM(INDEX($F$27:$FF$27,1,MIN(157,80+2)):INDEX($F$27:$FF$27,1,MIN(157,80+1+p_Sk))),0)+p_Sf*INDEX($F$27:$FF$27,1,MIN(157,80+2+p_Sk))</f>
        <v>1761057.76514768</v>
      </c>
      <c r="CI28" s="13" t="n">
        <f aca="false">IF(p_Sk&gt;0,SUM(INDEX($F$27:$FF$27,1,MIN(157,81+2)):INDEX($F$27:$FF$27,1,MIN(157,81+1+p_Sk))),0)+p_Sf*INDEX($F$27:$FF$27,1,MIN(157,81+2+p_Sk))</f>
        <v>1763318.3194406</v>
      </c>
      <c r="CJ28" s="13" t="n">
        <f aca="false">IF(p_Sk&gt;0,SUM(INDEX($F$27:$FF$27,1,MIN(157,82+2)):INDEX($F$27:$FF$27,1,MIN(157,82+1+p_Sk))),0)+p_Sf*INDEX($F$27:$FF$27,1,MIN(157,82+2+p_Sk))</f>
        <v>1765709.92035921</v>
      </c>
      <c r="CK28" s="13" t="n">
        <f aca="false">IF(p_Sk&gt;0,SUM(INDEX($F$27:$FF$27,1,MIN(157,83+2)):INDEX($F$27:$FF$27,1,MIN(157,83+1+p_Sk))),0)+p_Sf*INDEX($F$27:$FF$27,1,MIN(157,83+2+p_Sk))</f>
        <v>1768101.52127781</v>
      </c>
      <c r="CL28" s="13" t="n">
        <f aca="false">IF(p_Sk&gt;0,SUM(INDEX($F$27:$FF$27,1,MIN(157,84+2)):INDEX($F$27:$FF$27,1,MIN(157,84+1+p_Sk))),0)+p_Sf*INDEX($F$27:$FF$27,1,MIN(157,84+2+p_Sk))</f>
        <v>1770493.12219641</v>
      </c>
      <c r="CM28" s="13" t="n">
        <f aca="false">IF(p_Sk&gt;0,SUM(INDEX($F$27:$FF$27,1,MIN(157,85+2)):INDEX($F$27:$FF$27,1,MIN(157,85+1+p_Sk))),0)+p_Sf*INDEX($F$27:$FF$27,1,MIN(157,85+2+p_Sk))</f>
        <v>1770493.12219641</v>
      </c>
      <c r="CN28" s="13" t="n">
        <f aca="false">IF(p_Sk&gt;0,SUM(INDEX($F$27:$FF$27,1,MIN(157,86+2)):INDEX($F$27:$FF$27,1,MIN(157,86+1+p_Sk))),0)+p_Sf*INDEX($F$27:$FF$27,1,MIN(157,86+2+p_Sk))</f>
        <v>1770493.12219641</v>
      </c>
      <c r="CO28" s="13" t="n">
        <f aca="false">IF(p_Sk&gt;0,SUM(INDEX($F$27:$FF$27,1,MIN(157,87+2)):INDEX($F$27:$FF$27,1,MIN(157,87+1+p_Sk))),0)+p_Sf*INDEX($F$27:$FF$27,1,MIN(157,87+2+p_Sk))</f>
        <v>1770493.12219641</v>
      </c>
      <c r="CP28" s="13" t="n">
        <f aca="false">IF(p_Sk&gt;0,SUM(INDEX($F$27:$FF$27,1,MIN(157,88+2)):INDEX($F$27:$FF$27,1,MIN(157,88+1+p_Sk))),0)+p_Sf*INDEX($F$27:$FF$27,1,MIN(157,88+2+p_Sk))</f>
        <v>1770493.12219641</v>
      </c>
      <c r="CQ28" s="13" t="n">
        <f aca="false">IF(p_Sk&gt;0,SUM(INDEX($F$27:$FF$27,1,MIN(157,89+2)):INDEX($F$27:$FF$27,1,MIN(157,89+1+p_Sk))),0)+p_Sf*INDEX($F$27:$FF$27,1,MIN(157,89+2+p_Sk))</f>
        <v>1770493.12219641</v>
      </c>
      <c r="CR28" s="13" t="n">
        <f aca="false">IF(p_Sk&gt;0,SUM(INDEX($F$27:$FF$27,1,MIN(157,90+2)):INDEX($F$27:$FF$27,1,MIN(157,90+1+p_Sk))),0)+p_Sf*INDEX($F$27:$FF$27,1,MIN(157,90+2+p_Sk))</f>
        <v>1770493.12219641</v>
      </c>
      <c r="CS28" s="13" t="n">
        <f aca="false">IF(p_Sk&gt;0,SUM(INDEX($F$27:$FF$27,1,MIN(157,91+2)):INDEX($F$27:$FF$27,1,MIN(157,91+1+p_Sk))),0)+p_Sf*INDEX($F$27:$FF$27,1,MIN(157,91+2+p_Sk))</f>
        <v>1770493.12219641</v>
      </c>
      <c r="CT28" s="13" t="n">
        <f aca="false">IF(p_Sk&gt;0,SUM(INDEX($F$27:$FF$27,1,MIN(157,92+2)):INDEX($F$27:$FF$27,1,MIN(157,92+1+p_Sk))),0)+p_Sf*INDEX($F$27:$FF$27,1,MIN(157,92+2+p_Sk))</f>
        <v>1770493.12219641</v>
      </c>
      <c r="CU28" s="13" t="n">
        <f aca="false">IF(p_Sk&gt;0,SUM(INDEX($F$27:$FF$27,1,MIN(157,93+2)):INDEX($F$27:$FF$27,1,MIN(157,93+1+p_Sk))),0)+p_Sf*INDEX($F$27:$FF$27,1,MIN(157,93+2+p_Sk))</f>
        <v>1772776.28203227</v>
      </c>
      <c r="CV28" s="13" t="n">
        <f aca="false">IF(p_Sk&gt;0,SUM(INDEX($F$27:$FF$27,1,MIN(157,94+2)):INDEX($F$27:$FF$27,1,MIN(157,94+1+p_Sk))),0)+p_Sf*INDEX($F$27:$FF$27,1,MIN(157,94+2+p_Sk))</f>
        <v>1775191.79896006</v>
      </c>
      <c r="CW28" s="13" t="n">
        <f aca="false">IF(p_Sk&gt;0,SUM(INDEX($F$27:$FF$27,1,MIN(157,95+2)):INDEX($F$27:$FF$27,1,MIN(157,95+1+p_Sk))),0)+p_Sf*INDEX($F$27:$FF$27,1,MIN(157,95+2+p_Sk))</f>
        <v>1777607.31588785</v>
      </c>
      <c r="CX28" s="13" t="n">
        <f aca="false">IF(p_Sk&gt;0,SUM(INDEX($F$27:$FF$27,1,MIN(157,96+2)):INDEX($F$27:$FF$27,1,MIN(157,96+1+p_Sk))),0)+p_Sf*INDEX($F$27:$FF$27,1,MIN(157,96+2+p_Sk))</f>
        <v>1780022.83281564</v>
      </c>
      <c r="CY28" s="13" t="n">
        <f aca="false">IF(p_Sk&gt;0,SUM(INDEX($F$27:$FF$27,1,MIN(157,97+2)):INDEX($F$27:$FF$27,1,MIN(157,97+1+p_Sk))),0)+p_Sf*INDEX($F$27:$FF$27,1,MIN(157,97+2+p_Sk))</f>
        <v>1780022.83281564</v>
      </c>
      <c r="CZ28" s="13" t="n">
        <f aca="false">IF(p_Sk&gt;0,SUM(INDEX($F$27:$FF$27,1,MIN(157,98+2)):INDEX($F$27:$FF$27,1,MIN(157,98+1+p_Sk))),0)+p_Sf*INDEX($F$27:$FF$27,1,MIN(157,98+2+p_Sk))</f>
        <v>1780022.83281564</v>
      </c>
      <c r="DA28" s="13" t="n">
        <f aca="false">IF(p_Sk&gt;0,SUM(INDEX($F$27:$FF$27,1,MIN(157,99+2)):INDEX($F$27:$FF$27,1,MIN(157,99+1+p_Sk))),0)+p_Sf*INDEX($F$27:$FF$27,1,MIN(157,99+2+p_Sk))</f>
        <v>1780022.83281564</v>
      </c>
      <c r="DB28" s="13" t="n">
        <f aca="false">IF(p_Sk&gt;0,SUM(INDEX($F$27:$FF$27,1,MIN(157,100+2)):INDEX($F$27:$FF$27,1,MIN(157,100+1+p_Sk))),0)+p_Sf*INDEX($F$27:$FF$27,1,MIN(157,100+2+p_Sk))</f>
        <v>1780022.83281564</v>
      </c>
      <c r="DC28" s="13" t="n">
        <f aca="false">IF(p_Sk&gt;0,SUM(INDEX($F$27:$FF$27,1,MIN(157,101+2)):INDEX($F$27:$FF$27,1,MIN(157,101+1+p_Sk))),0)+p_Sf*INDEX($F$27:$FF$27,1,MIN(157,101+2+p_Sk))</f>
        <v>1780022.83281564</v>
      </c>
      <c r="DD28" s="13" t="n">
        <f aca="false">IF(p_Sk&gt;0,SUM(INDEX($F$27:$FF$27,1,MIN(157,102+2)):INDEX($F$27:$FF$27,1,MIN(157,102+1+p_Sk))),0)+p_Sf*INDEX($F$27:$FF$27,1,MIN(157,102+2+p_Sk))</f>
        <v>1780022.83281564</v>
      </c>
      <c r="DE28" s="13" t="n">
        <f aca="false">IF(p_Sk&gt;0,SUM(INDEX($F$27:$FF$27,1,MIN(157,103+2)):INDEX($F$27:$FF$27,1,MIN(157,103+1+p_Sk))),0)+p_Sf*INDEX($F$27:$FF$27,1,MIN(157,103+2+p_Sk))</f>
        <v>1780022.83281564</v>
      </c>
      <c r="DF28" s="13" t="n">
        <f aca="false">IF(p_Sk&gt;0,SUM(INDEX($F$27:$FF$27,1,MIN(157,104+2)):INDEX($F$27:$FF$27,1,MIN(157,104+1+p_Sk))),0)+p_Sf*INDEX($F$27:$FF$27,1,MIN(157,104+2+p_Sk))</f>
        <v>1780022.83281564</v>
      </c>
      <c r="DG28" s="13" t="n">
        <f aca="false">IF(p_Sk&gt;0,SUM(INDEX($F$27:$FF$27,1,MIN(157,105+2)):INDEX($F$27:$FF$27,1,MIN(157,105+1+p_Sk))),0)+p_Sf*INDEX($F$27:$FF$27,1,MIN(157,105+2+p_Sk))</f>
        <v>1782328.82424985</v>
      </c>
      <c r="DH28" s="13" t="n">
        <f aca="false">IF(p_Sk&gt;0,SUM(INDEX($F$27:$FF$27,1,MIN(157,106+2)):INDEX($F$27:$FF$27,1,MIN(157,106+1+p_Sk))),0)+p_Sf*INDEX($F$27:$FF$27,1,MIN(157,106+2+p_Sk))</f>
        <v>1784768.49634692</v>
      </c>
      <c r="DI28" s="13" t="n">
        <f aca="false">IF(p_Sk&gt;0,SUM(INDEX($F$27:$FF$27,1,MIN(157,107+2)):INDEX($F$27:$FF$27,1,MIN(157,107+1+p_Sk))),0)+p_Sf*INDEX($F$27:$FF$27,1,MIN(157,107+2+p_Sk))</f>
        <v>1787208.16844399</v>
      </c>
      <c r="DJ28" s="13" t="n">
        <f aca="false">IF(p_Sk&gt;0,SUM(INDEX($F$27:$FF$27,1,MIN(157,108+2)):INDEX($F$27:$FF$27,1,MIN(157,108+1+p_Sk))),0)+p_Sf*INDEX($F$27:$FF$27,1,MIN(157,108+2+p_Sk))</f>
        <v>1789647.84054106</v>
      </c>
      <c r="DK28" s="13" t="n">
        <f aca="false">IF(p_Sk&gt;0,SUM(INDEX($F$27:$FF$27,1,MIN(157,109+2)):INDEX($F$27:$FF$27,1,MIN(157,109+1+p_Sk))),0)+p_Sf*INDEX($F$27:$FF$27,1,MIN(157,109+2+p_Sk))</f>
        <v>1789647.84054106</v>
      </c>
      <c r="DL28" s="13" t="n">
        <f aca="false">IF(p_Sk&gt;0,SUM(INDEX($F$27:$FF$27,1,MIN(157,110+2)):INDEX($F$27:$FF$27,1,MIN(157,110+1+p_Sk))),0)+p_Sf*INDEX($F$27:$FF$27,1,MIN(157,110+2+p_Sk))</f>
        <v>1789647.84054106</v>
      </c>
      <c r="DM28" s="13" t="n">
        <f aca="false">IF(p_Sk&gt;0,SUM(INDEX($F$27:$FF$27,1,MIN(157,111+2)):INDEX($F$27:$FF$27,1,MIN(157,111+1+p_Sk))),0)+p_Sf*INDEX($F$27:$FF$27,1,MIN(157,111+2+p_Sk))</f>
        <v>1789647.84054106</v>
      </c>
      <c r="DN28" s="13" t="n">
        <f aca="false">IF(p_Sk&gt;0,SUM(INDEX($F$27:$FF$27,1,MIN(157,112+2)):INDEX($F$27:$FF$27,1,MIN(157,112+1+p_Sk))),0)+p_Sf*INDEX($F$27:$FF$27,1,MIN(157,112+2+p_Sk))</f>
        <v>1789647.84054106</v>
      </c>
      <c r="DO28" s="13" t="n">
        <f aca="false">IF(p_Sk&gt;0,SUM(INDEX($F$27:$FF$27,1,MIN(157,113+2)):INDEX($F$27:$FF$27,1,MIN(157,113+1+p_Sk))),0)+p_Sf*INDEX($F$27:$FF$27,1,MIN(157,113+2+p_Sk))</f>
        <v>1789647.84054106</v>
      </c>
      <c r="DP28" s="13" t="n">
        <f aca="false">IF(p_Sk&gt;0,SUM(INDEX($F$27:$FF$27,1,MIN(157,114+2)):INDEX($F$27:$FF$27,1,MIN(157,114+1+p_Sk))),0)+p_Sf*INDEX($F$27:$FF$27,1,MIN(157,114+2+p_Sk))</f>
        <v>1789647.84054106</v>
      </c>
      <c r="DQ28" s="13" t="n">
        <f aca="false">IF(p_Sk&gt;0,SUM(INDEX($F$27:$FF$27,1,MIN(157,115+2)):INDEX($F$27:$FF$27,1,MIN(157,115+1+p_Sk))),0)+p_Sf*INDEX($F$27:$FF$27,1,MIN(157,115+2+p_Sk))</f>
        <v>1789647.84054106</v>
      </c>
      <c r="DR28" s="13" t="n">
        <f aca="false">IF(p_Sk&gt;0,SUM(INDEX($F$27:$FF$27,1,MIN(157,116+2)):INDEX($F$27:$FF$27,1,MIN(157,116+1+p_Sk))),0)+p_Sf*INDEX($F$27:$FF$27,1,MIN(157,116+2+p_Sk))</f>
        <v>1648682.42844364</v>
      </c>
      <c r="DS28" s="13" t="n">
        <f aca="false">IF(p_Sk&gt;0,SUM(INDEX($F$27:$FF$27,1,MIN(157,117+2)):INDEX($F$27:$FF$27,1,MIN(157,117+1+p_Sk))),0)+p_Sf*INDEX($F$27:$FF$27,1,MIN(157,117+2+p_Sk))</f>
        <v>1211740.72536634</v>
      </c>
      <c r="DT28" s="13" t="n">
        <f aca="false">IF(p_Sk&gt;0,SUM(INDEX($F$27:$FF$27,1,MIN(157,118+2)):INDEX($F$27:$FF$27,1,MIN(157,118+1+p_Sk))),0)+p_Sf*INDEX($F$27:$FF$27,1,MIN(157,118+2+p_Sk))</f>
        <v>758114.710229197</v>
      </c>
      <c r="DU28" s="13" t="n">
        <f aca="false">IF(p_Sk&gt;0,SUM(INDEX($F$27:$FF$27,1,MIN(157,119+2)):INDEX($F$27:$FF$27,1,MIN(157,119+1+p_Sk))),0)+p_Sf*INDEX($F$27:$FF$27,1,MIN(157,119+2+p_Sk))</f>
        <v>304488.695092055</v>
      </c>
      <c r="DV28" s="13" t="n">
        <f aca="false">IF(p_Sk&gt;0,SUM(INDEX($F$27:$FF$27,1,MIN(157,120+2)):INDEX($F$27:$FF$27,1,MIN(157,120+1+p_Sk))),0)+p_Sf*INDEX($F$27:$FF$27,1,MIN(157,120+2+p_Sk))</f>
        <v>0</v>
      </c>
      <c r="DW28" s="13" t="n">
        <f aca="false">IF(p_Sk&gt;0,SUM(INDEX($F$27:$FF$27,1,MIN(157,121+2)):INDEX($F$27:$FF$27,1,MIN(157,121+1+p_Sk))),0)+p_Sf*INDEX($F$27:$FF$27,1,MIN(157,121+2+p_Sk))</f>
        <v>0</v>
      </c>
      <c r="DX28" s="13" t="n">
        <f aca="false">IF(p_Sk&gt;0,SUM(INDEX($F$27:$FF$27,1,MIN(157,122+2)):INDEX($F$27:$FF$27,1,MIN(157,122+1+p_Sk))),0)+p_Sf*INDEX($F$27:$FF$27,1,MIN(157,122+2+p_Sk))</f>
        <v>0</v>
      </c>
      <c r="DY28" s="13" t="n">
        <f aca="false">IF(p_Sk&gt;0,SUM(INDEX($F$27:$FF$27,1,MIN(157,123+2)):INDEX($F$27:$FF$27,1,MIN(157,123+1+p_Sk))),0)+p_Sf*INDEX($F$27:$FF$27,1,MIN(157,123+2+p_Sk))</f>
        <v>0</v>
      </c>
      <c r="DZ28" s="13" t="n">
        <f aca="false">IF(p_Sk&gt;0,SUM(INDEX($F$27:$FF$27,1,MIN(157,124+2)):INDEX($F$27:$FF$27,1,MIN(157,124+1+p_Sk))),0)+p_Sf*INDEX($F$27:$FF$27,1,MIN(157,124+2+p_Sk))</f>
        <v>0</v>
      </c>
      <c r="EA28" s="13" t="n">
        <f aca="false">IF(p_Sk&gt;0,SUM(INDEX($F$27:$FF$27,1,MIN(157,125+2)):INDEX($F$27:$FF$27,1,MIN(157,125+1+p_Sk))),0)+p_Sf*INDEX($F$27:$FF$27,1,MIN(157,125+2+p_Sk))</f>
        <v>0</v>
      </c>
      <c r="EB28" s="13" t="n">
        <f aca="false">IF(p_Sk&gt;0,SUM(INDEX($F$27:$FF$27,1,MIN(157,126+2)):INDEX($F$27:$FF$27,1,MIN(157,126+1+p_Sk))),0)+p_Sf*INDEX($F$27:$FF$27,1,MIN(157,126+2+p_Sk))</f>
        <v>0</v>
      </c>
      <c r="EC28" s="13" t="n">
        <f aca="false">IF(p_Sk&gt;0,SUM(INDEX($F$27:$FF$27,1,MIN(157,127+2)):INDEX($F$27:$FF$27,1,MIN(157,127+1+p_Sk))),0)+p_Sf*INDEX($F$27:$FF$27,1,MIN(157,127+2+p_Sk))</f>
        <v>0</v>
      </c>
      <c r="ED28" s="13" t="n">
        <f aca="false">IF(p_Sk&gt;0,SUM(INDEX($F$27:$FF$27,1,MIN(157,128+2)):INDEX($F$27:$FF$27,1,MIN(157,128+1+p_Sk))),0)+p_Sf*INDEX($F$27:$FF$27,1,MIN(157,128+2+p_Sk))</f>
        <v>0</v>
      </c>
      <c r="EE28" s="13" t="n">
        <f aca="false">IF(p_Sk&gt;0,SUM(INDEX($F$27:$FF$27,1,MIN(157,129+2)):INDEX($F$27:$FF$27,1,MIN(157,129+1+p_Sk))),0)+p_Sf*INDEX($F$27:$FF$27,1,MIN(157,129+2+p_Sk))</f>
        <v>0</v>
      </c>
      <c r="EF28" s="13" t="n">
        <f aca="false">IF(p_Sk&gt;0,SUM(INDEX($F$27:$FF$27,1,MIN(157,130+2)):INDEX($F$27:$FF$27,1,MIN(157,130+1+p_Sk))),0)+p_Sf*INDEX($F$27:$FF$27,1,MIN(157,130+2+p_Sk))</f>
        <v>0</v>
      </c>
      <c r="EG28" s="13" t="n">
        <f aca="false">IF(p_Sk&gt;0,SUM(INDEX($F$27:$FF$27,1,MIN(157,131+2)):INDEX($F$27:$FF$27,1,MIN(157,131+1+p_Sk))),0)+p_Sf*INDEX($F$27:$FF$27,1,MIN(157,131+2+p_Sk))</f>
        <v>0</v>
      </c>
      <c r="EH28" s="13" t="n">
        <f aca="false">IF(p_Sk&gt;0,SUM(INDEX($F$27:$FF$27,1,MIN(157,132+2)):INDEX($F$27:$FF$27,1,MIN(157,132+1+p_Sk))),0)+p_Sf*INDEX($F$27:$FF$27,1,MIN(157,132+2+p_Sk))</f>
        <v>0</v>
      </c>
      <c r="EI28" s="13" t="n">
        <f aca="false">IF(p_Sk&gt;0,SUM(INDEX($F$27:$FF$27,1,MIN(157,133+2)):INDEX($F$27:$FF$27,1,MIN(157,133+1+p_Sk))),0)+p_Sf*INDEX($F$27:$FF$27,1,MIN(157,133+2+p_Sk))</f>
        <v>0</v>
      </c>
      <c r="EJ28" s="13" t="n">
        <f aca="false">IF(p_Sk&gt;0,SUM(INDEX($F$27:$FF$27,1,MIN(157,134+2)):INDEX($F$27:$FF$27,1,MIN(157,134+1+p_Sk))),0)+p_Sf*INDEX($F$27:$FF$27,1,MIN(157,134+2+p_Sk))</f>
        <v>0</v>
      </c>
      <c r="EK28" s="13" t="n">
        <f aca="false">IF(p_Sk&gt;0,SUM(INDEX($F$27:$FF$27,1,MIN(157,135+2)):INDEX($F$27:$FF$27,1,MIN(157,135+1+p_Sk))),0)+p_Sf*INDEX($F$27:$FF$27,1,MIN(157,135+2+p_Sk))</f>
        <v>0</v>
      </c>
      <c r="EL28" s="13" t="n">
        <f aca="false">IF(p_Sk&gt;0,SUM(INDEX($F$27:$FF$27,1,MIN(157,136+2)):INDEX($F$27:$FF$27,1,MIN(157,136+1+p_Sk))),0)+p_Sf*INDEX($F$27:$FF$27,1,MIN(157,136+2+p_Sk))</f>
        <v>0</v>
      </c>
      <c r="EM28" s="13" t="n">
        <f aca="false">IF(p_Sk&gt;0,SUM(INDEX($F$27:$FF$27,1,MIN(157,137+2)):INDEX($F$27:$FF$27,1,MIN(157,137+1+p_Sk))),0)+p_Sf*INDEX($F$27:$FF$27,1,MIN(157,137+2+p_Sk))</f>
        <v>0</v>
      </c>
      <c r="EN28" s="13" t="n">
        <f aca="false">IF(p_Sk&gt;0,SUM(INDEX($F$27:$FF$27,1,MIN(157,138+2)):INDEX($F$27:$FF$27,1,MIN(157,138+1+p_Sk))),0)+p_Sf*INDEX($F$27:$FF$27,1,MIN(157,138+2+p_Sk))</f>
        <v>0</v>
      </c>
      <c r="EO28" s="13" t="n">
        <f aca="false">IF(p_Sk&gt;0,SUM(INDEX($F$27:$FF$27,1,MIN(157,139+2)):INDEX($F$27:$FF$27,1,MIN(157,139+1+p_Sk))),0)+p_Sf*INDEX($F$27:$FF$27,1,MIN(157,139+2+p_Sk))</f>
        <v>0</v>
      </c>
      <c r="EP28" s="13" t="n">
        <f aca="false">IF(p_Sk&gt;0,SUM(INDEX($F$27:$FF$27,1,MIN(157,140+2)):INDEX($F$27:$FF$27,1,MIN(157,140+1+p_Sk))),0)+p_Sf*INDEX($F$27:$FF$27,1,MIN(157,140+2+p_Sk))</f>
        <v>0</v>
      </c>
      <c r="EQ28" s="13" t="n">
        <f aca="false">IF(p_Sk&gt;0,SUM(INDEX($F$27:$FF$27,1,MIN(157,141+2)):INDEX($F$27:$FF$27,1,MIN(157,141+1+p_Sk))),0)+p_Sf*INDEX($F$27:$FF$27,1,MIN(157,141+2+p_Sk))</f>
        <v>0</v>
      </c>
      <c r="ER28" s="13" t="n">
        <f aca="false">IF(p_Sk&gt;0,SUM(INDEX($F$27:$FF$27,1,MIN(157,142+2)):INDEX($F$27:$FF$27,1,MIN(157,142+1+p_Sk))),0)+p_Sf*INDEX($F$27:$FF$27,1,MIN(157,142+2+p_Sk))</f>
        <v>0</v>
      </c>
      <c r="ES28" s="13" t="n">
        <f aca="false">IF(p_Sk&gt;0,SUM(INDEX($F$27:$FF$27,1,MIN(157,143+2)):INDEX($F$27:$FF$27,1,MIN(157,143+1+p_Sk))),0)+p_Sf*INDEX($F$27:$FF$27,1,MIN(157,143+2+p_Sk))</f>
        <v>0</v>
      </c>
      <c r="ET28" s="13" t="n">
        <f aca="false">IF(p_Sk&gt;0,SUM(INDEX($F$27:$FF$27,1,MIN(157,144+2)):INDEX($F$27:$FF$27,1,MIN(157,144+1+p_Sk))),0)+p_Sf*INDEX($F$27:$FF$27,1,MIN(157,144+2+p_Sk))</f>
        <v>0</v>
      </c>
      <c r="EU28" s="13" t="n">
        <f aca="false">IF(p_Sk&gt;0,SUM(INDEX($F$27:$FF$27,1,MIN(157,145+2)):INDEX($F$27:$FF$27,1,MIN(157,145+1+p_Sk))),0)+p_Sf*INDEX($F$27:$FF$27,1,MIN(157,145+2+p_Sk))</f>
        <v>0</v>
      </c>
      <c r="EV28" s="13" t="n">
        <f aca="false">IF(p_Sk&gt;0,SUM(INDEX($F$27:$FF$27,1,MIN(157,146+2)):INDEX($F$27:$FF$27,1,MIN(157,146+1+p_Sk))),0)+p_Sf*INDEX($F$27:$FF$27,1,MIN(157,146+2+p_Sk))</f>
        <v>0</v>
      </c>
      <c r="EW28" s="13" t="n">
        <f aca="false">IF(p_Sk&gt;0,SUM(INDEX($F$27:$FF$27,1,MIN(157,147+2)):INDEX($F$27:$FF$27,1,MIN(157,147+1+p_Sk))),0)+p_Sf*INDEX($F$27:$FF$27,1,MIN(157,147+2+p_Sk))</f>
        <v>0</v>
      </c>
      <c r="EX28" s="13" t="n">
        <f aca="false">IF(p_Sk&gt;0,SUM(INDEX($F$27:$FF$27,1,MIN(157,148+2)):INDEX($F$27:$FF$27,1,MIN(157,148+1+p_Sk))),0)+p_Sf*INDEX($F$27:$FF$27,1,MIN(157,148+2+p_Sk))</f>
        <v>0</v>
      </c>
      <c r="EY28" s="13" t="n">
        <f aca="false">IF(p_Sk&gt;0,SUM(INDEX($F$27:$FF$27,1,MIN(157,149+2)):INDEX($F$27:$FF$27,1,MIN(157,149+1+p_Sk))),0)+p_Sf*INDEX($F$27:$FF$27,1,MIN(157,149+2+p_Sk))</f>
        <v>0</v>
      </c>
      <c r="EZ28" s="13" t="n">
        <f aca="false">IF(p_Sk&gt;0,SUM(INDEX($F$27:$FF$27,1,MIN(157,150+2)):INDEX($F$27:$FF$27,1,MIN(157,150+1+p_Sk))),0)+p_Sf*INDEX($F$27:$FF$27,1,MIN(157,150+2+p_Sk))</f>
        <v>0</v>
      </c>
      <c r="FA28" s="13" t="n">
        <f aca="false">IF(p_Sk&gt;0,SUM(INDEX($F$27:$FF$27,1,MIN(157,151+2)):INDEX($F$27:$FF$27,1,MIN(157,151+1+p_Sk))),0)+p_Sf*INDEX($F$27:$FF$27,1,MIN(157,151+2+p_Sk))</f>
        <v>0</v>
      </c>
      <c r="FB28" s="13" t="n">
        <f aca="false">IF(p_Sk&gt;0,SUM(INDEX($F$27:$FF$27,1,MIN(157,152+2)):INDEX($F$27:$FF$27,1,MIN(157,152+1+p_Sk))),0)+p_Sf*INDEX($F$27:$FF$27,1,MIN(157,152+2+p_Sk))</f>
        <v>0</v>
      </c>
      <c r="FC28" s="13" t="n">
        <f aca="false">IF(p_Sk&gt;0,SUM(INDEX($F$27:$FF$27,1,MIN(157,153+2)):INDEX($F$27:$FF$27,1,MIN(157,153+1+p_Sk))),0)+p_Sf*INDEX($F$27:$FF$27,1,MIN(157,153+2+p_Sk))</f>
        <v>0</v>
      </c>
      <c r="FD28" s="13" t="n">
        <f aca="false">IF(p_Sk&gt;0,SUM(INDEX($F$27:$FF$27,1,MIN(157,154+2)):INDEX($F$27:$FF$27,1,MIN(157,154+1+p_Sk))),0)+p_Sf*INDEX($F$27:$FF$27,1,MIN(157,154+2+p_Sk))</f>
        <v>0</v>
      </c>
      <c r="FE28" s="13" t="n">
        <f aca="false">IF(p_Sk&gt;0,SUM(INDEX($F$27:$FF$27,1,MIN(157,155+2)):INDEX($F$27:$FF$27,1,MIN(157,155+1+p_Sk))),0)+p_Sf*INDEX($F$27:$FF$27,1,MIN(157,155+2+p_Sk))</f>
        <v>0</v>
      </c>
      <c r="FF28" s="13" t="n">
        <f aca="false">IF(p_Sk&gt;0,SUM(INDEX($F$27:$FF$27,1,MIN(157,156+2)):INDEX($F$27:$FF$27,1,MIN(157,156+1+p_Sk))),0)+p_Sf*INDEX($F$27:$FF$27,1,MIN(157,156+2+p_Sk))</f>
        <v>0</v>
      </c>
    </row>
    <row r="29" customFormat="false" ht="15" hidden="false" customHeight="false" outlineLevel="0" collapsed="false">
      <c r="A29" s="2" t="s">
        <v>1318</v>
      </c>
      <c r="B29" s="66" t="s">
        <v>1319</v>
      </c>
      <c r="C29" s="8" t="s">
        <v>255</v>
      </c>
      <c r="E29" s="67" t="n">
        <f aca="false">SUM($F29:$FF29)</f>
        <v>48879883.2717656</v>
      </c>
      <c r="F29" s="12" t="n">
        <f aca="false">IF(F$9=1,SUMIFS(dr_USD,dr_Mes,0,dr_Cod,"COMPRA_MAT",dr_Est,"&lt;&gt;Excluido"),MAX(0,F$27+F$28-0))</f>
        <v>1064142.28219178</v>
      </c>
      <c r="G29" s="12" t="n">
        <f aca="false">IF(G$9=1,SUMIFS(dr_USD,dr_Mes,1,dr_Cod,"COMPRA_MAT",dr_Est,"&lt;&gt;Excluido"),MAX(0,G$27+G$28-F$31))</f>
        <v>248982.008333334</v>
      </c>
      <c r="H29" s="12" t="n">
        <f aca="false">IF(H$9=1,SUMIFS(dr_USD,dr_Mes,2,dr_Cod,"COMPRA_MAT",dr_Est,"&lt;&gt;Excluido"),MAX(0,H$27+H$28-G$31))</f>
        <v>248982.008333333</v>
      </c>
      <c r="I29" s="12" t="n">
        <f aca="false">IF(I$9=1,SUMIFS(dr_USD,dr_Mes,3,dr_Cod,"COMPRA_MAT",dr_Est,"&lt;&gt;Excluido"),MAX(0,I$27+I$28-H$31))</f>
        <v>248982.008333333</v>
      </c>
      <c r="J29" s="12" t="n">
        <f aca="false">IF(J$9=1,SUMIFS(dr_USD,dr_Mes,4,dr_Cod,"COMPRA_MAT",dr_Est,"&lt;&gt;Excluido"),MAX(0,J$27+J$28-I$31))</f>
        <v>248982.008333333</v>
      </c>
      <c r="K29" s="12" t="n">
        <f aca="false">IF(K$9=1,SUMIFS(dr_USD,dr_Mes,5,dr_Cod,"COMPRA_MAT",dr_Est,"&lt;&gt;Excluido"),MAX(0,K$27+K$28-J$31))</f>
        <v>248982.008333333</v>
      </c>
      <c r="L29" s="12" t="n">
        <f aca="false">IF(L$9=1,SUMIFS(dr_USD,dr_Mes,6,dr_Cod,"COMPRA_MAT",dr_Est,"&lt;&gt;Excluido"),MAX(0,L$27+L$28-K$31))</f>
        <v>248982.008333333</v>
      </c>
      <c r="M29" s="12" t="n">
        <f aca="false">IF(M$9=1,SUMIFS(dr_USD,dr_Mes,7,dr_Cod,"COMPRA_MAT",dr_Est,"&lt;&gt;Excluido"),MAX(0,M$27+M$28-L$31))</f>
        <v>248982.008333333</v>
      </c>
      <c r="N29" s="12" t="n">
        <f aca="false">IF(N$9=1,SUMIFS(dr_USD,dr_Mes,8,dr_Cod,"COMPRA_MAT",dr_Est,"&lt;&gt;Excluido"),MAX(0,N$27+N$28-M$31))</f>
        <v>269319.285083193</v>
      </c>
      <c r="O29" s="12" t="n">
        <f aca="false">IF(O$9=1,SUMIFS(dr_USD,dr_Mes,9,dr_Cod,"COMPRA_MAT",dr_Est,"&lt;&gt;Excluido"),MAX(0,O$27+O$28-N$31))</f>
        <v>313567.065436214</v>
      </c>
      <c r="P29" s="12" t="n">
        <f aca="false">IF(P$9=1,SUMIFS(dr_USD,dr_Mes,10,dr_Cod,"COMPRA_MAT",dr_Est,"&lt;&gt;Excluido"),MAX(0,P$27+P$28-O$31))</f>
        <v>316063.807916666</v>
      </c>
      <c r="Q29" s="12" t="n">
        <f aca="false">IF(Q$9=1,SUMIFS(dr_USD,dr_Mes,11,dr_Cod,"COMPRA_MAT",dr_Est,"&lt;&gt;Excluido"),MAX(0,Q$27+Q$28-P$31))</f>
        <v>316063.807916667</v>
      </c>
      <c r="R29" s="12" t="n">
        <f aca="false">IF(R$9=1,SUMIFS(dr_USD,dr_Mes,12,dr_Cod,"COMPRA_MAT",dr_Est,"&lt;&gt;Excluido"),MAX(0,R$27+R$28-Q$31))</f>
        <v>316063.807916667</v>
      </c>
      <c r="S29" s="12" t="n">
        <f aca="false">IF(S$9=1,SUMIFS(dr_USD,dr_Mes,13,dr_Cod,"COMPRA_MAT",dr_Est,"&lt;&gt;Excluido"),MAX(0,S$27+S$28-R$31))</f>
        <v>316063.807916667</v>
      </c>
      <c r="T29" s="12" t="n">
        <f aca="false">IF(T$9=1,SUMIFS(dr_USD,dr_Mes,14,dr_Cod,"COMPRA_MAT",dr_Est,"&lt;&gt;Excluido"),MAX(0,T$27+T$28-S$31))</f>
        <v>316063.807916667</v>
      </c>
      <c r="U29" s="12" t="n">
        <f aca="false">IF(U$9=1,SUMIFS(dr_USD,dr_Mes,15,dr_Cod,"COMPRA_MAT",dr_Est,"&lt;&gt;Excluido"),MAX(0,U$27+U$28-T$31))</f>
        <v>316063.807916667</v>
      </c>
      <c r="V29" s="12" t="n">
        <f aca="false">IF(V$9=1,SUMIFS(dr_USD,dr_Mes,16,dr_Cod,"COMPRA_MAT",dr_Est,"&lt;&gt;Excluido"),MAX(0,V$27+V$28-U$31))</f>
        <v>316063.807916667</v>
      </c>
      <c r="W29" s="12" t="n">
        <f aca="false">IF(W$9=1,SUMIFS(dr_USD,dr_Mes,17,dr_Cod,"COMPRA_MAT",dr_Est,"&lt;&gt;Excluido"),MAX(0,W$27+W$28-V$31))</f>
        <v>316063.807916667</v>
      </c>
      <c r="X29" s="12" t="n">
        <f aca="false">IF(X$9=1,SUMIFS(dr_USD,dr_Mes,18,dr_Cod,"COMPRA_MAT",dr_Est,"&lt;&gt;Excluido"),MAX(0,X$27+X$28-W$31))</f>
        <v>316063.807916667</v>
      </c>
      <c r="Y29" s="12" t="n">
        <f aca="false">IF(Y$9=1,SUMIFS(dr_USD,dr_Mes,19,dr_Cod,"COMPRA_MAT",dr_Est,"&lt;&gt;Excluido"),MAX(0,Y$27+Y$28-X$31))</f>
        <v>316063.807916667</v>
      </c>
      <c r="Z29" s="12" t="n">
        <f aca="false">IF(Z$9=1,SUMIFS(dr_USD,dr_Mes,20,dr_Cod,"COMPRA_MAT",dr_Est,"&lt;&gt;Excluido"),MAX(0,Z$27+Z$28-Y$31))</f>
        <v>336506.749446034</v>
      </c>
      <c r="AA29" s="12" t="n">
        <f aca="false">IF(AA$9=1,SUMIFS(dr_USD,dr_Mes,21,dr_Cod,"COMPRA_MAT",dr_Est,"&lt;&gt;Excluido"),MAX(0,AA$27+AA$28-Z$31))</f>
        <v>381316.467237299</v>
      </c>
      <c r="AB29" s="12" t="n">
        <f aca="false">IF(AB$9=1,SUMIFS(dr_USD,dr_Mes,22,dr_Cod,"COMPRA_MAT",dr_Est,"&lt;&gt;Excluido"),MAX(0,AB$27+AB$28-AA$31))</f>
        <v>383845.4307</v>
      </c>
      <c r="AC29" s="12" t="n">
        <f aca="false">IF(AC$9=1,SUMIFS(dr_USD,dr_Mes,23,dr_Cod,"COMPRA_MAT",dr_Est,"&lt;&gt;Excluido"),MAX(0,AC$27+AC$28-AB$31))</f>
        <v>383845.4307</v>
      </c>
      <c r="AD29" s="12" t="n">
        <f aca="false">IF(AD$9=1,SUMIFS(dr_USD,dr_Mes,24,dr_Cod,"COMPRA_MAT",dr_Est,"&lt;&gt;Excluido"),MAX(0,AD$27+AD$28-AC$31))</f>
        <v>383845.4307</v>
      </c>
      <c r="AE29" s="12" t="n">
        <f aca="false">IF(AE$9=1,SUMIFS(dr_USD,dr_Mes,25,dr_Cod,"COMPRA_MAT",dr_Est,"&lt;&gt;Excluido"),MAX(0,AE$27+AE$28-AD$31))</f>
        <v>383845.4307</v>
      </c>
      <c r="AF29" s="12" t="n">
        <f aca="false">IF(AF$9=1,SUMIFS(dr_USD,dr_Mes,26,dr_Cod,"COMPRA_MAT",dr_Est,"&lt;&gt;Excluido"),MAX(0,AF$27+AF$28-AE$31))</f>
        <v>383845.4307</v>
      </c>
      <c r="AG29" s="12" t="n">
        <f aca="false">IF(AG$9=1,SUMIFS(dr_USD,dr_Mes,27,dr_Cod,"COMPRA_MAT",dr_Est,"&lt;&gt;Excluido"),MAX(0,AG$27+AG$28-AF$31))</f>
        <v>383845.4307</v>
      </c>
      <c r="AH29" s="12" t="n">
        <f aca="false">IF(AH$9=1,SUMIFS(dr_USD,dr_Mes,28,dr_Cod,"COMPRA_MAT",dr_Est,"&lt;&gt;Excluido"),MAX(0,AH$27+AH$28-AG$31))</f>
        <v>383845.4307</v>
      </c>
      <c r="AI29" s="12" t="n">
        <f aca="false">IF(AI$9=1,SUMIFS(dr_USD,dr_Mes,29,dr_Cod,"COMPRA_MAT",dr_Est,"&lt;&gt;Excluido"),MAX(0,AI$27+AI$28-AH$31))</f>
        <v>383845.4307</v>
      </c>
      <c r="AJ29" s="12" t="n">
        <f aca="false">IF(AJ$9=1,SUMIFS(dr_USD,dr_Mes,30,dr_Cod,"COMPRA_MAT",dr_Est,"&lt;&gt;Excluido"),MAX(0,AJ$27+AJ$28-AI$31))</f>
        <v>383845.4307</v>
      </c>
      <c r="AK29" s="12" t="n">
        <f aca="false">IF(AK$9=1,SUMIFS(dr_USD,dr_Mes,31,dr_Cod,"COMPRA_MAT",dr_Est,"&lt;&gt;Excluido"),MAX(0,AK$27+AK$28-AJ$31))</f>
        <v>383845.4307</v>
      </c>
      <c r="AL29" s="12" t="n">
        <f aca="false">IF(AL$9=1,SUMIFS(dr_USD,dr_Mes,32,dr_Cod,"COMPRA_MAT",dr_Est,"&lt;&gt;Excluido"),MAX(0,AL$27+AL$28-AK$31))</f>
        <v>400378.037898105</v>
      </c>
      <c r="AM29" s="12" t="n">
        <f aca="false">IF(AM$9=1,SUMIFS(dr_USD,dr_Mes,33,dr_Cod,"COMPRA_MAT",dr_Est,"&lt;&gt;Excluido"),MAX(0,AM$27+AM$28-AL$31))</f>
        <v>437262.871182191</v>
      </c>
      <c r="AN29" s="12" t="n">
        <f aca="false">IF(AN$9=1,SUMIFS(dr_USD,dr_Mes,34,dr_Cod,"COMPRA_MAT",dr_Est,"&lt;&gt;Excluido"),MAX(0,AN$27+AN$28-AM$31))</f>
        <v>439345.562270458</v>
      </c>
      <c r="AO29" s="12" t="n">
        <f aca="false">IF(AO$9=1,SUMIFS(dr_USD,dr_Mes,35,dr_Cod,"COMPRA_MAT",dr_Est,"&lt;&gt;Excluido"),MAX(0,AO$27+AO$28-AN$31))</f>
        <v>439345.562270458</v>
      </c>
      <c r="AP29" s="12" t="n">
        <f aca="false">IF(AP$9=1,SUMIFS(dr_USD,dr_Mes,36,dr_Cod,"COMPRA_MAT",dr_Est,"&lt;&gt;Excluido"),MAX(0,AP$27+AP$28-AO$31))</f>
        <v>439345.562270459</v>
      </c>
      <c r="AQ29" s="12" t="n">
        <f aca="false">IF(AQ$9=1,SUMIFS(dr_USD,dr_Mes,37,dr_Cod,"COMPRA_MAT",dr_Est,"&lt;&gt;Excluido"),MAX(0,AQ$27+AQ$28-AP$31))</f>
        <v>439345.562270458</v>
      </c>
      <c r="AR29" s="12" t="n">
        <f aca="false">IF(AR$9=1,SUMIFS(dr_USD,dr_Mes,38,dr_Cod,"COMPRA_MAT",dr_Est,"&lt;&gt;Excluido"),MAX(0,AR$27+AR$28-AQ$31))</f>
        <v>439345.562270458</v>
      </c>
      <c r="AS29" s="12" t="n">
        <f aca="false">IF(AS$9=1,SUMIFS(dr_USD,dr_Mes,39,dr_Cod,"COMPRA_MAT",dr_Est,"&lt;&gt;Excluido"),MAX(0,AS$27+AS$28-AR$31))</f>
        <v>439345.562270458</v>
      </c>
      <c r="AT29" s="12" t="n">
        <f aca="false">IF(AT$9=1,SUMIFS(dr_USD,dr_Mes,40,dr_Cod,"COMPRA_MAT",dr_Est,"&lt;&gt;Excluido"),MAX(0,AT$27+AT$28-AS$31))</f>
        <v>439345.562270458</v>
      </c>
      <c r="AU29" s="12" t="n">
        <f aca="false">IF(AU$9=1,SUMIFS(dr_USD,dr_Mes,41,dr_Cod,"COMPRA_MAT",dr_Est,"&lt;&gt;Excluido"),MAX(0,AU$27+AU$28-AT$31))</f>
        <v>439345.562270458</v>
      </c>
      <c r="AV29" s="12" t="n">
        <f aca="false">IF(AV$9=1,SUMIFS(dr_USD,dr_Mes,42,dr_Cod,"COMPRA_MAT",dr_Est,"&lt;&gt;Excluido"),MAX(0,AV$27+AV$28-AU$31))</f>
        <v>439345.562270458</v>
      </c>
      <c r="AW29" s="12" t="n">
        <f aca="false">IF(AW$9=1,SUMIFS(dr_USD,dr_Mes,43,dr_Cod,"COMPRA_MAT",dr_Est,"&lt;&gt;Excluido"),MAX(0,AW$27+AW$28-AV$31))</f>
        <v>439345.562270458</v>
      </c>
      <c r="AX29" s="12" t="n">
        <f aca="false">IF(AX$9=1,SUMIFS(dr_USD,dr_Mes,44,dr_Cod,"COMPRA_MAT",dr_Est,"&lt;&gt;Excluido"),MAX(0,AX$27+AX$28-AW$31))</f>
        <v>439345.562270458</v>
      </c>
      <c r="AY29" s="12" t="n">
        <f aca="false">IF(AY$9=1,SUMIFS(dr_USD,dr_Mes,45,dr_Cod,"COMPRA_MAT",dr_Est,"&lt;&gt;Excluido"),MAX(0,AY$27+AY$28-AX$31))</f>
        <v>441539.633996028</v>
      </c>
      <c r="AZ29" s="12" t="n">
        <f aca="false">IF(AZ$9=1,SUMIFS(dr_USD,dr_Mes,46,dr_Cod,"COMPRA_MAT",dr_Est,"&lt;&gt;Excluido"),MAX(0,AZ$27+AZ$28-AY$31))</f>
        <v>441666.826559829</v>
      </c>
      <c r="BA29" s="12" t="n">
        <f aca="false">IF(BA$9=1,SUMIFS(dr_USD,dr_Mes,47,dr_Cod,"COMPRA_MAT",dr_Est,"&lt;&gt;Excluido"),MAX(0,BA$27+BA$28-AZ$31))</f>
        <v>441666.82655983</v>
      </c>
      <c r="BB29" s="12" t="n">
        <f aca="false">IF(BB$9=1,SUMIFS(dr_USD,dr_Mes,48,dr_Cod,"COMPRA_MAT",dr_Est,"&lt;&gt;Excluido"),MAX(0,BB$27+BB$28-BA$31))</f>
        <v>441666.82655983</v>
      </c>
      <c r="BC29" s="12" t="n">
        <f aca="false">IF(BC$9=1,SUMIFS(dr_USD,dr_Mes,49,dr_Cod,"COMPRA_MAT",dr_Est,"&lt;&gt;Excluido"),MAX(0,BC$27+BC$28-BB$31))</f>
        <v>441666.82655983</v>
      </c>
      <c r="BD29" s="12" t="n">
        <f aca="false">IF(BD$9=1,SUMIFS(dr_USD,dr_Mes,50,dr_Cod,"COMPRA_MAT",dr_Est,"&lt;&gt;Excluido"),MAX(0,BD$27+BD$28-BC$31))</f>
        <v>441666.82655983</v>
      </c>
      <c r="BE29" s="12" t="n">
        <f aca="false">IF(BE$9=1,SUMIFS(dr_USD,dr_Mes,51,dr_Cod,"COMPRA_MAT",dr_Est,"&lt;&gt;Excluido"),MAX(0,BE$27+BE$28-BD$31))</f>
        <v>441666.82655983</v>
      </c>
      <c r="BF29" s="12" t="n">
        <f aca="false">IF(BF$9=1,SUMIFS(dr_USD,dr_Mes,52,dr_Cod,"COMPRA_MAT",dr_Est,"&lt;&gt;Excluido"),MAX(0,BF$27+BF$28-BE$31))</f>
        <v>441666.82655983</v>
      </c>
      <c r="BG29" s="12" t="n">
        <f aca="false">IF(BG$9=1,SUMIFS(dr_USD,dr_Mes,53,dr_Cod,"COMPRA_MAT",dr_Est,"&lt;&gt;Excluido"),MAX(0,BG$27+BG$28-BF$31))</f>
        <v>441666.82655983</v>
      </c>
      <c r="BH29" s="12" t="n">
        <f aca="false">IF(BH$9=1,SUMIFS(dr_USD,dr_Mes,54,dr_Cod,"COMPRA_MAT",dr_Est,"&lt;&gt;Excluido"),MAX(0,BH$27+BH$28-BG$31))</f>
        <v>441666.82655983</v>
      </c>
      <c r="BI29" s="12" t="n">
        <f aca="false">IF(BI$9=1,SUMIFS(dr_USD,dr_Mes,55,dr_Cod,"COMPRA_MAT",dr_Est,"&lt;&gt;Excluido"),MAX(0,BI$27+BI$28-BH$31))</f>
        <v>441666.82655983</v>
      </c>
      <c r="BJ29" s="12" t="n">
        <f aca="false">IF(BJ$9=1,SUMIFS(dr_USD,dr_Mes,56,dr_Cod,"COMPRA_MAT",dr_Est,"&lt;&gt;Excluido"),MAX(0,BJ$27+BJ$28-BI$31))</f>
        <v>441666.82655983</v>
      </c>
      <c r="BK29" s="12" t="n">
        <f aca="false">IF(BK$9=1,SUMIFS(dr_USD,dr_Mes,57,dr_Cod,"COMPRA_MAT",dr_Est,"&lt;&gt;Excluido"),MAX(0,BK$27+BK$28-BJ$31))</f>
        <v>443882.839002655</v>
      </c>
      <c r="BL29" s="12" t="n">
        <f aca="false">IF(BL$9=1,SUMIFS(dr_USD,dr_Mes,58,dr_Cod,"COMPRA_MAT",dr_Est,"&lt;&gt;Excluido"),MAX(0,BL$27+BL$28-BK$31))</f>
        <v>444011.303492095</v>
      </c>
      <c r="BM29" s="12" t="n">
        <f aca="false">IF(BM$9=1,SUMIFS(dr_USD,dr_Mes,59,dr_Cod,"COMPRA_MAT",dr_Est,"&lt;&gt;Excluido"),MAX(0,BM$27+BM$28-BL$31))</f>
        <v>444011.303492094</v>
      </c>
      <c r="BN29" s="12" t="n">
        <f aca="false">IF(BN$9=1,SUMIFS(dr_USD,dr_Mes,60,dr_Cod,"COMPRA_MAT",dr_Est,"&lt;&gt;Excluido"),MAX(0,BN$27+BN$28-BM$31))</f>
        <v>444011.303492094</v>
      </c>
      <c r="BO29" s="12" t="n">
        <f aca="false">IF(BO$9=1,SUMIFS(dr_USD,dr_Mes,61,dr_Cod,"COMPRA_MAT",dr_Est,"&lt;&gt;Excluido"),MAX(0,BO$27+BO$28-BN$31))</f>
        <v>444011.303492094</v>
      </c>
      <c r="BP29" s="12" t="n">
        <f aca="false">IF(BP$9=1,SUMIFS(dr_USD,dr_Mes,62,dr_Cod,"COMPRA_MAT",dr_Est,"&lt;&gt;Excluido"),MAX(0,BP$27+BP$28-BO$31))</f>
        <v>444011.303492095</v>
      </c>
      <c r="BQ29" s="12" t="n">
        <f aca="false">IF(BQ$9=1,SUMIFS(dr_USD,dr_Mes,63,dr_Cod,"COMPRA_MAT",dr_Est,"&lt;&gt;Excluido"),MAX(0,BQ$27+BQ$28-BP$31))</f>
        <v>444011.303492095</v>
      </c>
      <c r="BR29" s="12" t="n">
        <f aca="false">IF(BR$9=1,SUMIFS(dr_USD,dr_Mes,64,dr_Cod,"COMPRA_MAT",dr_Est,"&lt;&gt;Excluido"),MAX(0,BR$27+BR$28-BQ$31))</f>
        <v>444011.303492095</v>
      </c>
      <c r="BS29" s="12" t="n">
        <f aca="false">IF(BS$9=1,SUMIFS(dr_USD,dr_Mes,65,dr_Cod,"COMPRA_MAT",dr_Est,"&lt;&gt;Excluido"),MAX(0,BS$27+BS$28-BR$31))</f>
        <v>444011.303492095</v>
      </c>
      <c r="BT29" s="12" t="n">
        <f aca="false">IF(BT$9=1,SUMIFS(dr_USD,dr_Mes,66,dr_Cod,"COMPRA_MAT",dr_Est,"&lt;&gt;Excluido"),MAX(0,BT$27+BT$28-BS$31))</f>
        <v>444011.303492095</v>
      </c>
      <c r="BU29" s="12" t="n">
        <f aca="false">IF(BU$9=1,SUMIFS(dr_USD,dr_Mes,67,dr_Cod,"COMPRA_MAT",dr_Est,"&lt;&gt;Excluido"),MAX(0,BU$27+BU$28-BT$31))</f>
        <v>444011.303492095</v>
      </c>
      <c r="BV29" s="12" t="n">
        <f aca="false">IF(BV$9=1,SUMIFS(dr_USD,dr_Mes,68,dr_Cod,"COMPRA_MAT",dr_Est,"&lt;&gt;Excluido"),MAX(0,BV$27+BV$28-BU$31))</f>
        <v>444011.303492095</v>
      </c>
      <c r="BW29" s="12" t="n">
        <f aca="false">IF(BW$9=1,SUMIFS(dr_USD,dr_Mes,69,dr_Cod,"COMPRA_MAT",dr_Est,"&lt;&gt;Excluido"),MAX(0,BW$27+BW$28-BV$31))</f>
        <v>446249.476059349</v>
      </c>
      <c r="BX29" s="12" t="n">
        <f aca="false">IF(BX$9=1,SUMIFS(dr_USD,dr_Mes,70,dr_Cod,"COMPRA_MAT",dr_Est,"&lt;&gt;Excluido"),MAX(0,BX$27+BX$28-BW$31))</f>
        <v>446379.225193682</v>
      </c>
      <c r="BY29" s="12" t="n">
        <f aca="false">IF(BY$9=1,SUMIFS(dr_USD,dr_Mes,71,dr_Cod,"COMPRA_MAT",dr_Est,"&lt;&gt;Excluido"),MAX(0,BY$27+BY$28-BX$31))</f>
        <v>446379.225193682</v>
      </c>
      <c r="BZ29" s="12" t="n">
        <f aca="false">IF(BZ$9=1,SUMIFS(dr_USD,dr_Mes,72,dr_Cod,"COMPRA_MAT",dr_Est,"&lt;&gt;Excluido"),MAX(0,BZ$27+BZ$28-BY$31))</f>
        <v>446379.225193682</v>
      </c>
      <c r="CA29" s="12" t="n">
        <f aca="false">IF(CA$9=1,SUMIFS(dr_USD,dr_Mes,73,dr_Cod,"COMPRA_MAT",dr_Est,"&lt;&gt;Excluido"),MAX(0,CA$27+CA$28-BZ$31))</f>
        <v>446379.225193682</v>
      </c>
      <c r="CB29" s="12" t="n">
        <f aca="false">IF(CB$9=1,SUMIFS(dr_USD,dr_Mes,74,dr_Cod,"COMPRA_MAT",dr_Est,"&lt;&gt;Excluido"),MAX(0,CB$27+CB$28-CA$31))</f>
        <v>446379.225193682</v>
      </c>
      <c r="CC29" s="12" t="n">
        <f aca="false">IF(CC$9=1,SUMIFS(dr_USD,dr_Mes,75,dr_Cod,"COMPRA_MAT",dr_Est,"&lt;&gt;Excluido"),MAX(0,CC$27+CC$28-CB$31))</f>
        <v>446379.225193682</v>
      </c>
      <c r="CD29" s="12" t="n">
        <f aca="false">IF(CD$9=1,SUMIFS(dr_USD,dr_Mes,76,dr_Cod,"COMPRA_MAT",dr_Est,"&lt;&gt;Excluido"),MAX(0,CD$27+CD$28-CC$31))</f>
        <v>446379.225193682</v>
      </c>
      <c r="CE29" s="12" t="n">
        <f aca="false">IF(CE$9=1,SUMIFS(dr_USD,dr_Mes,77,dr_Cod,"COMPRA_MAT",dr_Est,"&lt;&gt;Excluido"),MAX(0,CE$27+CE$28-CD$31))</f>
        <v>446379.225193682</v>
      </c>
      <c r="CF29" s="12" t="n">
        <f aca="false">IF(CF$9=1,SUMIFS(dr_USD,dr_Mes,78,dr_Cod,"COMPRA_MAT",dr_Est,"&lt;&gt;Excluido"),MAX(0,CF$27+CF$28-CE$31))</f>
        <v>446379.225193682</v>
      </c>
      <c r="CG29" s="12" t="n">
        <f aca="false">IF(CG$9=1,SUMIFS(dr_USD,dr_Mes,79,dr_Cod,"COMPRA_MAT",dr_Est,"&lt;&gt;Excluido"),MAX(0,CG$27+CG$28-CF$31))</f>
        <v>446379.225193682</v>
      </c>
      <c r="CH29" s="12" t="n">
        <f aca="false">IF(CH$9=1,SUMIFS(dr_USD,dr_Mes,80,dr_Cod,"COMPRA_MAT",dr_Est,"&lt;&gt;Excluido"),MAX(0,CH$27+CH$28-CG$31))</f>
        <v>446379.225193682</v>
      </c>
      <c r="CI29" s="12" t="n">
        <f aca="false">IF(CI$9=1,SUMIFS(dr_USD,dr_Mes,81,dr_Cod,"COMPRA_MAT",dr_Est,"&lt;&gt;Excluido"),MAX(0,CI$27+CI$28-CH$31))</f>
        <v>448639.779486609</v>
      </c>
      <c r="CJ29" s="12" t="n">
        <f aca="false">IF(CJ$9=1,SUMIFS(dr_USD,dr_Mes,82,dr_Cod,"COMPRA_MAT",dr_Est,"&lt;&gt;Excluido"),MAX(0,CJ$27+CJ$28-CI$31))</f>
        <v>448770.826112285</v>
      </c>
      <c r="CK29" s="12" t="n">
        <f aca="false">IF(CK$9=1,SUMIFS(dr_USD,dr_Mes,83,dr_Cod,"COMPRA_MAT",dr_Est,"&lt;&gt;Excluido"),MAX(0,CK$27+CK$28-CJ$31))</f>
        <v>448770.826112286</v>
      </c>
      <c r="CL29" s="12" t="n">
        <f aca="false">IF(CL$9=1,SUMIFS(dr_USD,dr_Mes,84,dr_Cod,"COMPRA_MAT",dr_Est,"&lt;&gt;Excluido"),MAX(0,CL$27+CL$28-CK$31))</f>
        <v>448770.826112286</v>
      </c>
      <c r="CM29" s="12" t="n">
        <f aca="false">IF(CM$9=1,SUMIFS(dr_USD,dr_Mes,85,dr_Cod,"COMPRA_MAT",dr_Est,"&lt;&gt;Excluido"),MAX(0,CM$27+CM$28-CL$31))</f>
        <v>448770.826112285</v>
      </c>
      <c r="CN29" s="12" t="n">
        <f aca="false">IF(CN$9=1,SUMIFS(dr_USD,dr_Mes,86,dr_Cod,"COMPRA_MAT",dr_Est,"&lt;&gt;Excluido"),MAX(0,CN$27+CN$28-CM$31))</f>
        <v>448770.826112286</v>
      </c>
      <c r="CO29" s="12" t="n">
        <f aca="false">IF(CO$9=1,SUMIFS(dr_USD,dr_Mes,87,dr_Cod,"COMPRA_MAT",dr_Est,"&lt;&gt;Excluido"),MAX(0,CO$27+CO$28-CN$31))</f>
        <v>448770.826112286</v>
      </c>
      <c r="CP29" s="12" t="n">
        <f aca="false">IF(CP$9=1,SUMIFS(dr_USD,dr_Mes,88,dr_Cod,"COMPRA_MAT",dr_Est,"&lt;&gt;Excluido"),MAX(0,CP$27+CP$28-CO$31))</f>
        <v>448770.826112286</v>
      </c>
      <c r="CQ29" s="12" t="n">
        <f aca="false">IF(CQ$9=1,SUMIFS(dr_USD,dr_Mes,89,dr_Cod,"COMPRA_MAT",dr_Est,"&lt;&gt;Excluido"),MAX(0,CQ$27+CQ$28-CP$31))</f>
        <v>448770.826112286</v>
      </c>
      <c r="CR29" s="12" t="n">
        <f aca="false">IF(CR$9=1,SUMIFS(dr_USD,dr_Mes,90,dr_Cod,"COMPRA_MAT",dr_Est,"&lt;&gt;Excluido"),MAX(0,CR$27+CR$28-CQ$31))</f>
        <v>448770.826112286</v>
      </c>
      <c r="CS29" s="12" t="n">
        <f aca="false">IF(CS$9=1,SUMIFS(dr_USD,dr_Mes,91,dr_Cod,"COMPRA_MAT",dr_Est,"&lt;&gt;Excluido"),MAX(0,CS$27+CS$28-CR$31))</f>
        <v>448770.826112286</v>
      </c>
      <c r="CT29" s="12" t="n">
        <f aca="false">IF(CT$9=1,SUMIFS(dr_USD,dr_Mes,92,dr_Cod,"COMPRA_MAT",dr_Est,"&lt;&gt;Excluido"),MAX(0,CT$27+CT$28-CS$31))</f>
        <v>448770.826112286</v>
      </c>
      <c r="CU29" s="12" t="n">
        <f aca="false">IF(CU$9=1,SUMIFS(dr_USD,dr_Mes,93,dr_Cod,"COMPRA_MAT",dr_Est,"&lt;&gt;Excluido"),MAX(0,CU$27+CU$28-CT$31))</f>
        <v>451053.985948142</v>
      </c>
      <c r="CV29" s="12" t="n">
        <f aca="false">IF(CV$9=1,SUMIFS(dr_USD,dr_Mes,94,dr_Cod,"COMPRA_MAT",dr_Est,"&lt;&gt;Excluido"),MAX(0,CV$27+CV$28-CU$31))</f>
        <v>451186.343040076</v>
      </c>
      <c r="CW29" s="12" t="n">
        <f aca="false">IF(CW$9=1,SUMIFS(dr_USD,dr_Mes,95,dr_Cod,"COMPRA_MAT",dr_Est,"&lt;&gt;Excluido"),MAX(0,CW$27+CW$28-CV$31))</f>
        <v>451186.343040075</v>
      </c>
      <c r="CX29" s="12" t="n">
        <f aca="false">IF(CX$9=1,SUMIFS(dr_USD,dr_Mes,96,dr_Cod,"COMPRA_MAT",dr_Est,"&lt;&gt;Excluido"),MAX(0,CX$27+CX$28-CW$31))</f>
        <v>451186.343040075</v>
      </c>
      <c r="CY29" s="12" t="n">
        <f aca="false">IF(CY$9=1,SUMIFS(dr_USD,dr_Mes,97,dr_Cod,"COMPRA_MAT",dr_Est,"&lt;&gt;Excluido"),MAX(0,CY$27+CY$28-CX$31))</f>
        <v>451186.343040075</v>
      </c>
      <c r="CZ29" s="12" t="n">
        <f aca="false">IF(CZ$9=1,SUMIFS(dr_USD,dr_Mes,98,dr_Cod,"COMPRA_MAT",dr_Est,"&lt;&gt;Excluido"),MAX(0,CZ$27+CZ$28-CY$31))</f>
        <v>451186.343040075</v>
      </c>
      <c r="DA29" s="12" t="n">
        <f aca="false">IF(DA$9=1,SUMIFS(dr_USD,dr_Mes,99,dr_Cod,"COMPRA_MAT",dr_Est,"&lt;&gt;Excluido"),MAX(0,DA$27+DA$28-CZ$31))</f>
        <v>451186.343040075</v>
      </c>
      <c r="DB29" s="12" t="n">
        <f aca="false">IF(DB$9=1,SUMIFS(dr_USD,dr_Mes,100,dr_Cod,"COMPRA_MAT",dr_Est,"&lt;&gt;Excluido"),MAX(0,DB$27+DB$28-DA$31))</f>
        <v>451186.343040075</v>
      </c>
      <c r="DC29" s="12" t="n">
        <f aca="false">IF(DC$9=1,SUMIFS(dr_USD,dr_Mes,101,dr_Cod,"COMPRA_MAT",dr_Est,"&lt;&gt;Excluido"),MAX(0,DC$27+DC$28-DB$31))</f>
        <v>451186.343040075</v>
      </c>
      <c r="DD29" s="12" t="n">
        <f aca="false">IF(DD$9=1,SUMIFS(dr_USD,dr_Mes,102,dr_Cod,"COMPRA_MAT",dr_Est,"&lt;&gt;Excluido"),MAX(0,DD$27+DD$28-DC$31))</f>
        <v>451186.343040075</v>
      </c>
      <c r="DE29" s="12" t="n">
        <f aca="false">IF(DE$9=1,SUMIFS(dr_USD,dr_Mes,103,dr_Cod,"COMPRA_MAT",dr_Est,"&lt;&gt;Excluido"),MAX(0,DE$27+DE$28-DD$31))</f>
        <v>451186.343040075</v>
      </c>
      <c r="DF29" s="12" t="n">
        <f aca="false">IF(DF$9=1,SUMIFS(dr_USD,dr_Mes,104,dr_Cod,"COMPRA_MAT",dr_Est,"&lt;&gt;Excluido"),MAX(0,DF$27+DF$28-DE$31))</f>
        <v>451186.343040075</v>
      </c>
      <c r="DG29" s="12" t="n">
        <f aca="false">IF(DG$9=1,SUMIFS(dr_USD,dr_Mes,105,dr_Cod,"COMPRA_MAT",dr_Est,"&lt;&gt;Excluido"),MAX(0,DG$27+DG$28-DF$31))</f>
        <v>453492.33447429</v>
      </c>
      <c r="DH29" s="12" t="n">
        <f aca="false">IF(DH$9=1,SUMIFS(dr_USD,dr_Mes,106,dr_Cod,"COMPRA_MAT",dr_Est,"&lt;&gt;Excluido"),MAX(0,DH$27+DH$28-DG$31))</f>
        <v>453626.015137143</v>
      </c>
      <c r="DI29" s="12" t="n">
        <f aca="false">IF(DI$9=1,SUMIFS(dr_USD,dr_Mes,107,dr_Cod,"COMPRA_MAT",dr_Est,"&lt;&gt;Excluido"),MAX(0,DI$27+DI$28-DH$31))</f>
        <v>453626.015137143</v>
      </c>
      <c r="DJ29" s="12" t="n">
        <f aca="false">IF(DJ$9=1,SUMIFS(dr_USD,dr_Mes,108,dr_Cod,"COMPRA_MAT",dr_Est,"&lt;&gt;Excluido"),MAX(0,DJ$27+DJ$28-DI$31))</f>
        <v>453626.015137143</v>
      </c>
      <c r="DK29" s="12" t="n">
        <f aca="false">IF(DK$9=1,SUMIFS(dr_USD,dr_Mes,109,dr_Cod,"COMPRA_MAT",dr_Est,"&lt;&gt;Excluido"),MAX(0,DK$27+DK$28-DJ$31))</f>
        <v>453626.015137143</v>
      </c>
      <c r="DL29" s="12" t="n">
        <f aca="false">IF(DL$9=1,SUMIFS(dr_USD,dr_Mes,110,dr_Cod,"COMPRA_MAT",dr_Est,"&lt;&gt;Excluido"),MAX(0,DL$27+DL$28-DK$31))</f>
        <v>453626.015137143</v>
      </c>
      <c r="DM29" s="12" t="n">
        <f aca="false">IF(DM$9=1,SUMIFS(dr_USD,dr_Mes,111,dr_Cod,"COMPRA_MAT",dr_Est,"&lt;&gt;Excluido"),MAX(0,DM$27+DM$28-DL$31))</f>
        <v>453626.015137143</v>
      </c>
      <c r="DN29" s="12" t="n">
        <f aca="false">IF(DN$9=1,SUMIFS(dr_USD,dr_Mes,112,dr_Cod,"COMPRA_MAT",dr_Est,"&lt;&gt;Excluido"),MAX(0,DN$27+DN$28-DM$31))</f>
        <v>453626.015137143</v>
      </c>
      <c r="DO29" s="12" t="n">
        <f aca="false">IF(DO$9=1,SUMIFS(dr_USD,dr_Mes,113,dr_Cod,"COMPRA_MAT",dr_Est,"&lt;&gt;Excluido"),MAX(0,DO$27+DO$28-DN$31))</f>
        <v>453626.015137143</v>
      </c>
      <c r="DP29" s="12" t="n">
        <f aca="false">IF(DP$9=1,SUMIFS(dr_USD,dr_Mes,114,dr_Cod,"COMPRA_MAT",dr_Est,"&lt;&gt;Excluido"),MAX(0,DP$27+DP$28-DO$31))</f>
        <v>453626.015137143</v>
      </c>
      <c r="DQ29" s="12" t="n">
        <f aca="false">IF(DQ$9=1,SUMIFS(dr_USD,dr_Mes,115,dr_Cod,"COMPRA_MAT",dr_Est,"&lt;&gt;Excluido"),MAX(0,DQ$27+DQ$28-DP$31))</f>
        <v>453626.015137143</v>
      </c>
      <c r="DR29" s="12" t="n">
        <f aca="false">IF(DR$9=1,SUMIFS(dr_USD,dr_Mes,116,dr_Cod,"COMPRA_MAT",dr_Est,"&lt;&gt;Excluido"),MAX(0,DR$27+DR$28-DQ$31))</f>
        <v>312660.603039731</v>
      </c>
      <c r="DS29" s="12" t="n">
        <f aca="false">IF(DS$9=1,SUMIFS(dr_USD,dr_Mes,117,dr_Cod,"COMPRA_MAT",dr_Est,"&lt;&gt;Excluido"),MAX(0,DS$27+DS$28-DR$31))</f>
        <v>16684.3120598386</v>
      </c>
      <c r="DT29" s="12" t="n">
        <f aca="false">IF(DT$9=1,SUMIFS(dr_USD,dr_Mes,118,dr_Cod,"COMPRA_MAT",dr_Est,"&lt;&gt;Excluido"),MAX(0,DT$27+DT$28-DS$31))</f>
        <v>0</v>
      </c>
      <c r="DU29" s="12" t="n">
        <f aca="false">IF(DU$9=1,SUMIFS(dr_USD,dr_Mes,119,dr_Cod,"COMPRA_MAT",dr_Est,"&lt;&gt;Excluido"),MAX(0,DU$27+DU$28-DT$31))</f>
        <v>0</v>
      </c>
      <c r="DV29" s="12" t="n">
        <f aca="false">IF(DV$9=1,SUMIFS(dr_USD,dr_Mes,120,dr_Cod,"COMPRA_MAT",dr_Est,"&lt;&gt;Excluido"),MAX(0,DV$27+DV$28-DU$31))</f>
        <v>0</v>
      </c>
      <c r="DW29" s="12" t="n">
        <f aca="false">IF(DW$9=1,SUMIFS(dr_USD,dr_Mes,121,dr_Cod,"COMPRA_MAT",dr_Est,"&lt;&gt;Excluido"),MAX(0,DW$27+DW$28-DV$31))</f>
        <v>0</v>
      </c>
      <c r="DX29" s="12" t="n">
        <f aca="false">IF(DX$9=1,SUMIFS(dr_USD,dr_Mes,122,dr_Cod,"COMPRA_MAT",dr_Est,"&lt;&gt;Excluido"),MAX(0,DX$27+DX$28-DW$31))</f>
        <v>0</v>
      </c>
      <c r="DY29" s="12" t="n">
        <f aca="false">IF(DY$9=1,SUMIFS(dr_USD,dr_Mes,123,dr_Cod,"COMPRA_MAT",dr_Est,"&lt;&gt;Excluido"),MAX(0,DY$27+DY$28-DX$31))</f>
        <v>0</v>
      </c>
      <c r="DZ29" s="12" t="n">
        <f aca="false">IF(DZ$9=1,SUMIFS(dr_USD,dr_Mes,124,dr_Cod,"COMPRA_MAT",dr_Est,"&lt;&gt;Excluido"),MAX(0,DZ$27+DZ$28-DY$31))</f>
        <v>0</v>
      </c>
      <c r="EA29" s="12" t="n">
        <f aca="false">IF(EA$9=1,SUMIFS(dr_USD,dr_Mes,125,dr_Cod,"COMPRA_MAT",dr_Est,"&lt;&gt;Excluido"),MAX(0,EA$27+EA$28-DZ$31))</f>
        <v>0</v>
      </c>
      <c r="EB29" s="12" t="n">
        <f aca="false">IF(EB$9=1,SUMIFS(dr_USD,dr_Mes,126,dr_Cod,"COMPRA_MAT",dr_Est,"&lt;&gt;Excluido"),MAX(0,EB$27+EB$28-EA$31))</f>
        <v>0</v>
      </c>
      <c r="EC29" s="12" t="n">
        <f aca="false">IF(EC$9=1,SUMIFS(dr_USD,dr_Mes,127,dr_Cod,"COMPRA_MAT",dr_Est,"&lt;&gt;Excluido"),MAX(0,EC$27+EC$28-EB$31))</f>
        <v>0</v>
      </c>
      <c r="ED29" s="12" t="n">
        <f aca="false">IF(ED$9=1,SUMIFS(dr_USD,dr_Mes,128,dr_Cod,"COMPRA_MAT",dr_Est,"&lt;&gt;Excluido"),MAX(0,ED$27+ED$28-EC$31))</f>
        <v>0</v>
      </c>
      <c r="EE29" s="12" t="n">
        <f aca="false">IF(EE$9=1,SUMIFS(dr_USD,dr_Mes,129,dr_Cod,"COMPRA_MAT",dr_Est,"&lt;&gt;Excluido"),MAX(0,EE$27+EE$28-ED$31))</f>
        <v>0</v>
      </c>
      <c r="EF29" s="12" t="n">
        <f aca="false">IF(EF$9=1,SUMIFS(dr_USD,dr_Mes,130,dr_Cod,"COMPRA_MAT",dr_Est,"&lt;&gt;Excluido"),MAX(0,EF$27+EF$28-EE$31))</f>
        <v>0</v>
      </c>
      <c r="EG29" s="12" t="n">
        <f aca="false">IF(EG$9=1,SUMIFS(dr_USD,dr_Mes,131,dr_Cod,"COMPRA_MAT",dr_Est,"&lt;&gt;Excluido"),MAX(0,EG$27+EG$28-EF$31))</f>
        <v>0</v>
      </c>
      <c r="EH29" s="12" t="n">
        <f aca="false">IF(EH$9=1,SUMIFS(dr_USD,dr_Mes,132,dr_Cod,"COMPRA_MAT",dr_Est,"&lt;&gt;Excluido"),MAX(0,EH$27+EH$28-EG$31))</f>
        <v>0</v>
      </c>
      <c r="EI29" s="12" t="n">
        <f aca="false">IF(EI$9=1,SUMIFS(dr_USD,dr_Mes,133,dr_Cod,"COMPRA_MAT",dr_Est,"&lt;&gt;Excluido"),MAX(0,EI$27+EI$28-EH$31))</f>
        <v>0</v>
      </c>
      <c r="EJ29" s="12" t="n">
        <f aca="false">IF(EJ$9=1,SUMIFS(dr_USD,dr_Mes,134,dr_Cod,"COMPRA_MAT",dr_Est,"&lt;&gt;Excluido"),MAX(0,EJ$27+EJ$28-EI$31))</f>
        <v>0</v>
      </c>
      <c r="EK29" s="12" t="n">
        <f aca="false">IF(EK$9=1,SUMIFS(dr_USD,dr_Mes,135,dr_Cod,"COMPRA_MAT",dr_Est,"&lt;&gt;Excluido"),MAX(0,EK$27+EK$28-EJ$31))</f>
        <v>0</v>
      </c>
      <c r="EL29" s="12" t="n">
        <f aca="false">IF(EL$9=1,SUMIFS(dr_USD,dr_Mes,136,dr_Cod,"COMPRA_MAT",dr_Est,"&lt;&gt;Excluido"),MAX(0,EL$27+EL$28-EK$31))</f>
        <v>0</v>
      </c>
      <c r="EM29" s="12" t="n">
        <f aca="false">IF(EM$9=1,SUMIFS(dr_USD,dr_Mes,137,dr_Cod,"COMPRA_MAT",dr_Est,"&lt;&gt;Excluido"),MAX(0,EM$27+EM$28-EL$31))</f>
        <v>0</v>
      </c>
      <c r="EN29" s="12" t="n">
        <f aca="false">IF(EN$9=1,SUMIFS(dr_USD,dr_Mes,138,dr_Cod,"COMPRA_MAT",dr_Est,"&lt;&gt;Excluido"),MAX(0,EN$27+EN$28-EM$31))</f>
        <v>0</v>
      </c>
      <c r="EO29" s="12" t="n">
        <f aca="false">IF(EO$9=1,SUMIFS(dr_USD,dr_Mes,139,dr_Cod,"COMPRA_MAT",dr_Est,"&lt;&gt;Excluido"),MAX(0,EO$27+EO$28-EN$31))</f>
        <v>0</v>
      </c>
      <c r="EP29" s="12" t="n">
        <f aca="false">IF(EP$9=1,SUMIFS(dr_USD,dr_Mes,140,dr_Cod,"COMPRA_MAT",dr_Est,"&lt;&gt;Excluido"),MAX(0,EP$27+EP$28-EO$31))</f>
        <v>0</v>
      </c>
      <c r="EQ29" s="12" t="n">
        <f aca="false">IF(EQ$9=1,SUMIFS(dr_USD,dr_Mes,141,dr_Cod,"COMPRA_MAT",dr_Est,"&lt;&gt;Excluido"),MAX(0,EQ$27+EQ$28-EP$31))</f>
        <v>0</v>
      </c>
      <c r="ER29" s="12" t="n">
        <f aca="false">IF(ER$9=1,SUMIFS(dr_USD,dr_Mes,142,dr_Cod,"COMPRA_MAT",dr_Est,"&lt;&gt;Excluido"),MAX(0,ER$27+ER$28-EQ$31))</f>
        <v>0</v>
      </c>
      <c r="ES29" s="12" t="n">
        <f aca="false">IF(ES$9=1,SUMIFS(dr_USD,dr_Mes,143,dr_Cod,"COMPRA_MAT",dr_Est,"&lt;&gt;Excluido"),MAX(0,ES$27+ES$28-ER$31))</f>
        <v>0</v>
      </c>
      <c r="ET29" s="12" t="n">
        <f aca="false">IF(ET$9=1,SUMIFS(dr_USD,dr_Mes,144,dr_Cod,"COMPRA_MAT",dr_Est,"&lt;&gt;Excluido"),MAX(0,ET$27+ET$28-ES$31))</f>
        <v>0</v>
      </c>
      <c r="EU29" s="12" t="n">
        <f aca="false">IF(EU$9=1,SUMIFS(dr_USD,dr_Mes,145,dr_Cod,"COMPRA_MAT",dr_Est,"&lt;&gt;Excluido"),MAX(0,EU$27+EU$28-ET$31))</f>
        <v>0</v>
      </c>
      <c r="EV29" s="12" t="n">
        <f aca="false">IF(EV$9=1,SUMIFS(dr_USD,dr_Mes,146,dr_Cod,"COMPRA_MAT",dr_Est,"&lt;&gt;Excluido"),MAX(0,EV$27+EV$28-EU$31))</f>
        <v>0</v>
      </c>
      <c r="EW29" s="12" t="n">
        <f aca="false">IF(EW$9=1,SUMIFS(dr_USD,dr_Mes,147,dr_Cod,"COMPRA_MAT",dr_Est,"&lt;&gt;Excluido"),MAX(0,EW$27+EW$28-EV$31))</f>
        <v>0</v>
      </c>
      <c r="EX29" s="12" t="n">
        <f aca="false">IF(EX$9=1,SUMIFS(dr_USD,dr_Mes,148,dr_Cod,"COMPRA_MAT",dr_Est,"&lt;&gt;Excluido"),MAX(0,EX$27+EX$28-EW$31))</f>
        <v>0</v>
      </c>
      <c r="EY29" s="12" t="n">
        <f aca="false">IF(EY$9=1,SUMIFS(dr_USD,dr_Mes,149,dr_Cod,"COMPRA_MAT",dr_Est,"&lt;&gt;Excluido"),MAX(0,EY$27+EY$28-EX$31))</f>
        <v>0</v>
      </c>
      <c r="EZ29" s="12" t="n">
        <f aca="false">IF(EZ$9=1,SUMIFS(dr_USD,dr_Mes,150,dr_Cod,"COMPRA_MAT",dr_Est,"&lt;&gt;Excluido"),MAX(0,EZ$27+EZ$28-EY$31))</f>
        <v>0</v>
      </c>
      <c r="FA29" s="12" t="n">
        <f aca="false">IF(FA$9=1,SUMIFS(dr_USD,dr_Mes,151,dr_Cod,"COMPRA_MAT",dr_Est,"&lt;&gt;Excluido"),MAX(0,FA$27+FA$28-EZ$31))</f>
        <v>0</v>
      </c>
      <c r="FB29" s="12" t="n">
        <f aca="false">IF(FB$9=1,SUMIFS(dr_USD,dr_Mes,152,dr_Cod,"COMPRA_MAT",dr_Est,"&lt;&gt;Excluido"),MAX(0,FB$27+FB$28-FA$31))</f>
        <v>0</v>
      </c>
      <c r="FC29" s="12" t="n">
        <f aca="false">IF(FC$9=1,SUMIFS(dr_USD,dr_Mes,153,dr_Cod,"COMPRA_MAT",dr_Est,"&lt;&gt;Excluido"),MAX(0,FC$27+FC$28-FB$31))</f>
        <v>0</v>
      </c>
      <c r="FD29" s="12" t="n">
        <f aca="false">IF(FD$9=1,SUMIFS(dr_USD,dr_Mes,154,dr_Cod,"COMPRA_MAT",dr_Est,"&lt;&gt;Excluido"),MAX(0,FD$27+FD$28-FC$31))</f>
        <v>0</v>
      </c>
      <c r="FE29" s="12" t="n">
        <f aca="false">IF(FE$9=1,SUMIFS(dr_USD,dr_Mes,155,dr_Cod,"COMPRA_MAT",dr_Est,"&lt;&gt;Excluido"),MAX(0,FE$27+FE$28-FD$31))</f>
        <v>0</v>
      </c>
      <c r="FF29" s="12" t="n">
        <f aca="false">IF(FF$9=1,SUMIFS(dr_USD,dr_Mes,156,dr_Cod,"COMPRA_MAT",dr_Est,"&lt;&gt;Excluido"),MAX(0,FF$27+FF$28-FE$31))</f>
        <v>0</v>
      </c>
    </row>
    <row r="30" customFormat="false" ht="15" hidden="false" customHeight="false" outlineLevel="0" collapsed="false">
      <c r="A30" s="2" t="s">
        <v>1320</v>
      </c>
      <c r="B30" s="8" t="s">
        <v>1321</v>
      </c>
      <c r="C30" s="8" t="s">
        <v>255</v>
      </c>
      <c r="F30" s="13" t="n">
        <f aca="false">0+F$29-F$27</f>
        <v>1064142.28219178</v>
      </c>
      <c r="G30" s="13" t="n">
        <f aca="false">F$31+G$29-G$27</f>
        <v>982285.183561644</v>
      </c>
      <c r="H30" s="13" t="n">
        <f aca="false">G$31+H$29-H$27</f>
        <v>982285.183561644</v>
      </c>
      <c r="I30" s="13" t="n">
        <f aca="false">H$31+I$29-I$27</f>
        <v>982285.183561644</v>
      </c>
      <c r="J30" s="13" t="n">
        <f aca="false">I$31+J$29-J$27</f>
        <v>982285.183561644</v>
      </c>
      <c r="K30" s="13" t="n">
        <f aca="false">J$31+K$29-K$27</f>
        <v>982285.183561644</v>
      </c>
      <c r="L30" s="13" t="n">
        <f aca="false">K$31+L$29-L$27</f>
        <v>982285.183561644</v>
      </c>
      <c r="M30" s="13" t="n">
        <f aca="false">L$31+M$29-M$27</f>
        <v>982285.183561644</v>
      </c>
      <c r="N30" s="13" t="n">
        <f aca="false">M$31+N$29-N$27</f>
        <v>1002622.4603115</v>
      </c>
      <c r="O30" s="13" t="n">
        <f aca="false">N$31+O$29-O$27</f>
        <v>1067207.51741438</v>
      </c>
      <c r="P30" s="13" t="n">
        <f aca="false">O$31+P$29-P$27</f>
        <v>1134289.31699772</v>
      </c>
      <c r="Q30" s="13" t="n">
        <f aca="false">P$31+Q$29-Q$27</f>
        <v>1201371.11658105</v>
      </c>
      <c r="R30" s="13" t="n">
        <f aca="false">Q$31+R$29-R$27</f>
        <v>1246936.66684932</v>
      </c>
      <c r="S30" s="13" t="n">
        <f aca="false">R$31+S$29-S$27</f>
        <v>1246936.66684932</v>
      </c>
      <c r="T30" s="13" t="n">
        <f aca="false">S$31+T$29-T$27</f>
        <v>1246936.66684932</v>
      </c>
      <c r="U30" s="13" t="n">
        <f aca="false">T$31+U$29-U$27</f>
        <v>1246936.66684932</v>
      </c>
      <c r="V30" s="13" t="n">
        <f aca="false">U$31+V$29-V$27</f>
        <v>1246936.66684932</v>
      </c>
      <c r="W30" s="13" t="n">
        <f aca="false">V$31+W$29-W$27</f>
        <v>1246936.66684932</v>
      </c>
      <c r="X30" s="13" t="n">
        <f aca="false">W$31+X$29-X$27</f>
        <v>1246936.66684932</v>
      </c>
      <c r="Y30" s="13" t="n">
        <f aca="false">X$31+Y$29-Y$27</f>
        <v>1246936.66684932</v>
      </c>
      <c r="Z30" s="13" t="n">
        <f aca="false">Y$31+Z$29-Z$27</f>
        <v>1267379.60837868</v>
      </c>
      <c r="AA30" s="13" t="n">
        <f aca="false">Z$31+AA$29-AA$27</f>
        <v>1332632.26769932</v>
      </c>
      <c r="AB30" s="13" t="n">
        <f aca="false">AA$31+AB$29-AB$27</f>
        <v>1400413.89048265</v>
      </c>
      <c r="AC30" s="13" t="n">
        <f aca="false">AB$31+AC$29-AC$27</f>
        <v>1468195.51326598</v>
      </c>
      <c r="AD30" s="13" t="n">
        <f aca="false">AC$31+AD$29-AD$27</f>
        <v>1514349.09646027</v>
      </c>
      <c r="AE30" s="13" t="n">
        <f aca="false">AD$31+AE$29-AE$27</f>
        <v>1514349.09646027</v>
      </c>
      <c r="AF30" s="13" t="n">
        <f aca="false">AE$31+AF$29-AF$27</f>
        <v>1514349.09646027</v>
      </c>
      <c r="AG30" s="13" t="n">
        <f aca="false">AF$31+AG$29-AG$27</f>
        <v>1514349.09646027</v>
      </c>
      <c r="AH30" s="13" t="n">
        <f aca="false">AG$31+AH$29-AH$27</f>
        <v>1514349.09646027</v>
      </c>
      <c r="AI30" s="13" t="n">
        <f aca="false">AH$31+AI$29-AI$27</f>
        <v>1514349.09646027</v>
      </c>
      <c r="AJ30" s="13" t="n">
        <f aca="false">AI$31+AJ$29-AJ$27</f>
        <v>1514349.09646027</v>
      </c>
      <c r="AK30" s="13" t="n">
        <f aca="false">AJ$31+AK$29-AK$27</f>
        <v>1514349.09646027</v>
      </c>
      <c r="AL30" s="13" t="n">
        <f aca="false">AK$31+AL$29-AL$27</f>
        <v>1530881.70365838</v>
      </c>
      <c r="AM30" s="13" t="n">
        <f aca="false">AL$31+AM$29-AM$27</f>
        <v>1584299.14414057</v>
      </c>
      <c r="AN30" s="13" t="n">
        <f aca="false">AM$31+AN$29-AN$27</f>
        <v>1639799.27571103</v>
      </c>
      <c r="AO30" s="13" t="n">
        <f aca="false">AN$31+AO$29-AO$27</f>
        <v>1695299.40728149</v>
      </c>
      <c r="AP30" s="13" t="n">
        <f aca="false">AO$31+AP$29-AP$27</f>
        <v>1733308.51964236</v>
      </c>
      <c r="AQ30" s="13" t="n">
        <f aca="false">AP$31+AQ$29-AQ$27</f>
        <v>1733308.51964236</v>
      </c>
      <c r="AR30" s="13" t="n">
        <f aca="false">AQ$31+AR$29-AR$27</f>
        <v>1733308.51964236</v>
      </c>
      <c r="AS30" s="13" t="n">
        <f aca="false">AR$31+AS$29-AS$27</f>
        <v>1733308.51964236</v>
      </c>
      <c r="AT30" s="13" t="n">
        <f aca="false">AS$31+AT$29-AT$27</f>
        <v>1733308.51964236</v>
      </c>
      <c r="AU30" s="13" t="n">
        <f aca="false">AT$31+AU$29-AU$27</f>
        <v>1733308.51964236</v>
      </c>
      <c r="AV30" s="13" t="n">
        <f aca="false">AU$31+AV$29-AV$27</f>
        <v>1733308.51964236</v>
      </c>
      <c r="AW30" s="13" t="n">
        <f aca="false">AV$31+AW$29-AW$27</f>
        <v>1733308.51964236</v>
      </c>
      <c r="AX30" s="13" t="n">
        <f aca="false">AW$31+AX$29-AX$27</f>
        <v>1733308.51964236</v>
      </c>
      <c r="AY30" s="13" t="n">
        <f aca="false">AX$31+AY$29-AY$27</f>
        <v>1735502.59136793</v>
      </c>
      <c r="AZ30" s="13" t="n">
        <f aca="false">AY$31+AZ$29-AZ$27</f>
        <v>1737823.8556573</v>
      </c>
      <c r="BA30" s="13" t="n">
        <f aca="false">AZ$31+BA$29-BA$27</f>
        <v>1740145.11994667</v>
      </c>
      <c r="BB30" s="13" t="n">
        <f aca="false">BA$31+BB$29-BB$27</f>
        <v>1742466.38423604</v>
      </c>
      <c r="BC30" s="13" t="n">
        <f aca="false">BB$31+BC$29-BC$27</f>
        <v>1742466.38423604</v>
      </c>
      <c r="BD30" s="13" t="n">
        <f aca="false">BC$31+BD$29-BD$27</f>
        <v>1742466.38423604</v>
      </c>
      <c r="BE30" s="13" t="n">
        <f aca="false">BD$31+BE$29-BE$27</f>
        <v>1742466.38423604</v>
      </c>
      <c r="BF30" s="13" t="n">
        <f aca="false">BE$31+BF$29-BF$27</f>
        <v>1742466.38423604</v>
      </c>
      <c r="BG30" s="13" t="n">
        <f aca="false">BF$31+BG$29-BG$27</f>
        <v>1742466.38423604</v>
      </c>
      <c r="BH30" s="13" t="n">
        <f aca="false">BG$31+BH$29-BH$27</f>
        <v>1742466.38423604</v>
      </c>
      <c r="BI30" s="13" t="n">
        <f aca="false">BH$31+BI$29-BI$27</f>
        <v>1742466.38423604</v>
      </c>
      <c r="BJ30" s="13" t="n">
        <f aca="false">BI$31+BJ$29-BJ$27</f>
        <v>1742466.38423604</v>
      </c>
      <c r="BK30" s="13" t="n">
        <f aca="false">BJ$31+BK$29-BK$27</f>
        <v>1744682.39667887</v>
      </c>
      <c r="BL30" s="13" t="n">
        <f aca="false">BK$31+BL$29-BL$27</f>
        <v>1747026.87361113</v>
      </c>
      <c r="BM30" s="13" t="n">
        <f aca="false">BL$31+BM$29-BM$27</f>
        <v>1749371.3505434</v>
      </c>
      <c r="BN30" s="13" t="n">
        <f aca="false">BM$31+BN$29-BN$27</f>
        <v>1751715.82747566</v>
      </c>
      <c r="BO30" s="13" t="n">
        <f aca="false">BN$31+BO$29-BO$27</f>
        <v>1751715.82747566</v>
      </c>
      <c r="BP30" s="13" t="n">
        <f aca="false">BO$31+BP$29-BP$27</f>
        <v>1751715.82747566</v>
      </c>
      <c r="BQ30" s="13" t="n">
        <f aca="false">BP$31+BQ$29-BQ$27</f>
        <v>1751715.82747566</v>
      </c>
      <c r="BR30" s="13" t="n">
        <f aca="false">BQ$31+BR$29-BR$27</f>
        <v>1751715.82747566</v>
      </c>
      <c r="BS30" s="13" t="n">
        <f aca="false">BR$31+BS$29-BS$27</f>
        <v>1751715.82747566</v>
      </c>
      <c r="BT30" s="13" t="n">
        <f aca="false">BS$31+BT$29-BT$27</f>
        <v>1751715.82747566</v>
      </c>
      <c r="BU30" s="13" t="n">
        <f aca="false">BT$31+BU$29-BU$27</f>
        <v>1751715.82747566</v>
      </c>
      <c r="BV30" s="13" t="n">
        <f aca="false">BU$31+BV$29-BV$27</f>
        <v>1751715.82747566</v>
      </c>
      <c r="BW30" s="13" t="n">
        <f aca="false">BV$31+BW$29-BW$27</f>
        <v>1753954.00004291</v>
      </c>
      <c r="BX30" s="13" t="n">
        <f aca="false">BW$31+BX$29-BX$27</f>
        <v>1756321.9217445</v>
      </c>
      <c r="BY30" s="13" t="n">
        <f aca="false">BX$31+BY$29-BY$27</f>
        <v>1758689.84344609</v>
      </c>
      <c r="BZ30" s="13" t="n">
        <f aca="false">BY$31+BZ$29-BZ$27</f>
        <v>1761057.76514768</v>
      </c>
      <c r="CA30" s="13" t="n">
        <f aca="false">BZ$31+CA$29-CA$27</f>
        <v>1761057.76514768</v>
      </c>
      <c r="CB30" s="13" t="n">
        <f aca="false">CA$31+CB$29-CB$27</f>
        <v>1761057.76514768</v>
      </c>
      <c r="CC30" s="13" t="n">
        <f aca="false">CB$31+CC$29-CC$27</f>
        <v>1761057.76514768</v>
      </c>
      <c r="CD30" s="13" t="n">
        <f aca="false">CC$31+CD$29-CD$27</f>
        <v>1761057.76514768</v>
      </c>
      <c r="CE30" s="13" t="n">
        <f aca="false">CD$31+CE$29-CE$27</f>
        <v>1761057.76514768</v>
      </c>
      <c r="CF30" s="13" t="n">
        <f aca="false">CE$31+CF$29-CF$27</f>
        <v>1761057.76514768</v>
      </c>
      <c r="CG30" s="13" t="n">
        <f aca="false">CF$31+CG$29-CG$27</f>
        <v>1761057.76514768</v>
      </c>
      <c r="CH30" s="13" t="n">
        <f aca="false">CG$31+CH$29-CH$27</f>
        <v>1761057.76514768</v>
      </c>
      <c r="CI30" s="13" t="n">
        <f aca="false">CH$31+CI$29-CI$27</f>
        <v>1763318.3194406</v>
      </c>
      <c r="CJ30" s="13" t="n">
        <f aca="false">CI$31+CJ$29-CJ$27</f>
        <v>1765709.92035921</v>
      </c>
      <c r="CK30" s="13" t="n">
        <f aca="false">CJ$31+CK$29-CK$27</f>
        <v>1768101.52127781</v>
      </c>
      <c r="CL30" s="13" t="n">
        <f aca="false">CK$31+CL$29-CL$27</f>
        <v>1770493.12219641</v>
      </c>
      <c r="CM30" s="13" t="n">
        <f aca="false">CL$31+CM$29-CM$27</f>
        <v>1770493.12219641</v>
      </c>
      <c r="CN30" s="13" t="n">
        <f aca="false">CM$31+CN$29-CN$27</f>
        <v>1770493.12219641</v>
      </c>
      <c r="CO30" s="13" t="n">
        <f aca="false">CN$31+CO$29-CO$27</f>
        <v>1770493.12219641</v>
      </c>
      <c r="CP30" s="13" t="n">
        <f aca="false">CO$31+CP$29-CP$27</f>
        <v>1770493.12219641</v>
      </c>
      <c r="CQ30" s="13" t="n">
        <f aca="false">CP$31+CQ$29-CQ$27</f>
        <v>1770493.12219641</v>
      </c>
      <c r="CR30" s="13" t="n">
        <f aca="false">CQ$31+CR$29-CR$27</f>
        <v>1770493.12219641</v>
      </c>
      <c r="CS30" s="13" t="n">
        <f aca="false">CR$31+CS$29-CS$27</f>
        <v>1770493.12219641</v>
      </c>
      <c r="CT30" s="13" t="n">
        <f aca="false">CS$31+CT$29-CT$27</f>
        <v>1770493.12219641</v>
      </c>
      <c r="CU30" s="13" t="n">
        <f aca="false">CT$31+CU$29-CU$27</f>
        <v>1772776.28203227</v>
      </c>
      <c r="CV30" s="13" t="n">
        <f aca="false">CU$31+CV$29-CV$27</f>
        <v>1775191.79896006</v>
      </c>
      <c r="CW30" s="13" t="n">
        <f aca="false">CV$31+CW$29-CW$27</f>
        <v>1777607.31588785</v>
      </c>
      <c r="CX30" s="13" t="n">
        <f aca="false">CW$31+CX$29-CX$27</f>
        <v>1780022.83281564</v>
      </c>
      <c r="CY30" s="13" t="n">
        <f aca="false">CX$31+CY$29-CY$27</f>
        <v>1780022.83281564</v>
      </c>
      <c r="CZ30" s="13" t="n">
        <f aca="false">CY$31+CZ$29-CZ$27</f>
        <v>1780022.83281564</v>
      </c>
      <c r="DA30" s="13" t="n">
        <f aca="false">CZ$31+DA$29-DA$27</f>
        <v>1780022.83281564</v>
      </c>
      <c r="DB30" s="13" t="n">
        <f aca="false">DA$31+DB$29-DB$27</f>
        <v>1780022.83281564</v>
      </c>
      <c r="DC30" s="13" t="n">
        <f aca="false">DB$31+DC$29-DC$27</f>
        <v>1780022.83281564</v>
      </c>
      <c r="DD30" s="13" t="n">
        <f aca="false">DC$31+DD$29-DD$27</f>
        <v>1780022.83281564</v>
      </c>
      <c r="DE30" s="13" t="n">
        <f aca="false">DD$31+DE$29-DE$27</f>
        <v>1780022.83281564</v>
      </c>
      <c r="DF30" s="13" t="n">
        <f aca="false">DE$31+DF$29-DF$27</f>
        <v>1780022.83281564</v>
      </c>
      <c r="DG30" s="13" t="n">
        <f aca="false">DF$31+DG$29-DG$27</f>
        <v>1782328.82424985</v>
      </c>
      <c r="DH30" s="13" t="n">
        <f aca="false">DG$31+DH$29-DH$27</f>
        <v>1784768.49634692</v>
      </c>
      <c r="DI30" s="13" t="n">
        <f aca="false">DH$31+DI$29-DI$27</f>
        <v>1787208.16844399</v>
      </c>
      <c r="DJ30" s="13" t="n">
        <f aca="false">DI$31+DJ$29-DJ$27</f>
        <v>1789647.84054106</v>
      </c>
      <c r="DK30" s="13" t="n">
        <f aca="false">DJ$31+DK$29-DK$27</f>
        <v>1789647.84054106</v>
      </c>
      <c r="DL30" s="13" t="n">
        <f aca="false">DK$31+DL$29-DL$27</f>
        <v>1789647.84054106</v>
      </c>
      <c r="DM30" s="13" t="n">
        <f aca="false">DL$31+DM$29-DM$27</f>
        <v>1789647.84054106</v>
      </c>
      <c r="DN30" s="13" t="n">
        <f aca="false">DM$31+DN$29-DN$27</f>
        <v>1789647.84054106</v>
      </c>
      <c r="DO30" s="13" t="n">
        <f aca="false">DN$31+DO$29-DO$27</f>
        <v>1789647.84054106</v>
      </c>
      <c r="DP30" s="13" t="n">
        <f aca="false">DO$31+DP$29-DP$27</f>
        <v>1789647.84054106</v>
      </c>
      <c r="DQ30" s="13" t="n">
        <f aca="false">DP$31+DQ$29-DQ$27</f>
        <v>1789647.84054106</v>
      </c>
      <c r="DR30" s="13" t="n">
        <f aca="false">DQ$31+DR$29-DR$27</f>
        <v>1648682.42844364</v>
      </c>
      <c r="DS30" s="13" t="n">
        <f aca="false">DR$31+DS$29-DS$27</f>
        <v>1211740.72536634</v>
      </c>
      <c r="DT30" s="13" t="n">
        <f aca="false">DS$31+DT$29-DT$27</f>
        <v>758114.710229197</v>
      </c>
      <c r="DU30" s="13" t="n">
        <f aca="false">DT$31+DU$29-DU$27</f>
        <v>304488.695092055</v>
      </c>
      <c r="DV30" s="13" t="n">
        <f aca="false">DU$31+DV$29-DV$27</f>
        <v>0</v>
      </c>
      <c r="DW30" s="13" t="n">
        <f aca="false">DV$31+DW$29-DW$27</f>
        <v>0</v>
      </c>
      <c r="DX30" s="13" t="n">
        <f aca="false">DW$31+DX$29-DX$27</f>
        <v>0</v>
      </c>
      <c r="DY30" s="13" t="n">
        <f aca="false">DX$31+DY$29-DY$27</f>
        <v>0</v>
      </c>
      <c r="DZ30" s="13" t="n">
        <f aca="false">DY$31+DZ$29-DZ$27</f>
        <v>0</v>
      </c>
      <c r="EA30" s="13" t="n">
        <f aca="false">DZ$31+EA$29-EA$27</f>
        <v>0</v>
      </c>
      <c r="EB30" s="13" t="n">
        <f aca="false">EA$31+EB$29-EB$27</f>
        <v>0</v>
      </c>
      <c r="EC30" s="13" t="n">
        <f aca="false">EB$31+EC$29-EC$27</f>
        <v>0</v>
      </c>
      <c r="ED30" s="13" t="n">
        <f aca="false">EC$31+ED$29-ED$27</f>
        <v>0</v>
      </c>
      <c r="EE30" s="13" t="n">
        <f aca="false">ED$31+EE$29-EE$27</f>
        <v>0</v>
      </c>
      <c r="EF30" s="13" t="n">
        <f aca="false">EE$31+EF$29-EF$27</f>
        <v>0</v>
      </c>
      <c r="EG30" s="13" t="n">
        <f aca="false">EF$31+EG$29-EG$27</f>
        <v>0</v>
      </c>
      <c r="EH30" s="13" t="n">
        <f aca="false">EG$31+EH$29-EH$27</f>
        <v>0</v>
      </c>
      <c r="EI30" s="13" t="n">
        <f aca="false">EH$31+EI$29-EI$27</f>
        <v>0</v>
      </c>
      <c r="EJ30" s="13" t="n">
        <f aca="false">EI$31+EJ$29-EJ$27</f>
        <v>0</v>
      </c>
      <c r="EK30" s="13" t="n">
        <f aca="false">EJ$31+EK$29-EK$27</f>
        <v>0</v>
      </c>
      <c r="EL30" s="13" t="n">
        <f aca="false">EK$31+EL$29-EL$27</f>
        <v>0</v>
      </c>
      <c r="EM30" s="13" t="n">
        <f aca="false">EL$31+EM$29-EM$27</f>
        <v>0</v>
      </c>
      <c r="EN30" s="13" t="n">
        <f aca="false">EM$31+EN$29-EN$27</f>
        <v>0</v>
      </c>
      <c r="EO30" s="13" t="n">
        <f aca="false">EN$31+EO$29-EO$27</f>
        <v>0</v>
      </c>
      <c r="EP30" s="13" t="n">
        <f aca="false">EO$31+EP$29-EP$27</f>
        <v>0</v>
      </c>
      <c r="EQ30" s="13" t="n">
        <f aca="false">EP$31+EQ$29-EQ$27</f>
        <v>0</v>
      </c>
      <c r="ER30" s="13" t="n">
        <f aca="false">EQ$31+ER$29-ER$27</f>
        <v>0</v>
      </c>
      <c r="ES30" s="13" t="n">
        <f aca="false">ER$31+ES$29-ES$27</f>
        <v>0</v>
      </c>
      <c r="ET30" s="13" t="n">
        <f aca="false">ES$31+ET$29-ET$27</f>
        <v>0</v>
      </c>
      <c r="EU30" s="13" t="n">
        <f aca="false">ET$31+EU$29-EU$27</f>
        <v>0</v>
      </c>
      <c r="EV30" s="13" t="n">
        <f aca="false">EU$31+EV$29-EV$27</f>
        <v>0</v>
      </c>
      <c r="EW30" s="13" t="n">
        <f aca="false">EV$31+EW$29-EW$27</f>
        <v>0</v>
      </c>
      <c r="EX30" s="13" t="n">
        <f aca="false">EW$31+EX$29-EX$27</f>
        <v>0</v>
      </c>
      <c r="EY30" s="13" t="n">
        <f aca="false">EX$31+EY$29-EY$27</f>
        <v>0</v>
      </c>
      <c r="EZ30" s="13" t="n">
        <f aca="false">EY$31+EZ$29-EZ$27</f>
        <v>0</v>
      </c>
      <c r="FA30" s="13" t="n">
        <f aca="false">EZ$31+FA$29-FA$27</f>
        <v>0</v>
      </c>
      <c r="FB30" s="13" t="n">
        <f aca="false">FA$31+FB$29-FB$27</f>
        <v>0</v>
      </c>
      <c r="FC30" s="13" t="n">
        <f aca="false">FB$31+FC$29-FC$27</f>
        <v>0</v>
      </c>
      <c r="FD30" s="13" t="n">
        <f aca="false">FC$31+FD$29-FD$27</f>
        <v>0</v>
      </c>
      <c r="FE30" s="13" t="n">
        <f aca="false">FD$31+FE$29-FE$27</f>
        <v>0</v>
      </c>
      <c r="FF30" s="13" t="n">
        <f aca="false">FE$31+FF$29-FF$27</f>
        <v>0</v>
      </c>
    </row>
    <row r="31" customFormat="false" ht="15" hidden="false" customHeight="false" outlineLevel="0" collapsed="false">
      <c r="A31" s="2" t="s">
        <v>1322</v>
      </c>
      <c r="B31" s="66" t="s">
        <v>1323</v>
      </c>
      <c r="C31" s="8" t="s">
        <v>255</v>
      </c>
      <c r="E31" s="67" t="n">
        <f aca="false">INDEX($F31:$FF31,1,p_MesFin+1)</f>
        <v>0</v>
      </c>
      <c r="F31" s="12" t="n">
        <f aca="false">IF(AND(0=p_MesCorte,ISNUMBER(r_S_INVMAT)),r_S_INVMAT,F$30)</f>
        <v>1064142.28219178</v>
      </c>
      <c r="G31" s="12" t="n">
        <f aca="false">IF(AND(1=p_MesCorte,ISNUMBER(r_S_INVMAT)),r_S_INVMAT,G$30)</f>
        <v>982285.183561644</v>
      </c>
      <c r="H31" s="12" t="n">
        <f aca="false">IF(AND(2=p_MesCorte,ISNUMBER(r_S_INVMAT)),r_S_INVMAT,H$30)</f>
        <v>982285.183561644</v>
      </c>
      <c r="I31" s="12" t="n">
        <f aca="false">IF(AND(3=p_MesCorte,ISNUMBER(r_S_INVMAT)),r_S_INVMAT,I$30)</f>
        <v>982285.183561644</v>
      </c>
      <c r="J31" s="12" t="n">
        <f aca="false">IF(AND(4=p_MesCorte,ISNUMBER(r_S_INVMAT)),r_S_INVMAT,J$30)</f>
        <v>982285.183561644</v>
      </c>
      <c r="K31" s="12" t="n">
        <f aca="false">IF(AND(5=p_MesCorte,ISNUMBER(r_S_INVMAT)),r_S_INVMAT,K$30)</f>
        <v>982285.183561644</v>
      </c>
      <c r="L31" s="12" t="n">
        <f aca="false">IF(AND(6=p_MesCorte,ISNUMBER(r_S_INVMAT)),r_S_INVMAT,L$30)</f>
        <v>982285.183561644</v>
      </c>
      <c r="M31" s="12" t="n">
        <f aca="false">IF(AND(7=p_MesCorte,ISNUMBER(r_S_INVMAT)),r_S_INVMAT,M$30)</f>
        <v>982285.183561644</v>
      </c>
      <c r="N31" s="12" t="n">
        <f aca="false">IF(AND(8=p_MesCorte,ISNUMBER(r_S_INVMAT)),r_S_INVMAT,N$30)</f>
        <v>1002622.4603115</v>
      </c>
      <c r="O31" s="12" t="n">
        <f aca="false">IF(AND(9=p_MesCorte,ISNUMBER(r_S_INVMAT)),r_S_INVMAT,O$30)</f>
        <v>1067207.51741438</v>
      </c>
      <c r="P31" s="12" t="n">
        <f aca="false">IF(AND(10=p_MesCorte,ISNUMBER(r_S_INVMAT)),r_S_INVMAT,P$30)</f>
        <v>1134289.31699772</v>
      </c>
      <c r="Q31" s="12" t="n">
        <f aca="false">IF(AND(11=p_MesCorte,ISNUMBER(r_S_INVMAT)),r_S_INVMAT,Q$30)</f>
        <v>1201371.11658105</v>
      </c>
      <c r="R31" s="12" t="n">
        <f aca="false">IF(AND(12=p_MesCorte,ISNUMBER(r_S_INVMAT)),r_S_INVMAT,R$30)</f>
        <v>1246936.66684932</v>
      </c>
      <c r="S31" s="12" t="n">
        <f aca="false">IF(AND(13=p_MesCorte,ISNUMBER(r_S_INVMAT)),r_S_INVMAT,S$30)</f>
        <v>1246936.66684932</v>
      </c>
      <c r="T31" s="12" t="n">
        <f aca="false">IF(AND(14=p_MesCorte,ISNUMBER(r_S_INVMAT)),r_S_INVMAT,T$30)</f>
        <v>1246936.66684932</v>
      </c>
      <c r="U31" s="12" t="n">
        <f aca="false">IF(AND(15=p_MesCorte,ISNUMBER(r_S_INVMAT)),r_S_INVMAT,U$30)</f>
        <v>1246936.66684932</v>
      </c>
      <c r="V31" s="12" t="n">
        <f aca="false">IF(AND(16=p_MesCorte,ISNUMBER(r_S_INVMAT)),r_S_INVMAT,V$30)</f>
        <v>1246936.66684932</v>
      </c>
      <c r="W31" s="12" t="n">
        <f aca="false">IF(AND(17=p_MesCorte,ISNUMBER(r_S_INVMAT)),r_S_INVMAT,W$30)</f>
        <v>1246936.66684932</v>
      </c>
      <c r="X31" s="12" t="n">
        <f aca="false">IF(AND(18=p_MesCorte,ISNUMBER(r_S_INVMAT)),r_S_INVMAT,X$30)</f>
        <v>1246936.66684932</v>
      </c>
      <c r="Y31" s="12" t="n">
        <f aca="false">IF(AND(19=p_MesCorte,ISNUMBER(r_S_INVMAT)),r_S_INVMAT,Y$30)</f>
        <v>1246936.66684932</v>
      </c>
      <c r="Z31" s="12" t="n">
        <f aca="false">IF(AND(20=p_MesCorte,ISNUMBER(r_S_INVMAT)),r_S_INVMAT,Z$30)</f>
        <v>1267379.60837868</v>
      </c>
      <c r="AA31" s="12" t="n">
        <f aca="false">IF(AND(21=p_MesCorte,ISNUMBER(r_S_INVMAT)),r_S_INVMAT,AA$30)</f>
        <v>1332632.26769932</v>
      </c>
      <c r="AB31" s="12" t="n">
        <f aca="false">IF(AND(22=p_MesCorte,ISNUMBER(r_S_INVMAT)),r_S_INVMAT,AB$30)</f>
        <v>1400413.89048265</v>
      </c>
      <c r="AC31" s="12" t="n">
        <f aca="false">IF(AND(23=p_MesCorte,ISNUMBER(r_S_INVMAT)),r_S_INVMAT,AC$30)</f>
        <v>1468195.51326598</v>
      </c>
      <c r="AD31" s="12" t="n">
        <f aca="false">IF(AND(24=p_MesCorte,ISNUMBER(r_S_INVMAT)),r_S_INVMAT,AD$30)</f>
        <v>1514349.09646027</v>
      </c>
      <c r="AE31" s="12" t="n">
        <f aca="false">IF(AND(25=p_MesCorte,ISNUMBER(r_S_INVMAT)),r_S_INVMAT,AE$30)</f>
        <v>1514349.09646027</v>
      </c>
      <c r="AF31" s="12" t="n">
        <f aca="false">IF(AND(26=p_MesCorte,ISNUMBER(r_S_INVMAT)),r_S_INVMAT,AF$30)</f>
        <v>1514349.09646027</v>
      </c>
      <c r="AG31" s="12" t="n">
        <f aca="false">IF(AND(27=p_MesCorte,ISNUMBER(r_S_INVMAT)),r_S_INVMAT,AG$30)</f>
        <v>1514349.09646027</v>
      </c>
      <c r="AH31" s="12" t="n">
        <f aca="false">IF(AND(28=p_MesCorte,ISNUMBER(r_S_INVMAT)),r_S_INVMAT,AH$30)</f>
        <v>1514349.09646027</v>
      </c>
      <c r="AI31" s="12" t="n">
        <f aca="false">IF(AND(29=p_MesCorte,ISNUMBER(r_S_INVMAT)),r_S_INVMAT,AI$30)</f>
        <v>1514349.09646027</v>
      </c>
      <c r="AJ31" s="12" t="n">
        <f aca="false">IF(AND(30=p_MesCorte,ISNUMBER(r_S_INVMAT)),r_S_INVMAT,AJ$30)</f>
        <v>1514349.09646027</v>
      </c>
      <c r="AK31" s="12" t="n">
        <f aca="false">IF(AND(31=p_MesCorte,ISNUMBER(r_S_INVMAT)),r_S_INVMAT,AK$30)</f>
        <v>1514349.09646027</v>
      </c>
      <c r="AL31" s="12" t="n">
        <f aca="false">IF(AND(32=p_MesCorte,ISNUMBER(r_S_INVMAT)),r_S_INVMAT,AL$30)</f>
        <v>1530881.70365838</v>
      </c>
      <c r="AM31" s="12" t="n">
        <f aca="false">IF(AND(33=p_MesCorte,ISNUMBER(r_S_INVMAT)),r_S_INVMAT,AM$30)</f>
        <v>1584299.14414057</v>
      </c>
      <c r="AN31" s="12" t="n">
        <f aca="false">IF(AND(34=p_MesCorte,ISNUMBER(r_S_INVMAT)),r_S_INVMAT,AN$30)</f>
        <v>1639799.27571103</v>
      </c>
      <c r="AO31" s="12" t="n">
        <f aca="false">IF(AND(35=p_MesCorte,ISNUMBER(r_S_INVMAT)),r_S_INVMAT,AO$30)</f>
        <v>1695299.40728149</v>
      </c>
      <c r="AP31" s="12" t="n">
        <f aca="false">IF(AND(36=p_MesCorte,ISNUMBER(r_S_INVMAT)),r_S_INVMAT,AP$30)</f>
        <v>1733308.51964236</v>
      </c>
      <c r="AQ31" s="12" t="n">
        <f aca="false">IF(AND(37=p_MesCorte,ISNUMBER(r_S_INVMAT)),r_S_INVMAT,AQ$30)</f>
        <v>1733308.51964236</v>
      </c>
      <c r="AR31" s="12" t="n">
        <f aca="false">IF(AND(38=p_MesCorte,ISNUMBER(r_S_INVMAT)),r_S_INVMAT,AR$30)</f>
        <v>1733308.51964236</v>
      </c>
      <c r="AS31" s="12" t="n">
        <f aca="false">IF(AND(39=p_MesCorte,ISNUMBER(r_S_INVMAT)),r_S_INVMAT,AS$30)</f>
        <v>1733308.51964236</v>
      </c>
      <c r="AT31" s="12" t="n">
        <f aca="false">IF(AND(40=p_MesCorte,ISNUMBER(r_S_INVMAT)),r_S_INVMAT,AT$30)</f>
        <v>1733308.51964236</v>
      </c>
      <c r="AU31" s="12" t="n">
        <f aca="false">IF(AND(41=p_MesCorte,ISNUMBER(r_S_INVMAT)),r_S_INVMAT,AU$30)</f>
        <v>1733308.51964236</v>
      </c>
      <c r="AV31" s="12" t="n">
        <f aca="false">IF(AND(42=p_MesCorte,ISNUMBER(r_S_INVMAT)),r_S_INVMAT,AV$30)</f>
        <v>1733308.51964236</v>
      </c>
      <c r="AW31" s="12" t="n">
        <f aca="false">IF(AND(43=p_MesCorte,ISNUMBER(r_S_INVMAT)),r_S_INVMAT,AW$30)</f>
        <v>1733308.51964236</v>
      </c>
      <c r="AX31" s="12" t="n">
        <f aca="false">IF(AND(44=p_MesCorte,ISNUMBER(r_S_INVMAT)),r_S_INVMAT,AX$30)</f>
        <v>1733308.51964236</v>
      </c>
      <c r="AY31" s="12" t="n">
        <f aca="false">IF(AND(45=p_MesCorte,ISNUMBER(r_S_INVMAT)),r_S_INVMAT,AY$30)</f>
        <v>1735502.59136793</v>
      </c>
      <c r="AZ31" s="12" t="n">
        <f aca="false">IF(AND(46=p_MesCorte,ISNUMBER(r_S_INVMAT)),r_S_INVMAT,AZ$30)</f>
        <v>1737823.8556573</v>
      </c>
      <c r="BA31" s="12" t="n">
        <f aca="false">IF(AND(47=p_MesCorte,ISNUMBER(r_S_INVMAT)),r_S_INVMAT,BA$30)</f>
        <v>1740145.11994667</v>
      </c>
      <c r="BB31" s="12" t="n">
        <f aca="false">IF(AND(48=p_MesCorte,ISNUMBER(r_S_INVMAT)),r_S_INVMAT,BB$30)</f>
        <v>1742466.38423604</v>
      </c>
      <c r="BC31" s="12" t="n">
        <f aca="false">IF(AND(49=p_MesCorte,ISNUMBER(r_S_INVMAT)),r_S_INVMAT,BC$30)</f>
        <v>1742466.38423604</v>
      </c>
      <c r="BD31" s="12" t="n">
        <f aca="false">IF(AND(50=p_MesCorte,ISNUMBER(r_S_INVMAT)),r_S_INVMAT,BD$30)</f>
        <v>1742466.38423604</v>
      </c>
      <c r="BE31" s="12" t="n">
        <f aca="false">IF(AND(51=p_MesCorte,ISNUMBER(r_S_INVMAT)),r_S_INVMAT,BE$30)</f>
        <v>1742466.38423604</v>
      </c>
      <c r="BF31" s="12" t="n">
        <f aca="false">IF(AND(52=p_MesCorte,ISNUMBER(r_S_INVMAT)),r_S_INVMAT,BF$30)</f>
        <v>1742466.38423604</v>
      </c>
      <c r="BG31" s="12" t="n">
        <f aca="false">IF(AND(53=p_MesCorte,ISNUMBER(r_S_INVMAT)),r_S_INVMAT,BG$30)</f>
        <v>1742466.38423604</v>
      </c>
      <c r="BH31" s="12" t="n">
        <f aca="false">IF(AND(54=p_MesCorte,ISNUMBER(r_S_INVMAT)),r_S_INVMAT,BH$30)</f>
        <v>1742466.38423604</v>
      </c>
      <c r="BI31" s="12" t="n">
        <f aca="false">IF(AND(55=p_MesCorte,ISNUMBER(r_S_INVMAT)),r_S_INVMAT,BI$30)</f>
        <v>1742466.38423604</v>
      </c>
      <c r="BJ31" s="12" t="n">
        <f aca="false">IF(AND(56=p_MesCorte,ISNUMBER(r_S_INVMAT)),r_S_INVMAT,BJ$30)</f>
        <v>1742466.38423604</v>
      </c>
      <c r="BK31" s="12" t="n">
        <f aca="false">IF(AND(57=p_MesCorte,ISNUMBER(r_S_INVMAT)),r_S_INVMAT,BK$30)</f>
        <v>1744682.39667887</v>
      </c>
      <c r="BL31" s="12" t="n">
        <f aca="false">IF(AND(58=p_MesCorte,ISNUMBER(r_S_INVMAT)),r_S_INVMAT,BL$30)</f>
        <v>1747026.87361113</v>
      </c>
      <c r="BM31" s="12" t="n">
        <f aca="false">IF(AND(59=p_MesCorte,ISNUMBER(r_S_INVMAT)),r_S_INVMAT,BM$30)</f>
        <v>1749371.3505434</v>
      </c>
      <c r="BN31" s="12" t="n">
        <f aca="false">IF(AND(60=p_MesCorte,ISNUMBER(r_S_INVMAT)),r_S_INVMAT,BN$30)</f>
        <v>1751715.82747566</v>
      </c>
      <c r="BO31" s="12" t="n">
        <f aca="false">IF(AND(61=p_MesCorte,ISNUMBER(r_S_INVMAT)),r_S_INVMAT,BO$30)</f>
        <v>1751715.82747566</v>
      </c>
      <c r="BP31" s="12" t="n">
        <f aca="false">IF(AND(62=p_MesCorte,ISNUMBER(r_S_INVMAT)),r_S_INVMAT,BP$30)</f>
        <v>1751715.82747566</v>
      </c>
      <c r="BQ31" s="12" t="n">
        <f aca="false">IF(AND(63=p_MesCorte,ISNUMBER(r_S_INVMAT)),r_S_INVMAT,BQ$30)</f>
        <v>1751715.82747566</v>
      </c>
      <c r="BR31" s="12" t="n">
        <f aca="false">IF(AND(64=p_MesCorte,ISNUMBER(r_S_INVMAT)),r_S_INVMAT,BR$30)</f>
        <v>1751715.82747566</v>
      </c>
      <c r="BS31" s="12" t="n">
        <f aca="false">IF(AND(65=p_MesCorte,ISNUMBER(r_S_INVMAT)),r_S_INVMAT,BS$30)</f>
        <v>1751715.82747566</v>
      </c>
      <c r="BT31" s="12" t="n">
        <f aca="false">IF(AND(66=p_MesCorte,ISNUMBER(r_S_INVMAT)),r_S_INVMAT,BT$30)</f>
        <v>1751715.82747566</v>
      </c>
      <c r="BU31" s="12" t="n">
        <f aca="false">IF(AND(67=p_MesCorte,ISNUMBER(r_S_INVMAT)),r_S_INVMAT,BU$30)</f>
        <v>1751715.82747566</v>
      </c>
      <c r="BV31" s="12" t="n">
        <f aca="false">IF(AND(68=p_MesCorte,ISNUMBER(r_S_INVMAT)),r_S_INVMAT,BV$30)</f>
        <v>1751715.82747566</v>
      </c>
      <c r="BW31" s="12" t="n">
        <f aca="false">IF(AND(69=p_MesCorte,ISNUMBER(r_S_INVMAT)),r_S_INVMAT,BW$30)</f>
        <v>1753954.00004291</v>
      </c>
      <c r="BX31" s="12" t="n">
        <f aca="false">IF(AND(70=p_MesCorte,ISNUMBER(r_S_INVMAT)),r_S_INVMAT,BX$30)</f>
        <v>1756321.9217445</v>
      </c>
      <c r="BY31" s="12" t="n">
        <f aca="false">IF(AND(71=p_MesCorte,ISNUMBER(r_S_INVMAT)),r_S_INVMAT,BY$30)</f>
        <v>1758689.84344609</v>
      </c>
      <c r="BZ31" s="12" t="n">
        <f aca="false">IF(AND(72=p_MesCorte,ISNUMBER(r_S_INVMAT)),r_S_INVMAT,BZ$30)</f>
        <v>1761057.76514768</v>
      </c>
      <c r="CA31" s="12" t="n">
        <f aca="false">IF(AND(73=p_MesCorte,ISNUMBER(r_S_INVMAT)),r_S_INVMAT,CA$30)</f>
        <v>1761057.76514768</v>
      </c>
      <c r="CB31" s="12" t="n">
        <f aca="false">IF(AND(74=p_MesCorte,ISNUMBER(r_S_INVMAT)),r_S_INVMAT,CB$30)</f>
        <v>1761057.76514768</v>
      </c>
      <c r="CC31" s="12" t="n">
        <f aca="false">IF(AND(75=p_MesCorte,ISNUMBER(r_S_INVMAT)),r_S_INVMAT,CC$30)</f>
        <v>1761057.76514768</v>
      </c>
      <c r="CD31" s="12" t="n">
        <f aca="false">IF(AND(76=p_MesCorte,ISNUMBER(r_S_INVMAT)),r_S_INVMAT,CD$30)</f>
        <v>1761057.76514768</v>
      </c>
      <c r="CE31" s="12" t="n">
        <f aca="false">IF(AND(77=p_MesCorte,ISNUMBER(r_S_INVMAT)),r_S_INVMAT,CE$30)</f>
        <v>1761057.76514768</v>
      </c>
      <c r="CF31" s="12" t="n">
        <f aca="false">IF(AND(78=p_MesCorte,ISNUMBER(r_S_INVMAT)),r_S_INVMAT,CF$30)</f>
        <v>1761057.76514768</v>
      </c>
      <c r="CG31" s="12" t="n">
        <f aca="false">IF(AND(79=p_MesCorte,ISNUMBER(r_S_INVMAT)),r_S_INVMAT,CG$30)</f>
        <v>1761057.76514768</v>
      </c>
      <c r="CH31" s="12" t="n">
        <f aca="false">IF(AND(80=p_MesCorte,ISNUMBER(r_S_INVMAT)),r_S_INVMAT,CH$30)</f>
        <v>1761057.76514768</v>
      </c>
      <c r="CI31" s="12" t="n">
        <f aca="false">IF(AND(81=p_MesCorte,ISNUMBER(r_S_INVMAT)),r_S_INVMAT,CI$30)</f>
        <v>1763318.3194406</v>
      </c>
      <c r="CJ31" s="12" t="n">
        <f aca="false">IF(AND(82=p_MesCorte,ISNUMBER(r_S_INVMAT)),r_S_INVMAT,CJ$30)</f>
        <v>1765709.92035921</v>
      </c>
      <c r="CK31" s="12" t="n">
        <f aca="false">IF(AND(83=p_MesCorte,ISNUMBER(r_S_INVMAT)),r_S_INVMAT,CK$30)</f>
        <v>1768101.52127781</v>
      </c>
      <c r="CL31" s="12" t="n">
        <f aca="false">IF(AND(84=p_MesCorte,ISNUMBER(r_S_INVMAT)),r_S_INVMAT,CL$30)</f>
        <v>1770493.12219641</v>
      </c>
      <c r="CM31" s="12" t="n">
        <f aca="false">IF(AND(85=p_MesCorte,ISNUMBER(r_S_INVMAT)),r_S_INVMAT,CM$30)</f>
        <v>1770493.12219641</v>
      </c>
      <c r="CN31" s="12" t="n">
        <f aca="false">IF(AND(86=p_MesCorte,ISNUMBER(r_S_INVMAT)),r_S_INVMAT,CN$30)</f>
        <v>1770493.12219641</v>
      </c>
      <c r="CO31" s="12" t="n">
        <f aca="false">IF(AND(87=p_MesCorte,ISNUMBER(r_S_INVMAT)),r_S_INVMAT,CO$30)</f>
        <v>1770493.12219641</v>
      </c>
      <c r="CP31" s="12" t="n">
        <f aca="false">IF(AND(88=p_MesCorte,ISNUMBER(r_S_INVMAT)),r_S_INVMAT,CP$30)</f>
        <v>1770493.12219641</v>
      </c>
      <c r="CQ31" s="12" t="n">
        <f aca="false">IF(AND(89=p_MesCorte,ISNUMBER(r_S_INVMAT)),r_S_INVMAT,CQ$30)</f>
        <v>1770493.12219641</v>
      </c>
      <c r="CR31" s="12" t="n">
        <f aca="false">IF(AND(90=p_MesCorte,ISNUMBER(r_S_INVMAT)),r_S_INVMAT,CR$30)</f>
        <v>1770493.12219641</v>
      </c>
      <c r="CS31" s="12" t="n">
        <f aca="false">IF(AND(91=p_MesCorte,ISNUMBER(r_S_INVMAT)),r_S_INVMAT,CS$30)</f>
        <v>1770493.12219641</v>
      </c>
      <c r="CT31" s="12" t="n">
        <f aca="false">IF(AND(92=p_MesCorte,ISNUMBER(r_S_INVMAT)),r_S_INVMAT,CT$30)</f>
        <v>1770493.12219641</v>
      </c>
      <c r="CU31" s="12" t="n">
        <f aca="false">IF(AND(93=p_MesCorte,ISNUMBER(r_S_INVMAT)),r_S_INVMAT,CU$30)</f>
        <v>1772776.28203227</v>
      </c>
      <c r="CV31" s="12" t="n">
        <f aca="false">IF(AND(94=p_MesCorte,ISNUMBER(r_S_INVMAT)),r_S_INVMAT,CV$30)</f>
        <v>1775191.79896006</v>
      </c>
      <c r="CW31" s="12" t="n">
        <f aca="false">IF(AND(95=p_MesCorte,ISNUMBER(r_S_INVMAT)),r_S_INVMAT,CW$30)</f>
        <v>1777607.31588785</v>
      </c>
      <c r="CX31" s="12" t="n">
        <f aca="false">IF(AND(96=p_MesCorte,ISNUMBER(r_S_INVMAT)),r_S_INVMAT,CX$30)</f>
        <v>1780022.83281564</v>
      </c>
      <c r="CY31" s="12" t="n">
        <f aca="false">IF(AND(97=p_MesCorte,ISNUMBER(r_S_INVMAT)),r_S_INVMAT,CY$30)</f>
        <v>1780022.83281564</v>
      </c>
      <c r="CZ31" s="12" t="n">
        <f aca="false">IF(AND(98=p_MesCorte,ISNUMBER(r_S_INVMAT)),r_S_INVMAT,CZ$30)</f>
        <v>1780022.83281564</v>
      </c>
      <c r="DA31" s="12" t="n">
        <f aca="false">IF(AND(99=p_MesCorte,ISNUMBER(r_S_INVMAT)),r_S_INVMAT,DA$30)</f>
        <v>1780022.83281564</v>
      </c>
      <c r="DB31" s="12" t="n">
        <f aca="false">IF(AND(100=p_MesCorte,ISNUMBER(r_S_INVMAT)),r_S_INVMAT,DB$30)</f>
        <v>1780022.83281564</v>
      </c>
      <c r="DC31" s="12" t="n">
        <f aca="false">IF(AND(101=p_MesCorte,ISNUMBER(r_S_INVMAT)),r_S_INVMAT,DC$30)</f>
        <v>1780022.83281564</v>
      </c>
      <c r="DD31" s="12" t="n">
        <f aca="false">IF(AND(102=p_MesCorte,ISNUMBER(r_S_INVMAT)),r_S_INVMAT,DD$30)</f>
        <v>1780022.83281564</v>
      </c>
      <c r="DE31" s="12" t="n">
        <f aca="false">IF(AND(103=p_MesCorte,ISNUMBER(r_S_INVMAT)),r_S_INVMAT,DE$30)</f>
        <v>1780022.83281564</v>
      </c>
      <c r="DF31" s="12" t="n">
        <f aca="false">IF(AND(104=p_MesCorte,ISNUMBER(r_S_INVMAT)),r_S_INVMAT,DF$30)</f>
        <v>1780022.83281564</v>
      </c>
      <c r="DG31" s="12" t="n">
        <f aca="false">IF(AND(105=p_MesCorte,ISNUMBER(r_S_INVMAT)),r_S_INVMAT,DG$30)</f>
        <v>1782328.82424985</v>
      </c>
      <c r="DH31" s="12" t="n">
        <f aca="false">IF(AND(106=p_MesCorte,ISNUMBER(r_S_INVMAT)),r_S_INVMAT,DH$30)</f>
        <v>1784768.49634692</v>
      </c>
      <c r="DI31" s="12" t="n">
        <f aca="false">IF(AND(107=p_MesCorte,ISNUMBER(r_S_INVMAT)),r_S_INVMAT,DI$30)</f>
        <v>1787208.16844399</v>
      </c>
      <c r="DJ31" s="12" t="n">
        <f aca="false">IF(AND(108=p_MesCorte,ISNUMBER(r_S_INVMAT)),r_S_INVMAT,DJ$30)</f>
        <v>1789647.84054106</v>
      </c>
      <c r="DK31" s="12" t="n">
        <f aca="false">IF(AND(109=p_MesCorte,ISNUMBER(r_S_INVMAT)),r_S_INVMAT,DK$30)</f>
        <v>1789647.84054106</v>
      </c>
      <c r="DL31" s="12" t="n">
        <f aca="false">IF(AND(110=p_MesCorte,ISNUMBER(r_S_INVMAT)),r_S_INVMAT,DL$30)</f>
        <v>1789647.84054106</v>
      </c>
      <c r="DM31" s="12" t="n">
        <f aca="false">IF(AND(111=p_MesCorte,ISNUMBER(r_S_INVMAT)),r_S_INVMAT,DM$30)</f>
        <v>1789647.84054106</v>
      </c>
      <c r="DN31" s="12" t="n">
        <f aca="false">IF(AND(112=p_MesCorte,ISNUMBER(r_S_INVMAT)),r_S_INVMAT,DN$30)</f>
        <v>1789647.84054106</v>
      </c>
      <c r="DO31" s="12" t="n">
        <f aca="false">IF(AND(113=p_MesCorte,ISNUMBER(r_S_INVMAT)),r_S_INVMAT,DO$30)</f>
        <v>1789647.84054106</v>
      </c>
      <c r="DP31" s="12" t="n">
        <f aca="false">IF(AND(114=p_MesCorte,ISNUMBER(r_S_INVMAT)),r_S_INVMAT,DP$30)</f>
        <v>1789647.84054106</v>
      </c>
      <c r="DQ31" s="12" t="n">
        <f aca="false">IF(AND(115=p_MesCorte,ISNUMBER(r_S_INVMAT)),r_S_INVMAT,DQ$30)</f>
        <v>1789647.84054106</v>
      </c>
      <c r="DR31" s="12" t="n">
        <f aca="false">IF(AND(116=p_MesCorte,ISNUMBER(r_S_INVMAT)),r_S_INVMAT,DR$30)</f>
        <v>1648682.42844364</v>
      </c>
      <c r="DS31" s="12" t="n">
        <f aca="false">IF(AND(117=p_MesCorte,ISNUMBER(r_S_INVMAT)),r_S_INVMAT,DS$30)</f>
        <v>1211740.72536634</v>
      </c>
      <c r="DT31" s="12" t="n">
        <f aca="false">IF(AND(118=p_MesCorte,ISNUMBER(r_S_INVMAT)),r_S_INVMAT,DT$30)</f>
        <v>758114.710229197</v>
      </c>
      <c r="DU31" s="12" t="n">
        <f aca="false">IF(AND(119=p_MesCorte,ISNUMBER(r_S_INVMAT)),r_S_INVMAT,DU$30)</f>
        <v>304488.695092055</v>
      </c>
      <c r="DV31" s="12" t="n">
        <f aca="false">IF(AND(120=p_MesCorte,ISNUMBER(r_S_INVMAT)),r_S_INVMAT,DV$30)</f>
        <v>0</v>
      </c>
      <c r="DW31" s="12" t="n">
        <f aca="false">IF(AND(121=p_MesCorte,ISNUMBER(r_S_INVMAT)),r_S_INVMAT,DW$30)</f>
        <v>0</v>
      </c>
      <c r="DX31" s="12" t="n">
        <f aca="false">IF(AND(122=p_MesCorte,ISNUMBER(r_S_INVMAT)),r_S_INVMAT,DX$30)</f>
        <v>0</v>
      </c>
      <c r="DY31" s="12" t="n">
        <f aca="false">IF(AND(123=p_MesCorte,ISNUMBER(r_S_INVMAT)),r_S_INVMAT,DY$30)</f>
        <v>0</v>
      </c>
      <c r="DZ31" s="12" t="n">
        <f aca="false">IF(AND(124=p_MesCorte,ISNUMBER(r_S_INVMAT)),r_S_INVMAT,DZ$30)</f>
        <v>0</v>
      </c>
      <c r="EA31" s="12" t="n">
        <f aca="false">IF(AND(125=p_MesCorte,ISNUMBER(r_S_INVMAT)),r_S_INVMAT,EA$30)</f>
        <v>0</v>
      </c>
      <c r="EB31" s="12" t="n">
        <f aca="false">IF(AND(126=p_MesCorte,ISNUMBER(r_S_INVMAT)),r_S_INVMAT,EB$30)</f>
        <v>0</v>
      </c>
      <c r="EC31" s="12" t="n">
        <f aca="false">IF(AND(127=p_MesCorte,ISNUMBER(r_S_INVMAT)),r_S_INVMAT,EC$30)</f>
        <v>0</v>
      </c>
      <c r="ED31" s="12" t="n">
        <f aca="false">IF(AND(128=p_MesCorte,ISNUMBER(r_S_INVMAT)),r_S_INVMAT,ED$30)</f>
        <v>0</v>
      </c>
      <c r="EE31" s="12" t="n">
        <f aca="false">IF(AND(129=p_MesCorte,ISNUMBER(r_S_INVMAT)),r_S_INVMAT,EE$30)</f>
        <v>0</v>
      </c>
      <c r="EF31" s="12" t="n">
        <f aca="false">IF(AND(130=p_MesCorte,ISNUMBER(r_S_INVMAT)),r_S_INVMAT,EF$30)</f>
        <v>0</v>
      </c>
      <c r="EG31" s="12" t="n">
        <f aca="false">IF(AND(131=p_MesCorte,ISNUMBER(r_S_INVMAT)),r_S_INVMAT,EG$30)</f>
        <v>0</v>
      </c>
      <c r="EH31" s="12" t="n">
        <f aca="false">IF(AND(132=p_MesCorte,ISNUMBER(r_S_INVMAT)),r_S_INVMAT,EH$30)</f>
        <v>0</v>
      </c>
      <c r="EI31" s="12" t="n">
        <f aca="false">IF(AND(133=p_MesCorte,ISNUMBER(r_S_INVMAT)),r_S_INVMAT,EI$30)</f>
        <v>0</v>
      </c>
      <c r="EJ31" s="12" t="n">
        <f aca="false">IF(AND(134=p_MesCorte,ISNUMBER(r_S_INVMAT)),r_S_INVMAT,EJ$30)</f>
        <v>0</v>
      </c>
      <c r="EK31" s="12" t="n">
        <f aca="false">IF(AND(135=p_MesCorte,ISNUMBER(r_S_INVMAT)),r_S_INVMAT,EK$30)</f>
        <v>0</v>
      </c>
      <c r="EL31" s="12" t="n">
        <f aca="false">IF(AND(136=p_MesCorte,ISNUMBER(r_S_INVMAT)),r_S_INVMAT,EL$30)</f>
        <v>0</v>
      </c>
      <c r="EM31" s="12" t="n">
        <f aca="false">IF(AND(137=p_MesCorte,ISNUMBER(r_S_INVMAT)),r_S_INVMAT,EM$30)</f>
        <v>0</v>
      </c>
      <c r="EN31" s="12" t="n">
        <f aca="false">IF(AND(138=p_MesCorte,ISNUMBER(r_S_INVMAT)),r_S_INVMAT,EN$30)</f>
        <v>0</v>
      </c>
      <c r="EO31" s="12" t="n">
        <f aca="false">IF(AND(139=p_MesCorte,ISNUMBER(r_S_INVMAT)),r_S_INVMAT,EO$30)</f>
        <v>0</v>
      </c>
      <c r="EP31" s="12" t="n">
        <f aca="false">IF(AND(140=p_MesCorte,ISNUMBER(r_S_INVMAT)),r_S_INVMAT,EP$30)</f>
        <v>0</v>
      </c>
      <c r="EQ31" s="12" t="n">
        <f aca="false">IF(AND(141=p_MesCorte,ISNUMBER(r_S_INVMAT)),r_S_INVMAT,EQ$30)</f>
        <v>0</v>
      </c>
      <c r="ER31" s="12" t="n">
        <f aca="false">IF(AND(142=p_MesCorte,ISNUMBER(r_S_INVMAT)),r_S_INVMAT,ER$30)</f>
        <v>0</v>
      </c>
      <c r="ES31" s="12" t="n">
        <f aca="false">IF(AND(143=p_MesCorte,ISNUMBER(r_S_INVMAT)),r_S_INVMAT,ES$30)</f>
        <v>0</v>
      </c>
      <c r="ET31" s="12" t="n">
        <f aca="false">IF(AND(144=p_MesCorte,ISNUMBER(r_S_INVMAT)),r_S_INVMAT,ET$30)</f>
        <v>0</v>
      </c>
      <c r="EU31" s="12" t="n">
        <f aca="false">IF(AND(145=p_MesCorte,ISNUMBER(r_S_INVMAT)),r_S_INVMAT,EU$30)</f>
        <v>0</v>
      </c>
      <c r="EV31" s="12" t="n">
        <f aca="false">IF(AND(146=p_MesCorte,ISNUMBER(r_S_INVMAT)),r_S_INVMAT,EV$30)</f>
        <v>0</v>
      </c>
      <c r="EW31" s="12" t="n">
        <f aca="false">IF(AND(147=p_MesCorte,ISNUMBER(r_S_INVMAT)),r_S_INVMAT,EW$30)</f>
        <v>0</v>
      </c>
      <c r="EX31" s="12" t="n">
        <f aca="false">IF(AND(148=p_MesCorte,ISNUMBER(r_S_INVMAT)),r_S_INVMAT,EX$30)</f>
        <v>0</v>
      </c>
      <c r="EY31" s="12" t="n">
        <f aca="false">IF(AND(149=p_MesCorte,ISNUMBER(r_S_INVMAT)),r_S_INVMAT,EY$30)</f>
        <v>0</v>
      </c>
      <c r="EZ31" s="12" t="n">
        <f aca="false">IF(AND(150=p_MesCorte,ISNUMBER(r_S_INVMAT)),r_S_INVMAT,EZ$30)</f>
        <v>0</v>
      </c>
      <c r="FA31" s="12" t="n">
        <f aca="false">IF(AND(151=p_MesCorte,ISNUMBER(r_S_INVMAT)),r_S_INVMAT,FA$30)</f>
        <v>0</v>
      </c>
      <c r="FB31" s="12" t="n">
        <f aca="false">IF(AND(152=p_MesCorte,ISNUMBER(r_S_INVMAT)),r_S_INVMAT,FB$30)</f>
        <v>0</v>
      </c>
      <c r="FC31" s="12" t="n">
        <f aca="false">IF(AND(153=p_MesCorte,ISNUMBER(r_S_INVMAT)),r_S_INVMAT,FC$30)</f>
        <v>0</v>
      </c>
      <c r="FD31" s="12" t="n">
        <f aca="false">IF(AND(154=p_MesCorte,ISNUMBER(r_S_INVMAT)),r_S_INVMAT,FD$30)</f>
        <v>0</v>
      </c>
      <c r="FE31" s="12" t="n">
        <f aca="false">IF(AND(155=p_MesCorte,ISNUMBER(r_S_INVMAT)),r_S_INVMAT,FE$30)</f>
        <v>0</v>
      </c>
      <c r="FF31" s="12" t="n">
        <f aca="false">IF(AND(156=p_MesCorte,ISNUMBER(r_S_INVMAT)),r_S_INVMAT,FF$30)</f>
        <v>0</v>
      </c>
    </row>
    <row r="32" customFormat="false" ht="15" hidden="false" customHeight="false" outlineLevel="0" collapsed="false">
      <c r="A32" s="2" t="s">
        <v>1324</v>
      </c>
      <c r="B32" s="8" t="s">
        <v>1308</v>
      </c>
      <c r="C32" s="8" t="s">
        <v>255</v>
      </c>
      <c r="E32" s="65" t="n">
        <f aca="false">SUM($F32:$FF32)</f>
        <v>0</v>
      </c>
      <c r="F32" s="13" t="n">
        <f aca="false">F$31-F$30</f>
        <v>0</v>
      </c>
      <c r="G32" s="13" t="n">
        <f aca="false">G$31-G$30</f>
        <v>0</v>
      </c>
      <c r="H32" s="13" t="n">
        <f aca="false">H$31-H$30</f>
        <v>0</v>
      </c>
      <c r="I32" s="13" t="n">
        <f aca="false">I$31-I$30</f>
        <v>0</v>
      </c>
      <c r="J32" s="13" t="n">
        <f aca="false">J$31-J$30</f>
        <v>0</v>
      </c>
      <c r="K32" s="13" t="n">
        <f aca="false">K$31-K$30</f>
        <v>0</v>
      </c>
      <c r="L32" s="13" t="n">
        <f aca="false">L$31-L$30</f>
        <v>0</v>
      </c>
      <c r="M32" s="13" t="n">
        <f aca="false">M$31-M$30</f>
        <v>0</v>
      </c>
      <c r="N32" s="13" t="n">
        <f aca="false">N$31-N$30</f>
        <v>0</v>
      </c>
      <c r="O32" s="13" t="n">
        <f aca="false">O$31-O$30</f>
        <v>0</v>
      </c>
      <c r="P32" s="13" t="n">
        <f aca="false">P$31-P$30</f>
        <v>0</v>
      </c>
      <c r="Q32" s="13" t="n">
        <f aca="false">Q$31-Q$30</f>
        <v>0</v>
      </c>
      <c r="R32" s="13" t="n">
        <f aca="false">R$31-R$30</f>
        <v>0</v>
      </c>
      <c r="S32" s="13" t="n">
        <f aca="false">S$31-S$30</f>
        <v>0</v>
      </c>
      <c r="T32" s="13" t="n">
        <f aca="false">T$31-T$30</f>
        <v>0</v>
      </c>
      <c r="U32" s="13" t="n">
        <f aca="false">U$31-U$30</f>
        <v>0</v>
      </c>
      <c r="V32" s="13" t="n">
        <f aca="false">V$31-V$30</f>
        <v>0</v>
      </c>
      <c r="W32" s="13" t="n">
        <f aca="false">W$31-W$30</f>
        <v>0</v>
      </c>
      <c r="X32" s="13" t="n">
        <f aca="false">X$31-X$30</f>
        <v>0</v>
      </c>
      <c r="Y32" s="13" t="n">
        <f aca="false">Y$31-Y$30</f>
        <v>0</v>
      </c>
      <c r="Z32" s="13" t="n">
        <f aca="false">Z$31-Z$30</f>
        <v>0</v>
      </c>
      <c r="AA32" s="13" t="n">
        <f aca="false">AA$31-AA$30</f>
        <v>0</v>
      </c>
      <c r="AB32" s="13" t="n">
        <f aca="false">AB$31-AB$30</f>
        <v>0</v>
      </c>
      <c r="AC32" s="13" t="n">
        <f aca="false">AC$31-AC$30</f>
        <v>0</v>
      </c>
      <c r="AD32" s="13" t="n">
        <f aca="false">AD$31-AD$30</f>
        <v>0</v>
      </c>
      <c r="AE32" s="13" t="n">
        <f aca="false">AE$31-AE$30</f>
        <v>0</v>
      </c>
      <c r="AF32" s="13" t="n">
        <f aca="false">AF$31-AF$30</f>
        <v>0</v>
      </c>
      <c r="AG32" s="13" t="n">
        <f aca="false">AG$31-AG$30</f>
        <v>0</v>
      </c>
      <c r="AH32" s="13" t="n">
        <f aca="false">AH$31-AH$30</f>
        <v>0</v>
      </c>
      <c r="AI32" s="13" t="n">
        <f aca="false">AI$31-AI$30</f>
        <v>0</v>
      </c>
      <c r="AJ32" s="13" t="n">
        <f aca="false">AJ$31-AJ$30</f>
        <v>0</v>
      </c>
      <c r="AK32" s="13" t="n">
        <f aca="false">AK$31-AK$30</f>
        <v>0</v>
      </c>
      <c r="AL32" s="13" t="n">
        <f aca="false">AL$31-AL$30</f>
        <v>0</v>
      </c>
      <c r="AM32" s="13" t="n">
        <f aca="false">AM$31-AM$30</f>
        <v>0</v>
      </c>
      <c r="AN32" s="13" t="n">
        <f aca="false">AN$31-AN$30</f>
        <v>0</v>
      </c>
      <c r="AO32" s="13" t="n">
        <f aca="false">AO$31-AO$30</f>
        <v>0</v>
      </c>
      <c r="AP32" s="13" t="n">
        <f aca="false">AP$31-AP$30</f>
        <v>0</v>
      </c>
      <c r="AQ32" s="13" t="n">
        <f aca="false">AQ$31-AQ$30</f>
        <v>0</v>
      </c>
      <c r="AR32" s="13" t="n">
        <f aca="false">AR$31-AR$30</f>
        <v>0</v>
      </c>
      <c r="AS32" s="13" t="n">
        <f aca="false">AS$31-AS$30</f>
        <v>0</v>
      </c>
      <c r="AT32" s="13" t="n">
        <f aca="false">AT$31-AT$30</f>
        <v>0</v>
      </c>
      <c r="AU32" s="13" t="n">
        <f aca="false">AU$31-AU$30</f>
        <v>0</v>
      </c>
      <c r="AV32" s="13" t="n">
        <f aca="false">AV$31-AV$30</f>
        <v>0</v>
      </c>
      <c r="AW32" s="13" t="n">
        <f aca="false">AW$31-AW$30</f>
        <v>0</v>
      </c>
      <c r="AX32" s="13" t="n">
        <f aca="false">AX$31-AX$30</f>
        <v>0</v>
      </c>
      <c r="AY32" s="13" t="n">
        <f aca="false">AY$31-AY$30</f>
        <v>0</v>
      </c>
      <c r="AZ32" s="13" t="n">
        <f aca="false">AZ$31-AZ$30</f>
        <v>0</v>
      </c>
      <c r="BA32" s="13" t="n">
        <f aca="false">BA$31-BA$30</f>
        <v>0</v>
      </c>
      <c r="BB32" s="13" t="n">
        <f aca="false">BB$31-BB$30</f>
        <v>0</v>
      </c>
      <c r="BC32" s="13" t="n">
        <f aca="false">BC$31-BC$30</f>
        <v>0</v>
      </c>
      <c r="BD32" s="13" t="n">
        <f aca="false">BD$31-BD$30</f>
        <v>0</v>
      </c>
      <c r="BE32" s="13" t="n">
        <f aca="false">BE$31-BE$30</f>
        <v>0</v>
      </c>
      <c r="BF32" s="13" t="n">
        <f aca="false">BF$31-BF$30</f>
        <v>0</v>
      </c>
      <c r="BG32" s="13" t="n">
        <f aca="false">BG$31-BG$30</f>
        <v>0</v>
      </c>
      <c r="BH32" s="13" t="n">
        <f aca="false">BH$31-BH$30</f>
        <v>0</v>
      </c>
      <c r="BI32" s="13" t="n">
        <f aca="false">BI$31-BI$30</f>
        <v>0</v>
      </c>
      <c r="BJ32" s="13" t="n">
        <f aca="false">BJ$31-BJ$30</f>
        <v>0</v>
      </c>
      <c r="BK32" s="13" t="n">
        <f aca="false">BK$31-BK$30</f>
        <v>0</v>
      </c>
      <c r="BL32" s="13" t="n">
        <f aca="false">BL$31-BL$30</f>
        <v>0</v>
      </c>
      <c r="BM32" s="13" t="n">
        <f aca="false">BM$31-BM$30</f>
        <v>0</v>
      </c>
      <c r="BN32" s="13" t="n">
        <f aca="false">BN$31-BN$30</f>
        <v>0</v>
      </c>
      <c r="BO32" s="13" t="n">
        <f aca="false">BO$31-BO$30</f>
        <v>0</v>
      </c>
      <c r="BP32" s="13" t="n">
        <f aca="false">BP$31-BP$30</f>
        <v>0</v>
      </c>
      <c r="BQ32" s="13" t="n">
        <f aca="false">BQ$31-BQ$30</f>
        <v>0</v>
      </c>
      <c r="BR32" s="13" t="n">
        <f aca="false">BR$31-BR$30</f>
        <v>0</v>
      </c>
      <c r="BS32" s="13" t="n">
        <f aca="false">BS$31-BS$30</f>
        <v>0</v>
      </c>
      <c r="BT32" s="13" t="n">
        <f aca="false">BT$31-BT$30</f>
        <v>0</v>
      </c>
      <c r="BU32" s="13" t="n">
        <f aca="false">BU$31-BU$30</f>
        <v>0</v>
      </c>
      <c r="BV32" s="13" t="n">
        <f aca="false">BV$31-BV$30</f>
        <v>0</v>
      </c>
      <c r="BW32" s="13" t="n">
        <f aca="false">BW$31-BW$30</f>
        <v>0</v>
      </c>
      <c r="BX32" s="13" t="n">
        <f aca="false">BX$31-BX$30</f>
        <v>0</v>
      </c>
      <c r="BY32" s="13" t="n">
        <f aca="false">BY$31-BY$30</f>
        <v>0</v>
      </c>
      <c r="BZ32" s="13" t="n">
        <f aca="false">BZ$31-BZ$30</f>
        <v>0</v>
      </c>
      <c r="CA32" s="13" t="n">
        <f aca="false">CA$31-CA$30</f>
        <v>0</v>
      </c>
      <c r="CB32" s="13" t="n">
        <f aca="false">CB$31-CB$30</f>
        <v>0</v>
      </c>
      <c r="CC32" s="13" t="n">
        <f aca="false">CC$31-CC$30</f>
        <v>0</v>
      </c>
      <c r="CD32" s="13" t="n">
        <f aca="false">CD$31-CD$30</f>
        <v>0</v>
      </c>
      <c r="CE32" s="13" t="n">
        <f aca="false">CE$31-CE$30</f>
        <v>0</v>
      </c>
      <c r="CF32" s="13" t="n">
        <f aca="false">CF$31-CF$30</f>
        <v>0</v>
      </c>
      <c r="CG32" s="13" t="n">
        <f aca="false">CG$31-CG$30</f>
        <v>0</v>
      </c>
      <c r="CH32" s="13" t="n">
        <f aca="false">CH$31-CH$30</f>
        <v>0</v>
      </c>
      <c r="CI32" s="13" t="n">
        <f aca="false">CI$31-CI$30</f>
        <v>0</v>
      </c>
      <c r="CJ32" s="13" t="n">
        <f aca="false">CJ$31-CJ$30</f>
        <v>0</v>
      </c>
      <c r="CK32" s="13" t="n">
        <f aca="false">CK$31-CK$30</f>
        <v>0</v>
      </c>
      <c r="CL32" s="13" t="n">
        <f aca="false">CL$31-CL$30</f>
        <v>0</v>
      </c>
      <c r="CM32" s="13" t="n">
        <f aca="false">CM$31-CM$30</f>
        <v>0</v>
      </c>
      <c r="CN32" s="13" t="n">
        <f aca="false">CN$31-CN$30</f>
        <v>0</v>
      </c>
      <c r="CO32" s="13" t="n">
        <f aca="false">CO$31-CO$30</f>
        <v>0</v>
      </c>
      <c r="CP32" s="13" t="n">
        <f aca="false">CP$31-CP$30</f>
        <v>0</v>
      </c>
      <c r="CQ32" s="13" t="n">
        <f aca="false">CQ$31-CQ$30</f>
        <v>0</v>
      </c>
      <c r="CR32" s="13" t="n">
        <f aca="false">CR$31-CR$30</f>
        <v>0</v>
      </c>
      <c r="CS32" s="13" t="n">
        <f aca="false">CS$31-CS$30</f>
        <v>0</v>
      </c>
      <c r="CT32" s="13" t="n">
        <f aca="false">CT$31-CT$30</f>
        <v>0</v>
      </c>
      <c r="CU32" s="13" t="n">
        <f aca="false">CU$31-CU$30</f>
        <v>0</v>
      </c>
      <c r="CV32" s="13" t="n">
        <f aca="false">CV$31-CV$30</f>
        <v>0</v>
      </c>
      <c r="CW32" s="13" t="n">
        <f aca="false">CW$31-CW$30</f>
        <v>0</v>
      </c>
      <c r="CX32" s="13" t="n">
        <f aca="false">CX$31-CX$30</f>
        <v>0</v>
      </c>
      <c r="CY32" s="13" t="n">
        <f aca="false">CY$31-CY$30</f>
        <v>0</v>
      </c>
      <c r="CZ32" s="13" t="n">
        <f aca="false">CZ$31-CZ$30</f>
        <v>0</v>
      </c>
      <c r="DA32" s="13" t="n">
        <f aca="false">DA$31-DA$30</f>
        <v>0</v>
      </c>
      <c r="DB32" s="13" t="n">
        <f aca="false">DB$31-DB$30</f>
        <v>0</v>
      </c>
      <c r="DC32" s="13" t="n">
        <f aca="false">DC$31-DC$30</f>
        <v>0</v>
      </c>
      <c r="DD32" s="13" t="n">
        <f aca="false">DD$31-DD$30</f>
        <v>0</v>
      </c>
      <c r="DE32" s="13" t="n">
        <f aca="false">DE$31-DE$30</f>
        <v>0</v>
      </c>
      <c r="DF32" s="13" t="n">
        <f aca="false">DF$31-DF$30</f>
        <v>0</v>
      </c>
      <c r="DG32" s="13" t="n">
        <f aca="false">DG$31-DG$30</f>
        <v>0</v>
      </c>
      <c r="DH32" s="13" t="n">
        <f aca="false">DH$31-DH$30</f>
        <v>0</v>
      </c>
      <c r="DI32" s="13" t="n">
        <f aca="false">DI$31-DI$30</f>
        <v>0</v>
      </c>
      <c r="DJ32" s="13" t="n">
        <f aca="false">DJ$31-DJ$30</f>
        <v>0</v>
      </c>
      <c r="DK32" s="13" t="n">
        <f aca="false">DK$31-DK$30</f>
        <v>0</v>
      </c>
      <c r="DL32" s="13" t="n">
        <f aca="false">DL$31-DL$30</f>
        <v>0</v>
      </c>
      <c r="DM32" s="13" t="n">
        <f aca="false">DM$31-DM$30</f>
        <v>0</v>
      </c>
      <c r="DN32" s="13" t="n">
        <f aca="false">DN$31-DN$30</f>
        <v>0</v>
      </c>
      <c r="DO32" s="13" t="n">
        <f aca="false">DO$31-DO$30</f>
        <v>0</v>
      </c>
      <c r="DP32" s="13" t="n">
        <f aca="false">DP$31-DP$30</f>
        <v>0</v>
      </c>
      <c r="DQ32" s="13" t="n">
        <f aca="false">DQ$31-DQ$30</f>
        <v>0</v>
      </c>
      <c r="DR32" s="13" t="n">
        <f aca="false">DR$31-DR$30</f>
        <v>0</v>
      </c>
      <c r="DS32" s="13" t="n">
        <f aca="false">DS$31-DS$30</f>
        <v>0</v>
      </c>
      <c r="DT32" s="13" t="n">
        <f aca="false">DT$31-DT$30</f>
        <v>0</v>
      </c>
      <c r="DU32" s="13" t="n">
        <f aca="false">DU$31-DU$30</f>
        <v>0</v>
      </c>
      <c r="DV32" s="13" t="n">
        <f aca="false">DV$31-DV$30</f>
        <v>0</v>
      </c>
      <c r="DW32" s="13" t="n">
        <f aca="false">DW$31-DW$30</f>
        <v>0</v>
      </c>
      <c r="DX32" s="13" t="n">
        <f aca="false">DX$31-DX$30</f>
        <v>0</v>
      </c>
      <c r="DY32" s="13" t="n">
        <f aca="false">DY$31-DY$30</f>
        <v>0</v>
      </c>
      <c r="DZ32" s="13" t="n">
        <f aca="false">DZ$31-DZ$30</f>
        <v>0</v>
      </c>
      <c r="EA32" s="13" t="n">
        <f aca="false">EA$31-EA$30</f>
        <v>0</v>
      </c>
      <c r="EB32" s="13" t="n">
        <f aca="false">EB$31-EB$30</f>
        <v>0</v>
      </c>
      <c r="EC32" s="13" t="n">
        <f aca="false">EC$31-EC$30</f>
        <v>0</v>
      </c>
      <c r="ED32" s="13" t="n">
        <f aca="false">ED$31-ED$30</f>
        <v>0</v>
      </c>
      <c r="EE32" s="13" t="n">
        <f aca="false">EE$31-EE$30</f>
        <v>0</v>
      </c>
      <c r="EF32" s="13" t="n">
        <f aca="false">EF$31-EF$30</f>
        <v>0</v>
      </c>
      <c r="EG32" s="13" t="n">
        <f aca="false">EG$31-EG$30</f>
        <v>0</v>
      </c>
      <c r="EH32" s="13" t="n">
        <f aca="false">EH$31-EH$30</f>
        <v>0</v>
      </c>
      <c r="EI32" s="13" t="n">
        <f aca="false">EI$31-EI$30</f>
        <v>0</v>
      </c>
      <c r="EJ32" s="13" t="n">
        <f aca="false">EJ$31-EJ$30</f>
        <v>0</v>
      </c>
      <c r="EK32" s="13" t="n">
        <f aca="false">EK$31-EK$30</f>
        <v>0</v>
      </c>
      <c r="EL32" s="13" t="n">
        <f aca="false">EL$31-EL$30</f>
        <v>0</v>
      </c>
      <c r="EM32" s="13" t="n">
        <f aca="false">EM$31-EM$30</f>
        <v>0</v>
      </c>
      <c r="EN32" s="13" t="n">
        <f aca="false">EN$31-EN$30</f>
        <v>0</v>
      </c>
      <c r="EO32" s="13" t="n">
        <f aca="false">EO$31-EO$30</f>
        <v>0</v>
      </c>
      <c r="EP32" s="13" t="n">
        <f aca="false">EP$31-EP$30</f>
        <v>0</v>
      </c>
      <c r="EQ32" s="13" t="n">
        <f aca="false">EQ$31-EQ$30</f>
        <v>0</v>
      </c>
      <c r="ER32" s="13" t="n">
        <f aca="false">ER$31-ER$30</f>
        <v>0</v>
      </c>
      <c r="ES32" s="13" t="n">
        <f aca="false">ES$31-ES$30</f>
        <v>0</v>
      </c>
      <c r="ET32" s="13" t="n">
        <f aca="false">ET$31-ET$30</f>
        <v>0</v>
      </c>
      <c r="EU32" s="13" t="n">
        <f aca="false">EU$31-EU$30</f>
        <v>0</v>
      </c>
      <c r="EV32" s="13" t="n">
        <f aca="false">EV$31-EV$30</f>
        <v>0</v>
      </c>
      <c r="EW32" s="13" t="n">
        <f aca="false">EW$31-EW$30</f>
        <v>0</v>
      </c>
      <c r="EX32" s="13" t="n">
        <f aca="false">EX$31-EX$30</f>
        <v>0</v>
      </c>
      <c r="EY32" s="13" t="n">
        <f aca="false">EY$31-EY$30</f>
        <v>0</v>
      </c>
      <c r="EZ32" s="13" t="n">
        <f aca="false">EZ$31-EZ$30</f>
        <v>0</v>
      </c>
      <c r="FA32" s="13" t="n">
        <f aca="false">FA$31-FA$30</f>
        <v>0</v>
      </c>
      <c r="FB32" s="13" t="n">
        <f aca="false">FB$31-FB$30</f>
        <v>0</v>
      </c>
      <c r="FC32" s="13" t="n">
        <f aca="false">FC$31-FC$30</f>
        <v>0</v>
      </c>
      <c r="FD32" s="13" t="n">
        <f aca="false">FD$31-FD$30</f>
        <v>0</v>
      </c>
      <c r="FE32" s="13" t="n">
        <f aca="false">FE$31-FE$30</f>
        <v>0</v>
      </c>
      <c r="FF32" s="13" t="n">
        <f aca="false">FF$31-FF$30</f>
        <v>0</v>
      </c>
    </row>
    <row r="33" customFormat="false" ht="15" hidden="false" customHeight="false" outlineLevel="0" collapsed="false">
      <c r="A33" s="4"/>
      <c r="B33" s="3" t="s">
        <v>1325</v>
      </c>
      <c r="C33" s="4"/>
      <c r="D33" s="4"/>
      <c r="E33" s="4"/>
    </row>
    <row r="34" customFormat="false" ht="15" hidden="false" customHeight="false" outlineLevel="0" collapsed="false">
      <c r="A34" s="2" t="s">
        <v>1326</v>
      </c>
      <c r="B34" s="8" t="s">
        <v>1327</v>
      </c>
      <c r="C34" s="8" t="s">
        <v>255</v>
      </c>
      <c r="E34" s="65" t="n">
        <f aca="false">SUM($F34:$FF34)</f>
        <v>0</v>
      </c>
      <c r="F34" s="13" t="n">
        <f aca="false">IF(F$9=1,0,e_AntProv*IF(0+e_AntProvMeses&lt;=156,INDEX($F$29:$FF$29,1,0+e_AntProvMeses+1),0))*Calendario!F$13</f>
        <v>0</v>
      </c>
      <c r="G34" s="13" t="n">
        <f aca="false">IF(G$9=1,0,e_AntProv*IF(1+e_AntProvMeses&lt;=156,INDEX($F$29:$FF$29,1,1+e_AntProvMeses+1),0))*Calendario!G$13</f>
        <v>0</v>
      </c>
      <c r="H34" s="13" t="n">
        <f aca="false">IF(H$9=1,0,e_AntProv*IF(2+e_AntProvMeses&lt;=156,INDEX($F$29:$FF$29,1,2+e_AntProvMeses+1),0))*Calendario!H$13</f>
        <v>0</v>
      </c>
      <c r="I34" s="13" t="n">
        <f aca="false">IF(I$9=1,0,e_AntProv*IF(3+e_AntProvMeses&lt;=156,INDEX($F$29:$FF$29,1,3+e_AntProvMeses+1),0))*Calendario!I$13</f>
        <v>0</v>
      </c>
      <c r="J34" s="13" t="n">
        <f aca="false">IF(J$9=1,0,e_AntProv*IF(4+e_AntProvMeses&lt;=156,INDEX($F$29:$FF$29,1,4+e_AntProvMeses+1),0))*Calendario!J$13</f>
        <v>0</v>
      </c>
      <c r="K34" s="13" t="n">
        <f aca="false">IF(K$9=1,0,e_AntProv*IF(5+e_AntProvMeses&lt;=156,INDEX($F$29:$FF$29,1,5+e_AntProvMeses+1),0))*Calendario!K$13</f>
        <v>0</v>
      </c>
      <c r="L34" s="13" t="n">
        <f aca="false">IF(L$9=1,0,e_AntProv*IF(6+e_AntProvMeses&lt;=156,INDEX($F$29:$FF$29,1,6+e_AntProvMeses+1),0))*Calendario!L$13</f>
        <v>0</v>
      </c>
      <c r="M34" s="13" t="n">
        <f aca="false">IF(M$9=1,0,e_AntProv*IF(7+e_AntProvMeses&lt;=156,INDEX($F$29:$FF$29,1,7+e_AntProvMeses+1),0))*Calendario!M$13</f>
        <v>0</v>
      </c>
      <c r="N34" s="13" t="n">
        <f aca="false">IF(N$9=1,0,e_AntProv*IF(8+e_AntProvMeses&lt;=156,INDEX($F$29:$FF$29,1,8+e_AntProvMeses+1),0))*Calendario!N$13</f>
        <v>0</v>
      </c>
      <c r="O34" s="13" t="n">
        <f aca="false">IF(O$9=1,0,e_AntProv*IF(9+e_AntProvMeses&lt;=156,INDEX($F$29:$FF$29,1,9+e_AntProvMeses+1),0))*Calendario!O$13</f>
        <v>0</v>
      </c>
      <c r="P34" s="13" t="n">
        <f aca="false">IF(P$9=1,0,e_AntProv*IF(10+e_AntProvMeses&lt;=156,INDEX($F$29:$FF$29,1,10+e_AntProvMeses+1),0))*Calendario!P$13</f>
        <v>0</v>
      </c>
      <c r="Q34" s="13" t="n">
        <f aca="false">IF(Q$9=1,0,e_AntProv*IF(11+e_AntProvMeses&lt;=156,INDEX($F$29:$FF$29,1,11+e_AntProvMeses+1),0))*Calendario!Q$13</f>
        <v>0</v>
      </c>
      <c r="R34" s="13" t="n">
        <f aca="false">IF(R$9=1,0,e_AntProv*IF(12+e_AntProvMeses&lt;=156,INDEX($F$29:$FF$29,1,12+e_AntProvMeses+1),0))*Calendario!R$13</f>
        <v>0</v>
      </c>
      <c r="S34" s="13" t="n">
        <f aca="false">IF(S$9=1,0,e_AntProv*IF(13+e_AntProvMeses&lt;=156,INDEX($F$29:$FF$29,1,13+e_AntProvMeses+1),0))*Calendario!S$13</f>
        <v>0</v>
      </c>
      <c r="T34" s="13" t="n">
        <f aca="false">IF(T$9=1,0,e_AntProv*IF(14+e_AntProvMeses&lt;=156,INDEX($F$29:$FF$29,1,14+e_AntProvMeses+1),0))*Calendario!T$13</f>
        <v>0</v>
      </c>
      <c r="U34" s="13" t="n">
        <f aca="false">IF(U$9=1,0,e_AntProv*IF(15+e_AntProvMeses&lt;=156,INDEX($F$29:$FF$29,1,15+e_AntProvMeses+1),0))*Calendario!U$13</f>
        <v>0</v>
      </c>
      <c r="V34" s="13" t="n">
        <f aca="false">IF(V$9=1,0,e_AntProv*IF(16+e_AntProvMeses&lt;=156,INDEX($F$29:$FF$29,1,16+e_AntProvMeses+1),0))*Calendario!V$13</f>
        <v>0</v>
      </c>
      <c r="W34" s="13" t="n">
        <f aca="false">IF(W$9=1,0,e_AntProv*IF(17+e_AntProvMeses&lt;=156,INDEX($F$29:$FF$29,1,17+e_AntProvMeses+1),0))*Calendario!W$13</f>
        <v>0</v>
      </c>
      <c r="X34" s="13" t="n">
        <f aca="false">IF(X$9=1,0,e_AntProv*IF(18+e_AntProvMeses&lt;=156,INDEX($F$29:$FF$29,1,18+e_AntProvMeses+1),0))*Calendario!X$13</f>
        <v>0</v>
      </c>
      <c r="Y34" s="13" t="n">
        <f aca="false">IF(Y$9=1,0,e_AntProv*IF(19+e_AntProvMeses&lt;=156,INDEX($F$29:$FF$29,1,19+e_AntProvMeses+1),0))*Calendario!Y$13</f>
        <v>0</v>
      </c>
      <c r="Z34" s="13" t="n">
        <f aca="false">IF(Z$9=1,0,e_AntProv*IF(20+e_AntProvMeses&lt;=156,INDEX($F$29:$FF$29,1,20+e_AntProvMeses+1),0))*Calendario!Z$13</f>
        <v>0</v>
      </c>
      <c r="AA34" s="13" t="n">
        <f aca="false">IF(AA$9=1,0,e_AntProv*IF(21+e_AntProvMeses&lt;=156,INDEX($F$29:$FF$29,1,21+e_AntProvMeses+1),0))*Calendario!AA$13</f>
        <v>0</v>
      </c>
      <c r="AB34" s="13" t="n">
        <f aca="false">IF(AB$9=1,0,e_AntProv*IF(22+e_AntProvMeses&lt;=156,INDEX($F$29:$FF$29,1,22+e_AntProvMeses+1),0))*Calendario!AB$13</f>
        <v>0</v>
      </c>
      <c r="AC34" s="13" t="n">
        <f aca="false">IF(AC$9=1,0,e_AntProv*IF(23+e_AntProvMeses&lt;=156,INDEX($F$29:$FF$29,1,23+e_AntProvMeses+1),0))*Calendario!AC$13</f>
        <v>0</v>
      </c>
      <c r="AD34" s="13" t="n">
        <f aca="false">IF(AD$9=1,0,e_AntProv*IF(24+e_AntProvMeses&lt;=156,INDEX($F$29:$FF$29,1,24+e_AntProvMeses+1),0))*Calendario!AD$13</f>
        <v>0</v>
      </c>
      <c r="AE34" s="13" t="n">
        <f aca="false">IF(AE$9=1,0,e_AntProv*IF(25+e_AntProvMeses&lt;=156,INDEX($F$29:$FF$29,1,25+e_AntProvMeses+1),0))*Calendario!AE$13</f>
        <v>0</v>
      </c>
      <c r="AF34" s="13" t="n">
        <f aca="false">IF(AF$9=1,0,e_AntProv*IF(26+e_AntProvMeses&lt;=156,INDEX($F$29:$FF$29,1,26+e_AntProvMeses+1),0))*Calendario!AF$13</f>
        <v>0</v>
      </c>
      <c r="AG34" s="13" t="n">
        <f aca="false">IF(AG$9=1,0,e_AntProv*IF(27+e_AntProvMeses&lt;=156,INDEX($F$29:$FF$29,1,27+e_AntProvMeses+1),0))*Calendario!AG$13</f>
        <v>0</v>
      </c>
      <c r="AH34" s="13" t="n">
        <f aca="false">IF(AH$9=1,0,e_AntProv*IF(28+e_AntProvMeses&lt;=156,INDEX($F$29:$FF$29,1,28+e_AntProvMeses+1),0))*Calendario!AH$13</f>
        <v>0</v>
      </c>
      <c r="AI34" s="13" t="n">
        <f aca="false">IF(AI$9=1,0,e_AntProv*IF(29+e_AntProvMeses&lt;=156,INDEX($F$29:$FF$29,1,29+e_AntProvMeses+1),0))*Calendario!AI$13</f>
        <v>0</v>
      </c>
      <c r="AJ34" s="13" t="n">
        <f aca="false">IF(AJ$9=1,0,e_AntProv*IF(30+e_AntProvMeses&lt;=156,INDEX($F$29:$FF$29,1,30+e_AntProvMeses+1),0))*Calendario!AJ$13</f>
        <v>0</v>
      </c>
      <c r="AK34" s="13" t="n">
        <f aca="false">IF(AK$9=1,0,e_AntProv*IF(31+e_AntProvMeses&lt;=156,INDEX($F$29:$FF$29,1,31+e_AntProvMeses+1),0))*Calendario!AK$13</f>
        <v>0</v>
      </c>
      <c r="AL34" s="13" t="n">
        <f aca="false">IF(AL$9=1,0,e_AntProv*IF(32+e_AntProvMeses&lt;=156,INDEX($F$29:$FF$29,1,32+e_AntProvMeses+1),0))*Calendario!AL$13</f>
        <v>0</v>
      </c>
      <c r="AM34" s="13" t="n">
        <f aca="false">IF(AM$9=1,0,e_AntProv*IF(33+e_AntProvMeses&lt;=156,INDEX($F$29:$FF$29,1,33+e_AntProvMeses+1),0))*Calendario!AM$13</f>
        <v>0</v>
      </c>
      <c r="AN34" s="13" t="n">
        <f aca="false">IF(AN$9=1,0,e_AntProv*IF(34+e_AntProvMeses&lt;=156,INDEX($F$29:$FF$29,1,34+e_AntProvMeses+1),0))*Calendario!AN$13</f>
        <v>0</v>
      </c>
      <c r="AO34" s="13" t="n">
        <f aca="false">IF(AO$9=1,0,e_AntProv*IF(35+e_AntProvMeses&lt;=156,INDEX($F$29:$FF$29,1,35+e_AntProvMeses+1),0))*Calendario!AO$13</f>
        <v>0</v>
      </c>
      <c r="AP34" s="13" t="n">
        <f aca="false">IF(AP$9=1,0,e_AntProv*IF(36+e_AntProvMeses&lt;=156,INDEX($F$29:$FF$29,1,36+e_AntProvMeses+1),0))*Calendario!AP$13</f>
        <v>0</v>
      </c>
      <c r="AQ34" s="13" t="n">
        <f aca="false">IF(AQ$9=1,0,e_AntProv*IF(37+e_AntProvMeses&lt;=156,INDEX($F$29:$FF$29,1,37+e_AntProvMeses+1),0))*Calendario!AQ$13</f>
        <v>0</v>
      </c>
      <c r="AR34" s="13" t="n">
        <f aca="false">IF(AR$9=1,0,e_AntProv*IF(38+e_AntProvMeses&lt;=156,INDEX($F$29:$FF$29,1,38+e_AntProvMeses+1),0))*Calendario!AR$13</f>
        <v>0</v>
      </c>
      <c r="AS34" s="13" t="n">
        <f aca="false">IF(AS$9=1,0,e_AntProv*IF(39+e_AntProvMeses&lt;=156,INDEX($F$29:$FF$29,1,39+e_AntProvMeses+1),0))*Calendario!AS$13</f>
        <v>0</v>
      </c>
      <c r="AT34" s="13" t="n">
        <f aca="false">IF(AT$9=1,0,e_AntProv*IF(40+e_AntProvMeses&lt;=156,INDEX($F$29:$FF$29,1,40+e_AntProvMeses+1),0))*Calendario!AT$13</f>
        <v>0</v>
      </c>
      <c r="AU34" s="13" t="n">
        <f aca="false">IF(AU$9=1,0,e_AntProv*IF(41+e_AntProvMeses&lt;=156,INDEX($F$29:$FF$29,1,41+e_AntProvMeses+1),0))*Calendario!AU$13</f>
        <v>0</v>
      </c>
      <c r="AV34" s="13" t="n">
        <f aca="false">IF(AV$9=1,0,e_AntProv*IF(42+e_AntProvMeses&lt;=156,INDEX($F$29:$FF$29,1,42+e_AntProvMeses+1),0))*Calendario!AV$13</f>
        <v>0</v>
      </c>
      <c r="AW34" s="13" t="n">
        <f aca="false">IF(AW$9=1,0,e_AntProv*IF(43+e_AntProvMeses&lt;=156,INDEX($F$29:$FF$29,1,43+e_AntProvMeses+1),0))*Calendario!AW$13</f>
        <v>0</v>
      </c>
      <c r="AX34" s="13" t="n">
        <f aca="false">IF(AX$9=1,0,e_AntProv*IF(44+e_AntProvMeses&lt;=156,INDEX($F$29:$FF$29,1,44+e_AntProvMeses+1),0))*Calendario!AX$13</f>
        <v>0</v>
      </c>
      <c r="AY34" s="13" t="n">
        <f aca="false">IF(AY$9=1,0,e_AntProv*IF(45+e_AntProvMeses&lt;=156,INDEX($F$29:$FF$29,1,45+e_AntProvMeses+1),0))*Calendario!AY$13</f>
        <v>0</v>
      </c>
      <c r="AZ34" s="13" t="n">
        <f aca="false">IF(AZ$9=1,0,e_AntProv*IF(46+e_AntProvMeses&lt;=156,INDEX($F$29:$FF$29,1,46+e_AntProvMeses+1),0))*Calendario!AZ$13</f>
        <v>0</v>
      </c>
      <c r="BA34" s="13" t="n">
        <f aca="false">IF(BA$9=1,0,e_AntProv*IF(47+e_AntProvMeses&lt;=156,INDEX($F$29:$FF$29,1,47+e_AntProvMeses+1),0))*Calendario!BA$13</f>
        <v>0</v>
      </c>
      <c r="BB34" s="13" t="n">
        <f aca="false">IF(BB$9=1,0,e_AntProv*IF(48+e_AntProvMeses&lt;=156,INDEX($F$29:$FF$29,1,48+e_AntProvMeses+1),0))*Calendario!BB$13</f>
        <v>0</v>
      </c>
      <c r="BC34" s="13" t="n">
        <f aca="false">IF(BC$9=1,0,e_AntProv*IF(49+e_AntProvMeses&lt;=156,INDEX($F$29:$FF$29,1,49+e_AntProvMeses+1),0))*Calendario!BC$13</f>
        <v>0</v>
      </c>
      <c r="BD34" s="13" t="n">
        <f aca="false">IF(BD$9=1,0,e_AntProv*IF(50+e_AntProvMeses&lt;=156,INDEX($F$29:$FF$29,1,50+e_AntProvMeses+1),0))*Calendario!BD$13</f>
        <v>0</v>
      </c>
      <c r="BE34" s="13" t="n">
        <f aca="false">IF(BE$9=1,0,e_AntProv*IF(51+e_AntProvMeses&lt;=156,INDEX($F$29:$FF$29,1,51+e_AntProvMeses+1),0))*Calendario!BE$13</f>
        <v>0</v>
      </c>
      <c r="BF34" s="13" t="n">
        <f aca="false">IF(BF$9=1,0,e_AntProv*IF(52+e_AntProvMeses&lt;=156,INDEX($F$29:$FF$29,1,52+e_AntProvMeses+1),0))*Calendario!BF$13</f>
        <v>0</v>
      </c>
      <c r="BG34" s="13" t="n">
        <f aca="false">IF(BG$9=1,0,e_AntProv*IF(53+e_AntProvMeses&lt;=156,INDEX($F$29:$FF$29,1,53+e_AntProvMeses+1),0))*Calendario!BG$13</f>
        <v>0</v>
      </c>
      <c r="BH34" s="13" t="n">
        <f aca="false">IF(BH$9=1,0,e_AntProv*IF(54+e_AntProvMeses&lt;=156,INDEX($F$29:$FF$29,1,54+e_AntProvMeses+1),0))*Calendario!BH$13</f>
        <v>0</v>
      </c>
      <c r="BI34" s="13" t="n">
        <f aca="false">IF(BI$9=1,0,e_AntProv*IF(55+e_AntProvMeses&lt;=156,INDEX($F$29:$FF$29,1,55+e_AntProvMeses+1),0))*Calendario!BI$13</f>
        <v>0</v>
      </c>
      <c r="BJ34" s="13" t="n">
        <f aca="false">IF(BJ$9=1,0,e_AntProv*IF(56+e_AntProvMeses&lt;=156,INDEX($F$29:$FF$29,1,56+e_AntProvMeses+1),0))*Calendario!BJ$13</f>
        <v>0</v>
      </c>
      <c r="BK34" s="13" t="n">
        <f aca="false">IF(BK$9=1,0,e_AntProv*IF(57+e_AntProvMeses&lt;=156,INDEX($F$29:$FF$29,1,57+e_AntProvMeses+1),0))*Calendario!BK$13</f>
        <v>0</v>
      </c>
      <c r="BL34" s="13" t="n">
        <f aca="false">IF(BL$9=1,0,e_AntProv*IF(58+e_AntProvMeses&lt;=156,INDEX($F$29:$FF$29,1,58+e_AntProvMeses+1),0))*Calendario!BL$13</f>
        <v>0</v>
      </c>
      <c r="BM34" s="13" t="n">
        <f aca="false">IF(BM$9=1,0,e_AntProv*IF(59+e_AntProvMeses&lt;=156,INDEX($F$29:$FF$29,1,59+e_AntProvMeses+1),0))*Calendario!BM$13</f>
        <v>0</v>
      </c>
      <c r="BN34" s="13" t="n">
        <f aca="false">IF(BN$9=1,0,e_AntProv*IF(60+e_AntProvMeses&lt;=156,INDEX($F$29:$FF$29,1,60+e_AntProvMeses+1),0))*Calendario!BN$13</f>
        <v>0</v>
      </c>
      <c r="BO34" s="13" t="n">
        <f aca="false">IF(BO$9=1,0,e_AntProv*IF(61+e_AntProvMeses&lt;=156,INDEX($F$29:$FF$29,1,61+e_AntProvMeses+1),0))*Calendario!BO$13</f>
        <v>0</v>
      </c>
      <c r="BP34" s="13" t="n">
        <f aca="false">IF(BP$9=1,0,e_AntProv*IF(62+e_AntProvMeses&lt;=156,INDEX($F$29:$FF$29,1,62+e_AntProvMeses+1),0))*Calendario!BP$13</f>
        <v>0</v>
      </c>
      <c r="BQ34" s="13" t="n">
        <f aca="false">IF(BQ$9=1,0,e_AntProv*IF(63+e_AntProvMeses&lt;=156,INDEX($F$29:$FF$29,1,63+e_AntProvMeses+1),0))*Calendario!BQ$13</f>
        <v>0</v>
      </c>
      <c r="BR34" s="13" t="n">
        <f aca="false">IF(BR$9=1,0,e_AntProv*IF(64+e_AntProvMeses&lt;=156,INDEX($F$29:$FF$29,1,64+e_AntProvMeses+1),0))*Calendario!BR$13</f>
        <v>0</v>
      </c>
      <c r="BS34" s="13" t="n">
        <f aca="false">IF(BS$9=1,0,e_AntProv*IF(65+e_AntProvMeses&lt;=156,INDEX($F$29:$FF$29,1,65+e_AntProvMeses+1),0))*Calendario!BS$13</f>
        <v>0</v>
      </c>
      <c r="BT34" s="13" t="n">
        <f aca="false">IF(BT$9=1,0,e_AntProv*IF(66+e_AntProvMeses&lt;=156,INDEX($F$29:$FF$29,1,66+e_AntProvMeses+1),0))*Calendario!BT$13</f>
        <v>0</v>
      </c>
      <c r="BU34" s="13" t="n">
        <f aca="false">IF(BU$9=1,0,e_AntProv*IF(67+e_AntProvMeses&lt;=156,INDEX($F$29:$FF$29,1,67+e_AntProvMeses+1),0))*Calendario!BU$13</f>
        <v>0</v>
      </c>
      <c r="BV34" s="13" t="n">
        <f aca="false">IF(BV$9=1,0,e_AntProv*IF(68+e_AntProvMeses&lt;=156,INDEX($F$29:$FF$29,1,68+e_AntProvMeses+1),0))*Calendario!BV$13</f>
        <v>0</v>
      </c>
      <c r="BW34" s="13" t="n">
        <f aca="false">IF(BW$9=1,0,e_AntProv*IF(69+e_AntProvMeses&lt;=156,INDEX($F$29:$FF$29,1,69+e_AntProvMeses+1),0))*Calendario!BW$13</f>
        <v>0</v>
      </c>
      <c r="BX34" s="13" t="n">
        <f aca="false">IF(BX$9=1,0,e_AntProv*IF(70+e_AntProvMeses&lt;=156,INDEX($F$29:$FF$29,1,70+e_AntProvMeses+1),0))*Calendario!BX$13</f>
        <v>0</v>
      </c>
      <c r="BY34" s="13" t="n">
        <f aca="false">IF(BY$9=1,0,e_AntProv*IF(71+e_AntProvMeses&lt;=156,INDEX($F$29:$FF$29,1,71+e_AntProvMeses+1),0))*Calendario!BY$13</f>
        <v>0</v>
      </c>
      <c r="BZ34" s="13" t="n">
        <f aca="false">IF(BZ$9=1,0,e_AntProv*IF(72+e_AntProvMeses&lt;=156,INDEX($F$29:$FF$29,1,72+e_AntProvMeses+1),0))*Calendario!BZ$13</f>
        <v>0</v>
      </c>
      <c r="CA34" s="13" t="n">
        <f aca="false">IF(CA$9=1,0,e_AntProv*IF(73+e_AntProvMeses&lt;=156,INDEX($F$29:$FF$29,1,73+e_AntProvMeses+1),0))*Calendario!CA$13</f>
        <v>0</v>
      </c>
      <c r="CB34" s="13" t="n">
        <f aca="false">IF(CB$9=1,0,e_AntProv*IF(74+e_AntProvMeses&lt;=156,INDEX($F$29:$FF$29,1,74+e_AntProvMeses+1),0))*Calendario!CB$13</f>
        <v>0</v>
      </c>
      <c r="CC34" s="13" t="n">
        <f aca="false">IF(CC$9=1,0,e_AntProv*IF(75+e_AntProvMeses&lt;=156,INDEX($F$29:$FF$29,1,75+e_AntProvMeses+1),0))*Calendario!CC$13</f>
        <v>0</v>
      </c>
      <c r="CD34" s="13" t="n">
        <f aca="false">IF(CD$9=1,0,e_AntProv*IF(76+e_AntProvMeses&lt;=156,INDEX($F$29:$FF$29,1,76+e_AntProvMeses+1),0))*Calendario!CD$13</f>
        <v>0</v>
      </c>
      <c r="CE34" s="13" t="n">
        <f aca="false">IF(CE$9=1,0,e_AntProv*IF(77+e_AntProvMeses&lt;=156,INDEX($F$29:$FF$29,1,77+e_AntProvMeses+1),0))*Calendario!CE$13</f>
        <v>0</v>
      </c>
      <c r="CF34" s="13" t="n">
        <f aca="false">IF(CF$9=1,0,e_AntProv*IF(78+e_AntProvMeses&lt;=156,INDEX($F$29:$FF$29,1,78+e_AntProvMeses+1),0))*Calendario!CF$13</f>
        <v>0</v>
      </c>
      <c r="CG34" s="13" t="n">
        <f aca="false">IF(CG$9=1,0,e_AntProv*IF(79+e_AntProvMeses&lt;=156,INDEX($F$29:$FF$29,1,79+e_AntProvMeses+1),0))*Calendario!CG$13</f>
        <v>0</v>
      </c>
      <c r="CH34" s="13" t="n">
        <f aca="false">IF(CH$9=1,0,e_AntProv*IF(80+e_AntProvMeses&lt;=156,INDEX($F$29:$FF$29,1,80+e_AntProvMeses+1),0))*Calendario!CH$13</f>
        <v>0</v>
      </c>
      <c r="CI34" s="13" t="n">
        <f aca="false">IF(CI$9=1,0,e_AntProv*IF(81+e_AntProvMeses&lt;=156,INDEX($F$29:$FF$29,1,81+e_AntProvMeses+1),0))*Calendario!CI$13</f>
        <v>0</v>
      </c>
      <c r="CJ34" s="13" t="n">
        <f aca="false">IF(CJ$9=1,0,e_AntProv*IF(82+e_AntProvMeses&lt;=156,INDEX($F$29:$FF$29,1,82+e_AntProvMeses+1),0))*Calendario!CJ$13</f>
        <v>0</v>
      </c>
      <c r="CK34" s="13" t="n">
        <f aca="false">IF(CK$9=1,0,e_AntProv*IF(83+e_AntProvMeses&lt;=156,INDEX($F$29:$FF$29,1,83+e_AntProvMeses+1),0))*Calendario!CK$13</f>
        <v>0</v>
      </c>
      <c r="CL34" s="13" t="n">
        <f aca="false">IF(CL$9=1,0,e_AntProv*IF(84+e_AntProvMeses&lt;=156,INDEX($F$29:$FF$29,1,84+e_AntProvMeses+1),0))*Calendario!CL$13</f>
        <v>0</v>
      </c>
      <c r="CM34" s="13" t="n">
        <f aca="false">IF(CM$9=1,0,e_AntProv*IF(85+e_AntProvMeses&lt;=156,INDEX($F$29:$FF$29,1,85+e_AntProvMeses+1),0))*Calendario!CM$13</f>
        <v>0</v>
      </c>
      <c r="CN34" s="13" t="n">
        <f aca="false">IF(CN$9=1,0,e_AntProv*IF(86+e_AntProvMeses&lt;=156,INDEX($F$29:$FF$29,1,86+e_AntProvMeses+1),0))*Calendario!CN$13</f>
        <v>0</v>
      </c>
      <c r="CO34" s="13" t="n">
        <f aca="false">IF(CO$9=1,0,e_AntProv*IF(87+e_AntProvMeses&lt;=156,INDEX($F$29:$FF$29,1,87+e_AntProvMeses+1),0))*Calendario!CO$13</f>
        <v>0</v>
      </c>
      <c r="CP34" s="13" t="n">
        <f aca="false">IF(CP$9=1,0,e_AntProv*IF(88+e_AntProvMeses&lt;=156,INDEX($F$29:$FF$29,1,88+e_AntProvMeses+1),0))*Calendario!CP$13</f>
        <v>0</v>
      </c>
      <c r="CQ34" s="13" t="n">
        <f aca="false">IF(CQ$9=1,0,e_AntProv*IF(89+e_AntProvMeses&lt;=156,INDEX($F$29:$FF$29,1,89+e_AntProvMeses+1),0))*Calendario!CQ$13</f>
        <v>0</v>
      </c>
      <c r="CR34" s="13" t="n">
        <f aca="false">IF(CR$9=1,0,e_AntProv*IF(90+e_AntProvMeses&lt;=156,INDEX($F$29:$FF$29,1,90+e_AntProvMeses+1),0))*Calendario!CR$13</f>
        <v>0</v>
      </c>
      <c r="CS34" s="13" t="n">
        <f aca="false">IF(CS$9=1,0,e_AntProv*IF(91+e_AntProvMeses&lt;=156,INDEX($F$29:$FF$29,1,91+e_AntProvMeses+1),0))*Calendario!CS$13</f>
        <v>0</v>
      </c>
      <c r="CT34" s="13" t="n">
        <f aca="false">IF(CT$9=1,0,e_AntProv*IF(92+e_AntProvMeses&lt;=156,INDEX($F$29:$FF$29,1,92+e_AntProvMeses+1),0))*Calendario!CT$13</f>
        <v>0</v>
      </c>
      <c r="CU34" s="13" t="n">
        <f aca="false">IF(CU$9=1,0,e_AntProv*IF(93+e_AntProvMeses&lt;=156,INDEX($F$29:$FF$29,1,93+e_AntProvMeses+1),0))*Calendario!CU$13</f>
        <v>0</v>
      </c>
      <c r="CV34" s="13" t="n">
        <f aca="false">IF(CV$9=1,0,e_AntProv*IF(94+e_AntProvMeses&lt;=156,INDEX($F$29:$FF$29,1,94+e_AntProvMeses+1),0))*Calendario!CV$13</f>
        <v>0</v>
      </c>
      <c r="CW34" s="13" t="n">
        <f aca="false">IF(CW$9=1,0,e_AntProv*IF(95+e_AntProvMeses&lt;=156,INDEX($F$29:$FF$29,1,95+e_AntProvMeses+1),0))*Calendario!CW$13</f>
        <v>0</v>
      </c>
      <c r="CX34" s="13" t="n">
        <f aca="false">IF(CX$9=1,0,e_AntProv*IF(96+e_AntProvMeses&lt;=156,INDEX($F$29:$FF$29,1,96+e_AntProvMeses+1),0))*Calendario!CX$13</f>
        <v>0</v>
      </c>
      <c r="CY34" s="13" t="n">
        <f aca="false">IF(CY$9=1,0,e_AntProv*IF(97+e_AntProvMeses&lt;=156,INDEX($F$29:$FF$29,1,97+e_AntProvMeses+1),0))*Calendario!CY$13</f>
        <v>0</v>
      </c>
      <c r="CZ34" s="13" t="n">
        <f aca="false">IF(CZ$9=1,0,e_AntProv*IF(98+e_AntProvMeses&lt;=156,INDEX($F$29:$FF$29,1,98+e_AntProvMeses+1),0))*Calendario!CZ$13</f>
        <v>0</v>
      </c>
      <c r="DA34" s="13" t="n">
        <f aca="false">IF(DA$9=1,0,e_AntProv*IF(99+e_AntProvMeses&lt;=156,INDEX($F$29:$FF$29,1,99+e_AntProvMeses+1),0))*Calendario!DA$13</f>
        <v>0</v>
      </c>
      <c r="DB34" s="13" t="n">
        <f aca="false">IF(DB$9=1,0,e_AntProv*IF(100+e_AntProvMeses&lt;=156,INDEX($F$29:$FF$29,1,100+e_AntProvMeses+1),0))*Calendario!DB$13</f>
        <v>0</v>
      </c>
      <c r="DC34" s="13" t="n">
        <f aca="false">IF(DC$9=1,0,e_AntProv*IF(101+e_AntProvMeses&lt;=156,INDEX($F$29:$FF$29,1,101+e_AntProvMeses+1),0))*Calendario!DC$13</f>
        <v>0</v>
      </c>
      <c r="DD34" s="13" t="n">
        <f aca="false">IF(DD$9=1,0,e_AntProv*IF(102+e_AntProvMeses&lt;=156,INDEX($F$29:$FF$29,1,102+e_AntProvMeses+1),0))*Calendario!DD$13</f>
        <v>0</v>
      </c>
      <c r="DE34" s="13" t="n">
        <f aca="false">IF(DE$9=1,0,e_AntProv*IF(103+e_AntProvMeses&lt;=156,INDEX($F$29:$FF$29,1,103+e_AntProvMeses+1),0))*Calendario!DE$13</f>
        <v>0</v>
      </c>
      <c r="DF34" s="13" t="n">
        <f aca="false">IF(DF$9=1,0,e_AntProv*IF(104+e_AntProvMeses&lt;=156,INDEX($F$29:$FF$29,1,104+e_AntProvMeses+1),0))*Calendario!DF$13</f>
        <v>0</v>
      </c>
      <c r="DG34" s="13" t="n">
        <f aca="false">IF(DG$9=1,0,e_AntProv*IF(105+e_AntProvMeses&lt;=156,INDEX($F$29:$FF$29,1,105+e_AntProvMeses+1),0))*Calendario!DG$13</f>
        <v>0</v>
      </c>
      <c r="DH34" s="13" t="n">
        <f aca="false">IF(DH$9=1,0,e_AntProv*IF(106+e_AntProvMeses&lt;=156,INDEX($F$29:$FF$29,1,106+e_AntProvMeses+1),0))*Calendario!DH$13</f>
        <v>0</v>
      </c>
      <c r="DI34" s="13" t="n">
        <f aca="false">IF(DI$9=1,0,e_AntProv*IF(107+e_AntProvMeses&lt;=156,INDEX($F$29:$FF$29,1,107+e_AntProvMeses+1),0))*Calendario!DI$13</f>
        <v>0</v>
      </c>
      <c r="DJ34" s="13" t="n">
        <f aca="false">IF(DJ$9=1,0,e_AntProv*IF(108+e_AntProvMeses&lt;=156,INDEX($F$29:$FF$29,1,108+e_AntProvMeses+1),0))*Calendario!DJ$13</f>
        <v>0</v>
      </c>
      <c r="DK34" s="13" t="n">
        <f aca="false">IF(DK$9=1,0,e_AntProv*IF(109+e_AntProvMeses&lt;=156,INDEX($F$29:$FF$29,1,109+e_AntProvMeses+1),0))*Calendario!DK$13</f>
        <v>0</v>
      </c>
      <c r="DL34" s="13" t="n">
        <f aca="false">IF(DL$9=1,0,e_AntProv*IF(110+e_AntProvMeses&lt;=156,INDEX($F$29:$FF$29,1,110+e_AntProvMeses+1),0))*Calendario!DL$13</f>
        <v>0</v>
      </c>
      <c r="DM34" s="13" t="n">
        <f aca="false">IF(DM$9=1,0,e_AntProv*IF(111+e_AntProvMeses&lt;=156,INDEX($F$29:$FF$29,1,111+e_AntProvMeses+1),0))*Calendario!DM$13</f>
        <v>0</v>
      </c>
      <c r="DN34" s="13" t="n">
        <f aca="false">IF(DN$9=1,0,e_AntProv*IF(112+e_AntProvMeses&lt;=156,INDEX($F$29:$FF$29,1,112+e_AntProvMeses+1),0))*Calendario!DN$13</f>
        <v>0</v>
      </c>
      <c r="DO34" s="13" t="n">
        <f aca="false">IF(DO$9=1,0,e_AntProv*IF(113+e_AntProvMeses&lt;=156,INDEX($F$29:$FF$29,1,113+e_AntProvMeses+1),0))*Calendario!DO$13</f>
        <v>0</v>
      </c>
      <c r="DP34" s="13" t="n">
        <f aca="false">IF(DP$9=1,0,e_AntProv*IF(114+e_AntProvMeses&lt;=156,INDEX($F$29:$FF$29,1,114+e_AntProvMeses+1),0))*Calendario!DP$13</f>
        <v>0</v>
      </c>
      <c r="DQ34" s="13" t="n">
        <f aca="false">IF(DQ$9=1,0,e_AntProv*IF(115+e_AntProvMeses&lt;=156,INDEX($F$29:$FF$29,1,115+e_AntProvMeses+1),0))*Calendario!DQ$13</f>
        <v>0</v>
      </c>
      <c r="DR34" s="13" t="n">
        <f aca="false">IF(DR$9=1,0,e_AntProv*IF(116+e_AntProvMeses&lt;=156,INDEX($F$29:$FF$29,1,116+e_AntProvMeses+1),0))*Calendario!DR$13</f>
        <v>0</v>
      </c>
      <c r="DS34" s="13" t="n">
        <f aca="false">IF(DS$9=1,0,e_AntProv*IF(117+e_AntProvMeses&lt;=156,INDEX($F$29:$FF$29,1,117+e_AntProvMeses+1),0))*Calendario!DS$13</f>
        <v>0</v>
      </c>
      <c r="DT34" s="13" t="n">
        <f aca="false">IF(DT$9=1,0,e_AntProv*IF(118+e_AntProvMeses&lt;=156,INDEX($F$29:$FF$29,1,118+e_AntProvMeses+1),0))*Calendario!DT$13</f>
        <v>0</v>
      </c>
      <c r="DU34" s="13" t="n">
        <f aca="false">IF(DU$9=1,0,e_AntProv*IF(119+e_AntProvMeses&lt;=156,INDEX($F$29:$FF$29,1,119+e_AntProvMeses+1),0))*Calendario!DU$13</f>
        <v>0</v>
      </c>
      <c r="DV34" s="13" t="n">
        <f aca="false">IF(DV$9=1,0,e_AntProv*IF(120+e_AntProvMeses&lt;=156,INDEX($F$29:$FF$29,1,120+e_AntProvMeses+1),0))*Calendario!DV$13</f>
        <v>0</v>
      </c>
      <c r="DW34" s="13" t="n">
        <f aca="false">IF(DW$9=1,0,e_AntProv*IF(121+e_AntProvMeses&lt;=156,INDEX($F$29:$FF$29,1,121+e_AntProvMeses+1),0))*Calendario!DW$13</f>
        <v>0</v>
      </c>
      <c r="DX34" s="13" t="n">
        <f aca="false">IF(DX$9=1,0,e_AntProv*IF(122+e_AntProvMeses&lt;=156,INDEX($F$29:$FF$29,1,122+e_AntProvMeses+1),0))*Calendario!DX$13</f>
        <v>0</v>
      </c>
      <c r="DY34" s="13" t="n">
        <f aca="false">IF(DY$9=1,0,e_AntProv*IF(123+e_AntProvMeses&lt;=156,INDEX($F$29:$FF$29,1,123+e_AntProvMeses+1),0))*Calendario!DY$13</f>
        <v>0</v>
      </c>
      <c r="DZ34" s="13" t="n">
        <f aca="false">IF(DZ$9=1,0,e_AntProv*IF(124+e_AntProvMeses&lt;=156,INDEX($F$29:$FF$29,1,124+e_AntProvMeses+1),0))*Calendario!DZ$13</f>
        <v>0</v>
      </c>
      <c r="EA34" s="13" t="n">
        <f aca="false">IF(EA$9=1,0,e_AntProv*IF(125+e_AntProvMeses&lt;=156,INDEX($F$29:$FF$29,1,125+e_AntProvMeses+1),0))*Calendario!EA$13</f>
        <v>0</v>
      </c>
      <c r="EB34" s="13" t="n">
        <f aca="false">IF(EB$9=1,0,e_AntProv*IF(126+e_AntProvMeses&lt;=156,INDEX($F$29:$FF$29,1,126+e_AntProvMeses+1),0))*Calendario!EB$13</f>
        <v>0</v>
      </c>
      <c r="EC34" s="13" t="n">
        <f aca="false">IF(EC$9=1,0,e_AntProv*IF(127+e_AntProvMeses&lt;=156,INDEX($F$29:$FF$29,1,127+e_AntProvMeses+1),0))*Calendario!EC$13</f>
        <v>0</v>
      </c>
      <c r="ED34" s="13" t="n">
        <f aca="false">IF(ED$9=1,0,e_AntProv*IF(128+e_AntProvMeses&lt;=156,INDEX($F$29:$FF$29,1,128+e_AntProvMeses+1),0))*Calendario!ED$13</f>
        <v>0</v>
      </c>
      <c r="EE34" s="13" t="n">
        <f aca="false">IF(EE$9=1,0,e_AntProv*IF(129+e_AntProvMeses&lt;=156,INDEX($F$29:$FF$29,1,129+e_AntProvMeses+1),0))*Calendario!EE$13</f>
        <v>0</v>
      </c>
      <c r="EF34" s="13" t="n">
        <f aca="false">IF(EF$9=1,0,e_AntProv*IF(130+e_AntProvMeses&lt;=156,INDEX($F$29:$FF$29,1,130+e_AntProvMeses+1),0))*Calendario!EF$13</f>
        <v>0</v>
      </c>
      <c r="EG34" s="13" t="n">
        <f aca="false">IF(EG$9=1,0,e_AntProv*IF(131+e_AntProvMeses&lt;=156,INDEX($F$29:$FF$29,1,131+e_AntProvMeses+1),0))*Calendario!EG$13</f>
        <v>0</v>
      </c>
      <c r="EH34" s="13" t="n">
        <f aca="false">IF(EH$9=1,0,e_AntProv*IF(132+e_AntProvMeses&lt;=156,INDEX($F$29:$FF$29,1,132+e_AntProvMeses+1),0))*Calendario!EH$13</f>
        <v>0</v>
      </c>
      <c r="EI34" s="13" t="n">
        <f aca="false">IF(EI$9=1,0,e_AntProv*IF(133+e_AntProvMeses&lt;=156,INDEX($F$29:$FF$29,1,133+e_AntProvMeses+1),0))*Calendario!EI$13</f>
        <v>0</v>
      </c>
      <c r="EJ34" s="13" t="n">
        <f aca="false">IF(EJ$9=1,0,e_AntProv*IF(134+e_AntProvMeses&lt;=156,INDEX($F$29:$FF$29,1,134+e_AntProvMeses+1),0))*Calendario!EJ$13</f>
        <v>0</v>
      </c>
      <c r="EK34" s="13" t="n">
        <f aca="false">IF(EK$9=1,0,e_AntProv*IF(135+e_AntProvMeses&lt;=156,INDEX($F$29:$FF$29,1,135+e_AntProvMeses+1),0))*Calendario!EK$13</f>
        <v>0</v>
      </c>
      <c r="EL34" s="13" t="n">
        <f aca="false">IF(EL$9=1,0,e_AntProv*IF(136+e_AntProvMeses&lt;=156,INDEX($F$29:$FF$29,1,136+e_AntProvMeses+1),0))*Calendario!EL$13</f>
        <v>0</v>
      </c>
      <c r="EM34" s="13" t="n">
        <f aca="false">IF(EM$9=1,0,e_AntProv*IF(137+e_AntProvMeses&lt;=156,INDEX($F$29:$FF$29,1,137+e_AntProvMeses+1),0))*Calendario!EM$13</f>
        <v>0</v>
      </c>
      <c r="EN34" s="13" t="n">
        <f aca="false">IF(EN$9=1,0,e_AntProv*IF(138+e_AntProvMeses&lt;=156,INDEX($F$29:$FF$29,1,138+e_AntProvMeses+1),0))*Calendario!EN$13</f>
        <v>0</v>
      </c>
      <c r="EO34" s="13" t="n">
        <f aca="false">IF(EO$9=1,0,e_AntProv*IF(139+e_AntProvMeses&lt;=156,INDEX($F$29:$FF$29,1,139+e_AntProvMeses+1),0))*Calendario!EO$13</f>
        <v>0</v>
      </c>
      <c r="EP34" s="13" t="n">
        <f aca="false">IF(EP$9=1,0,e_AntProv*IF(140+e_AntProvMeses&lt;=156,INDEX($F$29:$FF$29,1,140+e_AntProvMeses+1),0))*Calendario!EP$13</f>
        <v>0</v>
      </c>
      <c r="EQ34" s="13" t="n">
        <f aca="false">IF(EQ$9=1,0,e_AntProv*IF(141+e_AntProvMeses&lt;=156,INDEX($F$29:$FF$29,1,141+e_AntProvMeses+1),0))*Calendario!EQ$13</f>
        <v>0</v>
      </c>
      <c r="ER34" s="13" t="n">
        <f aca="false">IF(ER$9=1,0,e_AntProv*IF(142+e_AntProvMeses&lt;=156,INDEX($F$29:$FF$29,1,142+e_AntProvMeses+1),0))*Calendario!ER$13</f>
        <v>0</v>
      </c>
      <c r="ES34" s="13" t="n">
        <f aca="false">IF(ES$9=1,0,e_AntProv*IF(143+e_AntProvMeses&lt;=156,INDEX($F$29:$FF$29,1,143+e_AntProvMeses+1),0))*Calendario!ES$13</f>
        <v>0</v>
      </c>
      <c r="ET34" s="13" t="n">
        <f aca="false">IF(ET$9=1,0,e_AntProv*IF(144+e_AntProvMeses&lt;=156,INDEX($F$29:$FF$29,1,144+e_AntProvMeses+1),0))*Calendario!ET$13</f>
        <v>0</v>
      </c>
      <c r="EU34" s="13" t="n">
        <f aca="false">IF(EU$9=1,0,e_AntProv*IF(145+e_AntProvMeses&lt;=156,INDEX($F$29:$FF$29,1,145+e_AntProvMeses+1),0))*Calendario!EU$13</f>
        <v>0</v>
      </c>
      <c r="EV34" s="13" t="n">
        <f aca="false">IF(EV$9=1,0,e_AntProv*IF(146+e_AntProvMeses&lt;=156,INDEX($F$29:$FF$29,1,146+e_AntProvMeses+1),0))*Calendario!EV$13</f>
        <v>0</v>
      </c>
      <c r="EW34" s="13" t="n">
        <f aca="false">IF(EW$9=1,0,e_AntProv*IF(147+e_AntProvMeses&lt;=156,INDEX($F$29:$FF$29,1,147+e_AntProvMeses+1),0))*Calendario!EW$13</f>
        <v>0</v>
      </c>
      <c r="EX34" s="13" t="n">
        <f aca="false">IF(EX$9=1,0,e_AntProv*IF(148+e_AntProvMeses&lt;=156,INDEX($F$29:$FF$29,1,148+e_AntProvMeses+1),0))*Calendario!EX$13</f>
        <v>0</v>
      </c>
      <c r="EY34" s="13" t="n">
        <f aca="false">IF(EY$9=1,0,e_AntProv*IF(149+e_AntProvMeses&lt;=156,INDEX($F$29:$FF$29,1,149+e_AntProvMeses+1),0))*Calendario!EY$13</f>
        <v>0</v>
      </c>
      <c r="EZ34" s="13" t="n">
        <f aca="false">IF(EZ$9=1,0,e_AntProv*IF(150+e_AntProvMeses&lt;=156,INDEX($F$29:$FF$29,1,150+e_AntProvMeses+1),0))*Calendario!EZ$13</f>
        <v>0</v>
      </c>
      <c r="FA34" s="13" t="n">
        <f aca="false">IF(FA$9=1,0,e_AntProv*IF(151+e_AntProvMeses&lt;=156,INDEX($F$29:$FF$29,1,151+e_AntProvMeses+1),0))*Calendario!FA$13</f>
        <v>0</v>
      </c>
      <c r="FB34" s="13" t="n">
        <f aca="false">IF(FB$9=1,0,e_AntProv*IF(152+e_AntProvMeses&lt;=156,INDEX($F$29:$FF$29,1,152+e_AntProvMeses+1),0))*Calendario!FB$13</f>
        <v>0</v>
      </c>
      <c r="FC34" s="13" t="n">
        <f aca="false">IF(FC$9=1,0,e_AntProv*IF(153+e_AntProvMeses&lt;=156,INDEX($F$29:$FF$29,1,153+e_AntProvMeses+1),0))*Calendario!FC$13</f>
        <v>0</v>
      </c>
      <c r="FD34" s="13" t="n">
        <f aca="false">IF(FD$9=1,0,e_AntProv*IF(154+e_AntProvMeses&lt;=156,INDEX($F$29:$FF$29,1,154+e_AntProvMeses+1),0))*Calendario!FD$13</f>
        <v>0</v>
      </c>
      <c r="FE34" s="13" t="n">
        <f aca="false">IF(FE$9=1,0,e_AntProv*IF(155+e_AntProvMeses&lt;=156,INDEX($F$29:$FF$29,1,155+e_AntProvMeses+1),0))*Calendario!FE$13</f>
        <v>0</v>
      </c>
      <c r="FF34" s="13" t="n">
        <f aca="false">IF(FF$9=1,0,e_AntProv*IF(156+e_AntProvMeses&lt;=156,INDEX($F$29:$FF$29,1,156+e_AntProvMeses+1),0))*Calendario!FF$13</f>
        <v>0</v>
      </c>
    </row>
    <row r="35" customFormat="false" ht="15" hidden="false" customHeight="false" outlineLevel="0" collapsed="false">
      <c r="A35" s="2" t="s">
        <v>1328</v>
      </c>
      <c r="B35" s="8" t="s">
        <v>1329</v>
      </c>
      <c r="C35" s="8" t="s">
        <v>255</v>
      </c>
      <c r="E35" s="65" t="n">
        <f aca="false">SUM($F35:$FF35)</f>
        <v>0</v>
      </c>
      <c r="F35" s="13" t="n">
        <f aca="false">IF(F$9=1,0,e_AntProv*F$29)</f>
        <v>0</v>
      </c>
      <c r="G35" s="13" t="n">
        <f aca="false">IF(G$9=1,0,e_AntProv*G$29)</f>
        <v>0</v>
      </c>
      <c r="H35" s="13" t="n">
        <f aca="false">IF(H$9=1,0,e_AntProv*H$29)</f>
        <v>0</v>
      </c>
      <c r="I35" s="13" t="n">
        <f aca="false">IF(I$9=1,0,e_AntProv*I$29)</f>
        <v>0</v>
      </c>
      <c r="J35" s="13" t="n">
        <f aca="false">IF(J$9=1,0,e_AntProv*J$29)</f>
        <v>0</v>
      </c>
      <c r="K35" s="13" t="n">
        <f aca="false">IF(K$9=1,0,e_AntProv*K$29)</f>
        <v>0</v>
      </c>
      <c r="L35" s="13" t="n">
        <f aca="false">IF(L$9=1,0,e_AntProv*L$29)</f>
        <v>0</v>
      </c>
      <c r="M35" s="13" t="n">
        <f aca="false">IF(M$9=1,0,e_AntProv*M$29)</f>
        <v>0</v>
      </c>
      <c r="N35" s="13" t="n">
        <f aca="false">IF(N$9=1,0,e_AntProv*N$29)</f>
        <v>0</v>
      </c>
      <c r="O35" s="13" t="n">
        <f aca="false">IF(O$9=1,0,e_AntProv*O$29)</f>
        <v>0</v>
      </c>
      <c r="P35" s="13" t="n">
        <f aca="false">IF(P$9=1,0,e_AntProv*P$29)</f>
        <v>0</v>
      </c>
      <c r="Q35" s="13" t="n">
        <f aca="false">IF(Q$9=1,0,e_AntProv*Q$29)</f>
        <v>0</v>
      </c>
      <c r="R35" s="13" t="n">
        <f aca="false">IF(R$9=1,0,e_AntProv*R$29)</f>
        <v>0</v>
      </c>
      <c r="S35" s="13" t="n">
        <f aca="false">IF(S$9=1,0,e_AntProv*S$29)</f>
        <v>0</v>
      </c>
      <c r="T35" s="13" t="n">
        <f aca="false">IF(T$9=1,0,e_AntProv*T$29)</f>
        <v>0</v>
      </c>
      <c r="U35" s="13" t="n">
        <f aca="false">IF(U$9=1,0,e_AntProv*U$29)</f>
        <v>0</v>
      </c>
      <c r="V35" s="13" t="n">
        <f aca="false">IF(V$9=1,0,e_AntProv*V$29)</f>
        <v>0</v>
      </c>
      <c r="W35" s="13" t="n">
        <f aca="false">IF(W$9=1,0,e_AntProv*W$29)</f>
        <v>0</v>
      </c>
      <c r="X35" s="13" t="n">
        <f aca="false">IF(X$9=1,0,e_AntProv*X$29)</f>
        <v>0</v>
      </c>
      <c r="Y35" s="13" t="n">
        <f aca="false">IF(Y$9=1,0,e_AntProv*Y$29)</f>
        <v>0</v>
      </c>
      <c r="Z35" s="13" t="n">
        <f aca="false">IF(Z$9=1,0,e_AntProv*Z$29)</f>
        <v>0</v>
      </c>
      <c r="AA35" s="13" t="n">
        <f aca="false">IF(AA$9=1,0,e_AntProv*AA$29)</f>
        <v>0</v>
      </c>
      <c r="AB35" s="13" t="n">
        <f aca="false">IF(AB$9=1,0,e_AntProv*AB$29)</f>
        <v>0</v>
      </c>
      <c r="AC35" s="13" t="n">
        <f aca="false">IF(AC$9=1,0,e_AntProv*AC$29)</f>
        <v>0</v>
      </c>
      <c r="AD35" s="13" t="n">
        <f aca="false">IF(AD$9=1,0,e_AntProv*AD$29)</f>
        <v>0</v>
      </c>
      <c r="AE35" s="13" t="n">
        <f aca="false">IF(AE$9=1,0,e_AntProv*AE$29)</f>
        <v>0</v>
      </c>
      <c r="AF35" s="13" t="n">
        <f aca="false">IF(AF$9=1,0,e_AntProv*AF$29)</f>
        <v>0</v>
      </c>
      <c r="AG35" s="13" t="n">
        <f aca="false">IF(AG$9=1,0,e_AntProv*AG$29)</f>
        <v>0</v>
      </c>
      <c r="AH35" s="13" t="n">
        <f aca="false">IF(AH$9=1,0,e_AntProv*AH$29)</f>
        <v>0</v>
      </c>
      <c r="AI35" s="13" t="n">
        <f aca="false">IF(AI$9=1,0,e_AntProv*AI$29)</f>
        <v>0</v>
      </c>
      <c r="AJ35" s="13" t="n">
        <f aca="false">IF(AJ$9=1,0,e_AntProv*AJ$29)</f>
        <v>0</v>
      </c>
      <c r="AK35" s="13" t="n">
        <f aca="false">IF(AK$9=1,0,e_AntProv*AK$29)</f>
        <v>0</v>
      </c>
      <c r="AL35" s="13" t="n">
        <f aca="false">IF(AL$9=1,0,e_AntProv*AL$29)</f>
        <v>0</v>
      </c>
      <c r="AM35" s="13" t="n">
        <f aca="false">IF(AM$9=1,0,e_AntProv*AM$29)</f>
        <v>0</v>
      </c>
      <c r="AN35" s="13" t="n">
        <f aca="false">IF(AN$9=1,0,e_AntProv*AN$29)</f>
        <v>0</v>
      </c>
      <c r="AO35" s="13" t="n">
        <f aca="false">IF(AO$9=1,0,e_AntProv*AO$29)</f>
        <v>0</v>
      </c>
      <c r="AP35" s="13" t="n">
        <f aca="false">IF(AP$9=1,0,e_AntProv*AP$29)</f>
        <v>0</v>
      </c>
      <c r="AQ35" s="13" t="n">
        <f aca="false">IF(AQ$9=1,0,e_AntProv*AQ$29)</f>
        <v>0</v>
      </c>
      <c r="AR35" s="13" t="n">
        <f aca="false">IF(AR$9=1,0,e_AntProv*AR$29)</f>
        <v>0</v>
      </c>
      <c r="AS35" s="13" t="n">
        <f aca="false">IF(AS$9=1,0,e_AntProv*AS$29)</f>
        <v>0</v>
      </c>
      <c r="AT35" s="13" t="n">
        <f aca="false">IF(AT$9=1,0,e_AntProv*AT$29)</f>
        <v>0</v>
      </c>
      <c r="AU35" s="13" t="n">
        <f aca="false">IF(AU$9=1,0,e_AntProv*AU$29)</f>
        <v>0</v>
      </c>
      <c r="AV35" s="13" t="n">
        <f aca="false">IF(AV$9=1,0,e_AntProv*AV$29)</f>
        <v>0</v>
      </c>
      <c r="AW35" s="13" t="n">
        <f aca="false">IF(AW$9=1,0,e_AntProv*AW$29)</f>
        <v>0</v>
      </c>
      <c r="AX35" s="13" t="n">
        <f aca="false">IF(AX$9=1,0,e_AntProv*AX$29)</f>
        <v>0</v>
      </c>
      <c r="AY35" s="13" t="n">
        <f aca="false">IF(AY$9=1,0,e_AntProv*AY$29)</f>
        <v>0</v>
      </c>
      <c r="AZ35" s="13" t="n">
        <f aca="false">IF(AZ$9=1,0,e_AntProv*AZ$29)</f>
        <v>0</v>
      </c>
      <c r="BA35" s="13" t="n">
        <f aca="false">IF(BA$9=1,0,e_AntProv*BA$29)</f>
        <v>0</v>
      </c>
      <c r="BB35" s="13" t="n">
        <f aca="false">IF(BB$9=1,0,e_AntProv*BB$29)</f>
        <v>0</v>
      </c>
      <c r="BC35" s="13" t="n">
        <f aca="false">IF(BC$9=1,0,e_AntProv*BC$29)</f>
        <v>0</v>
      </c>
      <c r="BD35" s="13" t="n">
        <f aca="false">IF(BD$9=1,0,e_AntProv*BD$29)</f>
        <v>0</v>
      </c>
      <c r="BE35" s="13" t="n">
        <f aca="false">IF(BE$9=1,0,e_AntProv*BE$29)</f>
        <v>0</v>
      </c>
      <c r="BF35" s="13" t="n">
        <f aca="false">IF(BF$9=1,0,e_AntProv*BF$29)</f>
        <v>0</v>
      </c>
      <c r="BG35" s="13" t="n">
        <f aca="false">IF(BG$9=1,0,e_AntProv*BG$29)</f>
        <v>0</v>
      </c>
      <c r="BH35" s="13" t="n">
        <f aca="false">IF(BH$9=1,0,e_AntProv*BH$29)</f>
        <v>0</v>
      </c>
      <c r="BI35" s="13" t="n">
        <f aca="false">IF(BI$9=1,0,e_AntProv*BI$29)</f>
        <v>0</v>
      </c>
      <c r="BJ35" s="13" t="n">
        <f aca="false">IF(BJ$9=1,0,e_AntProv*BJ$29)</f>
        <v>0</v>
      </c>
      <c r="BK35" s="13" t="n">
        <f aca="false">IF(BK$9=1,0,e_AntProv*BK$29)</f>
        <v>0</v>
      </c>
      <c r="BL35" s="13" t="n">
        <f aca="false">IF(BL$9=1,0,e_AntProv*BL$29)</f>
        <v>0</v>
      </c>
      <c r="BM35" s="13" t="n">
        <f aca="false">IF(BM$9=1,0,e_AntProv*BM$29)</f>
        <v>0</v>
      </c>
      <c r="BN35" s="13" t="n">
        <f aca="false">IF(BN$9=1,0,e_AntProv*BN$29)</f>
        <v>0</v>
      </c>
      <c r="BO35" s="13" t="n">
        <f aca="false">IF(BO$9=1,0,e_AntProv*BO$29)</f>
        <v>0</v>
      </c>
      <c r="BP35" s="13" t="n">
        <f aca="false">IF(BP$9=1,0,e_AntProv*BP$29)</f>
        <v>0</v>
      </c>
      <c r="BQ35" s="13" t="n">
        <f aca="false">IF(BQ$9=1,0,e_AntProv*BQ$29)</f>
        <v>0</v>
      </c>
      <c r="BR35" s="13" t="n">
        <f aca="false">IF(BR$9=1,0,e_AntProv*BR$29)</f>
        <v>0</v>
      </c>
      <c r="BS35" s="13" t="n">
        <f aca="false">IF(BS$9=1,0,e_AntProv*BS$29)</f>
        <v>0</v>
      </c>
      <c r="BT35" s="13" t="n">
        <f aca="false">IF(BT$9=1,0,e_AntProv*BT$29)</f>
        <v>0</v>
      </c>
      <c r="BU35" s="13" t="n">
        <f aca="false">IF(BU$9=1,0,e_AntProv*BU$29)</f>
        <v>0</v>
      </c>
      <c r="BV35" s="13" t="n">
        <f aca="false">IF(BV$9=1,0,e_AntProv*BV$29)</f>
        <v>0</v>
      </c>
      <c r="BW35" s="13" t="n">
        <f aca="false">IF(BW$9=1,0,e_AntProv*BW$29)</f>
        <v>0</v>
      </c>
      <c r="BX35" s="13" t="n">
        <f aca="false">IF(BX$9=1,0,e_AntProv*BX$29)</f>
        <v>0</v>
      </c>
      <c r="BY35" s="13" t="n">
        <f aca="false">IF(BY$9=1,0,e_AntProv*BY$29)</f>
        <v>0</v>
      </c>
      <c r="BZ35" s="13" t="n">
        <f aca="false">IF(BZ$9=1,0,e_AntProv*BZ$29)</f>
        <v>0</v>
      </c>
      <c r="CA35" s="13" t="n">
        <f aca="false">IF(CA$9=1,0,e_AntProv*CA$29)</f>
        <v>0</v>
      </c>
      <c r="CB35" s="13" t="n">
        <f aca="false">IF(CB$9=1,0,e_AntProv*CB$29)</f>
        <v>0</v>
      </c>
      <c r="CC35" s="13" t="n">
        <f aca="false">IF(CC$9=1,0,e_AntProv*CC$29)</f>
        <v>0</v>
      </c>
      <c r="CD35" s="13" t="n">
        <f aca="false">IF(CD$9=1,0,e_AntProv*CD$29)</f>
        <v>0</v>
      </c>
      <c r="CE35" s="13" t="n">
        <f aca="false">IF(CE$9=1,0,e_AntProv*CE$29)</f>
        <v>0</v>
      </c>
      <c r="CF35" s="13" t="n">
        <f aca="false">IF(CF$9=1,0,e_AntProv*CF$29)</f>
        <v>0</v>
      </c>
      <c r="CG35" s="13" t="n">
        <f aca="false">IF(CG$9=1,0,e_AntProv*CG$29)</f>
        <v>0</v>
      </c>
      <c r="CH35" s="13" t="n">
        <f aca="false">IF(CH$9=1,0,e_AntProv*CH$29)</f>
        <v>0</v>
      </c>
      <c r="CI35" s="13" t="n">
        <f aca="false">IF(CI$9=1,0,e_AntProv*CI$29)</f>
        <v>0</v>
      </c>
      <c r="CJ35" s="13" t="n">
        <f aca="false">IF(CJ$9=1,0,e_AntProv*CJ$29)</f>
        <v>0</v>
      </c>
      <c r="CK35" s="13" t="n">
        <f aca="false">IF(CK$9=1,0,e_AntProv*CK$29)</f>
        <v>0</v>
      </c>
      <c r="CL35" s="13" t="n">
        <f aca="false">IF(CL$9=1,0,e_AntProv*CL$29)</f>
        <v>0</v>
      </c>
      <c r="CM35" s="13" t="n">
        <f aca="false">IF(CM$9=1,0,e_AntProv*CM$29)</f>
        <v>0</v>
      </c>
      <c r="CN35" s="13" t="n">
        <f aca="false">IF(CN$9=1,0,e_AntProv*CN$29)</f>
        <v>0</v>
      </c>
      <c r="CO35" s="13" t="n">
        <f aca="false">IF(CO$9=1,0,e_AntProv*CO$29)</f>
        <v>0</v>
      </c>
      <c r="CP35" s="13" t="n">
        <f aca="false">IF(CP$9=1,0,e_AntProv*CP$29)</f>
        <v>0</v>
      </c>
      <c r="CQ35" s="13" t="n">
        <f aca="false">IF(CQ$9=1,0,e_AntProv*CQ$29)</f>
        <v>0</v>
      </c>
      <c r="CR35" s="13" t="n">
        <f aca="false">IF(CR$9=1,0,e_AntProv*CR$29)</f>
        <v>0</v>
      </c>
      <c r="CS35" s="13" t="n">
        <f aca="false">IF(CS$9=1,0,e_AntProv*CS$29)</f>
        <v>0</v>
      </c>
      <c r="CT35" s="13" t="n">
        <f aca="false">IF(CT$9=1,0,e_AntProv*CT$29)</f>
        <v>0</v>
      </c>
      <c r="CU35" s="13" t="n">
        <f aca="false">IF(CU$9=1,0,e_AntProv*CU$29)</f>
        <v>0</v>
      </c>
      <c r="CV35" s="13" t="n">
        <f aca="false">IF(CV$9=1,0,e_AntProv*CV$29)</f>
        <v>0</v>
      </c>
      <c r="CW35" s="13" t="n">
        <f aca="false">IF(CW$9=1,0,e_AntProv*CW$29)</f>
        <v>0</v>
      </c>
      <c r="CX35" s="13" t="n">
        <f aca="false">IF(CX$9=1,0,e_AntProv*CX$29)</f>
        <v>0</v>
      </c>
      <c r="CY35" s="13" t="n">
        <f aca="false">IF(CY$9=1,0,e_AntProv*CY$29)</f>
        <v>0</v>
      </c>
      <c r="CZ35" s="13" t="n">
        <f aca="false">IF(CZ$9=1,0,e_AntProv*CZ$29)</f>
        <v>0</v>
      </c>
      <c r="DA35" s="13" t="n">
        <f aca="false">IF(DA$9=1,0,e_AntProv*DA$29)</f>
        <v>0</v>
      </c>
      <c r="DB35" s="13" t="n">
        <f aca="false">IF(DB$9=1,0,e_AntProv*DB$29)</f>
        <v>0</v>
      </c>
      <c r="DC35" s="13" t="n">
        <f aca="false">IF(DC$9=1,0,e_AntProv*DC$29)</f>
        <v>0</v>
      </c>
      <c r="DD35" s="13" t="n">
        <f aca="false">IF(DD$9=1,0,e_AntProv*DD$29)</f>
        <v>0</v>
      </c>
      <c r="DE35" s="13" t="n">
        <f aca="false">IF(DE$9=1,0,e_AntProv*DE$29)</f>
        <v>0</v>
      </c>
      <c r="DF35" s="13" t="n">
        <f aca="false">IF(DF$9=1,0,e_AntProv*DF$29)</f>
        <v>0</v>
      </c>
      <c r="DG35" s="13" t="n">
        <f aca="false">IF(DG$9=1,0,e_AntProv*DG$29)</f>
        <v>0</v>
      </c>
      <c r="DH35" s="13" t="n">
        <f aca="false">IF(DH$9=1,0,e_AntProv*DH$29)</f>
        <v>0</v>
      </c>
      <c r="DI35" s="13" t="n">
        <f aca="false">IF(DI$9=1,0,e_AntProv*DI$29)</f>
        <v>0</v>
      </c>
      <c r="DJ35" s="13" t="n">
        <f aca="false">IF(DJ$9=1,0,e_AntProv*DJ$29)</f>
        <v>0</v>
      </c>
      <c r="DK35" s="13" t="n">
        <f aca="false">IF(DK$9=1,0,e_AntProv*DK$29)</f>
        <v>0</v>
      </c>
      <c r="DL35" s="13" t="n">
        <f aca="false">IF(DL$9=1,0,e_AntProv*DL$29)</f>
        <v>0</v>
      </c>
      <c r="DM35" s="13" t="n">
        <f aca="false">IF(DM$9=1,0,e_AntProv*DM$29)</f>
        <v>0</v>
      </c>
      <c r="DN35" s="13" t="n">
        <f aca="false">IF(DN$9=1,0,e_AntProv*DN$29)</f>
        <v>0</v>
      </c>
      <c r="DO35" s="13" t="n">
        <f aca="false">IF(DO$9=1,0,e_AntProv*DO$29)</f>
        <v>0</v>
      </c>
      <c r="DP35" s="13" t="n">
        <f aca="false">IF(DP$9=1,0,e_AntProv*DP$29)</f>
        <v>0</v>
      </c>
      <c r="DQ35" s="13" t="n">
        <f aca="false">IF(DQ$9=1,0,e_AntProv*DQ$29)</f>
        <v>0</v>
      </c>
      <c r="DR35" s="13" t="n">
        <f aca="false">IF(DR$9=1,0,e_AntProv*DR$29)</f>
        <v>0</v>
      </c>
      <c r="DS35" s="13" t="n">
        <f aca="false">IF(DS$9=1,0,e_AntProv*DS$29)</f>
        <v>0</v>
      </c>
      <c r="DT35" s="13" t="n">
        <f aca="false">IF(DT$9=1,0,e_AntProv*DT$29)</f>
        <v>0</v>
      </c>
      <c r="DU35" s="13" t="n">
        <f aca="false">IF(DU$9=1,0,e_AntProv*DU$29)</f>
        <v>0</v>
      </c>
      <c r="DV35" s="13" t="n">
        <f aca="false">IF(DV$9=1,0,e_AntProv*DV$29)</f>
        <v>0</v>
      </c>
      <c r="DW35" s="13" t="n">
        <f aca="false">IF(DW$9=1,0,e_AntProv*DW$29)</f>
        <v>0</v>
      </c>
      <c r="DX35" s="13" t="n">
        <f aca="false">IF(DX$9=1,0,e_AntProv*DX$29)</f>
        <v>0</v>
      </c>
      <c r="DY35" s="13" t="n">
        <f aca="false">IF(DY$9=1,0,e_AntProv*DY$29)</f>
        <v>0</v>
      </c>
      <c r="DZ35" s="13" t="n">
        <f aca="false">IF(DZ$9=1,0,e_AntProv*DZ$29)</f>
        <v>0</v>
      </c>
      <c r="EA35" s="13" t="n">
        <f aca="false">IF(EA$9=1,0,e_AntProv*EA$29)</f>
        <v>0</v>
      </c>
      <c r="EB35" s="13" t="n">
        <f aca="false">IF(EB$9=1,0,e_AntProv*EB$29)</f>
        <v>0</v>
      </c>
      <c r="EC35" s="13" t="n">
        <f aca="false">IF(EC$9=1,0,e_AntProv*EC$29)</f>
        <v>0</v>
      </c>
      <c r="ED35" s="13" t="n">
        <f aca="false">IF(ED$9=1,0,e_AntProv*ED$29)</f>
        <v>0</v>
      </c>
      <c r="EE35" s="13" t="n">
        <f aca="false">IF(EE$9=1,0,e_AntProv*EE$29)</f>
        <v>0</v>
      </c>
      <c r="EF35" s="13" t="n">
        <f aca="false">IF(EF$9=1,0,e_AntProv*EF$29)</f>
        <v>0</v>
      </c>
      <c r="EG35" s="13" t="n">
        <f aca="false">IF(EG$9=1,0,e_AntProv*EG$29)</f>
        <v>0</v>
      </c>
      <c r="EH35" s="13" t="n">
        <f aca="false">IF(EH$9=1,0,e_AntProv*EH$29)</f>
        <v>0</v>
      </c>
      <c r="EI35" s="13" t="n">
        <f aca="false">IF(EI$9=1,0,e_AntProv*EI$29)</f>
        <v>0</v>
      </c>
      <c r="EJ35" s="13" t="n">
        <f aca="false">IF(EJ$9=1,0,e_AntProv*EJ$29)</f>
        <v>0</v>
      </c>
      <c r="EK35" s="13" t="n">
        <f aca="false">IF(EK$9=1,0,e_AntProv*EK$29)</f>
        <v>0</v>
      </c>
      <c r="EL35" s="13" t="n">
        <f aca="false">IF(EL$9=1,0,e_AntProv*EL$29)</f>
        <v>0</v>
      </c>
      <c r="EM35" s="13" t="n">
        <f aca="false">IF(EM$9=1,0,e_AntProv*EM$29)</f>
        <v>0</v>
      </c>
      <c r="EN35" s="13" t="n">
        <f aca="false">IF(EN$9=1,0,e_AntProv*EN$29)</f>
        <v>0</v>
      </c>
      <c r="EO35" s="13" t="n">
        <f aca="false">IF(EO$9=1,0,e_AntProv*EO$29)</f>
        <v>0</v>
      </c>
      <c r="EP35" s="13" t="n">
        <f aca="false">IF(EP$9=1,0,e_AntProv*EP$29)</f>
        <v>0</v>
      </c>
      <c r="EQ35" s="13" t="n">
        <f aca="false">IF(EQ$9=1,0,e_AntProv*EQ$29)</f>
        <v>0</v>
      </c>
      <c r="ER35" s="13" t="n">
        <f aca="false">IF(ER$9=1,0,e_AntProv*ER$29)</f>
        <v>0</v>
      </c>
      <c r="ES35" s="13" t="n">
        <f aca="false">IF(ES$9=1,0,e_AntProv*ES$29)</f>
        <v>0</v>
      </c>
      <c r="ET35" s="13" t="n">
        <f aca="false">IF(ET$9=1,0,e_AntProv*ET$29)</f>
        <v>0</v>
      </c>
      <c r="EU35" s="13" t="n">
        <f aca="false">IF(EU$9=1,0,e_AntProv*EU$29)</f>
        <v>0</v>
      </c>
      <c r="EV35" s="13" t="n">
        <f aca="false">IF(EV$9=1,0,e_AntProv*EV$29)</f>
        <v>0</v>
      </c>
      <c r="EW35" s="13" t="n">
        <f aca="false">IF(EW$9=1,0,e_AntProv*EW$29)</f>
        <v>0</v>
      </c>
      <c r="EX35" s="13" t="n">
        <f aca="false">IF(EX$9=1,0,e_AntProv*EX$29)</f>
        <v>0</v>
      </c>
      <c r="EY35" s="13" t="n">
        <f aca="false">IF(EY$9=1,0,e_AntProv*EY$29)</f>
        <v>0</v>
      </c>
      <c r="EZ35" s="13" t="n">
        <f aca="false">IF(EZ$9=1,0,e_AntProv*EZ$29)</f>
        <v>0</v>
      </c>
      <c r="FA35" s="13" t="n">
        <f aca="false">IF(FA$9=1,0,e_AntProv*FA$29)</f>
        <v>0</v>
      </c>
      <c r="FB35" s="13" t="n">
        <f aca="false">IF(FB$9=1,0,e_AntProv*FB$29)</f>
        <v>0</v>
      </c>
      <c r="FC35" s="13" t="n">
        <f aca="false">IF(FC$9=1,0,e_AntProv*FC$29)</f>
        <v>0</v>
      </c>
      <c r="FD35" s="13" t="n">
        <f aca="false">IF(FD$9=1,0,e_AntProv*FD$29)</f>
        <v>0</v>
      </c>
      <c r="FE35" s="13" t="n">
        <f aca="false">IF(FE$9=1,0,e_AntProv*FE$29)</f>
        <v>0</v>
      </c>
      <c r="FF35" s="13" t="n">
        <f aca="false">IF(FF$9=1,0,e_AntProv*FF$29)</f>
        <v>0</v>
      </c>
    </row>
    <row r="36" customFormat="false" ht="15" hidden="false" customHeight="false" outlineLevel="0" collapsed="false">
      <c r="A36" s="2" t="s">
        <v>1330</v>
      </c>
      <c r="B36" s="8" t="s">
        <v>1331</v>
      </c>
      <c r="C36" s="8" t="s">
        <v>255</v>
      </c>
      <c r="E36" s="65" t="n">
        <f aca="false">INDEX($F36:$FF36,1,p_MesFin+1)</f>
        <v>0</v>
      </c>
      <c r="F36" s="13" t="n">
        <f aca="false">0+F$34-F$35</f>
        <v>0</v>
      </c>
      <c r="G36" s="13" t="n">
        <f aca="false">F$36+G$34-G$35</f>
        <v>0</v>
      </c>
      <c r="H36" s="13" t="n">
        <f aca="false">G$36+H$34-H$35</f>
        <v>0</v>
      </c>
      <c r="I36" s="13" t="n">
        <f aca="false">H$36+I$34-I$35</f>
        <v>0</v>
      </c>
      <c r="J36" s="13" t="n">
        <f aca="false">I$36+J$34-J$35</f>
        <v>0</v>
      </c>
      <c r="K36" s="13" t="n">
        <f aca="false">J$36+K$34-K$35</f>
        <v>0</v>
      </c>
      <c r="L36" s="13" t="n">
        <f aca="false">K$36+L$34-L$35</f>
        <v>0</v>
      </c>
      <c r="M36" s="13" t="n">
        <f aca="false">L$36+M$34-M$35</f>
        <v>0</v>
      </c>
      <c r="N36" s="13" t="n">
        <f aca="false">M$36+N$34-N$35</f>
        <v>0</v>
      </c>
      <c r="O36" s="13" t="n">
        <f aca="false">N$36+O$34-O$35</f>
        <v>0</v>
      </c>
      <c r="P36" s="13" t="n">
        <f aca="false">O$36+P$34-P$35</f>
        <v>0</v>
      </c>
      <c r="Q36" s="13" t="n">
        <f aca="false">P$36+Q$34-Q$35</f>
        <v>0</v>
      </c>
      <c r="R36" s="13" t="n">
        <f aca="false">Q$36+R$34-R$35</f>
        <v>0</v>
      </c>
      <c r="S36" s="13" t="n">
        <f aca="false">R$36+S$34-S$35</f>
        <v>0</v>
      </c>
      <c r="T36" s="13" t="n">
        <f aca="false">S$36+T$34-T$35</f>
        <v>0</v>
      </c>
      <c r="U36" s="13" t="n">
        <f aca="false">T$36+U$34-U$35</f>
        <v>0</v>
      </c>
      <c r="V36" s="13" t="n">
        <f aca="false">U$36+V$34-V$35</f>
        <v>0</v>
      </c>
      <c r="W36" s="13" t="n">
        <f aca="false">V$36+W$34-W$35</f>
        <v>0</v>
      </c>
      <c r="X36" s="13" t="n">
        <f aca="false">W$36+X$34-X$35</f>
        <v>0</v>
      </c>
      <c r="Y36" s="13" t="n">
        <f aca="false">X$36+Y$34-Y$35</f>
        <v>0</v>
      </c>
      <c r="Z36" s="13" t="n">
        <f aca="false">Y$36+Z$34-Z$35</f>
        <v>0</v>
      </c>
      <c r="AA36" s="13" t="n">
        <f aca="false">Z$36+AA$34-AA$35</f>
        <v>0</v>
      </c>
      <c r="AB36" s="13" t="n">
        <f aca="false">AA$36+AB$34-AB$35</f>
        <v>0</v>
      </c>
      <c r="AC36" s="13" t="n">
        <f aca="false">AB$36+AC$34-AC$35</f>
        <v>0</v>
      </c>
      <c r="AD36" s="13" t="n">
        <f aca="false">AC$36+AD$34-AD$35</f>
        <v>0</v>
      </c>
      <c r="AE36" s="13" t="n">
        <f aca="false">AD$36+AE$34-AE$35</f>
        <v>0</v>
      </c>
      <c r="AF36" s="13" t="n">
        <f aca="false">AE$36+AF$34-AF$35</f>
        <v>0</v>
      </c>
      <c r="AG36" s="13" t="n">
        <f aca="false">AF$36+AG$34-AG$35</f>
        <v>0</v>
      </c>
      <c r="AH36" s="13" t="n">
        <f aca="false">AG$36+AH$34-AH$35</f>
        <v>0</v>
      </c>
      <c r="AI36" s="13" t="n">
        <f aca="false">AH$36+AI$34-AI$35</f>
        <v>0</v>
      </c>
      <c r="AJ36" s="13" t="n">
        <f aca="false">AI$36+AJ$34-AJ$35</f>
        <v>0</v>
      </c>
      <c r="AK36" s="13" t="n">
        <f aca="false">AJ$36+AK$34-AK$35</f>
        <v>0</v>
      </c>
      <c r="AL36" s="13" t="n">
        <f aca="false">AK$36+AL$34-AL$35</f>
        <v>0</v>
      </c>
      <c r="AM36" s="13" t="n">
        <f aca="false">AL$36+AM$34-AM$35</f>
        <v>0</v>
      </c>
      <c r="AN36" s="13" t="n">
        <f aca="false">AM$36+AN$34-AN$35</f>
        <v>0</v>
      </c>
      <c r="AO36" s="13" t="n">
        <f aca="false">AN$36+AO$34-AO$35</f>
        <v>0</v>
      </c>
      <c r="AP36" s="13" t="n">
        <f aca="false">AO$36+AP$34-AP$35</f>
        <v>0</v>
      </c>
      <c r="AQ36" s="13" t="n">
        <f aca="false">AP$36+AQ$34-AQ$35</f>
        <v>0</v>
      </c>
      <c r="AR36" s="13" t="n">
        <f aca="false">AQ$36+AR$34-AR$35</f>
        <v>0</v>
      </c>
      <c r="AS36" s="13" t="n">
        <f aca="false">AR$36+AS$34-AS$35</f>
        <v>0</v>
      </c>
      <c r="AT36" s="13" t="n">
        <f aca="false">AS$36+AT$34-AT$35</f>
        <v>0</v>
      </c>
      <c r="AU36" s="13" t="n">
        <f aca="false">AT$36+AU$34-AU$35</f>
        <v>0</v>
      </c>
      <c r="AV36" s="13" t="n">
        <f aca="false">AU$36+AV$34-AV$35</f>
        <v>0</v>
      </c>
      <c r="AW36" s="13" t="n">
        <f aca="false">AV$36+AW$34-AW$35</f>
        <v>0</v>
      </c>
      <c r="AX36" s="13" t="n">
        <f aca="false">AW$36+AX$34-AX$35</f>
        <v>0</v>
      </c>
      <c r="AY36" s="13" t="n">
        <f aca="false">AX$36+AY$34-AY$35</f>
        <v>0</v>
      </c>
      <c r="AZ36" s="13" t="n">
        <f aca="false">AY$36+AZ$34-AZ$35</f>
        <v>0</v>
      </c>
      <c r="BA36" s="13" t="n">
        <f aca="false">AZ$36+BA$34-BA$35</f>
        <v>0</v>
      </c>
      <c r="BB36" s="13" t="n">
        <f aca="false">BA$36+BB$34-BB$35</f>
        <v>0</v>
      </c>
      <c r="BC36" s="13" t="n">
        <f aca="false">BB$36+BC$34-BC$35</f>
        <v>0</v>
      </c>
      <c r="BD36" s="13" t="n">
        <f aca="false">BC$36+BD$34-BD$35</f>
        <v>0</v>
      </c>
      <c r="BE36" s="13" t="n">
        <f aca="false">BD$36+BE$34-BE$35</f>
        <v>0</v>
      </c>
      <c r="BF36" s="13" t="n">
        <f aca="false">BE$36+BF$34-BF$35</f>
        <v>0</v>
      </c>
      <c r="BG36" s="13" t="n">
        <f aca="false">BF$36+BG$34-BG$35</f>
        <v>0</v>
      </c>
      <c r="BH36" s="13" t="n">
        <f aca="false">BG$36+BH$34-BH$35</f>
        <v>0</v>
      </c>
      <c r="BI36" s="13" t="n">
        <f aca="false">BH$36+BI$34-BI$35</f>
        <v>0</v>
      </c>
      <c r="BJ36" s="13" t="n">
        <f aca="false">BI$36+BJ$34-BJ$35</f>
        <v>0</v>
      </c>
      <c r="BK36" s="13" t="n">
        <f aca="false">BJ$36+BK$34-BK$35</f>
        <v>0</v>
      </c>
      <c r="BL36" s="13" t="n">
        <f aca="false">BK$36+BL$34-BL$35</f>
        <v>0</v>
      </c>
      <c r="BM36" s="13" t="n">
        <f aca="false">BL$36+BM$34-BM$35</f>
        <v>0</v>
      </c>
      <c r="BN36" s="13" t="n">
        <f aca="false">BM$36+BN$34-BN$35</f>
        <v>0</v>
      </c>
      <c r="BO36" s="13" t="n">
        <f aca="false">BN$36+BO$34-BO$35</f>
        <v>0</v>
      </c>
      <c r="BP36" s="13" t="n">
        <f aca="false">BO$36+BP$34-BP$35</f>
        <v>0</v>
      </c>
      <c r="BQ36" s="13" t="n">
        <f aca="false">BP$36+BQ$34-BQ$35</f>
        <v>0</v>
      </c>
      <c r="BR36" s="13" t="n">
        <f aca="false">BQ$36+BR$34-BR$35</f>
        <v>0</v>
      </c>
      <c r="BS36" s="13" t="n">
        <f aca="false">BR$36+BS$34-BS$35</f>
        <v>0</v>
      </c>
      <c r="BT36" s="13" t="n">
        <f aca="false">BS$36+BT$34-BT$35</f>
        <v>0</v>
      </c>
      <c r="BU36" s="13" t="n">
        <f aca="false">BT$36+BU$34-BU$35</f>
        <v>0</v>
      </c>
      <c r="BV36" s="13" t="n">
        <f aca="false">BU$36+BV$34-BV$35</f>
        <v>0</v>
      </c>
      <c r="BW36" s="13" t="n">
        <f aca="false">BV$36+BW$34-BW$35</f>
        <v>0</v>
      </c>
      <c r="BX36" s="13" t="n">
        <f aca="false">BW$36+BX$34-BX$35</f>
        <v>0</v>
      </c>
      <c r="BY36" s="13" t="n">
        <f aca="false">BX$36+BY$34-BY$35</f>
        <v>0</v>
      </c>
      <c r="BZ36" s="13" t="n">
        <f aca="false">BY$36+BZ$34-BZ$35</f>
        <v>0</v>
      </c>
      <c r="CA36" s="13" t="n">
        <f aca="false">BZ$36+CA$34-CA$35</f>
        <v>0</v>
      </c>
      <c r="CB36" s="13" t="n">
        <f aca="false">CA$36+CB$34-CB$35</f>
        <v>0</v>
      </c>
      <c r="CC36" s="13" t="n">
        <f aca="false">CB$36+CC$34-CC$35</f>
        <v>0</v>
      </c>
      <c r="CD36" s="13" t="n">
        <f aca="false">CC$36+CD$34-CD$35</f>
        <v>0</v>
      </c>
      <c r="CE36" s="13" t="n">
        <f aca="false">CD$36+CE$34-CE$35</f>
        <v>0</v>
      </c>
      <c r="CF36" s="13" t="n">
        <f aca="false">CE$36+CF$34-CF$35</f>
        <v>0</v>
      </c>
      <c r="CG36" s="13" t="n">
        <f aca="false">CF$36+CG$34-CG$35</f>
        <v>0</v>
      </c>
      <c r="CH36" s="13" t="n">
        <f aca="false">CG$36+CH$34-CH$35</f>
        <v>0</v>
      </c>
      <c r="CI36" s="13" t="n">
        <f aca="false">CH$36+CI$34-CI$35</f>
        <v>0</v>
      </c>
      <c r="CJ36" s="13" t="n">
        <f aca="false">CI$36+CJ$34-CJ$35</f>
        <v>0</v>
      </c>
      <c r="CK36" s="13" t="n">
        <f aca="false">CJ$36+CK$34-CK$35</f>
        <v>0</v>
      </c>
      <c r="CL36" s="13" t="n">
        <f aca="false">CK$36+CL$34-CL$35</f>
        <v>0</v>
      </c>
      <c r="CM36" s="13" t="n">
        <f aca="false">CL$36+CM$34-CM$35</f>
        <v>0</v>
      </c>
      <c r="CN36" s="13" t="n">
        <f aca="false">CM$36+CN$34-CN$35</f>
        <v>0</v>
      </c>
      <c r="CO36" s="13" t="n">
        <f aca="false">CN$36+CO$34-CO$35</f>
        <v>0</v>
      </c>
      <c r="CP36" s="13" t="n">
        <f aca="false">CO$36+CP$34-CP$35</f>
        <v>0</v>
      </c>
      <c r="CQ36" s="13" t="n">
        <f aca="false">CP$36+CQ$34-CQ$35</f>
        <v>0</v>
      </c>
      <c r="CR36" s="13" t="n">
        <f aca="false">CQ$36+CR$34-CR$35</f>
        <v>0</v>
      </c>
      <c r="CS36" s="13" t="n">
        <f aca="false">CR$36+CS$34-CS$35</f>
        <v>0</v>
      </c>
      <c r="CT36" s="13" t="n">
        <f aca="false">CS$36+CT$34-CT$35</f>
        <v>0</v>
      </c>
      <c r="CU36" s="13" t="n">
        <f aca="false">CT$36+CU$34-CU$35</f>
        <v>0</v>
      </c>
      <c r="CV36" s="13" t="n">
        <f aca="false">CU$36+CV$34-CV$35</f>
        <v>0</v>
      </c>
      <c r="CW36" s="13" t="n">
        <f aca="false">CV$36+CW$34-CW$35</f>
        <v>0</v>
      </c>
      <c r="CX36" s="13" t="n">
        <f aca="false">CW$36+CX$34-CX$35</f>
        <v>0</v>
      </c>
      <c r="CY36" s="13" t="n">
        <f aca="false">CX$36+CY$34-CY$35</f>
        <v>0</v>
      </c>
      <c r="CZ36" s="13" t="n">
        <f aca="false">CY$36+CZ$34-CZ$35</f>
        <v>0</v>
      </c>
      <c r="DA36" s="13" t="n">
        <f aca="false">CZ$36+DA$34-DA$35</f>
        <v>0</v>
      </c>
      <c r="DB36" s="13" t="n">
        <f aca="false">DA$36+DB$34-DB$35</f>
        <v>0</v>
      </c>
      <c r="DC36" s="13" t="n">
        <f aca="false">DB$36+DC$34-DC$35</f>
        <v>0</v>
      </c>
      <c r="DD36" s="13" t="n">
        <f aca="false">DC$36+DD$34-DD$35</f>
        <v>0</v>
      </c>
      <c r="DE36" s="13" t="n">
        <f aca="false">DD$36+DE$34-DE$35</f>
        <v>0</v>
      </c>
      <c r="DF36" s="13" t="n">
        <f aca="false">DE$36+DF$34-DF$35</f>
        <v>0</v>
      </c>
      <c r="DG36" s="13" t="n">
        <f aca="false">DF$36+DG$34-DG$35</f>
        <v>0</v>
      </c>
      <c r="DH36" s="13" t="n">
        <f aca="false">DG$36+DH$34-DH$35</f>
        <v>0</v>
      </c>
      <c r="DI36" s="13" t="n">
        <f aca="false">DH$36+DI$34-DI$35</f>
        <v>0</v>
      </c>
      <c r="DJ36" s="13" t="n">
        <f aca="false">DI$36+DJ$34-DJ$35</f>
        <v>0</v>
      </c>
      <c r="DK36" s="13" t="n">
        <f aca="false">DJ$36+DK$34-DK$35</f>
        <v>0</v>
      </c>
      <c r="DL36" s="13" t="n">
        <f aca="false">DK$36+DL$34-DL$35</f>
        <v>0</v>
      </c>
      <c r="DM36" s="13" t="n">
        <f aca="false">DL$36+DM$34-DM$35</f>
        <v>0</v>
      </c>
      <c r="DN36" s="13" t="n">
        <f aca="false">DM$36+DN$34-DN$35</f>
        <v>0</v>
      </c>
      <c r="DO36" s="13" t="n">
        <f aca="false">DN$36+DO$34-DO$35</f>
        <v>0</v>
      </c>
      <c r="DP36" s="13" t="n">
        <f aca="false">DO$36+DP$34-DP$35</f>
        <v>0</v>
      </c>
      <c r="DQ36" s="13" t="n">
        <f aca="false">DP$36+DQ$34-DQ$35</f>
        <v>0</v>
      </c>
      <c r="DR36" s="13" t="n">
        <f aca="false">DQ$36+DR$34-DR$35</f>
        <v>0</v>
      </c>
      <c r="DS36" s="13" t="n">
        <f aca="false">DR$36+DS$34-DS$35</f>
        <v>0</v>
      </c>
      <c r="DT36" s="13" t="n">
        <f aca="false">DS$36+DT$34-DT$35</f>
        <v>0</v>
      </c>
      <c r="DU36" s="13" t="n">
        <f aca="false">DT$36+DU$34-DU$35</f>
        <v>0</v>
      </c>
      <c r="DV36" s="13" t="n">
        <f aca="false">DU$36+DV$34-DV$35</f>
        <v>0</v>
      </c>
      <c r="DW36" s="13" t="n">
        <f aca="false">DV$36+DW$34-DW$35</f>
        <v>0</v>
      </c>
      <c r="DX36" s="13" t="n">
        <f aca="false">DW$36+DX$34-DX$35</f>
        <v>0</v>
      </c>
      <c r="DY36" s="13" t="n">
        <f aca="false">DX$36+DY$34-DY$35</f>
        <v>0</v>
      </c>
      <c r="DZ36" s="13" t="n">
        <f aca="false">DY$36+DZ$34-DZ$35</f>
        <v>0</v>
      </c>
      <c r="EA36" s="13" t="n">
        <f aca="false">DZ$36+EA$34-EA$35</f>
        <v>0</v>
      </c>
      <c r="EB36" s="13" t="n">
        <f aca="false">EA$36+EB$34-EB$35</f>
        <v>0</v>
      </c>
      <c r="EC36" s="13" t="n">
        <f aca="false">EB$36+EC$34-EC$35</f>
        <v>0</v>
      </c>
      <c r="ED36" s="13" t="n">
        <f aca="false">EC$36+ED$34-ED$35</f>
        <v>0</v>
      </c>
      <c r="EE36" s="13" t="n">
        <f aca="false">ED$36+EE$34-EE$35</f>
        <v>0</v>
      </c>
      <c r="EF36" s="13" t="n">
        <f aca="false">EE$36+EF$34-EF$35</f>
        <v>0</v>
      </c>
      <c r="EG36" s="13" t="n">
        <f aca="false">EF$36+EG$34-EG$35</f>
        <v>0</v>
      </c>
      <c r="EH36" s="13" t="n">
        <f aca="false">EG$36+EH$34-EH$35</f>
        <v>0</v>
      </c>
      <c r="EI36" s="13" t="n">
        <f aca="false">EH$36+EI$34-EI$35</f>
        <v>0</v>
      </c>
      <c r="EJ36" s="13" t="n">
        <f aca="false">EI$36+EJ$34-EJ$35</f>
        <v>0</v>
      </c>
      <c r="EK36" s="13" t="n">
        <f aca="false">EJ$36+EK$34-EK$35</f>
        <v>0</v>
      </c>
      <c r="EL36" s="13" t="n">
        <f aca="false">EK$36+EL$34-EL$35</f>
        <v>0</v>
      </c>
      <c r="EM36" s="13" t="n">
        <f aca="false">EL$36+EM$34-EM$35</f>
        <v>0</v>
      </c>
      <c r="EN36" s="13" t="n">
        <f aca="false">EM$36+EN$34-EN$35</f>
        <v>0</v>
      </c>
      <c r="EO36" s="13" t="n">
        <f aca="false">EN$36+EO$34-EO$35</f>
        <v>0</v>
      </c>
      <c r="EP36" s="13" t="n">
        <f aca="false">EO$36+EP$34-EP$35</f>
        <v>0</v>
      </c>
      <c r="EQ36" s="13" t="n">
        <f aca="false">EP$36+EQ$34-EQ$35</f>
        <v>0</v>
      </c>
      <c r="ER36" s="13" t="n">
        <f aca="false">EQ$36+ER$34-ER$35</f>
        <v>0</v>
      </c>
      <c r="ES36" s="13" t="n">
        <f aca="false">ER$36+ES$34-ES$35</f>
        <v>0</v>
      </c>
      <c r="ET36" s="13" t="n">
        <f aca="false">ES$36+ET$34-ET$35</f>
        <v>0</v>
      </c>
      <c r="EU36" s="13" t="n">
        <f aca="false">ET$36+EU$34-EU$35</f>
        <v>0</v>
      </c>
      <c r="EV36" s="13" t="n">
        <f aca="false">EU$36+EV$34-EV$35</f>
        <v>0</v>
      </c>
      <c r="EW36" s="13" t="n">
        <f aca="false">EV$36+EW$34-EW$35</f>
        <v>0</v>
      </c>
      <c r="EX36" s="13" t="n">
        <f aca="false">EW$36+EX$34-EX$35</f>
        <v>0</v>
      </c>
      <c r="EY36" s="13" t="n">
        <f aca="false">EX$36+EY$34-EY$35</f>
        <v>0</v>
      </c>
      <c r="EZ36" s="13" t="n">
        <f aca="false">EY$36+EZ$34-EZ$35</f>
        <v>0</v>
      </c>
      <c r="FA36" s="13" t="n">
        <f aca="false">EZ$36+FA$34-FA$35</f>
        <v>0</v>
      </c>
      <c r="FB36" s="13" t="n">
        <f aca="false">FA$36+FB$34-FB$35</f>
        <v>0</v>
      </c>
      <c r="FC36" s="13" t="n">
        <f aca="false">FB$36+FC$34-FC$35</f>
        <v>0</v>
      </c>
      <c r="FD36" s="13" t="n">
        <f aca="false">FC$36+FD$34-FD$35</f>
        <v>0</v>
      </c>
      <c r="FE36" s="13" t="n">
        <f aca="false">FD$36+FE$34-FE$35</f>
        <v>0</v>
      </c>
      <c r="FF36" s="13" t="n">
        <f aca="false">FE$36+FF$34-FF$35</f>
        <v>0</v>
      </c>
    </row>
    <row r="37" customFormat="false" ht="15" hidden="false" customHeight="false" outlineLevel="0" collapsed="false">
      <c r="A37" s="2" t="s">
        <v>1332</v>
      </c>
      <c r="B37" s="8" t="s">
        <v>1333</v>
      </c>
      <c r="C37" s="8" t="s">
        <v>255</v>
      </c>
      <c r="E37" s="65" t="n">
        <f aca="false">SUM($F37:$FF37)</f>
        <v>48879883.2717656</v>
      </c>
      <c r="F37" s="13" t="n">
        <f aca="false">F$29-F$35</f>
        <v>1064142.28219178</v>
      </c>
      <c r="G37" s="13" t="n">
        <f aca="false">G$29-G$35</f>
        <v>248982.008333334</v>
      </c>
      <c r="H37" s="13" t="n">
        <f aca="false">H$29-H$35</f>
        <v>248982.008333333</v>
      </c>
      <c r="I37" s="13" t="n">
        <f aca="false">I$29-I$35</f>
        <v>248982.008333333</v>
      </c>
      <c r="J37" s="13" t="n">
        <f aca="false">J$29-J$35</f>
        <v>248982.008333333</v>
      </c>
      <c r="K37" s="13" t="n">
        <f aca="false">K$29-K$35</f>
        <v>248982.008333333</v>
      </c>
      <c r="L37" s="13" t="n">
        <f aca="false">L$29-L$35</f>
        <v>248982.008333333</v>
      </c>
      <c r="M37" s="13" t="n">
        <f aca="false">M$29-M$35</f>
        <v>248982.008333333</v>
      </c>
      <c r="N37" s="13" t="n">
        <f aca="false">N$29-N$35</f>
        <v>269319.285083193</v>
      </c>
      <c r="O37" s="13" t="n">
        <f aca="false">O$29-O$35</f>
        <v>313567.065436214</v>
      </c>
      <c r="P37" s="13" t="n">
        <f aca="false">P$29-P$35</f>
        <v>316063.807916666</v>
      </c>
      <c r="Q37" s="13" t="n">
        <f aca="false">Q$29-Q$35</f>
        <v>316063.807916667</v>
      </c>
      <c r="R37" s="13" t="n">
        <f aca="false">R$29-R$35</f>
        <v>316063.807916667</v>
      </c>
      <c r="S37" s="13" t="n">
        <f aca="false">S$29-S$35</f>
        <v>316063.807916667</v>
      </c>
      <c r="T37" s="13" t="n">
        <f aca="false">T$29-T$35</f>
        <v>316063.807916667</v>
      </c>
      <c r="U37" s="13" t="n">
        <f aca="false">U$29-U$35</f>
        <v>316063.807916667</v>
      </c>
      <c r="V37" s="13" t="n">
        <f aca="false">V$29-V$35</f>
        <v>316063.807916667</v>
      </c>
      <c r="W37" s="13" t="n">
        <f aca="false">W$29-W$35</f>
        <v>316063.807916667</v>
      </c>
      <c r="X37" s="13" t="n">
        <f aca="false">X$29-X$35</f>
        <v>316063.807916667</v>
      </c>
      <c r="Y37" s="13" t="n">
        <f aca="false">Y$29-Y$35</f>
        <v>316063.807916667</v>
      </c>
      <c r="Z37" s="13" t="n">
        <f aca="false">Z$29-Z$35</f>
        <v>336506.749446034</v>
      </c>
      <c r="AA37" s="13" t="n">
        <f aca="false">AA$29-AA$35</f>
        <v>381316.467237299</v>
      </c>
      <c r="AB37" s="13" t="n">
        <f aca="false">AB$29-AB$35</f>
        <v>383845.4307</v>
      </c>
      <c r="AC37" s="13" t="n">
        <f aca="false">AC$29-AC$35</f>
        <v>383845.4307</v>
      </c>
      <c r="AD37" s="13" t="n">
        <f aca="false">AD$29-AD$35</f>
        <v>383845.4307</v>
      </c>
      <c r="AE37" s="13" t="n">
        <f aca="false">AE$29-AE$35</f>
        <v>383845.4307</v>
      </c>
      <c r="AF37" s="13" t="n">
        <f aca="false">AF$29-AF$35</f>
        <v>383845.4307</v>
      </c>
      <c r="AG37" s="13" t="n">
        <f aca="false">AG$29-AG$35</f>
        <v>383845.4307</v>
      </c>
      <c r="AH37" s="13" t="n">
        <f aca="false">AH$29-AH$35</f>
        <v>383845.4307</v>
      </c>
      <c r="AI37" s="13" t="n">
        <f aca="false">AI$29-AI$35</f>
        <v>383845.4307</v>
      </c>
      <c r="AJ37" s="13" t="n">
        <f aca="false">AJ$29-AJ$35</f>
        <v>383845.4307</v>
      </c>
      <c r="AK37" s="13" t="n">
        <f aca="false">AK$29-AK$35</f>
        <v>383845.4307</v>
      </c>
      <c r="AL37" s="13" t="n">
        <f aca="false">AL$29-AL$35</f>
        <v>400378.037898105</v>
      </c>
      <c r="AM37" s="13" t="n">
        <f aca="false">AM$29-AM$35</f>
        <v>437262.871182191</v>
      </c>
      <c r="AN37" s="13" t="n">
        <f aca="false">AN$29-AN$35</f>
        <v>439345.562270458</v>
      </c>
      <c r="AO37" s="13" t="n">
        <f aca="false">AO$29-AO$35</f>
        <v>439345.562270458</v>
      </c>
      <c r="AP37" s="13" t="n">
        <f aca="false">AP$29-AP$35</f>
        <v>439345.562270459</v>
      </c>
      <c r="AQ37" s="13" t="n">
        <f aca="false">AQ$29-AQ$35</f>
        <v>439345.562270458</v>
      </c>
      <c r="AR37" s="13" t="n">
        <f aca="false">AR$29-AR$35</f>
        <v>439345.562270458</v>
      </c>
      <c r="AS37" s="13" t="n">
        <f aca="false">AS$29-AS$35</f>
        <v>439345.562270458</v>
      </c>
      <c r="AT37" s="13" t="n">
        <f aca="false">AT$29-AT$35</f>
        <v>439345.562270458</v>
      </c>
      <c r="AU37" s="13" t="n">
        <f aca="false">AU$29-AU$35</f>
        <v>439345.562270458</v>
      </c>
      <c r="AV37" s="13" t="n">
        <f aca="false">AV$29-AV$35</f>
        <v>439345.562270458</v>
      </c>
      <c r="AW37" s="13" t="n">
        <f aca="false">AW$29-AW$35</f>
        <v>439345.562270458</v>
      </c>
      <c r="AX37" s="13" t="n">
        <f aca="false">AX$29-AX$35</f>
        <v>439345.562270458</v>
      </c>
      <c r="AY37" s="13" t="n">
        <f aca="false">AY$29-AY$35</f>
        <v>441539.633996028</v>
      </c>
      <c r="AZ37" s="13" t="n">
        <f aca="false">AZ$29-AZ$35</f>
        <v>441666.826559829</v>
      </c>
      <c r="BA37" s="13" t="n">
        <f aca="false">BA$29-BA$35</f>
        <v>441666.82655983</v>
      </c>
      <c r="BB37" s="13" t="n">
        <f aca="false">BB$29-BB$35</f>
        <v>441666.82655983</v>
      </c>
      <c r="BC37" s="13" t="n">
        <f aca="false">BC$29-BC$35</f>
        <v>441666.82655983</v>
      </c>
      <c r="BD37" s="13" t="n">
        <f aca="false">BD$29-BD$35</f>
        <v>441666.82655983</v>
      </c>
      <c r="BE37" s="13" t="n">
        <f aca="false">BE$29-BE$35</f>
        <v>441666.82655983</v>
      </c>
      <c r="BF37" s="13" t="n">
        <f aca="false">BF$29-BF$35</f>
        <v>441666.82655983</v>
      </c>
      <c r="BG37" s="13" t="n">
        <f aca="false">BG$29-BG$35</f>
        <v>441666.82655983</v>
      </c>
      <c r="BH37" s="13" t="n">
        <f aca="false">BH$29-BH$35</f>
        <v>441666.82655983</v>
      </c>
      <c r="BI37" s="13" t="n">
        <f aca="false">BI$29-BI$35</f>
        <v>441666.82655983</v>
      </c>
      <c r="BJ37" s="13" t="n">
        <f aca="false">BJ$29-BJ$35</f>
        <v>441666.82655983</v>
      </c>
      <c r="BK37" s="13" t="n">
        <f aca="false">BK$29-BK$35</f>
        <v>443882.839002655</v>
      </c>
      <c r="BL37" s="13" t="n">
        <f aca="false">BL$29-BL$35</f>
        <v>444011.303492095</v>
      </c>
      <c r="BM37" s="13" t="n">
        <f aca="false">BM$29-BM$35</f>
        <v>444011.303492094</v>
      </c>
      <c r="BN37" s="13" t="n">
        <f aca="false">BN$29-BN$35</f>
        <v>444011.303492094</v>
      </c>
      <c r="BO37" s="13" t="n">
        <f aca="false">BO$29-BO$35</f>
        <v>444011.303492094</v>
      </c>
      <c r="BP37" s="13" t="n">
        <f aca="false">BP$29-BP$35</f>
        <v>444011.303492095</v>
      </c>
      <c r="BQ37" s="13" t="n">
        <f aca="false">BQ$29-BQ$35</f>
        <v>444011.303492095</v>
      </c>
      <c r="BR37" s="13" t="n">
        <f aca="false">BR$29-BR$35</f>
        <v>444011.303492095</v>
      </c>
      <c r="BS37" s="13" t="n">
        <f aca="false">BS$29-BS$35</f>
        <v>444011.303492095</v>
      </c>
      <c r="BT37" s="13" t="n">
        <f aca="false">BT$29-BT$35</f>
        <v>444011.303492095</v>
      </c>
      <c r="BU37" s="13" t="n">
        <f aca="false">BU$29-BU$35</f>
        <v>444011.303492095</v>
      </c>
      <c r="BV37" s="13" t="n">
        <f aca="false">BV$29-BV$35</f>
        <v>444011.303492095</v>
      </c>
      <c r="BW37" s="13" t="n">
        <f aca="false">BW$29-BW$35</f>
        <v>446249.476059349</v>
      </c>
      <c r="BX37" s="13" t="n">
        <f aca="false">BX$29-BX$35</f>
        <v>446379.225193682</v>
      </c>
      <c r="BY37" s="13" t="n">
        <f aca="false">BY$29-BY$35</f>
        <v>446379.225193682</v>
      </c>
      <c r="BZ37" s="13" t="n">
        <f aca="false">BZ$29-BZ$35</f>
        <v>446379.225193682</v>
      </c>
      <c r="CA37" s="13" t="n">
        <f aca="false">CA$29-CA$35</f>
        <v>446379.225193682</v>
      </c>
      <c r="CB37" s="13" t="n">
        <f aca="false">CB$29-CB$35</f>
        <v>446379.225193682</v>
      </c>
      <c r="CC37" s="13" t="n">
        <f aca="false">CC$29-CC$35</f>
        <v>446379.225193682</v>
      </c>
      <c r="CD37" s="13" t="n">
        <f aca="false">CD$29-CD$35</f>
        <v>446379.225193682</v>
      </c>
      <c r="CE37" s="13" t="n">
        <f aca="false">CE$29-CE$35</f>
        <v>446379.225193682</v>
      </c>
      <c r="CF37" s="13" t="n">
        <f aca="false">CF$29-CF$35</f>
        <v>446379.225193682</v>
      </c>
      <c r="CG37" s="13" t="n">
        <f aca="false">CG$29-CG$35</f>
        <v>446379.225193682</v>
      </c>
      <c r="CH37" s="13" t="n">
        <f aca="false">CH$29-CH$35</f>
        <v>446379.225193682</v>
      </c>
      <c r="CI37" s="13" t="n">
        <f aca="false">CI$29-CI$35</f>
        <v>448639.779486609</v>
      </c>
      <c r="CJ37" s="13" t="n">
        <f aca="false">CJ$29-CJ$35</f>
        <v>448770.826112285</v>
      </c>
      <c r="CK37" s="13" t="n">
        <f aca="false">CK$29-CK$35</f>
        <v>448770.826112286</v>
      </c>
      <c r="CL37" s="13" t="n">
        <f aca="false">CL$29-CL$35</f>
        <v>448770.826112286</v>
      </c>
      <c r="CM37" s="13" t="n">
        <f aca="false">CM$29-CM$35</f>
        <v>448770.826112285</v>
      </c>
      <c r="CN37" s="13" t="n">
        <f aca="false">CN$29-CN$35</f>
        <v>448770.826112286</v>
      </c>
      <c r="CO37" s="13" t="n">
        <f aca="false">CO$29-CO$35</f>
        <v>448770.826112286</v>
      </c>
      <c r="CP37" s="13" t="n">
        <f aca="false">CP$29-CP$35</f>
        <v>448770.826112286</v>
      </c>
      <c r="CQ37" s="13" t="n">
        <f aca="false">CQ$29-CQ$35</f>
        <v>448770.826112286</v>
      </c>
      <c r="CR37" s="13" t="n">
        <f aca="false">CR$29-CR$35</f>
        <v>448770.826112286</v>
      </c>
      <c r="CS37" s="13" t="n">
        <f aca="false">CS$29-CS$35</f>
        <v>448770.826112286</v>
      </c>
      <c r="CT37" s="13" t="n">
        <f aca="false">CT$29-CT$35</f>
        <v>448770.826112286</v>
      </c>
      <c r="CU37" s="13" t="n">
        <f aca="false">CU$29-CU$35</f>
        <v>451053.985948142</v>
      </c>
      <c r="CV37" s="13" t="n">
        <f aca="false">CV$29-CV$35</f>
        <v>451186.343040076</v>
      </c>
      <c r="CW37" s="13" t="n">
        <f aca="false">CW$29-CW$35</f>
        <v>451186.343040075</v>
      </c>
      <c r="CX37" s="13" t="n">
        <f aca="false">CX$29-CX$35</f>
        <v>451186.343040075</v>
      </c>
      <c r="CY37" s="13" t="n">
        <f aca="false">CY$29-CY$35</f>
        <v>451186.343040075</v>
      </c>
      <c r="CZ37" s="13" t="n">
        <f aca="false">CZ$29-CZ$35</f>
        <v>451186.343040075</v>
      </c>
      <c r="DA37" s="13" t="n">
        <f aca="false">DA$29-DA$35</f>
        <v>451186.343040075</v>
      </c>
      <c r="DB37" s="13" t="n">
        <f aca="false">DB$29-DB$35</f>
        <v>451186.343040075</v>
      </c>
      <c r="DC37" s="13" t="n">
        <f aca="false">DC$29-DC$35</f>
        <v>451186.343040075</v>
      </c>
      <c r="DD37" s="13" t="n">
        <f aca="false">DD$29-DD$35</f>
        <v>451186.343040075</v>
      </c>
      <c r="DE37" s="13" t="n">
        <f aca="false">DE$29-DE$35</f>
        <v>451186.343040075</v>
      </c>
      <c r="DF37" s="13" t="n">
        <f aca="false">DF$29-DF$35</f>
        <v>451186.343040075</v>
      </c>
      <c r="DG37" s="13" t="n">
        <f aca="false">DG$29-DG$35</f>
        <v>453492.33447429</v>
      </c>
      <c r="DH37" s="13" t="n">
        <f aca="false">DH$29-DH$35</f>
        <v>453626.015137143</v>
      </c>
      <c r="DI37" s="13" t="n">
        <f aca="false">DI$29-DI$35</f>
        <v>453626.015137143</v>
      </c>
      <c r="DJ37" s="13" t="n">
        <f aca="false">DJ$29-DJ$35</f>
        <v>453626.015137143</v>
      </c>
      <c r="DK37" s="13" t="n">
        <f aca="false">DK$29-DK$35</f>
        <v>453626.015137143</v>
      </c>
      <c r="DL37" s="13" t="n">
        <f aca="false">DL$29-DL$35</f>
        <v>453626.015137143</v>
      </c>
      <c r="DM37" s="13" t="n">
        <f aca="false">DM$29-DM$35</f>
        <v>453626.015137143</v>
      </c>
      <c r="DN37" s="13" t="n">
        <f aca="false">DN$29-DN$35</f>
        <v>453626.015137143</v>
      </c>
      <c r="DO37" s="13" t="n">
        <f aca="false">DO$29-DO$35</f>
        <v>453626.015137143</v>
      </c>
      <c r="DP37" s="13" t="n">
        <f aca="false">DP$29-DP$35</f>
        <v>453626.015137143</v>
      </c>
      <c r="DQ37" s="13" t="n">
        <f aca="false">DQ$29-DQ$35</f>
        <v>453626.015137143</v>
      </c>
      <c r="DR37" s="13" t="n">
        <f aca="false">DR$29-DR$35</f>
        <v>312660.603039731</v>
      </c>
      <c r="DS37" s="13" t="n">
        <f aca="false">DS$29-DS$35</f>
        <v>16684.3120598386</v>
      </c>
      <c r="DT37" s="13" t="n">
        <f aca="false">DT$29-DT$35</f>
        <v>0</v>
      </c>
      <c r="DU37" s="13" t="n">
        <f aca="false">DU$29-DU$35</f>
        <v>0</v>
      </c>
      <c r="DV37" s="13" t="n">
        <f aca="false">DV$29-DV$35</f>
        <v>0</v>
      </c>
      <c r="DW37" s="13" t="n">
        <f aca="false">DW$29-DW$35</f>
        <v>0</v>
      </c>
      <c r="DX37" s="13" t="n">
        <f aca="false">DX$29-DX$35</f>
        <v>0</v>
      </c>
      <c r="DY37" s="13" t="n">
        <f aca="false">DY$29-DY$35</f>
        <v>0</v>
      </c>
      <c r="DZ37" s="13" t="n">
        <f aca="false">DZ$29-DZ$35</f>
        <v>0</v>
      </c>
      <c r="EA37" s="13" t="n">
        <f aca="false">EA$29-EA$35</f>
        <v>0</v>
      </c>
      <c r="EB37" s="13" t="n">
        <f aca="false">EB$29-EB$35</f>
        <v>0</v>
      </c>
      <c r="EC37" s="13" t="n">
        <f aca="false">EC$29-EC$35</f>
        <v>0</v>
      </c>
      <c r="ED37" s="13" t="n">
        <f aca="false">ED$29-ED$35</f>
        <v>0</v>
      </c>
      <c r="EE37" s="13" t="n">
        <f aca="false">EE$29-EE$35</f>
        <v>0</v>
      </c>
      <c r="EF37" s="13" t="n">
        <f aca="false">EF$29-EF$35</f>
        <v>0</v>
      </c>
      <c r="EG37" s="13" t="n">
        <f aca="false">EG$29-EG$35</f>
        <v>0</v>
      </c>
      <c r="EH37" s="13" t="n">
        <f aca="false">EH$29-EH$35</f>
        <v>0</v>
      </c>
      <c r="EI37" s="13" t="n">
        <f aca="false">EI$29-EI$35</f>
        <v>0</v>
      </c>
      <c r="EJ37" s="13" t="n">
        <f aca="false">EJ$29-EJ$35</f>
        <v>0</v>
      </c>
      <c r="EK37" s="13" t="n">
        <f aca="false">EK$29-EK$35</f>
        <v>0</v>
      </c>
      <c r="EL37" s="13" t="n">
        <f aca="false">EL$29-EL$35</f>
        <v>0</v>
      </c>
      <c r="EM37" s="13" t="n">
        <f aca="false">EM$29-EM$35</f>
        <v>0</v>
      </c>
      <c r="EN37" s="13" t="n">
        <f aca="false">EN$29-EN$35</f>
        <v>0</v>
      </c>
      <c r="EO37" s="13" t="n">
        <f aca="false">EO$29-EO$35</f>
        <v>0</v>
      </c>
      <c r="EP37" s="13" t="n">
        <f aca="false">EP$29-EP$35</f>
        <v>0</v>
      </c>
      <c r="EQ37" s="13" t="n">
        <f aca="false">EQ$29-EQ$35</f>
        <v>0</v>
      </c>
      <c r="ER37" s="13" t="n">
        <f aca="false">ER$29-ER$35</f>
        <v>0</v>
      </c>
      <c r="ES37" s="13" t="n">
        <f aca="false">ES$29-ES$35</f>
        <v>0</v>
      </c>
      <c r="ET37" s="13" t="n">
        <f aca="false">ET$29-ET$35</f>
        <v>0</v>
      </c>
      <c r="EU37" s="13" t="n">
        <f aca="false">EU$29-EU$35</f>
        <v>0</v>
      </c>
      <c r="EV37" s="13" t="n">
        <f aca="false">EV$29-EV$35</f>
        <v>0</v>
      </c>
      <c r="EW37" s="13" t="n">
        <f aca="false">EW$29-EW$35</f>
        <v>0</v>
      </c>
      <c r="EX37" s="13" t="n">
        <f aca="false">EX$29-EX$35</f>
        <v>0</v>
      </c>
      <c r="EY37" s="13" t="n">
        <f aca="false">EY$29-EY$35</f>
        <v>0</v>
      </c>
      <c r="EZ37" s="13" t="n">
        <f aca="false">EZ$29-EZ$35</f>
        <v>0</v>
      </c>
      <c r="FA37" s="13" t="n">
        <f aca="false">FA$29-FA$35</f>
        <v>0</v>
      </c>
      <c r="FB37" s="13" t="n">
        <f aca="false">FB$29-FB$35</f>
        <v>0</v>
      </c>
      <c r="FC37" s="13" t="n">
        <f aca="false">FC$29-FC$35</f>
        <v>0</v>
      </c>
      <c r="FD37" s="13" t="n">
        <f aca="false">FD$29-FD$35</f>
        <v>0</v>
      </c>
      <c r="FE37" s="13" t="n">
        <f aca="false">FE$29-FE$35</f>
        <v>0</v>
      </c>
      <c r="FF37" s="13" t="n">
        <f aca="false">FF$29-FF$35</f>
        <v>0</v>
      </c>
    </row>
    <row r="38" customFormat="false" ht="15" hidden="false" customHeight="false" outlineLevel="0" collapsed="false">
      <c r="A38" s="2" t="s">
        <v>1334</v>
      </c>
      <c r="B38" s="8" t="s">
        <v>1335</v>
      </c>
      <c r="C38" s="8" t="s">
        <v>255</v>
      </c>
      <c r="E38" s="65" t="n">
        <f aca="false">SUM($F38:$FF38)</f>
        <v>48879883.2717656</v>
      </c>
      <c r="F38" s="13" t="n">
        <f aca="false">(IF(0-p_LmpI&gt;=0,INDEX($F$37:$FF$37,1,0-p_LmpI+1),0)*(1-p_LmpF)+IF(0-p_LmpI-1&gt;=0,INDEX($F$37:$FF$37,1,0-p_LmpI),0)*p_LmpF)</f>
        <v>1064142.28219178</v>
      </c>
      <c r="G38" s="13" t="n">
        <f aca="false">(IF(1-p_LmpI&gt;=0,INDEX($F$37:$FF$37,1,1-p_LmpI+1),0)*(1-p_LmpF)+IF(1-p_LmpI-1&gt;=0,INDEX($F$37:$FF$37,1,1-p_LmpI),0)*p_LmpF)</f>
        <v>248982.008333334</v>
      </c>
      <c r="H38" s="13" t="n">
        <f aca="false">(IF(2-p_LmpI&gt;=0,INDEX($F$37:$FF$37,1,2-p_LmpI+1),0)*(1-p_LmpF)+IF(2-p_LmpI-1&gt;=0,INDEX($F$37:$FF$37,1,2-p_LmpI),0)*p_LmpF)</f>
        <v>248982.008333333</v>
      </c>
      <c r="I38" s="13" t="n">
        <f aca="false">(IF(3-p_LmpI&gt;=0,INDEX($F$37:$FF$37,1,3-p_LmpI+1),0)*(1-p_LmpF)+IF(3-p_LmpI-1&gt;=0,INDEX($F$37:$FF$37,1,3-p_LmpI),0)*p_LmpF)</f>
        <v>248982.008333333</v>
      </c>
      <c r="J38" s="13" t="n">
        <f aca="false">(IF(4-p_LmpI&gt;=0,INDEX($F$37:$FF$37,1,4-p_LmpI+1),0)*(1-p_LmpF)+IF(4-p_LmpI-1&gt;=0,INDEX($F$37:$FF$37,1,4-p_LmpI),0)*p_LmpF)</f>
        <v>248982.008333333</v>
      </c>
      <c r="K38" s="13" t="n">
        <f aca="false">(IF(5-p_LmpI&gt;=0,INDEX($F$37:$FF$37,1,5-p_LmpI+1),0)*(1-p_LmpF)+IF(5-p_LmpI-1&gt;=0,INDEX($F$37:$FF$37,1,5-p_LmpI),0)*p_LmpF)</f>
        <v>248982.008333333</v>
      </c>
      <c r="L38" s="13" t="n">
        <f aca="false">(IF(6-p_LmpI&gt;=0,INDEX($F$37:$FF$37,1,6-p_LmpI+1),0)*(1-p_LmpF)+IF(6-p_LmpI-1&gt;=0,INDEX($F$37:$FF$37,1,6-p_LmpI),0)*p_LmpF)</f>
        <v>248982.008333333</v>
      </c>
      <c r="M38" s="13" t="n">
        <f aca="false">(IF(7-p_LmpI&gt;=0,INDEX($F$37:$FF$37,1,7-p_LmpI+1),0)*(1-p_LmpF)+IF(7-p_LmpI-1&gt;=0,INDEX($F$37:$FF$37,1,7-p_LmpI),0)*p_LmpF)</f>
        <v>248982.008333333</v>
      </c>
      <c r="N38" s="13" t="n">
        <f aca="false">(IF(8-p_LmpI&gt;=0,INDEX($F$37:$FF$37,1,8-p_LmpI+1),0)*(1-p_LmpF)+IF(8-p_LmpI-1&gt;=0,INDEX($F$37:$FF$37,1,8-p_LmpI),0)*p_LmpF)</f>
        <v>269319.285083193</v>
      </c>
      <c r="O38" s="13" t="n">
        <f aca="false">(IF(9-p_LmpI&gt;=0,INDEX($F$37:$FF$37,1,9-p_LmpI+1),0)*(1-p_LmpF)+IF(9-p_LmpI-1&gt;=0,INDEX($F$37:$FF$37,1,9-p_LmpI),0)*p_LmpF)</f>
        <v>313567.065436214</v>
      </c>
      <c r="P38" s="13" t="n">
        <f aca="false">(IF(10-p_LmpI&gt;=0,INDEX($F$37:$FF$37,1,10-p_LmpI+1),0)*(1-p_LmpF)+IF(10-p_LmpI-1&gt;=0,INDEX($F$37:$FF$37,1,10-p_LmpI),0)*p_LmpF)</f>
        <v>316063.807916666</v>
      </c>
      <c r="Q38" s="13" t="n">
        <f aca="false">(IF(11-p_LmpI&gt;=0,INDEX($F$37:$FF$37,1,11-p_LmpI+1),0)*(1-p_LmpF)+IF(11-p_LmpI-1&gt;=0,INDEX($F$37:$FF$37,1,11-p_LmpI),0)*p_LmpF)</f>
        <v>316063.807916667</v>
      </c>
      <c r="R38" s="13" t="n">
        <f aca="false">(IF(12-p_LmpI&gt;=0,INDEX($F$37:$FF$37,1,12-p_LmpI+1),0)*(1-p_LmpF)+IF(12-p_LmpI-1&gt;=0,INDEX($F$37:$FF$37,1,12-p_LmpI),0)*p_LmpF)</f>
        <v>316063.807916667</v>
      </c>
      <c r="S38" s="13" t="n">
        <f aca="false">(IF(13-p_LmpI&gt;=0,INDEX($F$37:$FF$37,1,13-p_LmpI+1),0)*(1-p_LmpF)+IF(13-p_LmpI-1&gt;=0,INDEX($F$37:$FF$37,1,13-p_LmpI),0)*p_LmpF)</f>
        <v>316063.807916667</v>
      </c>
      <c r="T38" s="13" t="n">
        <f aca="false">(IF(14-p_LmpI&gt;=0,INDEX($F$37:$FF$37,1,14-p_LmpI+1),0)*(1-p_LmpF)+IF(14-p_LmpI-1&gt;=0,INDEX($F$37:$FF$37,1,14-p_LmpI),0)*p_LmpF)</f>
        <v>316063.807916667</v>
      </c>
      <c r="U38" s="13" t="n">
        <f aca="false">(IF(15-p_LmpI&gt;=0,INDEX($F$37:$FF$37,1,15-p_LmpI+1),0)*(1-p_LmpF)+IF(15-p_LmpI-1&gt;=0,INDEX($F$37:$FF$37,1,15-p_LmpI),0)*p_LmpF)</f>
        <v>316063.807916667</v>
      </c>
      <c r="V38" s="13" t="n">
        <f aca="false">(IF(16-p_LmpI&gt;=0,INDEX($F$37:$FF$37,1,16-p_LmpI+1),0)*(1-p_LmpF)+IF(16-p_LmpI-1&gt;=0,INDEX($F$37:$FF$37,1,16-p_LmpI),0)*p_LmpF)</f>
        <v>316063.807916667</v>
      </c>
      <c r="W38" s="13" t="n">
        <f aca="false">(IF(17-p_LmpI&gt;=0,INDEX($F$37:$FF$37,1,17-p_LmpI+1),0)*(1-p_LmpF)+IF(17-p_LmpI-1&gt;=0,INDEX($F$37:$FF$37,1,17-p_LmpI),0)*p_LmpF)</f>
        <v>316063.807916667</v>
      </c>
      <c r="X38" s="13" t="n">
        <f aca="false">(IF(18-p_LmpI&gt;=0,INDEX($F$37:$FF$37,1,18-p_LmpI+1),0)*(1-p_LmpF)+IF(18-p_LmpI-1&gt;=0,INDEX($F$37:$FF$37,1,18-p_LmpI),0)*p_LmpF)</f>
        <v>316063.807916667</v>
      </c>
      <c r="Y38" s="13" t="n">
        <f aca="false">(IF(19-p_LmpI&gt;=0,INDEX($F$37:$FF$37,1,19-p_LmpI+1),0)*(1-p_LmpF)+IF(19-p_LmpI-1&gt;=0,INDEX($F$37:$FF$37,1,19-p_LmpI),0)*p_LmpF)</f>
        <v>316063.807916667</v>
      </c>
      <c r="Z38" s="13" t="n">
        <f aca="false">(IF(20-p_LmpI&gt;=0,INDEX($F$37:$FF$37,1,20-p_LmpI+1),0)*(1-p_LmpF)+IF(20-p_LmpI-1&gt;=0,INDEX($F$37:$FF$37,1,20-p_LmpI),0)*p_LmpF)</f>
        <v>336506.749446034</v>
      </c>
      <c r="AA38" s="13" t="n">
        <f aca="false">(IF(21-p_LmpI&gt;=0,INDEX($F$37:$FF$37,1,21-p_LmpI+1),0)*(1-p_LmpF)+IF(21-p_LmpI-1&gt;=0,INDEX($F$37:$FF$37,1,21-p_LmpI),0)*p_LmpF)</f>
        <v>381316.467237299</v>
      </c>
      <c r="AB38" s="13" t="n">
        <f aca="false">(IF(22-p_LmpI&gt;=0,INDEX($F$37:$FF$37,1,22-p_LmpI+1),0)*(1-p_LmpF)+IF(22-p_LmpI-1&gt;=0,INDEX($F$37:$FF$37,1,22-p_LmpI),0)*p_LmpF)</f>
        <v>383845.4307</v>
      </c>
      <c r="AC38" s="13" t="n">
        <f aca="false">(IF(23-p_LmpI&gt;=0,INDEX($F$37:$FF$37,1,23-p_LmpI+1),0)*(1-p_LmpF)+IF(23-p_LmpI-1&gt;=0,INDEX($F$37:$FF$37,1,23-p_LmpI),0)*p_LmpF)</f>
        <v>383845.4307</v>
      </c>
      <c r="AD38" s="13" t="n">
        <f aca="false">(IF(24-p_LmpI&gt;=0,INDEX($F$37:$FF$37,1,24-p_LmpI+1),0)*(1-p_LmpF)+IF(24-p_LmpI-1&gt;=0,INDEX($F$37:$FF$37,1,24-p_LmpI),0)*p_LmpF)</f>
        <v>383845.4307</v>
      </c>
      <c r="AE38" s="13" t="n">
        <f aca="false">(IF(25-p_LmpI&gt;=0,INDEX($F$37:$FF$37,1,25-p_LmpI+1),0)*(1-p_LmpF)+IF(25-p_LmpI-1&gt;=0,INDEX($F$37:$FF$37,1,25-p_LmpI),0)*p_LmpF)</f>
        <v>383845.4307</v>
      </c>
      <c r="AF38" s="13" t="n">
        <f aca="false">(IF(26-p_LmpI&gt;=0,INDEX($F$37:$FF$37,1,26-p_LmpI+1),0)*(1-p_LmpF)+IF(26-p_LmpI-1&gt;=0,INDEX($F$37:$FF$37,1,26-p_LmpI),0)*p_LmpF)</f>
        <v>383845.4307</v>
      </c>
      <c r="AG38" s="13" t="n">
        <f aca="false">(IF(27-p_LmpI&gt;=0,INDEX($F$37:$FF$37,1,27-p_LmpI+1),0)*(1-p_LmpF)+IF(27-p_LmpI-1&gt;=0,INDEX($F$37:$FF$37,1,27-p_LmpI),0)*p_LmpF)</f>
        <v>383845.4307</v>
      </c>
      <c r="AH38" s="13" t="n">
        <f aca="false">(IF(28-p_LmpI&gt;=0,INDEX($F$37:$FF$37,1,28-p_LmpI+1),0)*(1-p_LmpF)+IF(28-p_LmpI-1&gt;=0,INDEX($F$37:$FF$37,1,28-p_LmpI),0)*p_LmpF)</f>
        <v>383845.4307</v>
      </c>
      <c r="AI38" s="13" t="n">
        <f aca="false">(IF(29-p_LmpI&gt;=0,INDEX($F$37:$FF$37,1,29-p_LmpI+1),0)*(1-p_LmpF)+IF(29-p_LmpI-1&gt;=0,INDEX($F$37:$FF$37,1,29-p_LmpI),0)*p_LmpF)</f>
        <v>383845.4307</v>
      </c>
      <c r="AJ38" s="13" t="n">
        <f aca="false">(IF(30-p_LmpI&gt;=0,INDEX($F$37:$FF$37,1,30-p_LmpI+1),0)*(1-p_LmpF)+IF(30-p_LmpI-1&gt;=0,INDEX($F$37:$FF$37,1,30-p_LmpI),0)*p_LmpF)</f>
        <v>383845.4307</v>
      </c>
      <c r="AK38" s="13" t="n">
        <f aca="false">(IF(31-p_LmpI&gt;=0,INDEX($F$37:$FF$37,1,31-p_LmpI+1),0)*(1-p_LmpF)+IF(31-p_LmpI-1&gt;=0,INDEX($F$37:$FF$37,1,31-p_LmpI),0)*p_LmpF)</f>
        <v>383845.4307</v>
      </c>
      <c r="AL38" s="13" t="n">
        <f aca="false">(IF(32-p_LmpI&gt;=0,INDEX($F$37:$FF$37,1,32-p_LmpI+1),0)*(1-p_LmpF)+IF(32-p_LmpI-1&gt;=0,INDEX($F$37:$FF$37,1,32-p_LmpI),0)*p_LmpF)</f>
        <v>400378.037898105</v>
      </c>
      <c r="AM38" s="13" t="n">
        <f aca="false">(IF(33-p_LmpI&gt;=0,INDEX($F$37:$FF$37,1,33-p_LmpI+1),0)*(1-p_LmpF)+IF(33-p_LmpI-1&gt;=0,INDEX($F$37:$FF$37,1,33-p_LmpI),0)*p_LmpF)</f>
        <v>437262.871182191</v>
      </c>
      <c r="AN38" s="13" t="n">
        <f aca="false">(IF(34-p_LmpI&gt;=0,INDEX($F$37:$FF$37,1,34-p_LmpI+1),0)*(1-p_LmpF)+IF(34-p_LmpI-1&gt;=0,INDEX($F$37:$FF$37,1,34-p_LmpI),0)*p_LmpF)</f>
        <v>439345.562270458</v>
      </c>
      <c r="AO38" s="13" t="n">
        <f aca="false">(IF(35-p_LmpI&gt;=0,INDEX($F$37:$FF$37,1,35-p_LmpI+1),0)*(1-p_LmpF)+IF(35-p_LmpI-1&gt;=0,INDEX($F$37:$FF$37,1,35-p_LmpI),0)*p_LmpF)</f>
        <v>439345.562270458</v>
      </c>
      <c r="AP38" s="13" t="n">
        <f aca="false">(IF(36-p_LmpI&gt;=0,INDEX($F$37:$FF$37,1,36-p_LmpI+1),0)*(1-p_LmpF)+IF(36-p_LmpI-1&gt;=0,INDEX($F$37:$FF$37,1,36-p_LmpI),0)*p_LmpF)</f>
        <v>439345.562270459</v>
      </c>
      <c r="AQ38" s="13" t="n">
        <f aca="false">(IF(37-p_LmpI&gt;=0,INDEX($F$37:$FF$37,1,37-p_LmpI+1),0)*(1-p_LmpF)+IF(37-p_LmpI-1&gt;=0,INDEX($F$37:$FF$37,1,37-p_LmpI),0)*p_LmpF)</f>
        <v>439345.562270458</v>
      </c>
      <c r="AR38" s="13" t="n">
        <f aca="false">(IF(38-p_LmpI&gt;=0,INDEX($F$37:$FF$37,1,38-p_LmpI+1),0)*(1-p_LmpF)+IF(38-p_LmpI-1&gt;=0,INDEX($F$37:$FF$37,1,38-p_LmpI),0)*p_LmpF)</f>
        <v>439345.562270458</v>
      </c>
      <c r="AS38" s="13" t="n">
        <f aca="false">(IF(39-p_LmpI&gt;=0,INDEX($F$37:$FF$37,1,39-p_LmpI+1),0)*(1-p_LmpF)+IF(39-p_LmpI-1&gt;=0,INDEX($F$37:$FF$37,1,39-p_LmpI),0)*p_LmpF)</f>
        <v>439345.562270458</v>
      </c>
      <c r="AT38" s="13" t="n">
        <f aca="false">(IF(40-p_LmpI&gt;=0,INDEX($F$37:$FF$37,1,40-p_LmpI+1),0)*(1-p_LmpF)+IF(40-p_LmpI-1&gt;=0,INDEX($F$37:$FF$37,1,40-p_LmpI),0)*p_LmpF)</f>
        <v>439345.562270458</v>
      </c>
      <c r="AU38" s="13" t="n">
        <f aca="false">(IF(41-p_LmpI&gt;=0,INDEX($F$37:$FF$37,1,41-p_LmpI+1),0)*(1-p_LmpF)+IF(41-p_LmpI-1&gt;=0,INDEX($F$37:$FF$37,1,41-p_LmpI),0)*p_LmpF)</f>
        <v>439345.562270458</v>
      </c>
      <c r="AV38" s="13" t="n">
        <f aca="false">(IF(42-p_LmpI&gt;=0,INDEX($F$37:$FF$37,1,42-p_LmpI+1),0)*(1-p_LmpF)+IF(42-p_LmpI-1&gt;=0,INDEX($F$37:$FF$37,1,42-p_LmpI),0)*p_LmpF)</f>
        <v>439345.562270458</v>
      </c>
      <c r="AW38" s="13" t="n">
        <f aca="false">(IF(43-p_LmpI&gt;=0,INDEX($F$37:$FF$37,1,43-p_LmpI+1),0)*(1-p_LmpF)+IF(43-p_LmpI-1&gt;=0,INDEX($F$37:$FF$37,1,43-p_LmpI),0)*p_LmpF)</f>
        <v>439345.562270458</v>
      </c>
      <c r="AX38" s="13" t="n">
        <f aca="false">(IF(44-p_LmpI&gt;=0,INDEX($F$37:$FF$37,1,44-p_LmpI+1),0)*(1-p_LmpF)+IF(44-p_LmpI-1&gt;=0,INDEX($F$37:$FF$37,1,44-p_LmpI),0)*p_LmpF)</f>
        <v>439345.562270458</v>
      </c>
      <c r="AY38" s="13" t="n">
        <f aca="false">(IF(45-p_LmpI&gt;=0,INDEX($F$37:$FF$37,1,45-p_LmpI+1),0)*(1-p_LmpF)+IF(45-p_LmpI-1&gt;=0,INDEX($F$37:$FF$37,1,45-p_LmpI),0)*p_LmpF)</f>
        <v>441539.633996028</v>
      </c>
      <c r="AZ38" s="13" t="n">
        <f aca="false">(IF(46-p_LmpI&gt;=0,INDEX($F$37:$FF$37,1,46-p_LmpI+1),0)*(1-p_LmpF)+IF(46-p_LmpI-1&gt;=0,INDEX($F$37:$FF$37,1,46-p_LmpI),0)*p_LmpF)</f>
        <v>441666.826559829</v>
      </c>
      <c r="BA38" s="13" t="n">
        <f aca="false">(IF(47-p_LmpI&gt;=0,INDEX($F$37:$FF$37,1,47-p_LmpI+1),0)*(1-p_LmpF)+IF(47-p_LmpI-1&gt;=0,INDEX($F$37:$FF$37,1,47-p_LmpI),0)*p_LmpF)</f>
        <v>441666.82655983</v>
      </c>
      <c r="BB38" s="13" t="n">
        <f aca="false">(IF(48-p_LmpI&gt;=0,INDEX($F$37:$FF$37,1,48-p_LmpI+1),0)*(1-p_LmpF)+IF(48-p_LmpI-1&gt;=0,INDEX($F$37:$FF$37,1,48-p_LmpI),0)*p_LmpF)</f>
        <v>441666.82655983</v>
      </c>
      <c r="BC38" s="13" t="n">
        <f aca="false">(IF(49-p_LmpI&gt;=0,INDEX($F$37:$FF$37,1,49-p_LmpI+1),0)*(1-p_LmpF)+IF(49-p_LmpI-1&gt;=0,INDEX($F$37:$FF$37,1,49-p_LmpI),0)*p_LmpF)</f>
        <v>441666.82655983</v>
      </c>
      <c r="BD38" s="13" t="n">
        <f aca="false">(IF(50-p_LmpI&gt;=0,INDEX($F$37:$FF$37,1,50-p_LmpI+1),0)*(1-p_LmpF)+IF(50-p_LmpI-1&gt;=0,INDEX($F$37:$FF$37,1,50-p_LmpI),0)*p_LmpF)</f>
        <v>441666.82655983</v>
      </c>
      <c r="BE38" s="13" t="n">
        <f aca="false">(IF(51-p_LmpI&gt;=0,INDEX($F$37:$FF$37,1,51-p_LmpI+1),0)*(1-p_LmpF)+IF(51-p_LmpI-1&gt;=0,INDEX($F$37:$FF$37,1,51-p_LmpI),0)*p_LmpF)</f>
        <v>441666.82655983</v>
      </c>
      <c r="BF38" s="13" t="n">
        <f aca="false">(IF(52-p_LmpI&gt;=0,INDEX($F$37:$FF$37,1,52-p_LmpI+1),0)*(1-p_LmpF)+IF(52-p_LmpI-1&gt;=0,INDEX($F$37:$FF$37,1,52-p_LmpI),0)*p_LmpF)</f>
        <v>441666.82655983</v>
      </c>
      <c r="BG38" s="13" t="n">
        <f aca="false">(IF(53-p_LmpI&gt;=0,INDEX($F$37:$FF$37,1,53-p_LmpI+1),0)*(1-p_LmpF)+IF(53-p_LmpI-1&gt;=0,INDEX($F$37:$FF$37,1,53-p_LmpI),0)*p_LmpF)</f>
        <v>441666.82655983</v>
      </c>
      <c r="BH38" s="13" t="n">
        <f aca="false">(IF(54-p_LmpI&gt;=0,INDEX($F$37:$FF$37,1,54-p_LmpI+1),0)*(1-p_LmpF)+IF(54-p_LmpI-1&gt;=0,INDEX($F$37:$FF$37,1,54-p_LmpI),0)*p_LmpF)</f>
        <v>441666.82655983</v>
      </c>
      <c r="BI38" s="13" t="n">
        <f aca="false">(IF(55-p_LmpI&gt;=0,INDEX($F$37:$FF$37,1,55-p_LmpI+1),0)*(1-p_LmpF)+IF(55-p_LmpI-1&gt;=0,INDEX($F$37:$FF$37,1,55-p_LmpI),0)*p_LmpF)</f>
        <v>441666.82655983</v>
      </c>
      <c r="BJ38" s="13" t="n">
        <f aca="false">(IF(56-p_LmpI&gt;=0,INDEX($F$37:$FF$37,1,56-p_LmpI+1),0)*(1-p_LmpF)+IF(56-p_LmpI-1&gt;=0,INDEX($F$37:$FF$37,1,56-p_LmpI),0)*p_LmpF)</f>
        <v>441666.82655983</v>
      </c>
      <c r="BK38" s="13" t="n">
        <f aca="false">(IF(57-p_LmpI&gt;=0,INDEX($F$37:$FF$37,1,57-p_LmpI+1),0)*(1-p_LmpF)+IF(57-p_LmpI-1&gt;=0,INDEX($F$37:$FF$37,1,57-p_LmpI),0)*p_LmpF)</f>
        <v>443882.839002655</v>
      </c>
      <c r="BL38" s="13" t="n">
        <f aca="false">(IF(58-p_LmpI&gt;=0,INDEX($F$37:$FF$37,1,58-p_LmpI+1),0)*(1-p_LmpF)+IF(58-p_LmpI-1&gt;=0,INDEX($F$37:$FF$37,1,58-p_LmpI),0)*p_LmpF)</f>
        <v>444011.303492095</v>
      </c>
      <c r="BM38" s="13" t="n">
        <f aca="false">(IF(59-p_LmpI&gt;=0,INDEX($F$37:$FF$37,1,59-p_LmpI+1),0)*(1-p_LmpF)+IF(59-p_LmpI-1&gt;=0,INDEX($F$37:$FF$37,1,59-p_LmpI),0)*p_LmpF)</f>
        <v>444011.303492094</v>
      </c>
      <c r="BN38" s="13" t="n">
        <f aca="false">(IF(60-p_LmpI&gt;=0,INDEX($F$37:$FF$37,1,60-p_LmpI+1),0)*(1-p_LmpF)+IF(60-p_LmpI-1&gt;=0,INDEX($F$37:$FF$37,1,60-p_LmpI),0)*p_LmpF)</f>
        <v>444011.303492094</v>
      </c>
      <c r="BO38" s="13" t="n">
        <f aca="false">(IF(61-p_LmpI&gt;=0,INDEX($F$37:$FF$37,1,61-p_LmpI+1),0)*(1-p_LmpF)+IF(61-p_LmpI-1&gt;=0,INDEX($F$37:$FF$37,1,61-p_LmpI),0)*p_LmpF)</f>
        <v>444011.303492094</v>
      </c>
      <c r="BP38" s="13" t="n">
        <f aca="false">(IF(62-p_LmpI&gt;=0,INDEX($F$37:$FF$37,1,62-p_LmpI+1),0)*(1-p_LmpF)+IF(62-p_LmpI-1&gt;=0,INDEX($F$37:$FF$37,1,62-p_LmpI),0)*p_LmpF)</f>
        <v>444011.303492095</v>
      </c>
      <c r="BQ38" s="13" t="n">
        <f aca="false">(IF(63-p_LmpI&gt;=0,INDEX($F$37:$FF$37,1,63-p_LmpI+1),0)*(1-p_LmpF)+IF(63-p_LmpI-1&gt;=0,INDEX($F$37:$FF$37,1,63-p_LmpI),0)*p_LmpF)</f>
        <v>444011.303492095</v>
      </c>
      <c r="BR38" s="13" t="n">
        <f aca="false">(IF(64-p_LmpI&gt;=0,INDEX($F$37:$FF$37,1,64-p_LmpI+1),0)*(1-p_LmpF)+IF(64-p_LmpI-1&gt;=0,INDEX($F$37:$FF$37,1,64-p_LmpI),0)*p_LmpF)</f>
        <v>444011.303492095</v>
      </c>
      <c r="BS38" s="13" t="n">
        <f aca="false">(IF(65-p_LmpI&gt;=0,INDEX($F$37:$FF$37,1,65-p_LmpI+1),0)*(1-p_LmpF)+IF(65-p_LmpI-1&gt;=0,INDEX($F$37:$FF$37,1,65-p_LmpI),0)*p_LmpF)</f>
        <v>444011.303492095</v>
      </c>
      <c r="BT38" s="13" t="n">
        <f aca="false">(IF(66-p_LmpI&gt;=0,INDEX($F$37:$FF$37,1,66-p_LmpI+1),0)*(1-p_LmpF)+IF(66-p_LmpI-1&gt;=0,INDEX($F$37:$FF$37,1,66-p_LmpI),0)*p_LmpF)</f>
        <v>444011.303492095</v>
      </c>
      <c r="BU38" s="13" t="n">
        <f aca="false">(IF(67-p_LmpI&gt;=0,INDEX($F$37:$FF$37,1,67-p_LmpI+1),0)*(1-p_LmpF)+IF(67-p_LmpI-1&gt;=0,INDEX($F$37:$FF$37,1,67-p_LmpI),0)*p_LmpF)</f>
        <v>444011.303492095</v>
      </c>
      <c r="BV38" s="13" t="n">
        <f aca="false">(IF(68-p_LmpI&gt;=0,INDEX($F$37:$FF$37,1,68-p_LmpI+1),0)*(1-p_LmpF)+IF(68-p_LmpI-1&gt;=0,INDEX($F$37:$FF$37,1,68-p_LmpI),0)*p_LmpF)</f>
        <v>444011.303492095</v>
      </c>
      <c r="BW38" s="13" t="n">
        <f aca="false">(IF(69-p_LmpI&gt;=0,INDEX($F$37:$FF$37,1,69-p_LmpI+1),0)*(1-p_LmpF)+IF(69-p_LmpI-1&gt;=0,INDEX($F$37:$FF$37,1,69-p_LmpI),0)*p_LmpF)</f>
        <v>446249.476059349</v>
      </c>
      <c r="BX38" s="13" t="n">
        <f aca="false">(IF(70-p_LmpI&gt;=0,INDEX($F$37:$FF$37,1,70-p_LmpI+1),0)*(1-p_LmpF)+IF(70-p_LmpI-1&gt;=0,INDEX($F$37:$FF$37,1,70-p_LmpI),0)*p_LmpF)</f>
        <v>446379.225193682</v>
      </c>
      <c r="BY38" s="13" t="n">
        <f aca="false">(IF(71-p_LmpI&gt;=0,INDEX($F$37:$FF$37,1,71-p_LmpI+1),0)*(1-p_LmpF)+IF(71-p_LmpI-1&gt;=0,INDEX($F$37:$FF$37,1,71-p_LmpI),0)*p_LmpF)</f>
        <v>446379.225193682</v>
      </c>
      <c r="BZ38" s="13" t="n">
        <f aca="false">(IF(72-p_LmpI&gt;=0,INDEX($F$37:$FF$37,1,72-p_LmpI+1),0)*(1-p_LmpF)+IF(72-p_LmpI-1&gt;=0,INDEX($F$37:$FF$37,1,72-p_LmpI),0)*p_LmpF)</f>
        <v>446379.225193682</v>
      </c>
      <c r="CA38" s="13" t="n">
        <f aca="false">(IF(73-p_LmpI&gt;=0,INDEX($F$37:$FF$37,1,73-p_LmpI+1),0)*(1-p_LmpF)+IF(73-p_LmpI-1&gt;=0,INDEX($F$37:$FF$37,1,73-p_LmpI),0)*p_LmpF)</f>
        <v>446379.225193682</v>
      </c>
      <c r="CB38" s="13" t="n">
        <f aca="false">(IF(74-p_LmpI&gt;=0,INDEX($F$37:$FF$37,1,74-p_LmpI+1),0)*(1-p_LmpF)+IF(74-p_LmpI-1&gt;=0,INDEX($F$37:$FF$37,1,74-p_LmpI),0)*p_LmpF)</f>
        <v>446379.225193682</v>
      </c>
      <c r="CC38" s="13" t="n">
        <f aca="false">(IF(75-p_LmpI&gt;=0,INDEX($F$37:$FF$37,1,75-p_LmpI+1),0)*(1-p_LmpF)+IF(75-p_LmpI-1&gt;=0,INDEX($F$37:$FF$37,1,75-p_LmpI),0)*p_LmpF)</f>
        <v>446379.225193682</v>
      </c>
      <c r="CD38" s="13" t="n">
        <f aca="false">(IF(76-p_LmpI&gt;=0,INDEX($F$37:$FF$37,1,76-p_LmpI+1),0)*(1-p_LmpF)+IF(76-p_LmpI-1&gt;=0,INDEX($F$37:$FF$37,1,76-p_LmpI),0)*p_LmpF)</f>
        <v>446379.225193682</v>
      </c>
      <c r="CE38" s="13" t="n">
        <f aca="false">(IF(77-p_LmpI&gt;=0,INDEX($F$37:$FF$37,1,77-p_LmpI+1),0)*(1-p_LmpF)+IF(77-p_LmpI-1&gt;=0,INDEX($F$37:$FF$37,1,77-p_LmpI),0)*p_LmpF)</f>
        <v>446379.225193682</v>
      </c>
      <c r="CF38" s="13" t="n">
        <f aca="false">(IF(78-p_LmpI&gt;=0,INDEX($F$37:$FF$37,1,78-p_LmpI+1),0)*(1-p_LmpF)+IF(78-p_LmpI-1&gt;=0,INDEX($F$37:$FF$37,1,78-p_LmpI),0)*p_LmpF)</f>
        <v>446379.225193682</v>
      </c>
      <c r="CG38" s="13" t="n">
        <f aca="false">(IF(79-p_LmpI&gt;=0,INDEX($F$37:$FF$37,1,79-p_LmpI+1),0)*(1-p_LmpF)+IF(79-p_LmpI-1&gt;=0,INDEX($F$37:$FF$37,1,79-p_LmpI),0)*p_LmpF)</f>
        <v>446379.225193682</v>
      </c>
      <c r="CH38" s="13" t="n">
        <f aca="false">(IF(80-p_LmpI&gt;=0,INDEX($F$37:$FF$37,1,80-p_LmpI+1),0)*(1-p_LmpF)+IF(80-p_LmpI-1&gt;=0,INDEX($F$37:$FF$37,1,80-p_LmpI),0)*p_LmpF)</f>
        <v>446379.225193682</v>
      </c>
      <c r="CI38" s="13" t="n">
        <f aca="false">(IF(81-p_LmpI&gt;=0,INDEX($F$37:$FF$37,1,81-p_LmpI+1),0)*(1-p_LmpF)+IF(81-p_LmpI-1&gt;=0,INDEX($F$37:$FF$37,1,81-p_LmpI),0)*p_LmpF)</f>
        <v>448639.779486609</v>
      </c>
      <c r="CJ38" s="13" t="n">
        <f aca="false">(IF(82-p_LmpI&gt;=0,INDEX($F$37:$FF$37,1,82-p_LmpI+1),0)*(1-p_LmpF)+IF(82-p_LmpI-1&gt;=0,INDEX($F$37:$FF$37,1,82-p_LmpI),0)*p_LmpF)</f>
        <v>448770.826112285</v>
      </c>
      <c r="CK38" s="13" t="n">
        <f aca="false">(IF(83-p_LmpI&gt;=0,INDEX($F$37:$FF$37,1,83-p_LmpI+1),0)*(1-p_LmpF)+IF(83-p_LmpI-1&gt;=0,INDEX($F$37:$FF$37,1,83-p_LmpI),0)*p_LmpF)</f>
        <v>448770.826112286</v>
      </c>
      <c r="CL38" s="13" t="n">
        <f aca="false">(IF(84-p_LmpI&gt;=0,INDEX($F$37:$FF$37,1,84-p_LmpI+1),0)*(1-p_LmpF)+IF(84-p_LmpI-1&gt;=0,INDEX($F$37:$FF$37,1,84-p_LmpI),0)*p_LmpF)</f>
        <v>448770.826112286</v>
      </c>
      <c r="CM38" s="13" t="n">
        <f aca="false">(IF(85-p_LmpI&gt;=0,INDEX($F$37:$FF$37,1,85-p_LmpI+1),0)*(1-p_LmpF)+IF(85-p_LmpI-1&gt;=0,INDEX($F$37:$FF$37,1,85-p_LmpI),0)*p_LmpF)</f>
        <v>448770.826112285</v>
      </c>
      <c r="CN38" s="13" t="n">
        <f aca="false">(IF(86-p_LmpI&gt;=0,INDEX($F$37:$FF$37,1,86-p_LmpI+1),0)*(1-p_LmpF)+IF(86-p_LmpI-1&gt;=0,INDEX($F$37:$FF$37,1,86-p_LmpI),0)*p_LmpF)</f>
        <v>448770.826112286</v>
      </c>
      <c r="CO38" s="13" t="n">
        <f aca="false">(IF(87-p_LmpI&gt;=0,INDEX($F$37:$FF$37,1,87-p_LmpI+1),0)*(1-p_LmpF)+IF(87-p_LmpI-1&gt;=0,INDEX($F$37:$FF$37,1,87-p_LmpI),0)*p_LmpF)</f>
        <v>448770.826112286</v>
      </c>
      <c r="CP38" s="13" t="n">
        <f aca="false">(IF(88-p_LmpI&gt;=0,INDEX($F$37:$FF$37,1,88-p_LmpI+1),0)*(1-p_LmpF)+IF(88-p_LmpI-1&gt;=0,INDEX($F$37:$FF$37,1,88-p_LmpI),0)*p_LmpF)</f>
        <v>448770.826112286</v>
      </c>
      <c r="CQ38" s="13" t="n">
        <f aca="false">(IF(89-p_LmpI&gt;=0,INDEX($F$37:$FF$37,1,89-p_LmpI+1),0)*(1-p_LmpF)+IF(89-p_LmpI-1&gt;=0,INDEX($F$37:$FF$37,1,89-p_LmpI),0)*p_LmpF)</f>
        <v>448770.826112286</v>
      </c>
      <c r="CR38" s="13" t="n">
        <f aca="false">(IF(90-p_LmpI&gt;=0,INDEX($F$37:$FF$37,1,90-p_LmpI+1),0)*(1-p_LmpF)+IF(90-p_LmpI-1&gt;=0,INDEX($F$37:$FF$37,1,90-p_LmpI),0)*p_LmpF)</f>
        <v>448770.826112286</v>
      </c>
      <c r="CS38" s="13" t="n">
        <f aca="false">(IF(91-p_LmpI&gt;=0,INDEX($F$37:$FF$37,1,91-p_LmpI+1),0)*(1-p_LmpF)+IF(91-p_LmpI-1&gt;=0,INDEX($F$37:$FF$37,1,91-p_LmpI),0)*p_LmpF)</f>
        <v>448770.826112286</v>
      </c>
      <c r="CT38" s="13" t="n">
        <f aca="false">(IF(92-p_LmpI&gt;=0,INDEX($F$37:$FF$37,1,92-p_LmpI+1),0)*(1-p_LmpF)+IF(92-p_LmpI-1&gt;=0,INDEX($F$37:$FF$37,1,92-p_LmpI),0)*p_LmpF)</f>
        <v>448770.826112286</v>
      </c>
      <c r="CU38" s="13" t="n">
        <f aca="false">(IF(93-p_LmpI&gt;=0,INDEX($F$37:$FF$37,1,93-p_LmpI+1),0)*(1-p_LmpF)+IF(93-p_LmpI-1&gt;=0,INDEX($F$37:$FF$37,1,93-p_LmpI),0)*p_LmpF)</f>
        <v>451053.985948142</v>
      </c>
      <c r="CV38" s="13" t="n">
        <f aca="false">(IF(94-p_LmpI&gt;=0,INDEX($F$37:$FF$37,1,94-p_LmpI+1),0)*(1-p_LmpF)+IF(94-p_LmpI-1&gt;=0,INDEX($F$37:$FF$37,1,94-p_LmpI),0)*p_LmpF)</f>
        <v>451186.343040076</v>
      </c>
      <c r="CW38" s="13" t="n">
        <f aca="false">(IF(95-p_LmpI&gt;=0,INDEX($F$37:$FF$37,1,95-p_LmpI+1),0)*(1-p_LmpF)+IF(95-p_LmpI-1&gt;=0,INDEX($F$37:$FF$37,1,95-p_LmpI),0)*p_LmpF)</f>
        <v>451186.343040075</v>
      </c>
      <c r="CX38" s="13" t="n">
        <f aca="false">(IF(96-p_LmpI&gt;=0,INDEX($F$37:$FF$37,1,96-p_LmpI+1),0)*(1-p_LmpF)+IF(96-p_LmpI-1&gt;=0,INDEX($F$37:$FF$37,1,96-p_LmpI),0)*p_LmpF)</f>
        <v>451186.343040075</v>
      </c>
      <c r="CY38" s="13" t="n">
        <f aca="false">(IF(97-p_LmpI&gt;=0,INDEX($F$37:$FF$37,1,97-p_LmpI+1),0)*(1-p_LmpF)+IF(97-p_LmpI-1&gt;=0,INDEX($F$37:$FF$37,1,97-p_LmpI),0)*p_LmpF)</f>
        <v>451186.343040075</v>
      </c>
      <c r="CZ38" s="13" t="n">
        <f aca="false">(IF(98-p_LmpI&gt;=0,INDEX($F$37:$FF$37,1,98-p_LmpI+1),0)*(1-p_LmpF)+IF(98-p_LmpI-1&gt;=0,INDEX($F$37:$FF$37,1,98-p_LmpI),0)*p_LmpF)</f>
        <v>451186.343040075</v>
      </c>
      <c r="DA38" s="13" t="n">
        <f aca="false">(IF(99-p_LmpI&gt;=0,INDEX($F$37:$FF$37,1,99-p_LmpI+1),0)*(1-p_LmpF)+IF(99-p_LmpI-1&gt;=0,INDEX($F$37:$FF$37,1,99-p_LmpI),0)*p_LmpF)</f>
        <v>451186.343040075</v>
      </c>
      <c r="DB38" s="13" t="n">
        <f aca="false">(IF(100-p_LmpI&gt;=0,INDEX($F$37:$FF$37,1,100-p_LmpI+1),0)*(1-p_LmpF)+IF(100-p_LmpI-1&gt;=0,INDEX($F$37:$FF$37,1,100-p_LmpI),0)*p_LmpF)</f>
        <v>451186.343040075</v>
      </c>
      <c r="DC38" s="13" t="n">
        <f aca="false">(IF(101-p_LmpI&gt;=0,INDEX($F$37:$FF$37,1,101-p_LmpI+1),0)*(1-p_LmpF)+IF(101-p_LmpI-1&gt;=0,INDEX($F$37:$FF$37,1,101-p_LmpI),0)*p_LmpF)</f>
        <v>451186.343040075</v>
      </c>
      <c r="DD38" s="13" t="n">
        <f aca="false">(IF(102-p_LmpI&gt;=0,INDEX($F$37:$FF$37,1,102-p_LmpI+1),0)*(1-p_LmpF)+IF(102-p_LmpI-1&gt;=0,INDEX($F$37:$FF$37,1,102-p_LmpI),0)*p_LmpF)</f>
        <v>451186.343040075</v>
      </c>
      <c r="DE38" s="13" t="n">
        <f aca="false">(IF(103-p_LmpI&gt;=0,INDEX($F$37:$FF$37,1,103-p_LmpI+1),0)*(1-p_LmpF)+IF(103-p_LmpI-1&gt;=0,INDEX($F$37:$FF$37,1,103-p_LmpI),0)*p_LmpF)</f>
        <v>451186.343040075</v>
      </c>
      <c r="DF38" s="13" t="n">
        <f aca="false">(IF(104-p_LmpI&gt;=0,INDEX($F$37:$FF$37,1,104-p_LmpI+1),0)*(1-p_LmpF)+IF(104-p_LmpI-1&gt;=0,INDEX($F$37:$FF$37,1,104-p_LmpI),0)*p_LmpF)</f>
        <v>451186.343040075</v>
      </c>
      <c r="DG38" s="13" t="n">
        <f aca="false">(IF(105-p_LmpI&gt;=0,INDEX($F$37:$FF$37,1,105-p_LmpI+1),0)*(1-p_LmpF)+IF(105-p_LmpI-1&gt;=0,INDEX($F$37:$FF$37,1,105-p_LmpI),0)*p_LmpF)</f>
        <v>453492.33447429</v>
      </c>
      <c r="DH38" s="13" t="n">
        <f aca="false">(IF(106-p_LmpI&gt;=0,INDEX($F$37:$FF$37,1,106-p_LmpI+1),0)*(1-p_LmpF)+IF(106-p_LmpI-1&gt;=0,INDEX($F$37:$FF$37,1,106-p_LmpI),0)*p_LmpF)</f>
        <v>453626.015137143</v>
      </c>
      <c r="DI38" s="13" t="n">
        <f aca="false">(IF(107-p_LmpI&gt;=0,INDEX($F$37:$FF$37,1,107-p_LmpI+1),0)*(1-p_LmpF)+IF(107-p_LmpI-1&gt;=0,INDEX($F$37:$FF$37,1,107-p_LmpI),0)*p_LmpF)</f>
        <v>453626.015137143</v>
      </c>
      <c r="DJ38" s="13" t="n">
        <f aca="false">(IF(108-p_LmpI&gt;=0,INDEX($F$37:$FF$37,1,108-p_LmpI+1),0)*(1-p_LmpF)+IF(108-p_LmpI-1&gt;=0,INDEX($F$37:$FF$37,1,108-p_LmpI),0)*p_LmpF)</f>
        <v>453626.015137143</v>
      </c>
      <c r="DK38" s="13" t="n">
        <f aca="false">(IF(109-p_LmpI&gt;=0,INDEX($F$37:$FF$37,1,109-p_LmpI+1),0)*(1-p_LmpF)+IF(109-p_LmpI-1&gt;=0,INDEX($F$37:$FF$37,1,109-p_LmpI),0)*p_LmpF)</f>
        <v>453626.015137143</v>
      </c>
      <c r="DL38" s="13" t="n">
        <f aca="false">(IF(110-p_LmpI&gt;=0,INDEX($F$37:$FF$37,1,110-p_LmpI+1),0)*(1-p_LmpF)+IF(110-p_LmpI-1&gt;=0,INDEX($F$37:$FF$37,1,110-p_LmpI),0)*p_LmpF)</f>
        <v>453626.015137143</v>
      </c>
      <c r="DM38" s="13" t="n">
        <f aca="false">(IF(111-p_LmpI&gt;=0,INDEX($F$37:$FF$37,1,111-p_LmpI+1),0)*(1-p_LmpF)+IF(111-p_LmpI-1&gt;=0,INDEX($F$37:$FF$37,1,111-p_LmpI),0)*p_LmpF)</f>
        <v>453626.015137143</v>
      </c>
      <c r="DN38" s="13" t="n">
        <f aca="false">(IF(112-p_LmpI&gt;=0,INDEX($F$37:$FF$37,1,112-p_LmpI+1),0)*(1-p_LmpF)+IF(112-p_LmpI-1&gt;=0,INDEX($F$37:$FF$37,1,112-p_LmpI),0)*p_LmpF)</f>
        <v>453626.015137143</v>
      </c>
      <c r="DO38" s="13" t="n">
        <f aca="false">(IF(113-p_LmpI&gt;=0,INDEX($F$37:$FF$37,1,113-p_LmpI+1),0)*(1-p_LmpF)+IF(113-p_LmpI-1&gt;=0,INDEX($F$37:$FF$37,1,113-p_LmpI),0)*p_LmpF)</f>
        <v>453626.015137143</v>
      </c>
      <c r="DP38" s="13" t="n">
        <f aca="false">(IF(114-p_LmpI&gt;=0,INDEX($F$37:$FF$37,1,114-p_LmpI+1),0)*(1-p_LmpF)+IF(114-p_LmpI-1&gt;=0,INDEX($F$37:$FF$37,1,114-p_LmpI),0)*p_LmpF)</f>
        <v>453626.015137143</v>
      </c>
      <c r="DQ38" s="13" t="n">
        <f aca="false">(IF(115-p_LmpI&gt;=0,INDEX($F$37:$FF$37,1,115-p_LmpI+1),0)*(1-p_LmpF)+IF(115-p_LmpI-1&gt;=0,INDEX($F$37:$FF$37,1,115-p_LmpI),0)*p_LmpF)</f>
        <v>453626.015137143</v>
      </c>
      <c r="DR38" s="13" t="n">
        <f aca="false">(IF(116-p_LmpI&gt;=0,INDEX($F$37:$FF$37,1,116-p_LmpI+1),0)*(1-p_LmpF)+IF(116-p_LmpI-1&gt;=0,INDEX($F$37:$FF$37,1,116-p_LmpI),0)*p_LmpF)</f>
        <v>312660.603039731</v>
      </c>
      <c r="DS38" s="13" t="n">
        <f aca="false">(IF(117-p_LmpI&gt;=0,INDEX($F$37:$FF$37,1,117-p_LmpI+1),0)*(1-p_LmpF)+IF(117-p_LmpI-1&gt;=0,INDEX($F$37:$FF$37,1,117-p_LmpI),0)*p_LmpF)</f>
        <v>16684.3120598386</v>
      </c>
      <c r="DT38" s="13" t="n">
        <f aca="false">(IF(118-p_LmpI&gt;=0,INDEX($F$37:$FF$37,1,118-p_LmpI+1),0)*(1-p_LmpF)+IF(118-p_LmpI-1&gt;=0,INDEX($F$37:$FF$37,1,118-p_LmpI),0)*p_LmpF)</f>
        <v>0</v>
      </c>
      <c r="DU38" s="13" t="n">
        <f aca="false">(IF(119-p_LmpI&gt;=0,INDEX($F$37:$FF$37,1,119-p_LmpI+1),0)*(1-p_LmpF)+IF(119-p_LmpI-1&gt;=0,INDEX($F$37:$FF$37,1,119-p_LmpI),0)*p_LmpF)</f>
        <v>0</v>
      </c>
      <c r="DV38" s="13" t="n">
        <f aca="false">(IF(120-p_LmpI&gt;=0,INDEX($F$37:$FF$37,1,120-p_LmpI+1),0)*(1-p_LmpF)+IF(120-p_LmpI-1&gt;=0,INDEX($F$37:$FF$37,1,120-p_LmpI),0)*p_LmpF)</f>
        <v>0</v>
      </c>
      <c r="DW38" s="13" t="n">
        <f aca="false">(IF(121-p_LmpI&gt;=0,INDEX($F$37:$FF$37,1,121-p_LmpI+1),0)*(1-p_LmpF)+IF(121-p_LmpI-1&gt;=0,INDEX($F$37:$FF$37,1,121-p_LmpI),0)*p_LmpF)</f>
        <v>0</v>
      </c>
      <c r="DX38" s="13" t="n">
        <f aca="false">(IF(122-p_LmpI&gt;=0,INDEX($F$37:$FF$37,1,122-p_LmpI+1),0)*(1-p_LmpF)+IF(122-p_LmpI-1&gt;=0,INDEX($F$37:$FF$37,1,122-p_LmpI),0)*p_LmpF)</f>
        <v>0</v>
      </c>
      <c r="DY38" s="13" t="n">
        <f aca="false">(IF(123-p_LmpI&gt;=0,INDEX($F$37:$FF$37,1,123-p_LmpI+1),0)*(1-p_LmpF)+IF(123-p_LmpI-1&gt;=0,INDEX($F$37:$FF$37,1,123-p_LmpI),0)*p_LmpF)</f>
        <v>0</v>
      </c>
      <c r="DZ38" s="13" t="n">
        <f aca="false">(IF(124-p_LmpI&gt;=0,INDEX($F$37:$FF$37,1,124-p_LmpI+1),0)*(1-p_LmpF)+IF(124-p_LmpI-1&gt;=0,INDEX($F$37:$FF$37,1,124-p_LmpI),0)*p_LmpF)</f>
        <v>0</v>
      </c>
      <c r="EA38" s="13" t="n">
        <f aca="false">(IF(125-p_LmpI&gt;=0,INDEX($F$37:$FF$37,1,125-p_LmpI+1),0)*(1-p_LmpF)+IF(125-p_LmpI-1&gt;=0,INDEX($F$37:$FF$37,1,125-p_LmpI),0)*p_LmpF)</f>
        <v>0</v>
      </c>
      <c r="EB38" s="13" t="n">
        <f aca="false">(IF(126-p_LmpI&gt;=0,INDEX($F$37:$FF$37,1,126-p_LmpI+1),0)*(1-p_LmpF)+IF(126-p_LmpI-1&gt;=0,INDEX($F$37:$FF$37,1,126-p_LmpI),0)*p_LmpF)</f>
        <v>0</v>
      </c>
      <c r="EC38" s="13" t="n">
        <f aca="false">(IF(127-p_LmpI&gt;=0,INDEX($F$37:$FF$37,1,127-p_LmpI+1),0)*(1-p_LmpF)+IF(127-p_LmpI-1&gt;=0,INDEX($F$37:$FF$37,1,127-p_LmpI),0)*p_LmpF)</f>
        <v>0</v>
      </c>
      <c r="ED38" s="13" t="n">
        <f aca="false">(IF(128-p_LmpI&gt;=0,INDEX($F$37:$FF$37,1,128-p_LmpI+1),0)*(1-p_LmpF)+IF(128-p_LmpI-1&gt;=0,INDEX($F$37:$FF$37,1,128-p_LmpI),0)*p_LmpF)</f>
        <v>0</v>
      </c>
      <c r="EE38" s="13" t="n">
        <f aca="false">(IF(129-p_LmpI&gt;=0,INDEX($F$37:$FF$37,1,129-p_LmpI+1),0)*(1-p_LmpF)+IF(129-p_LmpI-1&gt;=0,INDEX($F$37:$FF$37,1,129-p_LmpI),0)*p_LmpF)</f>
        <v>0</v>
      </c>
      <c r="EF38" s="13" t="n">
        <f aca="false">(IF(130-p_LmpI&gt;=0,INDEX($F$37:$FF$37,1,130-p_LmpI+1),0)*(1-p_LmpF)+IF(130-p_LmpI-1&gt;=0,INDEX($F$37:$FF$37,1,130-p_LmpI),0)*p_LmpF)</f>
        <v>0</v>
      </c>
      <c r="EG38" s="13" t="n">
        <f aca="false">(IF(131-p_LmpI&gt;=0,INDEX($F$37:$FF$37,1,131-p_LmpI+1),0)*(1-p_LmpF)+IF(131-p_LmpI-1&gt;=0,INDEX($F$37:$FF$37,1,131-p_LmpI),0)*p_LmpF)</f>
        <v>0</v>
      </c>
      <c r="EH38" s="13" t="n">
        <f aca="false">(IF(132-p_LmpI&gt;=0,INDEX($F$37:$FF$37,1,132-p_LmpI+1),0)*(1-p_LmpF)+IF(132-p_LmpI-1&gt;=0,INDEX($F$37:$FF$37,1,132-p_LmpI),0)*p_LmpF)</f>
        <v>0</v>
      </c>
      <c r="EI38" s="13" t="n">
        <f aca="false">(IF(133-p_LmpI&gt;=0,INDEX($F$37:$FF$37,1,133-p_LmpI+1),0)*(1-p_LmpF)+IF(133-p_LmpI-1&gt;=0,INDEX($F$37:$FF$37,1,133-p_LmpI),0)*p_LmpF)</f>
        <v>0</v>
      </c>
      <c r="EJ38" s="13" t="n">
        <f aca="false">(IF(134-p_LmpI&gt;=0,INDEX($F$37:$FF$37,1,134-p_LmpI+1),0)*(1-p_LmpF)+IF(134-p_LmpI-1&gt;=0,INDEX($F$37:$FF$37,1,134-p_LmpI),0)*p_LmpF)</f>
        <v>0</v>
      </c>
      <c r="EK38" s="13" t="n">
        <f aca="false">(IF(135-p_LmpI&gt;=0,INDEX($F$37:$FF$37,1,135-p_LmpI+1),0)*(1-p_LmpF)+IF(135-p_LmpI-1&gt;=0,INDEX($F$37:$FF$37,1,135-p_LmpI),0)*p_LmpF)</f>
        <v>0</v>
      </c>
      <c r="EL38" s="13" t="n">
        <f aca="false">(IF(136-p_LmpI&gt;=0,INDEX($F$37:$FF$37,1,136-p_LmpI+1),0)*(1-p_LmpF)+IF(136-p_LmpI-1&gt;=0,INDEX($F$37:$FF$37,1,136-p_LmpI),0)*p_LmpF)</f>
        <v>0</v>
      </c>
      <c r="EM38" s="13" t="n">
        <f aca="false">(IF(137-p_LmpI&gt;=0,INDEX($F$37:$FF$37,1,137-p_LmpI+1),0)*(1-p_LmpF)+IF(137-p_LmpI-1&gt;=0,INDEX($F$37:$FF$37,1,137-p_LmpI),0)*p_LmpF)</f>
        <v>0</v>
      </c>
      <c r="EN38" s="13" t="n">
        <f aca="false">(IF(138-p_LmpI&gt;=0,INDEX($F$37:$FF$37,1,138-p_LmpI+1),0)*(1-p_LmpF)+IF(138-p_LmpI-1&gt;=0,INDEX($F$37:$FF$37,1,138-p_LmpI),0)*p_LmpF)</f>
        <v>0</v>
      </c>
      <c r="EO38" s="13" t="n">
        <f aca="false">(IF(139-p_LmpI&gt;=0,INDEX($F$37:$FF$37,1,139-p_LmpI+1),0)*(1-p_LmpF)+IF(139-p_LmpI-1&gt;=0,INDEX($F$37:$FF$37,1,139-p_LmpI),0)*p_LmpF)</f>
        <v>0</v>
      </c>
      <c r="EP38" s="13" t="n">
        <f aca="false">(IF(140-p_LmpI&gt;=0,INDEX($F$37:$FF$37,1,140-p_LmpI+1),0)*(1-p_LmpF)+IF(140-p_LmpI-1&gt;=0,INDEX($F$37:$FF$37,1,140-p_LmpI),0)*p_LmpF)</f>
        <v>0</v>
      </c>
      <c r="EQ38" s="13" t="n">
        <f aca="false">(IF(141-p_LmpI&gt;=0,INDEX($F$37:$FF$37,1,141-p_LmpI+1),0)*(1-p_LmpF)+IF(141-p_LmpI-1&gt;=0,INDEX($F$37:$FF$37,1,141-p_LmpI),0)*p_LmpF)</f>
        <v>0</v>
      </c>
      <c r="ER38" s="13" t="n">
        <f aca="false">(IF(142-p_LmpI&gt;=0,INDEX($F$37:$FF$37,1,142-p_LmpI+1),0)*(1-p_LmpF)+IF(142-p_LmpI-1&gt;=0,INDEX($F$37:$FF$37,1,142-p_LmpI),0)*p_LmpF)</f>
        <v>0</v>
      </c>
      <c r="ES38" s="13" t="n">
        <f aca="false">(IF(143-p_LmpI&gt;=0,INDEX($F$37:$FF$37,1,143-p_LmpI+1),0)*(1-p_LmpF)+IF(143-p_LmpI-1&gt;=0,INDEX($F$37:$FF$37,1,143-p_LmpI),0)*p_LmpF)</f>
        <v>0</v>
      </c>
      <c r="ET38" s="13" t="n">
        <f aca="false">(IF(144-p_LmpI&gt;=0,INDEX($F$37:$FF$37,1,144-p_LmpI+1),0)*(1-p_LmpF)+IF(144-p_LmpI-1&gt;=0,INDEX($F$37:$FF$37,1,144-p_LmpI),0)*p_LmpF)</f>
        <v>0</v>
      </c>
      <c r="EU38" s="13" t="n">
        <f aca="false">(IF(145-p_LmpI&gt;=0,INDEX($F$37:$FF$37,1,145-p_LmpI+1),0)*(1-p_LmpF)+IF(145-p_LmpI-1&gt;=0,INDEX($F$37:$FF$37,1,145-p_LmpI),0)*p_LmpF)</f>
        <v>0</v>
      </c>
      <c r="EV38" s="13" t="n">
        <f aca="false">(IF(146-p_LmpI&gt;=0,INDEX($F$37:$FF$37,1,146-p_LmpI+1),0)*(1-p_LmpF)+IF(146-p_LmpI-1&gt;=0,INDEX($F$37:$FF$37,1,146-p_LmpI),0)*p_LmpF)</f>
        <v>0</v>
      </c>
      <c r="EW38" s="13" t="n">
        <f aca="false">(IF(147-p_LmpI&gt;=0,INDEX($F$37:$FF$37,1,147-p_LmpI+1),0)*(1-p_LmpF)+IF(147-p_LmpI-1&gt;=0,INDEX($F$37:$FF$37,1,147-p_LmpI),0)*p_LmpF)</f>
        <v>0</v>
      </c>
      <c r="EX38" s="13" t="n">
        <f aca="false">(IF(148-p_LmpI&gt;=0,INDEX($F$37:$FF$37,1,148-p_LmpI+1),0)*(1-p_LmpF)+IF(148-p_LmpI-1&gt;=0,INDEX($F$37:$FF$37,1,148-p_LmpI),0)*p_LmpF)</f>
        <v>0</v>
      </c>
      <c r="EY38" s="13" t="n">
        <f aca="false">(IF(149-p_LmpI&gt;=0,INDEX($F$37:$FF$37,1,149-p_LmpI+1),0)*(1-p_LmpF)+IF(149-p_LmpI-1&gt;=0,INDEX($F$37:$FF$37,1,149-p_LmpI),0)*p_LmpF)</f>
        <v>0</v>
      </c>
      <c r="EZ38" s="13" t="n">
        <f aca="false">(IF(150-p_LmpI&gt;=0,INDEX($F$37:$FF$37,1,150-p_LmpI+1),0)*(1-p_LmpF)+IF(150-p_LmpI-1&gt;=0,INDEX($F$37:$FF$37,1,150-p_LmpI),0)*p_LmpF)</f>
        <v>0</v>
      </c>
      <c r="FA38" s="13" t="n">
        <f aca="false">(IF(151-p_LmpI&gt;=0,INDEX($F$37:$FF$37,1,151-p_LmpI+1),0)*(1-p_LmpF)+IF(151-p_LmpI-1&gt;=0,INDEX($F$37:$FF$37,1,151-p_LmpI),0)*p_LmpF)</f>
        <v>0</v>
      </c>
      <c r="FB38" s="13" t="n">
        <f aca="false">(IF(152-p_LmpI&gt;=0,INDEX($F$37:$FF$37,1,152-p_LmpI+1),0)*(1-p_LmpF)+IF(152-p_LmpI-1&gt;=0,INDEX($F$37:$FF$37,1,152-p_LmpI),0)*p_LmpF)</f>
        <v>0</v>
      </c>
      <c r="FC38" s="13" t="n">
        <f aca="false">(IF(153-p_LmpI&gt;=0,INDEX($F$37:$FF$37,1,153-p_LmpI+1),0)*(1-p_LmpF)+IF(153-p_LmpI-1&gt;=0,INDEX($F$37:$FF$37,1,153-p_LmpI),0)*p_LmpF)</f>
        <v>0</v>
      </c>
      <c r="FD38" s="13" t="n">
        <f aca="false">(IF(154-p_LmpI&gt;=0,INDEX($F$37:$FF$37,1,154-p_LmpI+1),0)*(1-p_LmpF)+IF(154-p_LmpI-1&gt;=0,INDEX($F$37:$FF$37,1,154-p_LmpI),0)*p_LmpF)</f>
        <v>0</v>
      </c>
      <c r="FE38" s="13" t="n">
        <f aca="false">(IF(155-p_LmpI&gt;=0,INDEX($F$37:$FF$37,1,155-p_LmpI+1),0)*(1-p_LmpF)+IF(155-p_LmpI-1&gt;=0,INDEX($F$37:$FF$37,1,155-p_LmpI),0)*p_LmpF)</f>
        <v>0</v>
      </c>
      <c r="FF38" s="13" t="n">
        <f aca="false">(IF(156-p_LmpI&gt;=0,INDEX($F$37:$FF$37,1,156-p_LmpI+1),0)*(1-p_LmpF)+IF(156-p_LmpI-1&gt;=0,INDEX($F$37:$FF$37,1,156-p_LmpI),0)*p_LmpF)</f>
        <v>0</v>
      </c>
    </row>
    <row r="39" customFormat="false" ht="15" hidden="false" customHeight="false" outlineLevel="0" collapsed="false">
      <c r="A39" s="2" t="s">
        <v>1336</v>
      </c>
      <c r="B39" s="8" t="s">
        <v>1337</v>
      </c>
      <c r="C39" s="8" t="s">
        <v>255</v>
      </c>
      <c r="E39" s="65" t="n">
        <f aca="false">SUM($F39:$FF39)</f>
        <v>0</v>
      </c>
      <c r="F39" s="13" t="n">
        <f aca="false">IF(AND(p_MesCorte&gt;=0,0=p_MesCorte+MAX(1,ROUND(p_Lmp,0))),0,0)*Calendario!F$13</f>
        <v>0</v>
      </c>
      <c r="G39" s="13" t="n">
        <f aca="false">IF(AND(p_MesCorte&gt;=0,1=p_MesCorte+MAX(1,ROUND(p_Lmp,0))),F$44,0)*Calendario!G$13</f>
        <v>0</v>
      </c>
      <c r="H39" s="13" t="n">
        <f aca="false">IF(AND(p_MesCorte&gt;=0,2=p_MesCorte+MAX(1,ROUND(p_Lmp,0))),G$44,0)*Calendario!H$13</f>
        <v>0</v>
      </c>
      <c r="I39" s="13" t="n">
        <f aca="false">IF(AND(p_MesCorte&gt;=0,3=p_MesCorte+MAX(1,ROUND(p_Lmp,0))),H$44,0)*Calendario!I$13</f>
        <v>0</v>
      </c>
      <c r="J39" s="13" t="n">
        <f aca="false">IF(AND(p_MesCorte&gt;=0,4=p_MesCorte+MAX(1,ROUND(p_Lmp,0))),I$44,0)*Calendario!J$13</f>
        <v>0</v>
      </c>
      <c r="K39" s="13" t="n">
        <f aca="false">IF(AND(p_MesCorte&gt;=0,5=p_MesCorte+MAX(1,ROUND(p_Lmp,0))),J$44,0)*Calendario!K$13</f>
        <v>0</v>
      </c>
      <c r="L39" s="13" t="n">
        <f aca="false">IF(AND(p_MesCorte&gt;=0,6=p_MesCorte+MAX(1,ROUND(p_Lmp,0))),K$44,0)*Calendario!L$13</f>
        <v>0</v>
      </c>
      <c r="M39" s="13" t="n">
        <f aca="false">IF(AND(p_MesCorte&gt;=0,7=p_MesCorte+MAX(1,ROUND(p_Lmp,0))),L$44,0)*Calendario!M$13</f>
        <v>0</v>
      </c>
      <c r="N39" s="13" t="n">
        <f aca="false">IF(AND(p_MesCorte&gt;=0,8=p_MesCorte+MAX(1,ROUND(p_Lmp,0))),M$44,0)*Calendario!N$13</f>
        <v>0</v>
      </c>
      <c r="O39" s="13" t="n">
        <f aca="false">IF(AND(p_MesCorte&gt;=0,9=p_MesCorte+MAX(1,ROUND(p_Lmp,0))),N$44,0)*Calendario!O$13</f>
        <v>0</v>
      </c>
      <c r="P39" s="13" t="n">
        <f aca="false">IF(AND(p_MesCorte&gt;=0,10=p_MesCorte+MAX(1,ROUND(p_Lmp,0))),O$44,0)*Calendario!P$13</f>
        <v>0</v>
      </c>
      <c r="Q39" s="13" t="n">
        <f aca="false">IF(AND(p_MesCorte&gt;=0,11=p_MesCorte+MAX(1,ROUND(p_Lmp,0))),P$44,0)*Calendario!Q$13</f>
        <v>0</v>
      </c>
      <c r="R39" s="13" t="n">
        <f aca="false">IF(AND(p_MesCorte&gt;=0,12=p_MesCorte+MAX(1,ROUND(p_Lmp,0))),Q$44,0)*Calendario!R$13</f>
        <v>0</v>
      </c>
      <c r="S39" s="13" t="n">
        <f aca="false">IF(AND(p_MesCorte&gt;=0,13=p_MesCorte+MAX(1,ROUND(p_Lmp,0))),R$44,0)*Calendario!S$13</f>
        <v>0</v>
      </c>
      <c r="T39" s="13" t="n">
        <f aca="false">IF(AND(p_MesCorte&gt;=0,14=p_MesCorte+MAX(1,ROUND(p_Lmp,0))),S$44,0)*Calendario!T$13</f>
        <v>0</v>
      </c>
      <c r="U39" s="13" t="n">
        <f aca="false">IF(AND(p_MesCorte&gt;=0,15=p_MesCorte+MAX(1,ROUND(p_Lmp,0))),T$44,0)*Calendario!U$13</f>
        <v>0</v>
      </c>
      <c r="V39" s="13" t="n">
        <f aca="false">IF(AND(p_MesCorte&gt;=0,16=p_MesCorte+MAX(1,ROUND(p_Lmp,0))),U$44,0)*Calendario!V$13</f>
        <v>0</v>
      </c>
      <c r="W39" s="13" t="n">
        <f aca="false">IF(AND(p_MesCorte&gt;=0,17=p_MesCorte+MAX(1,ROUND(p_Lmp,0))),V$44,0)*Calendario!W$13</f>
        <v>0</v>
      </c>
      <c r="X39" s="13" t="n">
        <f aca="false">IF(AND(p_MesCorte&gt;=0,18=p_MesCorte+MAX(1,ROUND(p_Lmp,0))),W$44,0)*Calendario!X$13</f>
        <v>0</v>
      </c>
      <c r="Y39" s="13" t="n">
        <f aca="false">IF(AND(p_MesCorte&gt;=0,19=p_MesCorte+MAX(1,ROUND(p_Lmp,0))),X$44,0)*Calendario!Y$13</f>
        <v>0</v>
      </c>
      <c r="Z39" s="13" t="n">
        <f aca="false">IF(AND(p_MesCorte&gt;=0,20=p_MesCorte+MAX(1,ROUND(p_Lmp,0))),Y$44,0)*Calendario!Z$13</f>
        <v>0</v>
      </c>
      <c r="AA39" s="13" t="n">
        <f aca="false">IF(AND(p_MesCorte&gt;=0,21=p_MesCorte+MAX(1,ROUND(p_Lmp,0))),Z$44,0)*Calendario!AA$13</f>
        <v>0</v>
      </c>
      <c r="AB39" s="13" t="n">
        <f aca="false">IF(AND(p_MesCorte&gt;=0,22=p_MesCorte+MAX(1,ROUND(p_Lmp,0))),AA$44,0)*Calendario!AB$13</f>
        <v>0</v>
      </c>
      <c r="AC39" s="13" t="n">
        <f aca="false">IF(AND(p_MesCorte&gt;=0,23=p_MesCorte+MAX(1,ROUND(p_Lmp,0))),AB$44,0)*Calendario!AC$13</f>
        <v>0</v>
      </c>
      <c r="AD39" s="13" t="n">
        <f aca="false">IF(AND(p_MesCorte&gt;=0,24=p_MesCorte+MAX(1,ROUND(p_Lmp,0))),AC$44,0)*Calendario!AD$13</f>
        <v>0</v>
      </c>
      <c r="AE39" s="13" t="n">
        <f aca="false">IF(AND(p_MesCorte&gt;=0,25=p_MesCorte+MAX(1,ROUND(p_Lmp,0))),AD$44,0)*Calendario!AE$13</f>
        <v>0</v>
      </c>
      <c r="AF39" s="13" t="n">
        <f aca="false">IF(AND(p_MesCorte&gt;=0,26=p_MesCorte+MAX(1,ROUND(p_Lmp,0))),AE$44,0)*Calendario!AF$13</f>
        <v>0</v>
      </c>
      <c r="AG39" s="13" t="n">
        <f aca="false">IF(AND(p_MesCorte&gt;=0,27=p_MesCorte+MAX(1,ROUND(p_Lmp,0))),AF$44,0)*Calendario!AG$13</f>
        <v>0</v>
      </c>
      <c r="AH39" s="13" t="n">
        <f aca="false">IF(AND(p_MesCorte&gt;=0,28=p_MesCorte+MAX(1,ROUND(p_Lmp,0))),AG$44,0)*Calendario!AH$13</f>
        <v>0</v>
      </c>
      <c r="AI39" s="13" t="n">
        <f aca="false">IF(AND(p_MesCorte&gt;=0,29=p_MesCorte+MAX(1,ROUND(p_Lmp,0))),AH$44,0)*Calendario!AI$13</f>
        <v>0</v>
      </c>
      <c r="AJ39" s="13" t="n">
        <f aca="false">IF(AND(p_MesCorte&gt;=0,30=p_MesCorte+MAX(1,ROUND(p_Lmp,0))),AI$44,0)*Calendario!AJ$13</f>
        <v>0</v>
      </c>
      <c r="AK39" s="13" t="n">
        <f aca="false">IF(AND(p_MesCorte&gt;=0,31=p_MesCorte+MAX(1,ROUND(p_Lmp,0))),AJ$44,0)*Calendario!AK$13</f>
        <v>0</v>
      </c>
      <c r="AL39" s="13" t="n">
        <f aca="false">IF(AND(p_MesCorte&gt;=0,32=p_MesCorte+MAX(1,ROUND(p_Lmp,0))),AK$44,0)*Calendario!AL$13</f>
        <v>0</v>
      </c>
      <c r="AM39" s="13" t="n">
        <f aca="false">IF(AND(p_MesCorte&gt;=0,33=p_MesCorte+MAX(1,ROUND(p_Lmp,0))),AL$44,0)*Calendario!AM$13</f>
        <v>0</v>
      </c>
      <c r="AN39" s="13" t="n">
        <f aca="false">IF(AND(p_MesCorte&gt;=0,34=p_MesCorte+MAX(1,ROUND(p_Lmp,0))),AM$44,0)*Calendario!AN$13</f>
        <v>0</v>
      </c>
      <c r="AO39" s="13" t="n">
        <f aca="false">IF(AND(p_MesCorte&gt;=0,35=p_MesCorte+MAX(1,ROUND(p_Lmp,0))),AN$44,0)*Calendario!AO$13</f>
        <v>0</v>
      </c>
      <c r="AP39" s="13" t="n">
        <f aca="false">IF(AND(p_MesCorte&gt;=0,36=p_MesCorte+MAX(1,ROUND(p_Lmp,0))),AO$44,0)*Calendario!AP$13</f>
        <v>0</v>
      </c>
      <c r="AQ39" s="13" t="n">
        <f aca="false">IF(AND(p_MesCorte&gt;=0,37=p_MesCorte+MAX(1,ROUND(p_Lmp,0))),AP$44,0)*Calendario!AQ$13</f>
        <v>0</v>
      </c>
      <c r="AR39" s="13" t="n">
        <f aca="false">IF(AND(p_MesCorte&gt;=0,38=p_MesCorte+MAX(1,ROUND(p_Lmp,0))),AQ$44,0)*Calendario!AR$13</f>
        <v>0</v>
      </c>
      <c r="AS39" s="13" t="n">
        <f aca="false">IF(AND(p_MesCorte&gt;=0,39=p_MesCorte+MAX(1,ROUND(p_Lmp,0))),AR$44,0)*Calendario!AS$13</f>
        <v>0</v>
      </c>
      <c r="AT39" s="13" t="n">
        <f aca="false">IF(AND(p_MesCorte&gt;=0,40=p_MesCorte+MAX(1,ROUND(p_Lmp,0))),AS$44,0)*Calendario!AT$13</f>
        <v>0</v>
      </c>
      <c r="AU39" s="13" t="n">
        <f aca="false">IF(AND(p_MesCorte&gt;=0,41=p_MesCorte+MAX(1,ROUND(p_Lmp,0))),AT$44,0)*Calendario!AU$13</f>
        <v>0</v>
      </c>
      <c r="AV39" s="13" t="n">
        <f aca="false">IF(AND(p_MesCorte&gt;=0,42=p_MesCorte+MAX(1,ROUND(p_Lmp,0))),AU$44,0)*Calendario!AV$13</f>
        <v>0</v>
      </c>
      <c r="AW39" s="13" t="n">
        <f aca="false">IF(AND(p_MesCorte&gt;=0,43=p_MesCorte+MAX(1,ROUND(p_Lmp,0))),AV$44,0)*Calendario!AW$13</f>
        <v>0</v>
      </c>
      <c r="AX39" s="13" t="n">
        <f aca="false">IF(AND(p_MesCorte&gt;=0,44=p_MesCorte+MAX(1,ROUND(p_Lmp,0))),AW$44,0)*Calendario!AX$13</f>
        <v>0</v>
      </c>
      <c r="AY39" s="13" t="n">
        <f aca="false">IF(AND(p_MesCorte&gt;=0,45=p_MesCorte+MAX(1,ROUND(p_Lmp,0))),AX$44,0)*Calendario!AY$13</f>
        <v>0</v>
      </c>
      <c r="AZ39" s="13" t="n">
        <f aca="false">IF(AND(p_MesCorte&gt;=0,46=p_MesCorte+MAX(1,ROUND(p_Lmp,0))),AY$44,0)*Calendario!AZ$13</f>
        <v>0</v>
      </c>
      <c r="BA39" s="13" t="n">
        <f aca="false">IF(AND(p_MesCorte&gt;=0,47=p_MesCorte+MAX(1,ROUND(p_Lmp,0))),AZ$44,0)*Calendario!BA$13</f>
        <v>0</v>
      </c>
      <c r="BB39" s="13" t="n">
        <f aca="false">IF(AND(p_MesCorte&gt;=0,48=p_MesCorte+MAX(1,ROUND(p_Lmp,0))),BA$44,0)*Calendario!BB$13</f>
        <v>0</v>
      </c>
      <c r="BC39" s="13" t="n">
        <f aca="false">IF(AND(p_MesCorte&gt;=0,49=p_MesCorte+MAX(1,ROUND(p_Lmp,0))),BB$44,0)*Calendario!BC$13</f>
        <v>0</v>
      </c>
      <c r="BD39" s="13" t="n">
        <f aca="false">IF(AND(p_MesCorte&gt;=0,50=p_MesCorte+MAX(1,ROUND(p_Lmp,0))),BC$44,0)*Calendario!BD$13</f>
        <v>0</v>
      </c>
      <c r="BE39" s="13" t="n">
        <f aca="false">IF(AND(p_MesCorte&gt;=0,51=p_MesCorte+MAX(1,ROUND(p_Lmp,0))),BD$44,0)*Calendario!BE$13</f>
        <v>0</v>
      </c>
      <c r="BF39" s="13" t="n">
        <f aca="false">IF(AND(p_MesCorte&gt;=0,52=p_MesCorte+MAX(1,ROUND(p_Lmp,0))),BE$44,0)*Calendario!BF$13</f>
        <v>0</v>
      </c>
      <c r="BG39" s="13" t="n">
        <f aca="false">IF(AND(p_MesCorte&gt;=0,53=p_MesCorte+MAX(1,ROUND(p_Lmp,0))),BF$44,0)*Calendario!BG$13</f>
        <v>0</v>
      </c>
      <c r="BH39" s="13" t="n">
        <f aca="false">IF(AND(p_MesCorte&gt;=0,54=p_MesCorte+MAX(1,ROUND(p_Lmp,0))),BG$44,0)*Calendario!BH$13</f>
        <v>0</v>
      </c>
      <c r="BI39" s="13" t="n">
        <f aca="false">IF(AND(p_MesCorte&gt;=0,55=p_MesCorte+MAX(1,ROUND(p_Lmp,0))),BH$44,0)*Calendario!BI$13</f>
        <v>0</v>
      </c>
      <c r="BJ39" s="13" t="n">
        <f aca="false">IF(AND(p_MesCorte&gt;=0,56=p_MesCorte+MAX(1,ROUND(p_Lmp,0))),BI$44,0)*Calendario!BJ$13</f>
        <v>0</v>
      </c>
      <c r="BK39" s="13" t="n">
        <f aca="false">IF(AND(p_MesCorte&gt;=0,57=p_MesCorte+MAX(1,ROUND(p_Lmp,0))),BJ$44,0)*Calendario!BK$13</f>
        <v>0</v>
      </c>
      <c r="BL39" s="13" t="n">
        <f aca="false">IF(AND(p_MesCorte&gt;=0,58=p_MesCorte+MAX(1,ROUND(p_Lmp,0))),BK$44,0)*Calendario!BL$13</f>
        <v>0</v>
      </c>
      <c r="BM39" s="13" t="n">
        <f aca="false">IF(AND(p_MesCorte&gt;=0,59=p_MesCorte+MAX(1,ROUND(p_Lmp,0))),BL$44,0)*Calendario!BM$13</f>
        <v>0</v>
      </c>
      <c r="BN39" s="13" t="n">
        <f aca="false">IF(AND(p_MesCorte&gt;=0,60=p_MesCorte+MAX(1,ROUND(p_Lmp,0))),BM$44,0)*Calendario!BN$13</f>
        <v>0</v>
      </c>
      <c r="BO39" s="13" t="n">
        <f aca="false">IF(AND(p_MesCorte&gt;=0,61=p_MesCorte+MAX(1,ROUND(p_Lmp,0))),BN$44,0)*Calendario!BO$13</f>
        <v>0</v>
      </c>
      <c r="BP39" s="13" t="n">
        <f aca="false">IF(AND(p_MesCorte&gt;=0,62=p_MesCorte+MAX(1,ROUND(p_Lmp,0))),BO$44,0)*Calendario!BP$13</f>
        <v>0</v>
      </c>
      <c r="BQ39" s="13" t="n">
        <f aca="false">IF(AND(p_MesCorte&gt;=0,63=p_MesCorte+MAX(1,ROUND(p_Lmp,0))),BP$44,0)*Calendario!BQ$13</f>
        <v>0</v>
      </c>
      <c r="BR39" s="13" t="n">
        <f aca="false">IF(AND(p_MesCorte&gt;=0,64=p_MesCorte+MAX(1,ROUND(p_Lmp,0))),BQ$44,0)*Calendario!BR$13</f>
        <v>0</v>
      </c>
      <c r="BS39" s="13" t="n">
        <f aca="false">IF(AND(p_MesCorte&gt;=0,65=p_MesCorte+MAX(1,ROUND(p_Lmp,0))),BR$44,0)*Calendario!BS$13</f>
        <v>0</v>
      </c>
      <c r="BT39" s="13" t="n">
        <f aca="false">IF(AND(p_MesCorte&gt;=0,66=p_MesCorte+MAX(1,ROUND(p_Lmp,0))),BS$44,0)*Calendario!BT$13</f>
        <v>0</v>
      </c>
      <c r="BU39" s="13" t="n">
        <f aca="false">IF(AND(p_MesCorte&gt;=0,67=p_MesCorte+MAX(1,ROUND(p_Lmp,0))),BT$44,0)*Calendario!BU$13</f>
        <v>0</v>
      </c>
      <c r="BV39" s="13" t="n">
        <f aca="false">IF(AND(p_MesCorte&gt;=0,68=p_MesCorte+MAX(1,ROUND(p_Lmp,0))),BU$44,0)*Calendario!BV$13</f>
        <v>0</v>
      </c>
      <c r="BW39" s="13" t="n">
        <f aca="false">IF(AND(p_MesCorte&gt;=0,69=p_MesCorte+MAX(1,ROUND(p_Lmp,0))),BV$44,0)*Calendario!BW$13</f>
        <v>0</v>
      </c>
      <c r="BX39" s="13" t="n">
        <f aca="false">IF(AND(p_MesCorte&gt;=0,70=p_MesCorte+MAX(1,ROUND(p_Lmp,0))),BW$44,0)*Calendario!BX$13</f>
        <v>0</v>
      </c>
      <c r="BY39" s="13" t="n">
        <f aca="false">IF(AND(p_MesCorte&gt;=0,71=p_MesCorte+MAX(1,ROUND(p_Lmp,0))),BX$44,0)*Calendario!BY$13</f>
        <v>0</v>
      </c>
      <c r="BZ39" s="13" t="n">
        <f aca="false">IF(AND(p_MesCorte&gt;=0,72=p_MesCorte+MAX(1,ROUND(p_Lmp,0))),BY$44,0)*Calendario!BZ$13</f>
        <v>0</v>
      </c>
      <c r="CA39" s="13" t="n">
        <f aca="false">IF(AND(p_MesCorte&gt;=0,73=p_MesCorte+MAX(1,ROUND(p_Lmp,0))),BZ$44,0)*Calendario!CA$13</f>
        <v>0</v>
      </c>
      <c r="CB39" s="13" t="n">
        <f aca="false">IF(AND(p_MesCorte&gt;=0,74=p_MesCorte+MAX(1,ROUND(p_Lmp,0))),CA$44,0)*Calendario!CB$13</f>
        <v>0</v>
      </c>
      <c r="CC39" s="13" t="n">
        <f aca="false">IF(AND(p_MesCorte&gt;=0,75=p_MesCorte+MAX(1,ROUND(p_Lmp,0))),CB$44,0)*Calendario!CC$13</f>
        <v>0</v>
      </c>
      <c r="CD39" s="13" t="n">
        <f aca="false">IF(AND(p_MesCorte&gt;=0,76=p_MesCorte+MAX(1,ROUND(p_Lmp,0))),CC$44,0)*Calendario!CD$13</f>
        <v>0</v>
      </c>
      <c r="CE39" s="13" t="n">
        <f aca="false">IF(AND(p_MesCorte&gt;=0,77=p_MesCorte+MAX(1,ROUND(p_Lmp,0))),CD$44,0)*Calendario!CE$13</f>
        <v>0</v>
      </c>
      <c r="CF39" s="13" t="n">
        <f aca="false">IF(AND(p_MesCorte&gt;=0,78=p_MesCorte+MAX(1,ROUND(p_Lmp,0))),CE$44,0)*Calendario!CF$13</f>
        <v>0</v>
      </c>
      <c r="CG39" s="13" t="n">
        <f aca="false">IF(AND(p_MesCorte&gt;=0,79=p_MesCorte+MAX(1,ROUND(p_Lmp,0))),CF$44,0)*Calendario!CG$13</f>
        <v>0</v>
      </c>
      <c r="CH39" s="13" t="n">
        <f aca="false">IF(AND(p_MesCorte&gt;=0,80=p_MesCorte+MAX(1,ROUND(p_Lmp,0))),CG$44,0)*Calendario!CH$13</f>
        <v>0</v>
      </c>
      <c r="CI39" s="13" t="n">
        <f aca="false">IF(AND(p_MesCorte&gt;=0,81=p_MesCorte+MAX(1,ROUND(p_Lmp,0))),CH$44,0)*Calendario!CI$13</f>
        <v>0</v>
      </c>
      <c r="CJ39" s="13" t="n">
        <f aca="false">IF(AND(p_MesCorte&gt;=0,82=p_MesCorte+MAX(1,ROUND(p_Lmp,0))),CI$44,0)*Calendario!CJ$13</f>
        <v>0</v>
      </c>
      <c r="CK39" s="13" t="n">
        <f aca="false">IF(AND(p_MesCorte&gt;=0,83=p_MesCorte+MAX(1,ROUND(p_Lmp,0))),CJ$44,0)*Calendario!CK$13</f>
        <v>0</v>
      </c>
      <c r="CL39" s="13" t="n">
        <f aca="false">IF(AND(p_MesCorte&gt;=0,84=p_MesCorte+MAX(1,ROUND(p_Lmp,0))),CK$44,0)*Calendario!CL$13</f>
        <v>0</v>
      </c>
      <c r="CM39" s="13" t="n">
        <f aca="false">IF(AND(p_MesCorte&gt;=0,85=p_MesCorte+MAX(1,ROUND(p_Lmp,0))),CL$44,0)*Calendario!CM$13</f>
        <v>0</v>
      </c>
      <c r="CN39" s="13" t="n">
        <f aca="false">IF(AND(p_MesCorte&gt;=0,86=p_MesCorte+MAX(1,ROUND(p_Lmp,0))),CM$44,0)*Calendario!CN$13</f>
        <v>0</v>
      </c>
      <c r="CO39" s="13" t="n">
        <f aca="false">IF(AND(p_MesCorte&gt;=0,87=p_MesCorte+MAX(1,ROUND(p_Lmp,0))),CN$44,0)*Calendario!CO$13</f>
        <v>0</v>
      </c>
      <c r="CP39" s="13" t="n">
        <f aca="false">IF(AND(p_MesCorte&gt;=0,88=p_MesCorte+MAX(1,ROUND(p_Lmp,0))),CO$44,0)*Calendario!CP$13</f>
        <v>0</v>
      </c>
      <c r="CQ39" s="13" t="n">
        <f aca="false">IF(AND(p_MesCorte&gt;=0,89=p_MesCorte+MAX(1,ROUND(p_Lmp,0))),CP$44,0)*Calendario!CQ$13</f>
        <v>0</v>
      </c>
      <c r="CR39" s="13" t="n">
        <f aca="false">IF(AND(p_MesCorte&gt;=0,90=p_MesCorte+MAX(1,ROUND(p_Lmp,0))),CQ$44,0)*Calendario!CR$13</f>
        <v>0</v>
      </c>
      <c r="CS39" s="13" t="n">
        <f aca="false">IF(AND(p_MesCorte&gt;=0,91=p_MesCorte+MAX(1,ROUND(p_Lmp,0))),CR$44,0)*Calendario!CS$13</f>
        <v>0</v>
      </c>
      <c r="CT39" s="13" t="n">
        <f aca="false">IF(AND(p_MesCorte&gt;=0,92=p_MesCorte+MAX(1,ROUND(p_Lmp,0))),CS$44,0)*Calendario!CT$13</f>
        <v>0</v>
      </c>
      <c r="CU39" s="13" t="n">
        <f aca="false">IF(AND(p_MesCorte&gt;=0,93=p_MesCorte+MAX(1,ROUND(p_Lmp,0))),CT$44,0)*Calendario!CU$13</f>
        <v>0</v>
      </c>
      <c r="CV39" s="13" t="n">
        <f aca="false">IF(AND(p_MesCorte&gt;=0,94=p_MesCorte+MAX(1,ROUND(p_Lmp,0))),CU$44,0)*Calendario!CV$13</f>
        <v>0</v>
      </c>
      <c r="CW39" s="13" t="n">
        <f aca="false">IF(AND(p_MesCorte&gt;=0,95=p_MesCorte+MAX(1,ROUND(p_Lmp,0))),CV$44,0)*Calendario!CW$13</f>
        <v>0</v>
      </c>
      <c r="CX39" s="13" t="n">
        <f aca="false">IF(AND(p_MesCorte&gt;=0,96=p_MesCorte+MAX(1,ROUND(p_Lmp,0))),CW$44,0)*Calendario!CX$13</f>
        <v>0</v>
      </c>
      <c r="CY39" s="13" t="n">
        <f aca="false">IF(AND(p_MesCorte&gt;=0,97=p_MesCorte+MAX(1,ROUND(p_Lmp,0))),CX$44,0)*Calendario!CY$13</f>
        <v>0</v>
      </c>
      <c r="CZ39" s="13" t="n">
        <f aca="false">IF(AND(p_MesCorte&gt;=0,98=p_MesCorte+MAX(1,ROUND(p_Lmp,0))),CY$44,0)*Calendario!CZ$13</f>
        <v>0</v>
      </c>
      <c r="DA39" s="13" t="n">
        <f aca="false">IF(AND(p_MesCorte&gt;=0,99=p_MesCorte+MAX(1,ROUND(p_Lmp,0))),CZ$44,0)*Calendario!DA$13</f>
        <v>0</v>
      </c>
      <c r="DB39" s="13" t="n">
        <f aca="false">IF(AND(p_MesCorte&gt;=0,100=p_MesCorte+MAX(1,ROUND(p_Lmp,0))),DA$44,0)*Calendario!DB$13</f>
        <v>0</v>
      </c>
      <c r="DC39" s="13" t="n">
        <f aca="false">IF(AND(p_MesCorte&gt;=0,101=p_MesCorte+MAX(1,ROUND(p_Lmp,0))),DB$44,0)*Calendario!DC$13</f>
        <v>0</v>
      </c>
      <c r="DD39" s="13" t="n">
        <f aca="false">IF(AND(p_MesCorte&gt;=0,102=p_MesCorte+MAX(1,ROUND(p_Lmp,0))),DC$44,0)*Calendario!DD$13</f>
        <v>0</v>
      </c>
      <c r="DE39" s="13" t="n">
        <f aca="false">IF(AND(p_MesCorte&gt;=0,103=p_MesCorte+MAX(1,ROUND(p_Lmp,0))),DD$44,0)*Calendario!DE$13</f>
        <v>0</v>
      </c>
      <c r="DF39" s="13" t="n">
        <f aca="false">IF(AND(p_MesCorte&gt;=0,104=p_MesCorte+MAX(1,ROUND(p_Lmp,0))),DE$44,0)*Calendario!DF$13</f>
        <v>0</v>
      </c>
      <c r="DG39" s="13" t="n">
        <f aca="false">IF(AND(p_MesCorte&gt;=0,105=p_MesCorte+MAX(1,ROUND(p_Lmp,0))),DF$44,0)*Calendario!DG$13</f>
        <v>0</v>
      </c>
      <c r="DH39" s="13" t="n">
        <f aca="false">IF(AND(p_MesCorte&gt;=0,106=p_MesCorte+MAX(1,ROUND(p_Lmp,0))),DG$44,0)*Calendario!DH$13</f>
        <v>0</v>
      </c>
      <c r="DI39" s="13" t="n">
        <f aca="false">IF(AND(p_MesCorte&gt;=0,107=p_MesCorte+MAX(1,ROUND(p_Lmp,0))),DH$44,0)*Calendario!DI$13</f>
        <v>0</v>
      </c>
      <c r="DJ39" s="13" t="n">
        <f aca="false">IF(AND(p_MesCorte&gt;=0,108=p_MesCorte+MAX(1,ROUND(p_Lmp,0))),DI$44,0)*Calendario!DJ$13</f>
        <v>0</v>
      </c>
      <c r="DK39" s="13" t="n">
        <f aca="false">IF(AND(p_MesCorte&gt;=0,109=p_MesCorte+MAX(1,ROUND(p_Lmp,0))),DJ$44,0)*Calendario!DK$13</f>
        <v>0</v>
      </c>
      <c r="DL39" s="13" t="n">
        <f aca="false">IF(AND(p_MesCorte&gt;=0,110=p_MesCorte+MAX(1,ROUND(p_Lmp,0))),DK$44,0)*Calendario!DL$13</f>
        <v>0</v>
      </c>
      <c r="DM39" s="13" t="n">
        <f aca="false">IF(AND(p_MesCorte&gt;=0,111=p_MesCorte+MAX(1,ROUND(p_Lmp,0))),DL$44,0)*Calendario!DM$13</f>
        <v>0</v>
      </c>
      <c r="DN39" s="13" t="n">
        <f aca="false">IF(AND(p_MesCorte&gt;=0,112=p_MesCorte+MAX(1,ROUND(p_Lmp,0))),DM$44,0)*Calendario!DN$13</f>
        <v>0</v>
      </c>
      <c r="DO39" s="13" t="n">
        <f aca="false">IF(AND(p_MesCorte&gt;=0,113=p_MesCorte+MAX(1,ROUND(p_Lmp,0))),DN$44,0)*Calendario!DO$13</f>
        <v>0</v>
      </c>
      <c r="DP39" s="13" t="n">
        <f aca="false">IF(AND(p_MesCorte&gt;=0,114=p_MesCorte+MAX(1,ROUND(p_Lmp,0))),DO$44,0)*Calendario!DP$13</f>
        <v>0</v>
      </c>
      <c r="DQ39" s="13" t="n">
        <f aca="false">IF(AND(p_MesCorte&gt;=0,115=p_MesCorte+MAX(1,ROUND(p_Lmp,0))),DP$44,0)*Calendario!DQ$13</f>
        <v>0</v>
      </c>
      <c r="DR39" s="13" t="n">
        <f aca="false">IF(AND(p_MesCorte&gt;=0,116=p_MesCorte+MAX(1,ROUND(p_Lmp,0))),DQ$44,0)*Calendario!DR$13</f>
        <v>0</v>
      </c>
      <c r="DS39" s="13" t="n">
        <f aca="false">IF(AND(p_MesCorte&gt;=0,117=p_MesCorte+MAX(1,ROUND(p_Lmp,0))),DR$44,0)*Calendario!DS$13</f>
        <v>0</v>
      </c>
      <c r="DT39" s="13" t="n">
        <f aca="false">IF(AND(p_MesCorte&gt;=0,118=p_MesCorte+MAX(1,ROUND(p_Lmp,0))),DS$44,0)*Calendario!DT$13</f>
        <v>0</v>
      </c>
      <c r="DU39" s="13" t="n">
        <f aca="false">IF(AND(p_MesCorte&gt;=0,119=p_MesCorte+MAX(1,ROUND(p_Lmp,0))),DT$44,0)*Calendario!DU$13</f>
        <v>0</v>
      </c>
      <c r="DV39" s="13" t="n">
        <f aca="false">IF(AND(p_MesCorte&gt;=0,120=p_MesCorte+MAX(1,ROUND(p_Lmp,0))),DU$44,0)*Calendario!DV$13</f>
        <v>0</v>
      </c>
      <c r="DW39" s="13" t="n">
        <f aca="false">IF(AND(p_MesCorte&gt;=0,121=p_MesCorte+MAX(1,ROUND(p_Lmp,0))),DV$44,0)*Calendario!DW$13</f>
        <v>0</v>
      </c>
      <c r="DX39" s="13" t="n">
        <f aca="false">IF(AND(p_MesCorte&gt;=0,122=p_MesCorte+MAX(1,ROUND(p_Lmp,0))),DW$44,0)*Calendario!DX$13</f>
        <v>0</v>
      </c>
      <c r="DY39" s="13" t="n">
        <f aca="false">IF(AND(p_MesCorte&gt;=0,123=p_MesCorte+MAX(1,ROUND(p_Lmp,0))),DX$44,0)*Calendario!DY$13</f>
        <v>0</v>
      </c>
      <c r="DZ39" s="13" t="n">
        <f aca="false">IF(AND(p_MesCorte&gt;=0,124=p_MesCorte+MAX(1,ROUND(p_Lmp,0))),DY$44,0)*Calendario!DZ$13</f>
        <v>0</v>
      </c>
      <c r="EA39" s="13" t="n">
        <f aca="false">IF(AND(p_MesCorte&gt;=0,125=p_MesCorte+MAX(1,ROUND(p_Lmp,0))),DZ$44,0)*Calendario!EA$13</f>
        <v>0</v>
      </c>
      <c r="EB39" s="13" t="n">
        <f aca="false">IF(AND(p_MesCorte&gt;=0,126=p_MesCorte+MAX(1,ROUND(p_Lmp,0))),EA$44,0)*Calendario!EB$13</f>
        <v>0</v>
      </c>
      <c r="EC39" s="13" t="n">
        <f aca="false">IF(AND(p_MesCorte&gt;=0,127=p_MesCorte+MAX(1,ROUND(p_Lmp,0))),EB$44,0)*Calendario!EC$13</f>
        <v>0</v>
      </c>
      <c r="ED39" s="13" t="n">
        <f aca="false">IF(AND(p_MesCorte&gt;=0,128=p_MesCorte+MAX(1,ROUND(p_Lmp,0))),EC$44,0)*Calendario!ED$13</f>
        <v>0</v>
      </c>
      <c r="EE39" s="13" t="n">
        <f aca="false">IF(AND(p_MesCorte&gt;=0,129=p_MesCorte+MAX(1,ROUND(p_Lmp,0))),ED$44,0)*Calendario!EE$13</f>
        <v>0</v>
      </c>
      <c r="EF39" s="13" t="n">
        <f aca="false">IF(AND(p_MesCorte&gt;=0,130=p_MesCorte+MAX(1,ROUND(p_Lmp,0))),EE$44,0)*Calendario!EF$13</f>
        <v>0</v>
      </c>
      <c r="EG39" s="13" t="n">
        <f aca="false">IF(AND(p_MesCorte&gt;=0,131=p_MesCorte+MAX(1,ROUND(p_Lmp,0))),EF$44,0)*Calendario!EG$13</f>
        <v>0</v>
      </c>
      <c r="EH39" s="13" t="n">
        <f aca="false">IF(AND(p_MesCorte&gt;=0,132=p_MesCorte+MAX(1,ROUND(p_Lmp,0))),EG$44,0)*Calendario!EH$13</f>
        <v>0</v>
      </c>
      <c r="EI39" s="13" t="n">
        <f aca="false">IF(AND(p_MesCorte&gt;=0,133=p_MesCorte+MAX(1,ROUND(p_Lmp,0))),EH$44,0)*Calendario!EI$13</f>
        <v>0</v>
      </c>
      <c r="EJ39" s="13" t="n">
        <f aca="false">IF(AND(p_MesCorte&gt;=0,134=p_MesCorte+MAX(1,ROUND(p_Lmp,0))),EI$44,0)*Calendario!EJ$13</f>
        <v>0</v>
      </c>
      <c r="EK39" s="13" t="n">
        <f aca="false">IF(AND(p_MesCorte&gt;=0,135=p_MesCorte+MAX(1,ROUND(p_Lmp,0))),EJ$44,0)*Calendario!EK$13</f>
        <v>0</v>
      </c>
      <c r="EL39" s="13" t="n">
        <f aca="false">IF(AND(p_MesCorte&gt;=0,136=p_MesCorte+MAX(1,ROUND(p_Lmp,0))),EK$44,0)*Calendario!EL$13</f>
        <v>0</v>
      </c>
      <c r="EM39" s="13" t="n">
        <f aca="false">IF(AND(p_MesCorte&gt;=0,137=p_MesCorte+MAX(1,ROUND(p_Lmp,0))),EL$44,0)*Calendario!EM$13</f>
        <v>0</v>
      </c>
      <c r="EN39" s="13" t="n">
        <f aca="false">IF(AND(p_MesCorte&gt;=0,138=p_MesCorte+MAX(1,ROUND(p_Lmp,0))),EM$44,0)*Calendario!EN$13</f>
        <v>0</v>
      </c>
      <c r="EO39" s="13" t="n">
        <f aca="false">IF(AND(p_MesCorte&gt;=0,139=p_MesCorte+MAX(1,ROUND(p_Lmp,0))),EN$44,0)*Calendario!EO$13</f>
        <v>0</v>
      </c>
      <c r="EP39" s="13" t="n">
        <f aca="false">IF(AND(p_MesCorte&gt;=0,140=p_MesCorte+MAX(1,ROUND(p_Lmp,0))),EO$44,0)*Calendario!EP$13</f>
        <v>0</v>
      </c>
      <c r="EQ39" s="13" t="n">
        <f aca="false">IF(AND(p_MesCorte&gt;=0,141=p_MesCorte+MAX(1,ROUND(p_Lmp,0))),EP$44,0)*Calendario!EQ$13</f>
        <v>0</v>
      </c>
      <c r="ER39" s="13" t="n">
        <f aca="false">IF(AND(p_MesCorte&gt;=0,142=p_MesCorte+MAX(1,ROUND(p_Lmp,0))),EQ$44,0)*Calendario!ER$13</f>
        <v>0</v>
      </c>
      <c r="ES39" s="13" t="n">
        <f aca="false">IF(AND(p_MesCorte&gt;=0,143=p_MesCorte+MAX(1,ROUND(p_Lmp,0))),ER$44,0)*Calendario!ES$13</f>
        <v>0</v>
      </c>
      <c r="ET39" s="13" t="n">
        <f aca="false">IF(AND(p_MesCorte&gt;=0,144=p_MesCorte+MAX(1,ROUND(p_Lmp,0))),ES$44,0)*Calendario!ET$13</f>
        <v>0</v>
      </c>
      <c r="EU39" s="13" t="n">
        <f aca="false">IF(AND(p_MesCorte&gt;=0,145=p_MesCorte+MAX(1,ROUND(p_Lmp,0))),ET$44,0)*Calendario!EU$13</f>
        <v>0</v>
      </c>
      <c r="EV39" s="13" t="n">
        <f aca="false">IF(AND(p_MesCorte&gt;=0,146=p_MesCorte+MAX(1,ROUND(p_Lmp,0))),EU$44,0)*Calendario!EV$13</f>
        <v>0</v>
      </c>
      <c r="EW39" s="13" t="n">
        <f aca="false">IF(AND(p_MesCorte&gt;=0,147=p_MesCorte+MAX(1,ROUND(p_Lmp,0))),EV$44,0)*Calendario!EW$13</f>
        <v>0</v>
      </c>
      <c r="EX39" s="13" t="n">
        <f aca="false">IF(AND(p_MesCorte&gt;=0,148=p_MesCorte+MAX(1,ROUND(p_Lmp,0))),EW$44,0)*Calendario!EX$13</f>
        <v>0</v>
      </c>
      <c r="EY39" s="13" t="n">
        <f aca="false">IF(AND(p_MesCorte&gt;=0,149=p_MesCorte+MAX(1,ROUND(p_Lmp,0))),EX$44,0)*Calendario!EY$13</f>
        <v>0</v>
      </c>
      <c r="EZ39" s="13" t="n">
        <f aca="false">IF(AND(p_MesCorte&gt;=0,150=p_MesCorte+MAX(1,ROUND(p_Lmp,0))),EY$44,0)*Calendario!EZ$13</f>
        <v>0</v>
      </c>
      <c r="FA39" s="13" t="n">
        <f aca="false">IF(AND(p_MesCorte&gt;=0,151=p_MesCorte+MAX(1,ROUND(p_Lmp,0))),EZ$44,0)*Calendario!FA$13</f>
        <v>0</v>
      </c>
      <c r="FB39" s="13" t="n">
        <f aca="false">IF(AND(p_MesCorte&gt;=0,152=p_MesCorte+MAX(1,ROUND(p_Lmp,0))),FA$44,0)*Calendario!FB$13</f>
        <v>0</v>
      </c>
      <c r="FC39" s="13" t="n">
        <f aca="false">IF(AND(p_MesCorte&gt;=0,153=p_MesCorte+MAX(1,ROUND(p_Lmp,0))),FB$44,0)*Calendario!FC$13</f>
        <v>0</v>
      </c>
      <c r="FD39" s="13" t="n">
        <f aca="false">IF(AND(p_MesCorte&gt;=0,154=p_MesCorte+MAX(1,ROUND(p_Lmp,0))),FC$44,0)*Calendario!FD$13</f>
        <v>0</v>
      </c>
      <c r="FE39" s="13" t="n">
        <f aca="false">IF(AND(p_MesCorte&gt;=0,155=p_MesCorte+MAX(1,ROUND(p_Lmp,0))),FD$44,0)*Calendario!FE$13</f>
        <v>0</v>
      </c>
      <c r="FF39" s="13" t="n">
        <f aca="false">IF(AND(p_MesCorte&gt;=0,156=p_MesCorte+MAX(1,ROUND(p_Lmp,0))),FE$44,0)*Calendario!FF$13</f>
        <v>0</v>
      </c>
    </row>
    <row r="40" customFormat="false" ht="15" hidden="false" customHeight="false" outlineLevel="0" collapsed="false">
      <c r="A40" s="2" t="s">
        <v>1338</v>
      </c>
      <c r="B40" s="66" t="s">
        <v>1339</v>
      </c>
      <c r="C40" s="8" t="s">
        <v>255</v>
      </c>
      <c r="E40" s="67" t="n">
        <f aca="false">SUM($F40:$FF40)</f>
        <v>48879883.2717656</v>
      </c>
      <c r="F40" s="12" t="n">
        <f aca="false">IF(F$9=1,SUMIFS(dr_USD,dr_Mes,0,dr_Cod,"PAGO_MAT",dr_Est,"&lt;&gt;Excluido"),(F$34+F$38+F$39)*Calendario!F$13)</f>
        <v>1064142.28219178</v>
      </c>
      <c r="G40" s="12" t="n">
        <f aca="false">IF(G$9=1,SUMIFS(dr_USD,dr_Mes,1,dr_Cod,"PAGO_MAT",dr_Est,"&lt;&gt;Excluido"),(G$34+G$38+G$39)*Calendario!G$13)</f>
        <v>248982.008333334</v>
      </c>
      <c r="H40" s="12" t="n">
        <f aca="false">IF(H$9=1,SUMIFS(dr_USD,dr_Mes,2,dr_Cod,"PAGO_MAT",dr_Est,"&lt;&gt;Excluido"),(H$34+H$38+H$39)*Calendario!H$13)</f>
        <v>248982.008333333</v>
      </c>
      <c r="I40" s="12" t="n">
        <f aca="false">IF(I$9=1,SUMIFS(dr_USD,dr_Mes,3,dr_Cod,"PAGO_MAT",dr_Est,"&lt;&gt;Excluido"),(I$34+I$38+I$39)*Calendario!I$13)</f>
        <v>248982.008333333</v>
      </c>
      <c r="J40" s="12" t="n">
        <f aca="false">IF(J$9=1,SUMIFS(dr_USD,dr_Mes,4,dr_Cod,"PAGO_MAT",dr_Est,"&lt;&gt;Excluido"),(J$34+J$38+J$39)*Calendario!J$13)</f>
        <v>248982.008333333</v>
      </c>
      <c r="K40" s="12" t="n">
        <f aca="false">IF(K$9=1,SUMIFS(dr_USD,dr_Mes,5,dr_Cod,"PAGO_MAT",dr_Est,"&lt;&gt;Excluido"),(K$34+K$38+K$39)*Calendario!K$13)</f>
        <v>248982.008333333</v>
      </c>
      <c r="L40" s="12" t="n">
        <f aca="false">IF(L$9=1,SUMIFS(dr_USD,dr_Mes,6,dr_Cod,"PAGO_MAT",dr_Est,"&lt;&gt;Excluido"),(L$34+L$38+L$39)*Calendario!L$13)</f>
        <v>248982.008333333</v>
      </c>
      <c r="M40" s="12" t="n">
        <f aca="false">IF(M$9=1,SUMIFS(dr_USD,dr_Mes,7,dr_Cod,"PAGO_MAT",dr_Est,"&lt;&gt;Excluido"),(M$34+M$38+M$39)*Calendario!M$13)</f>
        <v>248982.008333333</v>
      </c>
      <c r="N40" s="12" t="n">
        <f aca="false">IF(N$9=1,SUMIFS(dr_USD,dr_Mes,8,dr_Cod,"PAGO_MAT",dr_Est,"&lt;&gt;Excluido"),(N$34+N$38+N$39)*Calendario!N$13)</f>
        <v>269319.285083193</v>
      </c>
      <c r="O40" s="12" t="n">
        <f aca="false">IF(O$9=1,SUMIFS(dr_USD,dr_Mes,9,dr_Cod,"PAGO_MAT",dr_Est,"&lt;&gt;Excluido"),(O$34+O$38+O$39)*Calendario!O$13)</f>
        <v>313567.065436214</v>
      </c>
      <c r="P40" s="12" t="n">
        <f aca="false">IF(P$9=1,SUMIFS(dr_USD,dr_Mes,10,dr_Cod,"PAGO_MAT",dr_Est,"&lt;&gt;Excluido"),(P$34+P$38+P$39)*Calendario!P$13)</f>
        <v>316063.807916666</v>
      </c>
      <c r="Q40" s="12" t="n">
        <f aca="false">IF(Q$9=1,SUMIFS(dr_USD,dr_Mes,11,dr_Cod,"PAGO_MAT",dr_Est,"&lt;&gt;Excluido"),(Q$34+Q$38+Q$39)*Calendario!Q$13)</f>
        <v>316063.807916667</v>
      </c>
      <c r="R40" s="12" t="n">
        <f aca="false">IF(R$9=1,SUMIFS(dr_USD,dr_Mes,12,dr_Cod,"PAGO_MAT",dr_Est,"&lt;&gt;Excluido"),(R$34+R$38+R$39)*Calendario!R$13)</f>
        <v>316063.807916667</v>
      </c>
      <c r="S40" s="12" t="n">
        <f aca="false">IF(S$9=1,SUMIFS(dr_USD,dr_Mes,13,dr_Cod,"PAGO_MAT",dr_Est,"&lt;&gt;Excluido"),(S$34+S$38+S$39)*Calendario!S$13)</f>
        <v>316063.807916667</v>
      </c>
      <c r="T40" s="12" t="n">
        <f aca="false">IF(T$9=1,SUMIFS(dr_USD,dr_Mes,14,dr_Cod,"PAGO_MAT",dr_Est,"&lt;&gt;Excluido"),(T$34+T$38+T$39)*Calendario!T$13)</f>
        <v>316063.807916667</v>
      </c>
      <c r="U40" s="12" t="n">
        <f aca="false">IF(U$9=1,SUMIFS(dr_USD,dr_Mes,15,dr_Cod,"PAGO_MAT",dr_Est,"&lt;&gt;Excluido"),(U$34+U$38+U$39)*Calendario!U$13)</f>
        <v>316063.807916667</v>
      </c>
      <c r="V40" s="12" t="n">
        <f aca="false">IF(V$9=1,SUMIFS(dr_USD,dr_Mes,16,dr_Cod,"PAGO_MAT",dr_Est,"&lt;&gt;Excluido"),(V$34+V$38+V$39)*Calendario!V$13)</f>
        <v>316063.807916667</v>
      </c>
      <c r="W40" s="12" t="n">
        <f aca="false">IF(W$9=1,SUMIFS(dr_USD,dr_Mes,17,dr_Cod,"PAGO_MAT",dr_Est,"&lt;&gt;Excluido"),(W$34+W$38+W$39)*Calendario!W$13)</f>
        <v>316063.807916667</v>
      </c>
      <c r="X40" s="12" t="n">
        <f aca="false">IF(X$9=1,SUMIFS(dr_USD,dr_Mes,18,dr_Cod,"PAGO_MAT",dr_Est,"&lt;&gt;Excluido"),(X$34+X$38+X$39)*Calendario!X$13)</f>
        <v>316063.807916667</v>
      </c>
      <c r="Y40" s="12" t="n">
        <f aca="false">IF(Y$9=1,SUMIFS(dr_USD,dr_Mes,19,dr_Cod,"PAGO_MAT",dr_Est,"&lt;&gt;Excluido"),(Y$34+Y$38+Y$39)*Calendario!Y$13)</f>
        <v>316063.807916667</v>
      </c>
      <c r="Z40" s="12" t="n">
        <f aca="false">IF(Z$9=1,SUMIFS(dr_USD,dr_Mes,20,dr_Cod,"PAGO_MAT",dr_Est,"&lt;&gt;Excluido"),(Z$34+Z$38+Z$39)*Calendario!Z$13)</f>
        <v>336506.749446034</v>
      </c>
      <c r="AA40" s="12" t="n">
        <f aca="false">IF(AA$9=1,SUMIFS(dr_USD,dr_Mes,21,dr_Cod,"PAGO_MAT",dr_Est,"&lt;&gt;Excluido"),(AA$34+AA$38+AA$39)*Calendario!AA$13)</f>
        <v>381316.467237299</v>
      </c>
      <c r="AB40" s="12" t="n">
        <f aca="false">IF(AB$9=1,SUMIFS(dr_USD,dr_Mes,22,dr_Cod,"PAGO_MAT",dr_Est,"&lt;&gt;Excluido"),(AB$34+AB$38+AB$39)*Calendario!AB$13)</f>
        <v>383845.4307</v>
      </c>
      <c r="AC40" s="12" t="n">
        <f aca="false">IF(AC$9=1,SUMIFS(dr_USD,dr_Mes,23,dr_Cod,"PAGO_MAT",dr_Est,"&lt;&gt;Excluido"),(AC$34+AC$38+AC$39)*Calendario!AC$13)</f>
        <v>383845.4307</v>
      </c>
      <c r="AD40" s="12" t="n">
        <f aca="false">IF(AD$9=1,SUMIFS(dr_USD,dr_Mes,24,dr_Cod,"PAGO_MAT",dr_Est,"&lt;&gt;Excluido"),(AD$34+AD$38+AD$39)*Calendario!AD$13)</f>
        <v>383845.4307</v>
      </c>
      <c r="AE40" s="12" t="n">
        <f aca="false">IF(AE$9=1,SUMIFS(dr_USD,dr_Mes,25,dr_Cod,"PAGO_MAT",dr_Est,"&lt;&gt;Excluido"),(AE$34+AE$38+AE$39)*Calendario!AE$13)</f>
        <v>383845.4307</v>
      </c>
      <c r="AF40" s="12" t="n">
        <f aca="false">IF(AF$9=1,SUMIFS(dr_USD,dr_Mes,26,dr_Cod,"PAGO_MAT",dr_Est,"&lt;&gt;Excluido"),(AF$34+AF$38+AF$39)*Calendario!AF$13)</f>
        <v>383845.4307</v>
      </c>
      <c r="AG40" s="12" t="n">
        <f aca="false">IF(AG$9=1,SUMIFS(dr_USD,dr_Mes,27,dr_Cod,"PAGO_MAT",dr_Est,"&lt;&gt;Excluido"),(AG$34+AG$38+AG$39)*Calendario!AG$13)</f>
        <v>383845.4307</v>
      </c>
      <c r="AH40" s="12" t="n">
        <f aca="false">IF(AH$9=1,SUMIFS(dr_USD,dr_Mes,28,dr_Cod,"PAGO_MAT",dr_Est,"&lt;&gt;Excluido"),(AH$34+AH$38+AH$39)*Calendario!AH$13)</f>
        <v>383845.4307</v>
      </c>
      <c r="AI40" s="12" t="n">
        <f aca="false">IF(AI$9=1,SUMIFS(dr_USD,dr_Mes,29,dr_Cod,"PAGO_MAT",dr_Est,"&lt;&gt;Excluido"),(AI$34+AI$38+AI$39)*Calendario!AI$13)</f>
        <v>383845.4307</v>
      </c>
      <c r="AJ40" s="12" t="n">
        <f aca="false">IF(AJ$9=1,SUMIFS(dr_USD,dr_Mes,30,dr_Cod,"PAGO_MAT",dr_Est,"&lt;&gt;Excluido"),(AJ$34+AJ$38+AJ$39)*Calendario!AJ$13)</f>
        <v>383845.4307</v>
      </c>
      <c r="AK40" s="12" t="n">
        <f aca="false">IF(AK$9=1,SUMIFS(dr_USD,dr_Mes,31,dr_Cod,"PAGO_MAT",dr_Est,"&lt;&gt;Excluido"),(AK$34+AK$38+AK$39)*Calendario!AK$13)</f>
        <v>383845.4307</v>
      </c>
      <c r="AL40" s="12" t="n">
        <f aca="false">IF(AL$9=1,SUMIFS(dr_USD,dr_Mes,32,dr_Cod,"PAGO_MAT",dr_Est,"&lt;&gt;Excluido"),(AL$34+AL$38+AL$39)*Calendario!AL$13)</f>
        <v>400378.037898105</v>
      </c>
      <c r="AM40" s="12" t="n">
        <f aca="false">IF(AM$9=1,SUMIFS(dr_USD,dr_Mes,33,dr_Cod,"PAGO_MAT",dr_Est,"&lt;&gt;Excluido"),(AM$34+AM$38+AM$39)*Calendario!AM$13)</f>
        <v>437262.871182191</v>
      </c>
      <c r="AN40" s="12" t="n">
        <f aca="false">IF(AN$9=1,SUMIFS(dr_USD,dr_Mes,34,dr_Cod,"PAGO_MAT",dr_Est,"&lt;&gt;Excluido"),(AN$34+AN$38+AN$39)*Calendario!AN$13)</f>
        <v>439345.562270458</v>
      </c>
      <c r="AO40" s="12" t="n">
        <f aca="false">IF(AO$9=1,SUMIFS(dr_USD,dr_Mes,35,dr_Cod,"PAGO_MAT",dr_Est,"&lt;&gt;Excluido"),(AO$34+AO$38+AO$39)*Calendario!AO$13)</f>
        <v>439345.562270458</v>
      </c>
      <c r="AP40" s="12" t="n">
        <f aca="false">IF(AP$9=1,SUMIFS(dr_USD,dr_Mes,36,dr_Cod,"PAGO_MAT",dr_Est,"&lt;&gt;Excluido"),(AP$34+AP$38+AP$39)*Calendario!AP$13)</f>
        <v>439345.562270459</v>
      </c>
      <c r="AQ40" s="12" t="n">
        <f aca="false">IF(AQ$9=1,SUMIFS(dr_USD,dr_Mes,37,dr_Cod,"PAGO_MAT",dr_Est,"&lt;&gt;Excluido"),(AQ$34+AQ$38+AQ$39)*Calendario!AQ$13)</f>
        <v>439345.562270458</v>
      </c>
      <c r="AR40" s="12" t="n">
        <f aca="false">IF(AR$9=1,SUMIFS(dr_USD,dr_Mes,38,dr_Cod,"PAGO_MAT",dr_Est,"&lt;&gt;Excluido"),(AR$34+AR$38+AR$39)*Calendario!AR$13)</f>
        <v>439345.562270458</v>
      </c>
      <c r="AS40" s="12" t="n">
        <f aca="false">IF(AS$9=1,SUMIFS(dr_USD,dr_Mes,39,dr_Cod,"PAGO_MAT",dr_Est,"&lt;&gt;Excluido"),(AS$34+AS$38+AS$39)*Calendario!AS$13)</f>
        <v>439345.562270458</v>
      </c>
      <c r="AT40" s="12" t="n">
        <f aca="false">IF(AT$9=1,SUMIFS(dr_USD,dr_Mes,40,dr_Cod,"PAGO_MAT",dr_Est,"&lt;&gt;Excluido"),(AT$34+AT$38+AT$39)*Calendario!AT$13)</f>
        <v>439345.562270458</v>
      </c>
      <c r="AU40" s="12" t="n">
        <f aca="false">IF(AU$9=1,SUMIFS(dr_USD,dr_Mes,41,dr_Cod,"PAGO_MAT",dr_Est,"&lt;&gt;Excluido"),(AU$34+AU$38+AU$39)*Calendario!AU$13)</f>
        <v>439345.562270458</v>
      </c>
      <c r="AV40" s="12" t="n">
        <f aca="false">IF(AV$9=1,SUMIFS(dr_USD,dr_Mes,42,dr_Cod,"PAGO_MAT",dr_Est,"&lt;&gt;Excluido"),(AV$34+AV$38+AV$39)*Calendario!AV$13)</f>
        <v>439345.562270458</v>
      </c>
      <c r="AW40" s="12" t="n">
        <f aca="false">IF(AW$9=1,SUMIFS(dr_USD,dr_Mes,43,dr_Cod,"PAGO_MAT",dr_Est,"&lt;&gt;Excluido"),(AW$34+AW$38+AW$39)*Calendario!AW$13)</f>
        <v>439345.562270458</v>
      </c>
      <c r="AX40" s="12" t="n">
        <f aca="false">IF(AX$9=1,SUMIFS(dr_USD,dr_Mes,44,dr_Cod,"PAGO_MAT",dr_Est,"&lt;&gt;Excluido"),(AX$34+AX$38+AX$39)*Calendario!AX$13)</f>
        <v>439345.562270458</v>
      </c>
      <c r="AY40" s="12" t="n">
        <f aca="false">IF(AY$9=1,SUMIFS(dr_USD,dr_Mes,45,dr_Cod,"PAGO_MAT",dr_Est,"&lt;&gt;Excluido"),(AY$34+AY$38+AY$39)*Calendario!AY$13)</f>
        <v>441539.633996028</v>
      </c>
      <c r="AZ40" s="12" t="n">
        <f aca="false">IF(AZ$9=1,SUMIFS(dr_USD,dr_Mes,46,dr_Cod,"PAGO_MAT",dr_Est,"&lt;&gt;Excluido"),(AZ$34+AZ$38+AZ$39)*Calendario!AZ$13)</f>
        <v>441666.826559829</v>
      </c>
      <c r="BA40" s="12" t="n">
        <f aca="false">IF(BA$9=1,SUMIFS(dr_USD,dr_Mes,47,dr_Cod,"PAGO_MAT",dr_Est,"&lt;&gt;Excluido"),(BA$34+BA$38+BA$39)*Calendario!BA$13)</f>
        <v>441666.82655983</v>
      </c>
      <c r="BB40" s="12" t="n">
        <f aca="false">IF(BB$9=1,SUMIFS(dr_USD,dr_Mes,48,dr_Cod,"PAGO_MAT",dr_Est,"&lt;&gt;Excluido"),(BB$34+BB$38+BB$39)*Calendario!BB$13)</f>
        <v>441666.82655983</v>
      </c>
      <c r="BC40" s="12" t="n">
        <f aca="false">IF(BC$9=1,SUMIFS(dr_USD,dr_Mes,49,dr_Cod,"PAGO_MAT",dr_Est,"&lt;&gt;Excluido"),(BC$34+BC$38+BC$39)*Calendario!BC$13)</f>
        <v>441666.82655983</v>
      </c>
      <c r="BD40" s="12" t="n">
        <f aca="false">IF(BD$9=1,SUMIFS(dr_USD,dr_Mes,50,dr_Cod,"PAGO_MAT",dr_Est,"&lt;&gt;Excluido"),(BD$34+BD$38+BD$39)*Calendario!BD$13)</f>
        <v>441666.82655983</v>
      </c>
      <c r="BE40" s="12" t="n">
        <f aca="false">IF(BE$9=1,SUMIFS(dr_USD,dr_Mes,51,dr_Cod,"PAGO_MAT",dr_Est,"&lt;&gt;Excluido"),(BE$34+BE$38+BE$39)*Calendario!BE$13)</f>
        <v>441666.82655983</v>
      </c>
      <c r="BF40" s="12" t="n">
        <f aca="false">IF(BF$9=1,SUMIFS(dr_USD,dr_Mes,52,dr_Cod,"PAGO_MAT",dr_Est,"&lt;&gt;Excluido"),(BF$34+BF$38+BF$39)*Calendario!BF$13)</f>
        <v>441666.82655983</v>
      </c>
      <c r="BG40" s="12" t="n">
        <f aca="false">IF(BG$9=1,SUMIFS(dr_USD,dr_Mes,53,dr_Cod,"PAGO_MAT",dr_Est,"&lt;&gt;Excluido"),(BG$34+BG$38+BG$39)*Calendario!BG$13)</f>
        <v>441666.82655983</v>
      </c>
      <c r="BH40" s="12" t="n">
        <f aca="false">IF(BH$9=1,SUMIFS(dr_USD,dr_Mes,54,dr_Cod,"PAGO_MAT",dr_Est,"&lt;&gt;Excluido"),(BH$34+BH$38+BH$39)*Calendario!BH$13)</f>
        <v>441666.82655983</v>
      </c>
      <c r="BI40" s="12" t="n">
        <f aca="false">IF(BI$9=1,SUMIFS(dr_USD,dr_Mes,55,dr_Cod,"PAGO_MAT",dr_Est,"&lt;&gt;Excluido"),(BI$34+BI$38+BI$39)*Calendario!BI$13)</f>
        <v>441666.82655983</v>
      </c>
      <c r="BJ40" s="12" t="n">
        <f aca="false">IF(BJ$9=1,SUMIFS(dr_USD,dr_Mes,56,dr_Cod,"PAGO_MAT",dr_Est,"&lt;&gt;Excluido"),(BJ$34+BJ$38+BJ$39)*Calendario!BJ$13)</f>
        <v>441666.82655983</v>
      </c>
      <c r="BK40" s="12" t="n">
        <f aca="false">IF(BK$9=1,SUMIFS(dr_USD,dr_Mes,57,dr_Cod,"PAGO_MAT",dr_Est,"&lt;&gt;Excluido"),(BK$34+BK$38+BK$39)*Calendario!BK$13)</f>
        <v>443882.839002655</v>
      </c>
      <c r="BL40" s="12" t="n">
        <f aca="false">IF(BL$9=1,SUMIFS(dr_USD,dr_Mes,58,dr_Cod,"PAGO_MAT",dr_Est,"&lt;&gt;Excluido"),(BL$34+BL$38+BL$39)*Calendario!BL$13)</f>
        <v>444011.303492095</v>
      </c>
      <c r="BM40" s="12" t="n">
        <f aca="false">IF(BM$9=1,SUMIFS(dr_USD,dr_Mes,59,dr_Cod,"PAGO_MAT",dr_Est,"&lt;&gt;Excluido"),(BM$34+BM$38+BM$39)*Calendario!BM$13)</f>
        <v>444011.303492094</v>
      </c>
      <c r="BN40" s="12" t="n">
        <f aca="false">IF(BN$9=1,SUMIFS(dr_USD,dr_Mes,60,dr_Cod,"PAGO_MAT",dr_Est,"&lt;&gt;Excluido"),(BN$34+BN$38+BN$39)*Calendario!BN$13)</f>
        <v>444011.303492094</v>
      </c>
      <c r="BO40" s="12" t="n">
        <f aca="false">IF(BO$9=1,SUMIFS(dr_USD,dr_Mes,61,dr_Cod,"PAGO_MAT",dr_Est,"&lt;&gt;Excluido"),(BO$34+BO$38+BO$39)*Calendario!BO$13)</f>
        <v>444011.303492094</v>
      </c>
      <c r="BP40" s="12" t="n">
        <f aca="false">IF(BP$9=1,SUMIFS(dr_USD,dr_Mes,62,dr_Cod,"PAGO_MAT",dr_Est,"&lt;&gt;Excluido"),(BP$34+BP$38+BP$39)*Calendario!BP$13)</f>
        <v>444011.303492095</v>
      </c>
      <c r="BQ40" s="12" t="n">
        <f aca="false">IF(BQ$9=1,SUMIFS(dr_USD,dr_Mes,63,dr_Cod,"PAGO_MAT",dr_Est,"&lt;&gt;Excluido"),(BQ$34+BQ$38+BQ$39)*Calendario!BQ$13)</f>
        <v>444011.303492095</v>
      </c>
      <c r="BR40" s="12" t="n">
        <f aca="false">IF(BR$9=1,SUMIFS(dr_USD,dr_Mes,64,dr_Cod,"PAGO_MAT",dr_Est,"&lt;&gt;Excluido"),(BR$34+BR$38+BR$39)*Calendario!BR$13)</f>
        <v>444011.303492095</v>
      </c>
      <c r="BS40" s="12" t="n">
        <f aca="false">IF(BS$9=1,SUMIFS(dr_USD,dr_Mes,65,dr_Cod,"PAGO_MAT",dr_Est,"&lt;&gt;Excluido"),(BS$34+BS$38+BS$39)*Calendario!BS$13)</f>
        <v>444011.303492095</v>
      </c>
      <c r="BT40" s="12" t="n">
        <f aca="false">IF(BT$9=1,SUMIFS(dr_USD,dr_Mes,66,dr_Cod,"PAGO_MAT",dr_Est,"&lt;&gt;Excluido"),(BT$34+BT$38+BT$39)*Calendario!BT$13)</f>
        <v>444011.303492095</v>
      </c>
      <c r="BU40" s="12" t="n">
        <f aca="false">IF(BU$9=1,SUMIFS(dr_USD,dr_Mes,67,dr_Cod,"PAGO_MAT",dr_Est,"&lt;&gt;Excluido"),(BU$34+BU$38+BU$39)*Calendario!BU$13)</f>
        <v>444011.303492095</v>
      </c>
      <c r="BV40" s="12" t="n">
        <f aca="false">IF(BV$9=1,SUMIFS(dr_USD,dr_Mes,68,dr_Cod,"PAGO_MAT",dr_Est,"&lt;&gt;Excluido"),(BV$34+BV$38+BV$39)*Calendario!BV$13)</f>
        <v>444011.303492095</v>
      </c>
      <c r="BW40" s="12" t="n">
        <f aca="false">IF(BW$9=1,SUMIFS(dr_USD,dr_Mes,69,dr_Cod,"PAGO_MAT",dr_Est,"&lt;&gt;Excluido"),(BW$34+BW$38+BW$39)*Calendario!BW$13)</f>
        <v>446249.476059349</v>
      </c>
      <c r="BX40" s="12" t="n">
        <f aca="false">IF(BX$9=1,SUMIFS(dr_USD,dr_Mes,70,dr_Cod,"PAGO_MAT",dr_Est,"&lt;&gt;Excluido"),(BX$34+BX$38+BX$39)*Calendario!BX$13)</f>
        <v>446379.225193682</v>
      </c>
      <c r="BY40" s="12" t="n">
        <f aca="false">IF(BY$9=1,SUMIFS(dr_USD,dr_Mes,71,dr_Cod,"PAGO_MAT",dr_Est,"&lt;&gt;Excluido"),(BY$34+BY$38+BY$39)*Calendario!BY$13)</f>
        <v>446379.225193682</v>
      </c>
      <c r="BZ40" s="12" t="n">
        <f aca="false">IF(BZ$9=1,SUMIFS(dr_USD,dr_Mes,72,dr_Cod,"PAGO_MAT",dr_Est,"&lt;&gt;Excluido"),(BZ$34+BZ$38+BZ$39)*Calendario!BZ$13)</f>
        <v>446379.225193682</v>
      </c>
      <c r="CA40" s="12" t="n">
        <f aca="false">IF(CA$9=1,SUMIFS(dr_USD,dr_Mes,73,dr_Cod,"PAGO_MAT",dr_Est,"&lt;&gt;Excluido"),(CA$34+CA$38+CA$39)*Calendario!CA$13)</f>
        <v>446379.225193682</v>
      </c>
      <c r="CB40" s="12" t="n">
        <f aca="false">IF(CB$9=1,SUMIFS(dr_USD,dr_Mes,74,dr_Cod,"PAGO_MAT",dr_Est,"&lt;&gt;Excluido"),(CB$34+CB$38+CB$39)*Calendario!CB$13)</f>
        <v>446379.225193682</v>
      </c>
      <c r="CC40" s="12" t="n">
        <f aca="false">IF(CC$9=1,SUMIFS(dr_USD,dr_Mes,75,dr_Cod,"PAGO_MAT",dr_Est,"&lt;&gt;Excluido"),(CC$34+CC$38+CC$39)*Calendario!CC$13)</f>
        <v>446379.225193682</v>
      </c>
      <c r="CD40" s="12" t="n">
        <f aca="false">IF(CD$9=1,SUMIFS(dr_USD,dr_Mes,76,dr_Cod,"PAGO_MAT",dr_Est,"&lt;&gt;Excluido"),(CD$34+CD$38+CD$39)*Calendario!CD$13)</f>
        <v>446379.225193682</v>
      </c>
      <c r="CE40" s="12" t="n">
        <f aca="false">IF(CE$9=1,SUMIFS(dr_USD,dr_Mes,77,dr_Cod,"PAGO_MAT",dr_Est,"&lt;&gt;Excluido"),(CE$34+CE$38+CE$39)*Calendario!CE$13)</f>
        <v>446379.225193682</v>
      </c>
      <c r="CF40" s="12" t="n">
        <f aca="false">IF(CF$9=1,SUMIFS(dr_USD,dr_Mes,78,dr_Cod,"PAGO_MAT",dr_Est,"&lt;&gt;Excluido"),(CF$34+CF$38+CF$39)*Calendario!CF$13)</f>
        <v>446379.225193682</v>
      </c>
      <c r="CG40" s="12" t="n">
        <f aca="false">IF(CG$9=1,SUMIFS(dr_USD,dr_Mes,79,dr_Cod,"PAGO_MAT",dr_Est,"&lt;&gt;Excluido"),(CG$34+CG$38+CG$39)*Calendario!CG$13)</f>
        <v>446379.225193682</v>
      </c>
      <c r="CH40" s="12" t="n">
        <f aca="false">IF(CH$9=1,SUMIFS(dr_USD,dr_Mes,80,dr_Cod,"PAGO_MAT",dr_Est,"&lt;&gt;Excluido"),(CH$34+CH$38+CH$39)*Calendario!CH$13)</f>
        <v>446379.225193682</v>
      </c>
      <c r="CI40" s="12" t="n">
        <f aca="false">IF(CI$9=1,SUMIFS(dr_USD,dr_Mes,81,dr_Cod,"PAGO_MAT",dr_Est,"&lt;&gt;Excluido"),(CI$34+CI$38+CI$39)*Calendario!CI$13)</f>
        <v>448639.779486609</v>
      </c>
      <c r="CJ40" s="12" t="n">
        <f aca="false">IF(CJ$9=1,SUMIFS(dr_USD,dr_Mes,82,dr_Cod,"PAGO_MAT",dr_Est,"&lt;&gt;Excluido"),(CJ$34+CJ$38+CJ$39)*Calendario!CJ$13)</f>
        <v>448770.826112285</v>
      </c>
      <c r="CK40" s="12" t="n">
        <f aca="false">IF(CK$9=1,SUMIFS(dr_USD,dr_Mes,83,dr_Cod,"PAGO_MAT",dr_Est,"&lt;&gt;Excluido"),(CK$34+CK$38+CK$39)*Calendario!CK$13)</f>
        <v>448770.826112286</v>
      </c>
      <c r="CL40" s="12" t="n">
        <f aca="false">IF(CL$9=1,SUMIFS(dr_USD,dr_Mes,84,dr_Cod,"PAGO_MAT",dr_Est,"&lt;&gt;Excluido"),(CL$34+CL$38+CL$39)*Calendario!CL$13)</f>
        <v>448770.826112286</v>
      </c>
      <c r="CM40" s="12" t="n">
        <f aca="false">IF(CM$9=1,SUMIFS(dr_USD,dr_Mes,85,dr_Cod,"PAGO_MAT",dr_Est,"&lt;&gt;Excluido"),(CM$34+CM$38+CM$39)*Calendario!CM$13)</f>
        <v>448770.826112285</v>
      </c>
      <c r="CN40" s="12" t="n">
        <f aca="false">IF(CN$9=1,SUMIFS(dr_USD,dr_Mes,86,dr_Cod,"PAGO_MAT",dr_Est,"&lt;&gt;Excluido"),(CN$34+CN$38+CN$39)*Calendario!CN$13)</f>
        <v>448770.826112286</v>
      </c>
      <c r="CO40" s="12" t="n">
        <f aca="false">IF(CO$9=1,SUMIFS(dr_USD,dr_Mes,87,dr_Cod,"PAGO_MAT",dr_Est,"&lt;&gt;Excluido"),(CO$34+CO$38+CO$39)*Calendario!CO$13)</f>
        <v>448770.826112286</v>
      </c>
      <c r="CP40" s="12" t="n">
        <f aca="false">IF(CP$9=1,SUMIFS(dr_USD,dr_Mes,88,dr_Cod,"PAGO_MAT",dr_Est,"&lt;&gt;Excluido"),(CP$34+CP$38+CP$39)*Calendario!CP$13)</f>
        <v>448770.826112286</v>
      </c>
      <c r="CQ40" s="12" t="n">
        <f aca="false">IF(CQ$9=1,SUMIFS(dr_USD,dr_Mes,89,dr_Cod,"PAGO_MAT",dr_Est,"&lt;&gt;Excluido"),(CQ$34+CQ$38+CQ$39)*Calendario!CQ$13)</f>
        <v>448770.826112286</v>
      </c>
      <c r="CR40" s="12" t="n">
        <f aca="false">IF(CR$9=1,SUMIFS(dr_USD,dr_Mes,90,dr_Cod,"PAGO_MAT",dr_Est,"&lt;&gt;Excluido"),(CR$34+CR$38+CR$39)*Calendario!CR$13)</f>
        <v>448770.826112286</v>
      </c>
      <c r="CS40" s="12" t="n">
        <f aca="false">IF(CS$9=1,SUMIFS(dr_USD,dr_Mes,91,dr_Cod,"PAGO_MAT",dr_Est,"&lt;&gt;Excluido"),(CS$34+CS$38+CS$39)*Calendario!CS$13)</f>
        <v>448770.826112286</v>
      </c>
      <c r="CT40" s="12" t="n">
        <f aca="false">IF(CT$9=1,SUMIFS(dr_USD,dr_Mes,92,dr_Cod,"PAGO_MAT",dr_Est,"&lt;&gt;Excluido"),(CT$34+CT$38+CT$39)*Calendario!CT$13)</f>
        <v>448770.826112286</v>
      </c>
      <c r="CU40" s="12" t="n">
        <f aca="false">IF(CU$9=1,SUMIFS(dr_USD,dr_Mes,93,dr_Cod,"PAGO_MAT",dr_Est,"&lt;&gt;Excluido"),(CU$34+CU$38+CU$39)*Calendario!CU$13)</f>
        <v>451053.985948142</v>
      </c>
      <c r="CV40" s="12" t="n">
        <f aca="false">IF(CV$9=1,SUMIFS(dr_USD,dr_Mes,94,dr_Cod,"PAGO_MAT",dr_Est,"&lt;&gt;Excluido"),(CV$34+CV$38+CV$39)*Calendario!CV$13)</f>
        <v>451186.343040076</v>
      </c>
      <c r="CW40" s="12" t="n">
        <f aca="false">IF(CW$9=1,SUMIFS(dr_USD,dr_Mes,95,dr_Cod,"PAGO_MAT",dr_Est,"&lt;&gt;Excluido"),(CW$34+CW$38+CW$39)*Calendario!CW$13)</f>
        <v>451186.343040075</v>
      </c>
      <c r="CX40" s="12" t="n">
        <f aca="false">IF(CX$9=1,SUMIFS(dr_USD,dr_Mes,96,dr_Cod,"PAGO_MAT",dr_Est,"&lt;&gt;Excluido"),(CX$34+CX$38+CX$39)*Calendario!CX$13)</f>
        <v>451186.343040075</v>
      </c>
      <c r="CY40" s="12" t="n">
        <f aca="false">IF(CY$9=1,SUMIFS(dr_USD,dr_Mes,97,dr_Cod,"PAGO_MAT",dr_Est,"&lt;&gt;Excluido"),(CY$34+CY$38+CY$39)*Calendario!CY$13)</f>
        <v>451186.343040075</v>
      </c>
      <c r="CZ40" s="12" t="n">
        <f aca="false">IF(CZ$9=1,SUMIFS(dr_USD,dr_Mes,98,dr_Cod,"PAGO_MAT",dr_Est,"&lt;&gt;Excluido"),(CZ$34+CZ$38+CZ$39)*Calendario!CZ$13)</f>
        <v>451186.343040075</v>
      </c>
      <c r="DA40" s="12" t="n">
        <f aca="false">IF(DA$9=1,SUMIFS(dr_USD,dr_Mes,99,dr_Cod,"PAGO_MAT",dr_Est,"&lt;&gt;Excluido"),(DA$34+DA$38+DA$39)*Calendario!DA$13)</f>
        <v>451186.343040075</v>
      </c>
      <c r="DB40" s="12" t="n">
        <f aca="false">IF(DB$9=1,SUMIFS(dr_USD,dr_Mes,100,dr_Cod,"PAGO_MAT",dr_Est,"&lt;&gt;Excluido"),(DB$34+DB$38+DB$39)*Calendario!DB$13)</f>
        <v>451186.343040075</v>
      </c>
      <c r="DC40" s="12" t="n">
        <f aca="false">IF(DC$9=1,SUMIFS(dr_USD,dr_Mes,101,dr_Cod,"PAGO_MAT",dr_Est,"&lt;&gt;Excluido"),(DC$34+DC$38+DC$39)*Calendario!DC$13)</f>
        <v>451186.343040075</v>
      </c>
      <c r="DD40" s="12" t="n">
        <f aca="false">IF(DD$9=1,SUMIFS(dr_USD,dr_Mes,102,dr_Cod,"PAGO_MAT",dr_Est,"&lt;&gt;Excluido"),(DD$34+DD$38+DD$39)*Calendario!DD$13)</f>
        <v>451186.343040075</v>
      </c>
      <c r="DE40" s="12" t="n">
        <f aca="false">IF(DE$9=1,SUMIFS(dr_USD,dr_Mes,103,dr_Cod,"PAGO_MAT",dr_Est,"&lt;&gt;Excluido"),(DE$34+DE$38+DE$39)*Calendario!DE$13)</f>
        <v>451186.343040075</v>
      </c>
      <c r="DF40" s="12" t="n">
        <f aca="false">IF(DF$9=1,SUMIFS(dr_USD,dr_Mes,104,dr_Cod,"PAGO_MAT",dr_Est,"&lt;&gt;Excluido"),(DF$34+DF$38+DF$39)*Calendario!DF$13)</f>
        <v>451186.343040075</v>
      </c>
      <c r="DG40" s="12" t="n">
        <f aca="false">IF(DG$9=1,SUMIFS(dr_USD,dr_Mes,105,dr_Cod,"PAGO_MAT",dr_Est,"&lt;&gt;Excluido"),(DG$34+DG$38+DG$39)*Calendario!DG$13)</f>
        <v>453492.33447429</v>
      </c>
      <c r="DH40" s="12" t="n">
        <f aca="false">IF(DH$9=1,SUMIFS(dr_USD,dr_Mes,106,dr_Cod,"PAGO_MAT",dr_Est,"&lt;&gt;Excluido"),(DH$34+DH$38+DH$39)*Calendario!DH$13)</f>
        <v>453626.015137143</v>
      </c>
      <c r="DI40" s="12" t="n">
        <f aca="false">IF(DI$9=1,SUMIFS(dr_USD,dr_Mes,107,dr_Cod,"PAGO_MAT",dr_Est,"&lt;&gt;Excluido"),(DI$34+DI$38+DI$39)*Calendario!DI$13)</f>
        <v>453626.015137143</v>
      </c>
      <c r="DJ40" s="12" t="n">
        <f aca="false">IF(DJ$9=1,SUMIFS(dr_USD,dr_Mes,108,dr_Cod,"PAGO_MAT",dr_Est,"&lt;&gt;Excluido"),(DJ$34+DJ$38+DJ$39)*Calendario!DJ$13)</f>
        <v>453626.015137143</v>
      </c>
      <c r="DK40" s="12" t="n">
        <f aca="false">IF(DK$9=1,SUMIFS(dr_USD,dr_Mes,109,dr_Cod,"PAGO_MAT",dr_Est,"&lt;&gt;Excluido"),(DK$34+DK$38+DK$39)*Calendario!DK$13)</f>
        <v>453626.015137143</v>
      </c>
      <c r="DL40" s="12" t="n">
        <f aca="false">IF(DL$9=1,SUMIFS(dr_USD,dr_Mes,110,dr_Cod,"PAGO_MAT",dr_Est,"&lt;&gt;Excluido"),(DL$34+DL$38+DL$39)*Calendario!DL$13)</f>
        <v>453626.015137143</v>
      </c>
      <c r="DM40" s="12" t="n">
        <f aca="false">IF(DM$9=1,SUMIFS(dr_USD,dr_Mes,111,dr_Cod,"PAGO_MAT",dr_Est,"&lt;&gt;Excluido"),(DM$34+DM$38+DM$39)*Calendario!DM$13)</f>
        <v>453626.015137143</v>
      </c>
      <c r="DN40" s="12" t="n">
        <f aca="false">IF(DN$9=1,SUMIFS(dr_USD,dr_Mes,112,dr_Cod,"PAGO_MAT",dr_Est,"&lt;&gt;Excluido"),(DN$34+DN$38+DN$39)*Calendario!DN$13)</f>
        <v>453626.015137143</v>
      </c>
      <c r="DO40" s="12" t="n">
        <f aca="false">IF(DO$9=1,SUMIFS(dr_USD,dr_Mes,113,dr_Cod,"PAGO_MAT",dr_Est,"&lt;&gt;Excluido"),(DO$34+DO$38+DO$39)*Calendario!DO$13)</f>
        <v>453626.015137143</v>
      </c>
      <c r="DP40" s="12" t="n">
        <f aca="false">IF(DP$9=1,SUMIFS(dr_USD,dr_Mes,114,dr_Cod,"PAGO_MAT",dr_Est,"&lt;&gt;Excluido"),(DP$34+DP$38+DP$39)*Calendario!DP$13)</f>
        <v>453626.015137143</v>
      </c>
      <c r="DQ40" s="12" t="n">
        <f aca="false">IF(DQ$9=1,SUMIFS(dr_USD,dr_Mes,115,dr_Cod,"PAGO_MAT",dr_Est,"&lt;&gt;Excluido"),(DQ$34+DQ$38+DQ$39)*Calendario!DQ$13)</f>
        <v>453626.015137143</v>
      </c>
      <c r="DR40" s="12" t="n">
        <f aca="false">IF(DR$9=1,SUMIFS(dr_USD,dr_Mes,116,dr_Cod,"PAGO_MAT",dr_Est,"&lt;&gt;Excluido"),(DR$34+DR$38+DR$39)*Calendario!DR$13)</f>
        <v>312660.603039731</v>
      </c>
      <c r="DS40" s="12" t="n">
        <f aca="false">IF(DS$9=1,SUMIFS(dr_USD,dr_Mes,117,dr_Cod,"PAGO_MAT",dr_Est,"&lt;&gt;Excluido"),(DS$34+DS$38+DS$39)*Calendario!DS$13)</f>
        <v>16684.3120598386</v>
      </c>
      <c r="DT40" s="12" t="n">
        <f aca="false">IF(DT$9=1,SUMIFS(dr_USD,dr_Mes,118,dr_Cod,"PAGO_MAT",dr_Est,"&lt;&gt;Excluido"),(DT$34+DT$38+DT$39)*Calendario!DT$13)</f>
        <v>0</v>
      </c>
      <c r="DU40" s="12" t="n">
        <f aca="false">IF(DU$9=1,SUMIFS(dr_USD,dr_Mes,119,dr_Cod,"PAGO_MAT",dr_Est,"&lt;&gt;Excluido"),(DU$34+DU$38+DU$39)*Calendario!DU$13)</f>
        <v>0</v>
      </c>
      <c r="DV40" s="12" t="n">
        <f aca="false">IF(DV$9=1,SUMIFS(dr_USD,dr_Mes,120,dr_Cod,"PAGO_MAT",dr_Est,"&lt;&gt;Excluido"),(DV$34+DV$38+DV$39)*Calendario!DV$13)</f>
        <v>0</v>
      </c>
      <c r="DW40" s="12" t="n">
        <f aca="false">IF(DW$9=1,SUMIFS(dr_USD,dr_Mes,121,dr_Cod,"PAGO_MAT",dr_Est,"&lt;&gt;Excluido"),(DW$34+DW$38+DW$39)*Calendario!DW$13)</f>
        <v>0</v>
      </c>
      <c r="DX40" s="12" t="n">
        <f aca="false">IF(DX$9=1,SUMIFS(dr_USD,dr_Mes,122,dr_Cod,"PAGO_MAT",dr_Est,"&lt;&gt;Excluido"),(DX$34+DX$38+DX$39)*Calendario!DX$13)</f>
        <v>0</v>
      </c>
      <c r="DY40" s="12" t="n">
        <f aca="false">IF(DY$9=1,SUMIFS(dr_USD,dr_Mes,123,dr_Cod,"PAGO_MAT",dr_Est,"&lt;&gt;Excluido"),(DY$34+DY$38+DY$39)*Calendario!DY$13)</f>
        <v>0</v>
      </c>
      <c r="DZ40" s="12" t="n">
        <f aca="false">IF(DZ$9=1,SUMIFS(dr_USD,dr_Mes,124,dr_Cod,"PAGO_MAT",dr_Est,"&lt;&gt;Excluido"),(DZ$34+DZ$38+DZ$39)*Calendario!DZ$13)</f>
        <v>0</v>
      </c>
      <c r="EA40" s="12" t="n">
        <f aca="false">IF(EA$9=1,SUMIFS(dr_USD,dr_Mes,125,dr_Cod,"PAGO_MAT",dr_Est,"&lt;&gt;Excluido"),(EA$34+EA$38+EA$39)*Calendario!EA$13)</f>
        <v>0</v>
      </c>
      <c r="EB40" s="12" t="n">
        <f aca="false">IF(EB$9=1,SUMIFS(dr_USD,dr_Mes,126,dr_Cod,"PAGO_MAT",dr_Est,"&lt;&gt;Excluido"),(EB$34+EB$38+EB$39)*Calendario!EB$13)</f>
        <v>0</v>
      </c>
      <c r="EC40" s="12" t="n">
        <f aca="false">IF(EC$9=1,SUMIFS(dr_USD,dr_Mes,127,dr_Cod,"PAGO_MAT",dr_Est,"&lt;&gt;Excluido"),(EC$34+EC$38+EC$39)*Calendario!EC$13)</f>
        <v>0</v>
      </c>
      <c r="ED40" s="12" t="n">
        <f aca="false">IF(ED$9=1,SUMIFS(dr_USD,dr_Mes,128,dr_Cod,"PAGO_MAT",dr_Est,"&lt;&gt;Excluido"),(ED$34+ED$38+ED$39)*Calendario!ED$13)</f>
        <v>0</v>
      </c>
      <c r="EE40" s="12" t="n">
        <f aca="false">IF(EE$9=1,SUMIFS(dr_USD,dr_Mes,129,dr_Cod,"PAGO_MAT",dr_Est,"&lt;&gt;Excluido"),(EE$34+EE$38+EE$39)*Calendario!EE$13)</f>
        <v>0</v>
      </c>
      <c r="EF40" s="12" t="n">
        <f aca="false">IF(EF$9=1,SUMIFS(dr_USD,dr_Mes,130,dr_Cod,"PAGO_MAT",dr_Est,"&lt;&gt;Excluido"),(EF$34+EF$38+EF$39)*Calendario!EF$13)</f>
        <v>0</v>
      </c>
      <c r="EG40" s="12" t="n">
        <f aca="false">IF(EG$9=1,SUMIFS(dr_USD,dr_Mes,131,dr_Cod,"PAGO_MAT",dr_Est,"&lt;&gt;Excluido"),(EG$34+EG$38+EG$39)*Calendario!EG$13)</f>
        <v>0</v>
      </c>
      <c r="EH40" s="12" t="n">
        <f aca="false">IF(EH$9=1,SUMIFS(dr_USD,dr_Mes,132,dr_Cod,"PAGO_MAT",dr_Est,"&lt;&gt;Excluido"),(EH$34+EH$38+EH$39)*Calendario!EH$13)</f>
        <v>0</v>
      </c>
      <c r="EI40" s="12" t="n">
        <f aca="false">IF(EI$9=1,SUMIFS(dr_USD,dr_Mes,133,dr_Cod,"PAGO_MAT",dr_Est,"&lt;&gt;Excluido"),(EI$34+EI$38+EI$39)*Calendario!EI$13)</f>
        <v>0</v>
      </c>
      <c r="EJ40" s="12" t="n">
        <f aca="false">IF(EJ$9=1,SUMIFS(dr_USD,dr_Mes,134,dr_Cod,"PAGO_MAT",dr_Est,"&lt;&gt;Excluido"),(EJ$34+EJ$38+EJ$39)*Calendario!EJ$13)</f>
        <v>0</v>
      </c>
      <c r="EK40" s="12" t="n">
        <f aca="false">IF(EK$9=1,SUMIFS(dr_USD,dr_Mes,135,dr_Cod,"PAGO_MAT",dr_Est,"&lt;&gt;Excluido"),(EK$34+EK$38+EK$39)*Calendario!EK$13)</f>
        <v>0</v>
      </c>
      <c r="EL40" s="12" t="n">
        <f aca="false">IF(EL$9=1,SUMIFS(dr_USD,dr_Mes,136,dr_Cod,"PAGO_MAT",dr_Est,"&lt;&gt;Excluido"),(EL$34+EL$38+EL$39)*Calendario!EL$13)</f>
        <v>0</v>
      </c>
      <c r="EM40" s="12" t="n">
        <f aca="false">IF(EM$9=1,SUMIFS(dr_USD,dr_Mes,137,dr_Cod,"PAGO_MAT",dr_Est,"&lt;&gt;Excluido"),(EM$34+EM$38+EM$39)*Calendario!EM$13)</f>
        <v>0</v>
      </c>
      <c r="EN40" s="12" t="n">
        <f aca="false">IF(EN$9=1,SUMIFS(dr_USD,dr_Mes,138,dr_Cod,"PAGO_MAT",dr_Est,"&lt;&gt;Excluido"),(EN$34+EN$38+EN$39)*Calendario!EN$13)</f>
        <v>0</v>
      </c>
      <c r="EO40" s="12" t="n">
        <f aca="false">IF(EO$9=1,SUMIFS(dr_USD,dr_Mes,139,dr_Cod,"PAGO_MAT",dr_Est,"&lt;&gt;Excluido"),(EO$34+EO$38+EO$39)*Calendario!EO$13)</f>
        <v>0</v>
      </c>
      <c r="EP40" s="12" t="n">
        <f aca="false">IF(EP$9=1,SUMIFS(dr_USD,dr_Mes,140,dr_Cod,"PAGO_MAT",dr_Est,"&lt;&gt;Excluido"),(EP$34+EP$38+EP$39)*Calendario!EP$13)</f>
        <v>0</v>
      </c>
      <c r="EQ40" s="12" t="n">
        <f aca="false">IF(EQ$9=1,SUMIFS(dr_USD,dr_Mes,141,dr_Cod,"PAGO_MAT",dr_Est,"&lt;&gt;Excluido"),(EQ$34+EQ$38+EQ$39)*Calendario!EQ$13)</f>
        <v>0</v>
      </c>
      <c r="ER40" s="12" t="n">
        <f aca="false">IF(ER$9=1,SUMIFS(dr_USD,dr_Mes,142,dr_Cod,"PAGO_MAT",dr_Est,"&lt;&gt;Excluido"),(ER$34+ER$38+ER$39)*Calendario!ER$13)</f>
        <v>0</v>
      </c>
      <c r="ES40" s="12" t="n">
        <f aca="false">IF(ES$9=1,SUMIFS(dr_USD,dr_Mes,143,dr_Cod,"PAGO_MAT",dr_Est,"&lt;&gt;Excluido"),(ES$34+ES$38+ES$39)*Calendario!ES$13)</f>
        <v>0</v>
      </c>
      <c r="ET40" s="12" t="n">
        <f aca="false">IF(ET$9=1,SUMIFS(dr_USD,dr_Mes,144,dr_Cod,"PAGO_MAT",dr_Est,"&lt;&gt;Excluido"),(ET$34+ET$38+ET$39)*Calendario!ET$13)</f>
        <v>0</v>
      </c>
      <c r="EU40" s="12" t="n">
        <f aca="false">IF(EU$9=1,SUMIFS(dr_USD,dr_Mes,145,dr_Cod,"PAGO_MAT",dr_Est,"&lt;&gt;Excluido"),(EU$34+EU$38+EU$39)*Calendario!EU$13)</f>
        <v>0</v>
      </c>
      <c r="EV40" s="12" t="n">
        <f aca="false">IF(EV$9=1,SUMIFS(dr_USD,dr_Mes,146,dr_Cod,"PAGO_MAT",dr_Est,"&lt;&gt;Excluido"),(EV$34+EV$38+EV$39)*Calendario!EV$13)</f>
        <v>0</v>
      </c>
      <c r="EW40" s="12" t="n">
        <f aca="false">IF(EW$9=1,SUMIFS(dr_USD,dr_Mes,147,dr_Cod,"PAGO_MAT",dr_Est,"&lt;&gt;Excluido"),(EW$34+EW$38+EW$39)*Calendario!EW$13)</f>
        <v>0</v>
      </c>
      <c r="EX40" s="12" t="n">
        <f aca="false">IF(EX$9=1,SUMIFS(dr_USD,dr_Mes,148,dr_Cod,"PAGO_MAT",dr_Est,"&lt;&gt;Excluido"),(EX$34+EX$38+EX$39)*Calendario!EX$13)</f>
        <v>0</v>
      </c>
      <c r="EY40" s="12" t="n">
        <f aca="false">IF(EY$9=1,SUMIFS(dr_USD,dr_Mes,149,dr_Cod,"PAGO_MAT",dr_Est,"&lt;&gt;Excluido"),(EY$34+EY$38+EY$39)*Calendario!EY$13)</f>
        <v>0</v>
      </c>
      <c r="EZ40" s="12" t="n">
        <f aca="false">IF(EZ$9=1,SUMIFS(dr_USD,dr_Mes,150,dr_Cod,"PAGO_MAT",dr_Est,"&lt;&gt;Excluido"),(EZ$34+EZ$38+EZ$39)*Calendario!EZ$13)</f>
        <v>0</v>
      </c>
      <c r="FA40" s="12" t="n">
        <f aca="false">IF(FA$9=1,SUMIFS(dr_USD,dr_Mes,151,dr_Cod,"PAGO_MAT",dr_Est,"&lt;&gt;Excluido"),(FA$34+FA$38+FA$39)*Calendario!FA$13)</f>
        <v>0</v>
      </c>
      <c r="FB40" s="12" t="n">
        <f aca="false">IF(FB$9=1,SUMIFS(dr_USD,dr_Mes,152,dr_Cod,"PAGO_MAT",dr_Est,"&lt;&gt;Excluido"),(FB$34+FB$38+FB$39)*Calendario!FB$13)</f>
        <v>0</v>
      </c>
      <c r="FC40" s="12" t="n">
        <f aca="false">IF(FC$9=1,SUMIFS(dr_USD,dr_Mes,153,dr_Cod,"PAGO_MAT",dr_Est,"&lt;&gt;Excluido"),(FC$34+FC$38+FC$39)*Calendario!FC$13)</f>
        <v>0</v>
      </c>
      <c r="FD40" s="12" t="n">
        <f aca="false">IF(FD$9=1,SUMIFS(dr_USD,dr_Mes,154,dr_Cod,"PAGO_MAT",dr_Est,"&lt;&gt;Excluido"),(FD$34+FD$38+FD$39)*Calendario!FD$13)</f>
        <v>0</v>
      </c>
      <c r="FE40" s="12" t="n">
        <f aca="false">IF(FE$9=1,SUMIFS(dr_USD,dr_Mes,155,dr_Cod,"PAGO_MAT",dr_Est,"&lt;&gt;Excluido"),(FE$34+FE$38+FE$39)*Calendario!FE$13)</f>
        <v>0</v>
      </c>
      <c r="FF40" s="12" t="n">
        <f aca="false">IF(FF$9=1,SUMIFS(dr_USD,dr_Mes,156,dr_Cod,"PAGO_MAT",dr_Est,"&lt;&gt;Excluido"),(FF$34+FF$38+FF$39)*Calendario!FF$13)</f>
        <v>0</v>
      </c>
    </row>
    <row r="41" customFormat="false" ht="15" hidden="false" customHeight="false" outlineLevel="0" collapsed="false">
      <c r="A41" s="2" t="s">
        <v>1340</v>
      </c>
      <c r="B41" s="8" t="s">
        <v>1341</v>
      </c>
      <c r="C41" s="8" t="s">
        <v>255</v>
      </c>
      <c r="F41" s="13" t="n">
        <f aca="false">0+F$37-(F$40-F$34)</f>
        <v>0</v>
      </c>
      <c r="G41" s="13" t="n">
        <f aca="false">F$42+G$37-(G$40-G$34)</f>
        <v>0</v>
      </c>
      <c r="H41" s="13" t="n">
        <f aca="false">G$42+H$37-(H$40-H$34)</f>
        <v>0</v>
      </c>
      <c r="I41" s="13" t="n">
        <f aca="false">H$42+I$37-(I$40-I$34)</f>
        <v>0</v>
      </c>
      <c r="J41" s="13" t="n">
        <f aca="false">I$42+J$37-(J$40-J$34)</f>
        <v>0</v>
      </c>
      <c r="K41" s="13" t="n">
        <f aca="false">J$42+K$37-(K$40-K$34)</f>
        <v>0</v>
      </c>
      <c r="L41" s="13" t="n">
        <f aca="false">K$42+L$37-(L$40-L$34)</f>
        <v>0</v>
      </c>
      <c r="M41" s="13" t="n">
        <f aca="false">L$42+M$37-(M$40-M$34)</f>
        <v>0</v>
      </c>
      <c r="N41" s="13" t="n">
        <f aca="false">M$42+N$37-(N$40-N$34)</f>
        <v>0</v>
      </c>
      <c r="O41" s="13" t="n">
        <f aca="false">N$42+O$37-(O$40-O$34)</f>
        <v>0</v>
      </c>
      <c r="P41" s="13" t="n">
        <f aca="false">O$42+P$37-(P$40-P$34)</f>
        <v>0</v>
      </c>
      <c r="Q41" s="13" t="n">
        <f aca="false">P$42+Q$37-(Q$40-Q$34)</f>
        <v>0</v>
      </c>
      <c r="R41" s="13" t="n">
        <f aca="false">Q$42+R$37-(R$40-R$34)</f>
        <v>0</v>
      </c>
      <c r="S41" s="13" t="n">
        <f aca="false">R$42+S$37-(S$40-S$34)</f>
        <v>0</v>
      </c>
      <c r="T41" s="13" t="n">
        <f aca="false">S$42+T$37-(T$40-T$34)</f>
        <v>0</v>
      </c>
      <c r="U41" s="13" t="n">
        <f aca="false">T$42+U$37-(U$40-U$34)</f>
        <v>0</v>
      </c>
      <c r="V41" s="13" t="n">
        <f aca="false">U$42+V$37-(V$40-V$34)</f>
        <v>0</v>
      </c>
      <c r="W41" s="13" t="n">
        <f aca="false">V$42+W$37-(W$40-W$34)</f>
        <v>0</v>
      </c>
      <c r="X41" s="13" t="n">
        <f aca="false">W$42+X$37-(X$40-X$34)</f>
        <v>0</v>
      </c>
      <c r="Y41" s="13" t="n">
        <f aca="false">X$42+Y$37-(Y$40-Y$34)</f>
        <v>0</v>
      </c>
      <c r="Z41" s="13" t="n">
        <f aca="false">Y$42+Z$37-(Z$40-Z$34)</f>
        <v>0</v>
      </c>
      <c r="AA41" s="13" t="n">
        <f aca="false">Z$42+AA$37-(AA$40-AA$34)</f>
        <v>0</v>
      </c>
      <c r="AB41" s="13" t="n">
        <f aca="false">AA$42+AB$37-(AB$40-AB$34)</f>
        <v>0</v>
      </c>
      <c r="AC41" s="13" t="n">
        <f aca="false">AB$42+AC$37-(AC$40-AC$34)</f>
        <v>0</v>
      </c>
      <c r="AD41" s="13" t="n">
        <f aca="false">AC$42+AD$37-(AD$40-AD$34)</f>
        <v>0</v>
      </c>
      <c r="AE41" s="13" t="n">
        <f aca="false">AD$42+AE$37-(AE$40-AE$34)</f>
        <v>0</v>
      </c>
      <c r="AF41" s="13" t="n">
        <f aca="false">AE$42+AF$37-(AF$40-AF$34)</f>
        <v>0</v>
      </c>
      <c r="AG41" s="13" t="n">
        <f aca="false">AF$42+AG$37-(AG$40-AG$34)</f>
        <v>0</v>
      </c>
      <c r="AH41" s="13" t="n">
        <f aca="false">AG$42+AH$37-(AH$40-AH$34)</f>
        <v>0</v>
      </c>
      <c r="AI41" s="13" t="n">
        <f aca="false">AH$42+AI$37-(AI$40-AI$34)</f>
        <v>0</v>
      </c>
      <c r="AJ41" s="13" t="n">
        <f aca="false">AI$42+AJ$37-(AJ$40-AJ$34)</f>
        <v>0</v>
      </c>
      <c r="AK41" s="13" t="n">
        <f aca="false">AJ$42+AK$37-(AK$40-AK$34)</f>
        <v>0</v>
      </c>
      <c r="AL41" s="13" t="n">
        <f aca="false">AK$42+AL$37-(AL$40-AL$34)</f>
        <v>0</v>
      </c>
      <c r="AM41" s="13" t="n">
        <f aca="false">AL$42+AM$37-(AM$40-AM$34)</f>
        <v>0</v>
      </c>
      <c r="AN41" s="13" t="n">
        <f aca="false">AM$42+AN$37-(AN$40-AN$34)</f>
        <v>0</v>
      </c>
      <c r="AO41" s="13" t="n">
        <f aca="false">AN$42+AO$37-(AO$40-AO$34)</f>
        <v>0</v>
      </c>
      <c r="AP41" s="13" t="n">
        <f aca="false">AO$42+AP$37-(AP$40-AP$34)</f>
        <v>0</v>
      </c>
      <c r="AQ41" s="13" t="n">
        <f aca="false">AP$42+AQ$37-(AQ$40-AQ$34)</f>
        <v>0</v>
      </c>
      <c r="AR41" s="13" t="n">
        <f aca="false">AQ$42+AR$37-(AR$40-AR$34)</f>
        <v>0</v>
      </c>
      <c r="AS41" s="13" t="n">
        <f aca="false">AR$42+AS$37-(AS$40-AS$34)</f>
        <v>0</v>
      </c>
      <c r="AT41" s="13" t="n">
        <f aca="false">AS$42+AT$37-(AT$40-AT$34)</f>
        <v>0</v>
      </c>
      <c r="AU41" s="13" t="n">
        <f aca="false">AT$42+AU$37-(AU$40-AU$34)</f>
        <v>0</v>
      </c>
      <c r="AV41" s="13" t="n">
        <f aca="false">AU$42+AV$37-(AV$40-AV$34)</f>
        <v>0</v>
      </c>
      <c r="AW41" s="13" t="n">
        <f aca="false">AV$42+AW$37-(AW$40-AW$34)</f>
        <v>0</v>
      </c>
      <c r="AX41" s="13" t="n">
        <f aca="false">AW$42+AX$37-(AX$40-AX$34)</f>
        <v>0</v>
      </c>
      <c r="AY41" s="13" t="n">
        <f aca="false">AX$42+AY$37-(AY$40-AY$34)</f>
        <v>0</v>
      </c>
      <c r="AZ41" s="13" t="n">
        <f aca="false">AY$42+AZ$37-(AZ$40-AZ$34)</f>
        <v>0</v>
      </c>
      <c r="BA41" s="13" t="n">
        <f aca="false">AZ$42+BA$37-(BA$40-BA$34)</f>
        <v>0</v>
      </c>
      <c r="BB41" s="13" t="n">
        <f aca="false">BA$42+BB$37-(BB$40-BB$34)</f>
        <v>0</v>
      </c>
      <c r="BC41" s="13" t="n">
        <f aca="false">BB$42+BC$37-(BC$40-BC$34)</f>
        <v>0</v>
      </c>
      <c r="BD41" s="13" t="n">
        <f aca="false">BC$42+BD$37-(BD$40-BD$34)</f>
        <v>0</v>
      </c>
      <c r="BE41" s="13" t="n">
        <f aca="false">BD$42+BE$37-(BE$40-BE$34)</f>
        <v>0</v>
      </c>
      <c r="BF41" s="13" t="n">
        <f aca="false">BE$42+BF$37-(BF$40-BF$34)</f>
        <v>0</v>
      </c>
      <c r="BG41" s="13" t="n">
        <f aca="false">BF$42+BG$37-(BG$40-BG$34)</f>
        <v>0</v>
      </c>
      <c r="BH41" s="13" t="n">
        <f aca="false">BG$42+BH$37-(BH$40-BH$34)</f>
        <v>0</v>
      </c>
      <c r="BI41" s="13" t="n">
        <f aca="false">BH$42+BI$37-(BI$40-BI$34)</f>
        <v>0</v>
      </c>
      <c r="BJ41" s="13" t="n">
        <f aca="false">BI$42+BJ$37-(BJ$40-BJ$34)</f>
        <v>0</v>
      </c>
      <c r="BK41" s="13" t="n">
        <f aca="false">BJ$42+BK$37-(BK$40-BK$34)</f>
        <v>0</v>
      </c>
      <c r="BL41" s="13" t="n">
        <f aca="false">BK$42+BL$37-(BL$40-BL$34)</f>
        <v>0</v>
      </c>
      <c r="BM41" s="13" t="n">
        <f aca="false">BL$42+BM$37-(BM$40-BM$34)</f>
        <v>0</v>
      </c>
      <c r="BN41" s="13" t="n">
        <f aca="false">BM$42+BN$37-(BN$40-BN$34)</f>
        <v>0</v>
      </c>
      <c r="BO41" s="13" t="n">
        <f aca="false">BN$42+BO$37-(BO$40-BO$34)</f>
        <v>0</v>
      </c>
      <c r="BP41" s="13" t="n">
        <f aca="false">BO$42+BP$37-(BP$40-BP$34)</f>
        <v>0</v>
      </c>
      <c r="BQ41" s="13" t="n">
        <f aca="false">BP$42+BQ$37-(BQ$40-BQ$34)</f>
        <v>0</v>
      </c>
      <c r="BR41" s="13" t="n">
        <f aca="false">BQ$42+BR$37-(BR$40-BR$34)</f>
        <v>0</v>
      </c>
      <c r="BS41" s="13" t="n">
        <f aca="false">BR$42+BS$37-(BS$40-BS$34)</f>
        <v>0</v>
      </c>
      <c r="BT41" s="13" t="n">
        <f aca="false">BS$42+BT$37-(BT$40-BT$34)</f>
        <v>0</v>
      </c>
      <c r="BU41" s="13" t="n">
        <f aca="false">BT$42+BU$37-(BU$40-BU$34)</f>
        <v>0</v>
      </c>
      <c r="BV41" s="13" t="n">
        <f aca="false">BU$42+BV$37-(BV$40-BV$34)</f>
        <v>0</v>
      </c>
      <c r="BW41" s="13" t="n">
        <f aca="false">BV$42+BW$37-(BW$40-BW$34)</f>
        <v>0</v>
      </c>
      <c r="BX41" s="13" t="n">
        <f aca="false">BW$42+BX$37-(BX$40-BX$34)</f>
        <v>0</v>
      </c>
      <c r="BY41" s="13" t="n">
        <f aca="false">BX$42+BY$37-(BY$40-BY$34)</f>
        <v>0</v>
      </c>
      <c r="BZ41" s="13" t="n">
        <f aca="false">BY$42+BZ$37-(BZ$40-BZ$34)</f>
        <v>0</v>
      </c>
      <c r="CA41" s="13" t="n">
        <f aca="false">BZ$42+CA$37-(CA$40-CA$34)</f>
        <v>0</v>
      </c>
      <c r="CB41" s="13" t="n">
        <f aca="false">CA$42+CB$37-(CB$40-CB$34)</f>
        <v>0</v>
      </c>
      <c r="CC41" s="13" t="n">
        <f aca="false">CB$42+CC$37-(CC$40-CC$34)</f>
        <v>0</v>
      </c>
      <c r="CD41" s="13" t="n">
        <f aca="false">CC$42+CD$37-(CD$40-CD$34)</f>
        <v>0</v>
      </c>
      <c r="CE41" s="13" t="n">
        <f aca="false">CD$42+CE$37-(CE$40-CE$34)</f>
        <v>0</v>
      </c>
      <c r="CF41" s="13" t="n">
        <f aca="false">CE$42+CF$37-(CF$40-CF$34)</f>
        <v>0</v>
      </c>
      <c r="CG41" s="13" t="n">
        <f aca="false">CF$42+CG$37-(CG$40-CG$34)</f>
        <v>0</v>
      </c>
      <c r="CH41" s="13" t="n">
        <f aca="false">CG$42+CH$37-(CH$40-CH$34)</f>
        <v>0</v>
      </c>
      <c r="CI41" s="13" t="n">
        <f aca="false">CH$42+CI$37-(CI$40-CI$34)</f>
        <v>0</v>
      </c>
      <c r="CJ41" s="13" t="n">
        <f aca="false">CI$42+CJ$37-(CJ$40-CJ$34)</f>
        <v>0</v>
      </c>
      <c r="CK41" s="13" t="n">
        <f aca="false">CJ$42+CK$37-(CK$40-CK$34)</f>
        <v>0</v>
      </c>
      <c r="CL41" s="13" t="n">
        <f aca="false">CK$42+CL$37-(CL$40-CL$34)</f>
        <v>0</v>
      </c>
      <c r="CM41" s="13" t="n">
        <f aca="false">CL$42+CM$37-(CM$40-CM$34)</f>
        <v>0</v>
      </c>
      <c r="CN41" s="13" t="n">
        <f aca="false">CM$42+CN$37-(CN$40-CN$34)</f>
        <v>0</v>
      </c>
      <c r="CO41" s="13" t="n">
        <f aca="false">CN$42+CO$37-(CO$40-CO$34)</f>
        <v>0</v>
      </c>
      <c r="CP41" s="13" t="n">
        <f aca="false">CO$42+CP$37-(CP$40-CP$34)</f>
        <v>0</v>
      </c>
      <c r="CQ41" s="13" t="n">
        <f aca="false">CP$42+CQ$37-(CQ$40-CQ$34)</f>
        <v>0</v>
      </c>
      <c r="CR41" s="13" t="n">
        <f aca="false">CQ$42+CR$37-(CR$40-CR$34)</f>
        <v>0</v>
      </c>
      <c r="CS41" s="13" t="n">
        <f aca="false">CR$42+CS$37-(CS$40-CS$34)</f>
        <v>0</v>
      </c>
      <c r="CT41" s="13" t="n">
        <f aca="false">CS$42+CT$37-(CT$40-CT$34)</f>
        <v>0</v>
      </c>
      <c r="CU41" s="13" t="n">
        <f aca="false">CT$42+CU$37-(CU$40-CU$34)</f>
        <v>0</v>
      </c>
      <c r="CV41" s="13" t="n">
        <f aca="false">CU$42+CV$37-(CV$40-CV$34)</f>
        <v>0</v>
      </c>
      <c r="CW41" s="13" t="n">
        <f aca="false">CV$42+CW$37-(CW$40-CW$34)</f>
        <v>0</v>
      </c>
      <c r="CX41" s="13" t="n">
        <f aca="false">CW$42+CX$37-(CX$40-CX$34)</f>
        <v>0</v>
      </c>
      <c r="CY41" s="13" t="n">
        <f aca="false">CX$42+CY$37-(CY$40-CY$34)</f>
        <v>0</v>
      </c>
      <c r="CZ41" s="13" t="n">
        <f aca="false">CY$42+CZ$37-(CZ$40-CZ$34)</f>
        <v>0</v>
      </c>
      <c r="DA41" s="13" t="n">
        <f aca="false">CZ$42+DA$37-(DA$40-DA$34)</f>
        <v>0</v>
      </c>
      <c r="DB41" s="13" t="n">
        <f aca="false">DA$42+DB$37-(DB$40-DB$34)</f>
        <v>0</v>
      </c>
      <c r="DC41" s="13" t="n">
        <f aca="false">DB$42+DC$37-(DC$40-DC$34)</f>
        <v>0</v>
      </c>
      <c r="DD41" s="13" t="n">
        <f aca="false">DC$42+DD$37-(DD$40-DD$34)</f>
        <v>0</v>
      </c>
      <c r="DE41" s="13" t="n">
        <f aca="false">DD$42+DE$37-(DE$40-DE$34)</f>
        <v>0</v>
      </c>
      <c r="DF41" s="13" t="n">
        <f aca="false">DE$42+DF$37-(DF$40-DF$34)</f>
        <v>0</v>
      </c>
      <c r="DG41" s="13" t="n">
        <f aca="false">DF$42+DG$37-(DG$40-DG$34)</f>
        <v>0</v>
      </c>
      <c r="DH41" s="13" t="n">
        <f aca="false">DG$42+DH$37-(DH$40-DH$34)</f>
        <v>0</v>
      </c>
      <c r="DI41" s="13" t="n">
        <f aca="false">DH$42+DI$37-(DI$40-DI$34)</f>
        <v>0</v>
      </c>
      <c r="DJ41" s="13" t="n">
        <f aca="false">DI$42+DJ$37-(DJ$40-DJ$34)</f>
        <v>0</v>
      </c>
      <c r="DK41" s="13" t="n">
        <f aca="false">DJ$42+DK$37-(DK$40-DK$34)</f>
        <v>0</v>
      </c>
      <c r="DL41" s="13" t="n">
        <f aca="false">DK$42+DL$37-(DL$40-DL$34)</f>
        <v>0</v>
      </c>
      <c r="DM41" s="13" t="n">
        <f aca="false">DL$42+DM$37-(DM$40-DM$34)</f>
        <v>0</v>
      </c>
      <c r="DN41" s="13" t="n">
        <f aca="false">DM$42+DN$37-(DN$40-DN$34)</f>
        <v>0</v>
      </c>
      <c r="DO41" s="13" t="n">
        <f aca="false">DN$42+DO$37-(DO$40-DO$34)</f>
        <v>0</v>
      </c>
      <c r="DP41" s="13" t="n">
        <f aca="false">DO$42+DP$37-(DP$40-DP$34)</f>
        <v>0</v>
      </c>
      <c r="DQ41" s="13" t="n">
        <f aca="false">DP$42+DQ$37-(DQ$40-DQ$34)</f>
        <v>0</v>
      </c>
      <c r="DR41" s="13" t="n">
        <f aca="false">DQ$42+DR$37-(DR$40-DR$34)</f>
        <v>0</v>
      </c>
      <c r="DS41" s="13" t="n">
        <f aca="false">DR$42+DS$37-(DS$40-DS$34)</f>
        <v>0</v>
      </c>
      <c r="DT41" s="13" t="n">
        <f aca="false">DS$42+DT$37-(DT$40-DT$34)</f>
        <v>0</v>
      </c>
      <c r="DU41" s="13" t="n">
        <f aca="false">DT$42+DU$37-(DU$40-DU$34)</f>
        <v>0</v>
      </c>
      <c r="DV41" s="13" t="n">
        <f aca="false">DU$42+DV$37-(DV$40-DV$34)</f>
        <v>0</v>
      </c>
      <c r="DW41" s="13" t="n">
        <f aca="false">DV$42+DW$37-(DW$40-DW$34)</f>
        <v>0</v>
      </c>
      <c r="DX41" s="13" t="n">
        <f aca="false">DW$42+DX$37-(DX$40-DX$34)</f>
        <v>0</v>
      </c>
      <c r="DY41" s="13" t="n">
        <f aca="false">DX$42+DY$37-(DY$40-DY$34)</f>
        <v>0</v>
      </c>
      <c r="DZ41" s="13" t="n">
        <f aca="false">DY$42+DZ$37-(DZ$40-DZ$34)</f>
        <v>0</v>
      </c>
      <c r="EA41" s="13" t="n">
        <f aca="false">DZ$42+EA$37-(EA$40-EA$34)</f>
        <v>0</v>
      </c>
      <c r="EB41" s="13" t="n">
        <f aca="false">EA$42+EB$37-(EB$40-EB$34)</f>
        <v>0</v>
      </c>
      <c r="EC41" s="13" t="n">
        <f aca="false">EB$42+EC$37-(EC$40-EC$34)</f>
        <v>0</v>
      </c>
      <c r="ED41" s="13" t="n">
        <f aca="false">EC$42+ED$37-(ED$40-ED$34)</f>
        <v>0</v>
      </c>
      <c r="EE41" s="13" t="n">
        <f aca="false">ED$42+EE$37-(EE$40-EE$34)</f>
        <v>0</v>
      </c>
      <c r="EF41" s="13" t="n">
        <f aca="false">EE$42+EF$37-(EF$40-EF$34)</f>
        <v>0</v>
      </c>
      <c r="EG41" s="13" t="n">
        <f aca="false">EF$42+EG$37-(EG$40-EG$34)</f>
        <v>0</v>
      </c>
      <c r="EH41" s="13" t="n">
        <f aca="false">EG$42+EH$37-(EH$40-EH$34)</f>
        <v>0</v>
      </c>
      <c r="EI41" s="13" t="n">
        <f aca="false">EH$42+EI$37-(EI$40-EI$34)</f>
        <v>0</v>
      </c>
      <c r="EJ41" s="13" t="n">
        <f aca="false">EI$42+EJ$37-(EJ$40-EJ$34)</f>
        <v>0</v>
      </c>
      <c r="EK41" s="13" t="n">
        <f aca="false">EJ$42+EK$37-(EK$40-EK$34)</f>
        <v>0</v>
      </c>
      <c r="EL41" s="13" t="n">
        <f aca="false">EK$42+EL$37-(EL$40-EL$34)</f>
        <v>0</v>
      </c>
      <c r="EM41" s="13" t="n">
        <f aca="false">EL$42+EM$37-(EM$40-EM$34)</f>
        <v>0</v>
      </c>
      <c r="EN41" s="13" t="n">
        <f aca="false">EM$42+EN$37-(EN$40-EN$34)</f>
        <v>0</v>
      </c>
      <c r="EO41" s="13" t="n">
        <f aca="false">EN$42+EO$37-(EO$40-EO$34)</f>
        <v>0</v>
      </c>
      <c r="EP41" s="13" t="n">
        <f aca="false">EO$42+EP$37-(EP$40-EP$34)</f>
        <v>0</v>
      </c>
      <c r="EQ41" s="13" t="n">
        <f aca="false">EP$42+EQ$37-(EQ$40-EQ$34)</f>
        <v>0</v>
      </c>
      <c r="ER41" s="13" t="n">
        <f aca="false">EQ$42+ER$37-(ER$40-ER$34)</f>
        <v>0</v>
      </c>
      <c r="ES41" s="13" t="n">
        <f aca="false">ER$42+ES$37-(ES$40-ES$34)</f>
        <v>0</v>
      </c>
      <c r="ET41" s="13" t="n">
        <f aca="false">ES$42+ET$37-(ET$40-ET$34)</f>
        <v>0</v>
      </c>
      <c r="EU41" s="13" t="n">
        <f aca="false">ET$42+EU$37-(EU$40-EU$34)</f>
        <v>0</v>
      </c>
      <c r="EV41" s="13" t="n">
        <f aca="false">EU$42+EV$37-(EV$40-EV$34)</f>
        <v>0</v>
      </c>
      <c r="EW41" s="13" t="n">
        <f aca="false">EV$42+EW$37-(EW$40-EW$34)</f>
        <v>0</v>
      </c>
      <c r="EX41" s="13" t="n">
        <f aca="false">EW$42+EX$37-(EX$40-EX$34)</f>
        <v>0</v>
      </c>
      <c r="EY41" s="13" t="n">
        <f aca="false">EX$42+EY$37-(EY$40-EY$34)</f>
        <v>0</v>
      </c>
      <c r="EZ41" s="13" t="n">
        <f aca="false">EY$42+EZ$37-(EZ$40-EZ$34)</f>
        <v>0</v>
      </c>
      <c r="FA41" s="13" t="n">
        <f aca="false">EZ$42+FA$37-(FA$40-FA$34)</f>
        <v>0</v>
      </c>
      <c r="FB41" s="13" t="n">
        <f aca="false">FA$42+FB$37-(FB$40-FB$34)</f>
        <v>0</v>
      </c>
      <c r="FC41" s="13" t="n">
        <f aca="false">FB$42+FC$37-(FC$40-FC$34)</f>
        <v>0</v>
      </c>
      <c r="FD41" s="13" t="n">
        <f aca="false">FC$42+FD$37-(FD$40-FD$34)</f>
        <v>0</v>
      </c>
      <c r="FE41" s="13" t="n">
        <f aca="false">FD$42+FE$37-(FE$40-FE$34)</f>
        <v>0</v>
      </c>
      <c r="FF41" s="13" t="n">
        <f aca="false">FE$42+FF$37-(FF$40-FF$34)</f>
        <v>0</v>
      </c>
    </row>
    <row r="42" customFormat="false" ht="15" hidden="false" customHeight="false" outlineLevel="0" collapsed="false">
      <c r="A42" s="2" t="s">
        <v>1342</v>
      </c>
      <c r="B42" s="66" t="s">
        <v>1343</v>
      </c>
      <c r="C42" s="8" t="s">
        <v>255</v>
      </c>
      <c r="E42" s="67" t="n">
        <f aca="false">INDEX($F42:$FF42,1,p_MesFin+1)</f>
        <v>0</v>
      </c>
      <c r="F42" s="12" t="n">
        <f aca="false">IF(AND(0=p_MesCorte,ISNUMBER(r_S_PROVMAT)),r_S_PROVMAT,F$41)</f>
        <v>0</v>
      </c>
      <c r="G42" s="12" t="n">
        <f aca="false">IF(AND(1=p_MesCorte,ISNUMBER(r_S_PROVMAT)),r_S_PROVMAT,G$41)</f>
        <v>0</v>
      </c>
      <c r="H42" s="12" t="n">
        <f aca="false">IF(AND(2=p_MesCorte,ISNUMBER(r_S_PROVMAT)),r_S_PROVMAT,H$41)</f>
        <v>0</v>
      </c>
      <c r="I42" s="12" t="n">
        <f aca="false">IF(AND(3=p_MesCorte,ISNUMBER(r_S_PROVMAT)),r_S_PROVMAT,I$41)</f>
        <v>0</v>
      </c>
      <c r="J42" s="12" t="n">
        <f aca="false">IF(AND(4=p_MesCorte,ISNUMBER(r_S_PROVMAT)),r_S_PROVMAT,J$41)</f>
        <v>0</v>
      </c>
      <c r="K42" s="12" t="n">
        <f aca="false">IF(AND(5=p_MesCorte,ISNUMBER(r_S_PROVMAT)),r_S_PROVMAT,K$41)</f>
        <v>0</v>
      </c>
      <c r="L42" s="12" t="n">
        <f aca="false">IF(AND(6=p_MesCorte,ISNUMBER(r_S_PROVMAT)),r_S_PROVMAT,L$41)</f>
        <v>0</v>
      </c>
      <c r="M42" s="12" t="n">
        <f aca="false">IF(AND(7=p_MesCorte,ISNUMBER(r_S_PROVMAT)),r_S_PROVMAT,M$41)</f>
        <v>0</v>
      </c>
      <c r="N42" s="12" t="n">
        <f aca="false">IF(AND(8=p_MesCorte,ISNUMBER(r_S_PROVMAT)),r_S_PROVMAT,N$41)</f>
        <v>0</v>
      </c>
      <c r="O42" s="12" t="n">
        <f aca="false">IF(AND(9=p_MesCorte,ISNUMBER(r_S_PROVMAT)),r_S_PROVMAT,O$41)</f>
        <v>0</v>
      </c>
      <c r="P42" s="12" t="n">
        <f aca="false">IF(AND(10=p_MesCorte,ISNUMBER(r_S_PROVMAT)),r_S_PROVMAT,P$41)</f>
        <v>0</v>
      </c>
      <c r="Q42" s="12" t="n">
        <f aca="false">IF(AND(11=p_MesCorte,ISNUMBER(r_S_PROVMAT)),r_S_PROVMAT,Q$41)</f>
        <v>0</v>
      </c>
      <c r="R42" s="12" t="n">
        <f aca="false">IF(AND(12=p_MesCorte,ISNUMBER(r_S_PROVMAT)),r_S_PROVMAT,R$41)</f>
        <v>0</v>
      </c>
      <c r="S42" s="12" t="n">
        <f aca="false">IF(AND(13=p_MesCorte,ISNUMBER(r_S_PROVMAT)),r_S_PROVMAT,S$41)</f>
        <v>0</v>
      </c>
      <c r="T42" s="12" t="n">
        <f aca="false">IF(AND(14=p_MesCorte,ISNUMBER(r_S_PROVMAT)),r_S_PROVMAT,T$41)</f>
        <v>0</v>
      </c>
      <c r="U42" s="12" t="n">
        <f aca="false">IF(AND(15=p_MesCorte,ISNUMBER(r_S_PROVMAT)),r_S_PROVMAT,U$41)</f>
        <v>0</v>
      </c>
      <c r="V42" s="12" t="n">
        <f aca="false">IF(AND(16=p_MesCorte,ISNUMBER(r_S_PROVMAT)),r_S_PROVMAT,V$41)</f>
        <v>0</v>
      </c>
      <c r="W42" s="12" t="n">
        <f aca="false">IF(AND(17=p_MesCorte,ISNUMBER(r_S_PROVMAT)),r_S_PROVMAT,W$41)</f>
        <v>0</v>
      </c>
      <c r="X42" s="12" t="n">
        <f aca="false">IF(AND(18=p_MesCorte,ISNUMBER(r_S_PROVMAT)),r_S_PROVMAT,X$41)</f>
        <v>0</v>
      </c>
      <c r="Y42" s="12" t="n">
        <f aca="false">IF(AND(19=p_MesCorte,ISNUMBER(r_S_PROVMAT)),r_S_PROVMAT,Y$41)</f>
        <v>0</v>
      </c>
      <c r="Z42" s="12" t="n">
        <f aca="false">IF(AND(20=p_MesCorte,ISNUMBER(r_S_PROVMAT)),r_S_PROVMAT,Z$41)</f>
        <v>0</v>
      </c>
      <c r="AA42" s="12" t="n">
        <f aca="false">IF(AND(21=p_MesCorte,ISNUMBER(r_S_PROVMAT)),r_S_PROVMAT,AA$41)</f>
        <v>0</v>
      </c>
      <c r="AB42" s="12" t="n">
        <f aca="false">IF(AND(22=p_MesCorte,ISNUMBER(r_S_PROVMAT)),r_S_PROVMAT,AB$41)</f>
        <v>0</v>
      </c>
      <c r="AC42" s="12" t="n">
        <f aca="false">IF(AND(23=p_MesCorte,ISNUMBER(r_S_PROVMAT)),r_S_PROVMAT,AC$41)</f>
        <v>0</v>
      </c>
      <c r="AD42" s="12" t="n">
        <f aca="false">IF(AND(24=p_MesCorte,ISNUMBER(r_S_PROVMAT)),r_S_PROVMAT,AD$41)</f>
        <v>0</v>
      </c>
      <c r="AE42" s="12" t="n">
        <f aca="false">IF(AND(25=p_MesCorte,ISNUMBER(r_S_PROVMAT)),r_S_PROVMAT,AE$41)</f>
        <v>0</v>
      </c>
      <c r="AF42" s="12" t="n">
        <f aca="false">IF(AND(26=p_MesCorte,ISNUMBER(r_S_PROVMAT)),r_S_PROVMAT,AF$41)</f>
        <v>0</v>
      </c>
      <c r="AG42" s="12" t="n">
        <f aca="false">IF(AND(27=p_MesCorte,ISNUMBER(r_S_PROVMAT)),r_S_PROVMAT,AG$41)</f>
        <v>0</v>
      </c>
      <c r="AH42" s="12" t="n">
        <f aca="false">IF(AND(28=p_MesCorte,ISNUMBER(r_S_PROVMAT)),r_S_PROVMAT,AH$41)</f>
        <v>0</v>
      </c>
      <c r="AI42" s="12" t="n">
        <f aca="false">IF(AND(29=p_MesCorte,ISNUMBER(r_S_PROVMAT)),r_S_PROVMAT,AI$41)</f>
        <v>0</v>
      </c>
      <c r="AJ42" s="12" t="n">
        <f aca="false">IF(AND(30=p_MesCorte,ISNUMBER(r_S_PROVMAT)),r_S_PROVMAT,AJ$41)</f>
        <v>0</v>
      </c>
      <c r="AK42" s="12" t="n">
        <f aca="false">IF(AND(31=p_MesCorte,ISNUMBER(r_S_PROVMAT)),r_S_PROVMAT,AK$41)</f>
        <v>0</v>
      </c>
      <c r="AL42" s="12" t="n">
        <f aca="false">IF(AND(32=p_MesCorte,ISNUMBER(r_S_PROVMAT)),r_S_PROVMAT,AL$41)</f>
        <v>0</v>
      </c>
      <c r="AM42" s="12" t="n">
        <f aca="false">IF(AND(33=p_MesCorte,ISNUMBER(r_S_PROVMAT)),r_S_PROVMAT,AM$41)</f>
        <v>0</v>
      </c>
      <c r="AN42" s="12" t="n">
        <f aca="false">IF(AND(34=p_MesCorte,ISNUMBER(r_S_PROVMAT)),r_S_PROVMAT,AN$41)</f>
        <v>0</v>
      </c>
      <c r="AO42" s="12" t="n">
        <f aca="false">IF(AND(35=p_MesCorte,ISNUMBER(r_S_PROVMAT)),r_S_PROVMAT,AO$41)</f>
        <v>0</v>
      </c>
      <c r="AP42" s="12" t="n">
        <f aca="false">IF(AND(36=p_MesCorte,ISNUMBER(r_S_PROVMAT)),r_S_PROVMAT,AP$41)</f>
        <v>0</v>
      </c>
      <c r="AQ42" s="12" t="n">
        <f aca="false">IF(AND(37=p_MesCorte,ISNUMBER(r_S_PROVMAT)),r_S_PROVMAT,AQ$41)</f>
        <v>0</v>
      </c>
      <c r="AR42" s="12" t="n">
        <f aca="false">IF(AND(38=p_MesCorte,ISNUMBER(r_S_PROVMAT)),r_S_PROVMAT,AR$41)</f>
        <v>0</v>
      </c>
      <c r="AS42" s="12" t="n">
        <f aca="false">IF(AND(39=p_MesCorte,ISNUMBER(r_S_PROVMAT)),r_S_PROVMAT,AS$41)</f>
        <v>0</v>
      </c>
      <c r="AT42" s="12" t="n">
        <f aca="false">IF(AND(40=p_MesCorte,ISNUMBER(r_S_PROVMAT)),r_S_PROVMAT,AT$41)</f>
        <v>0</v>
      </c>
      <c r="AU42" s="12" t="n">
        <f aca="false">IF(AND(41=p_MesCorte,ISNUMBER(r_S_PROVMAT)),r_S_PROVMAT,AU$41)</f>
        <v>0</v>
      </c>
      <c r="AV42" s="12" t="n">
        <f aca="false">IF(AND(42=p_MesCorte,ISNUMBER(r_S_PROVMAT)),r_S_PROVMAT,AV$41)</f>
        <v>0</v>
      </c>
      <c r="AW42" s="12" t="n">
        <f aca="false">IF(AND(43=p_MesCorte,ISNUMBER(r_S_PROVMAT)),r_S_PROVMAT,AW$41)</f>
        <v>0</v>
      </c>
      <c r="AX42" s="12" t="n">
        <f aca="false">IF(AND(44=p_MesCorte,ISNUMBER(r_S_PROVMAT)),r_S_PROVMAT,AX$41)</f>
        <v>0</v>
      </c>
      <c r="AY42" s="12" t="n">
        <f aca="false">IF(AND(45=p_MesCorte,ISNUMBER(r_S_PROVMAT)),r_S_PROVMAT,AY$41)</f>
        <v>0</v>
      </c>
      <c r="AZ42" s="12" t="n">
        <f aca="false">IF(AND(46=p_MesCorte,ISNUMBER(r_S_PROVMAT)),r_S_PROVMAT,AZ$41)</f>
        <v>0</v>
      </c>
      <c r="BA42" s="12" t="n">
        <f aca="false">IF(AND(47=p_MesCorte,ISNUMBER(r_S_PROVMAT)),r_S_PROVMAT,BA$41)</f>
        <v>0</v>
      </c>
      <c r="BB42" s="12" t="n">
        <f aca="false">IF(AND(48=p_MesCorte,ISNUMBER(r_S_PROVMAT)),r_S_PROVMAT,BB$41)</f>
        <v>0</v>
      </c>
      <c r="BC42" s="12" t="n">
        <f aca="false">IF(AND(49=p_MesCorte,ISNUMBER(r_S_PROVMAT)),r_S_PROVMAT,BC$41)</f>
        <v>0</v>
      </c>
      <c r="BD42" s="12" t="n">
        <f aca="false">IF(AND(50=p_MesCorte,ISNUMBER(r_S_PROVMAT)),r_S_PROVMAT,BD$41)</f>
        <v>0</v>
      </c>
      <c r="BE42" s="12" t="n">
        <f aca="false">IF(AND(51=p_MesCorte,ISNUMBER(r_S_PROVMAT)),r_S_PROVMAT,BE$41)</f>
        <v>0</v>
      </c>
      <c r="BF42" s="12" t="n">
        <f aca="false">IF(AND(52=p_MesCorte,ISNUMBER(r_S_PROVMAT)),r_S_PROVMAT,BF$41)</f>
        <v>0</v>
      </c>
      <c r="BG42" s="12" t="n">
        <f aca="false">IF(AND(53=p_MesCorte,ISNUMBER(r_S_PROVMAT)),r_S_PROVMAT,BG$41)</f>
        <v>0</v>
      </c>
      <c r="BH42" s="12" t="n">
        <f aca="false">IF(AND(54=p_MesCorte,ISNUMBER(r_S_PROVMAT)),r_S_PROVMAT,BH$41)</f>
        <v>0</v>
      </c>
      <c r="BI42" s="12" t="n">
        <f aca="false">IF(AND(55=p_MesCorte,ISNUMBER(r_S_PROVMAT)),r_S_PROVMAT,BI$41)</f>
        <v>0</v>
      </c>
      <c r="BJ42" s="12" t="n">
        <f aca="false">IF(AND(56=p_MesCorte,ISNUMBER(r_S_PROVMAT)),r_S_PROVMAT,BJ$41)</f>
        <v>0</v>
      </c>
      <c r="BK42" s="12" t="n">
        <f aca="false">IF(AND(57=p_MesCorte,ISNUMBER(r_S_PROVMAT)),r_S_PROVMAT,BK$41)</f>
        <v>0</v>
      </c>
      <c r="BL42" s="12" t="n">
        <f aca="false">IF(AND(58=p_MesCorte,ISNUMBER(r_S_PROVMAT)),r_S_PROVMAT,BL$41)</f>
        <v>0</v>
      </c>
      <c r="BM42" s="12" t="n">
        <f aca="false">IF(AND(59=p_MesCorte,ISNUMBER(r_S_PROVMAT)),r_S_PROVMAT,BM$41)</f>
        <v>0</v>
      </c>
      <c r="BN42" s="12" t="n">
        <f aca="false">IF(AND(60=p_MesCorte,ISNUMBER(r_S_PROVMAT)),r_S_PROVMAT,BN$41)</f>
        <v>0</v>
      </c>
      <c r="BO42" s="12" t="n">
        <f aca="false">IF(AND(61=p_MesCorte,ISNUMBER(r_S_PROVMAT)),r_S_PROVMAT,BO$41)</f>
        <v>0</v>
      </c>
      <c r="BP42" s="12" t="n">
        <f aca="false">IF(AND(62=p_MesCorte,ISNUMBER(r_S_PROVMAT)),r_S_PROVMAT,BP$41)</f>
        <v>0</v>
      </c>
      <c r="BQ42" s="12" t="n">
        <f aca="false">IF(AND(63=p_MesCorte,ISNUMBER(r_S_PROVMAT)),r_S_PROVMAT,BQ$41)</f>
        <v>0</v>
      </c>
      <c r="BR42" s="12" t="n">
        <f aca="false">IF(AND(64=p_MesCorte,ISNUMBER(r_S_PROVMAT)),r_S_PROVMAT,BR$41)</f>
        <v>0</v>
      </c>
      <c r="BS42" s="12" t="n">
        <f aca="false">IF(AND(65=p_MesCorte,ISNUMBER(r_S_PROVMAT)),r_S_PROVMAT,BS$41)</f>
        <v>0</v>
      </c>
      <c r="BT42" s="12" t="n">
        <f aca="false">IF(AND(66=p_MesCorte,ISNUMBER(r_S_PROVMAT)),r_S_PROVMAT,BT$41)</f>
        <v>0</v>
      </c>
      <c r="BU42" s="12" t="n">
        <f aca="false">IF(AND(67=p_MesCorte,ISNUMBER(r_S_PROVMAT)),r_S_PROVMAT,BU$41)</f>
        <v>0</v>
      </c>
      <c r="BV42" s="12" t="n">
        <f aca="false">IF(AND(68=p_MesCorte,ISNUMBER(r_S_PROVMAT)),r_S_PROVMAT,BV$41)</f>
        <v>0</v>
      </c>
      <c r="BW42" s="12" t="n">
        <f aca="false">IF(AND(69=p_MesCorte,ISNUMBER(r_S_PROVMAT)),r_S_PROVMAT,BW$41)</f>
        <v>0</v>
      </c>
      <c r="BX42" s="12" t="n">
        <f aca="false">IF(AND(70=p_MesCorte,ISNUMBER(r_S_PROVMAT)),r_S_PROVMAT,BX$41)</f>
        <v>0</v>
      </c>
      <c r="BY42" s="12" t="n">
        <f aca="false">IF(AND(71=p_MesCorte,ISNUMBER(r_S_PROVMAT)),r_S_PROVMAT,BY$41)</f>
        <v>0</v>
      </c>
      <c r="BZ42" s="12" t="n">
        <f aca="false">IF(AND(72=p_MesCorte,ISNUMBER(r_S_PROVMAT)),r_S_PROVMAT,BZ$41)</f>
        <v>0</v>
      </c>
      <c r="CA42" s="12" t="n">
        <f aca="false">IF(AND(73=p_MesCorte,ISNUMBER(r_S_PROVMAT)),r_S_PROVMAT,CA$41)</f>
        <v>0</v>
      </c>
      <c r="CB42" s="12" t="n">
        <f aca="false">IF(AND(74=p_MesCorte,ISNUMBER(r_S_PROVMAT)),r_S_PROVMAT,CB$41)</f>
        <v>0</v>
      </c>
      <c r="CC42" s="12" t="n">
        <f aca="false">IF(AND(75=p_MesCorte,ISNUMBER(r_S_PROVMAT)),r_S_PROVMAT,CC$41)</f>
        <v>0</v>
      </c>
      <c r="CD42" s="12" t="n">
        <f aca="false">IF(AND(76=p_MesCorte,ISNUMBER(r_S_PROVMAT)),r_S_PROVMAT,CD$41)</f>
        <v>0</v>
      </c>
      <c r="CE42" s="12" t="n">
        <f aca="false">IF(AND(77=p_MesCorte,ISNUMBER(r_S_PROVMAT)),r_S_PROVMAT,CE$41)</f>
        <v>0</v>
      </c>
      <c r="CF42" s="12" t="n">
        <f aca="false">IF(AND(78=p_MesCorte,ISNUMBER(r_S_PROVMAT)),r_S_PROVMAT,CF$41)</f>
        <v>0</v>
      </c>
      <c r="CG42" s="12" t="n">
        <f aca="false">IF(AND(79=p_MesCorte,ISNUMBER(r_S_PROVMAT)),r_S_PROVMAT,CG$41)</f>
        <v>0</v>
      </c>
      <c r="CH42" s="12" t="n">
        <f aca="false">IF(AND(80=p_MesCorte,ISNUMBER(r_S_PROVMAT)),r_S_PROVMAT,CH$41)</f>
        <v>0</v>
      </c>
      <c r="CI42" s="12" t="n">
        <f aca="false">IF(AND(81=p_MesCorte,ISNUMBER(r_S_PROVMAT)),r_S_PROVMAT,CI$41)</f>
        <v>0</v>
      </c>
      <c r="CJ42" s="12" t="n">
        <f aca="false">IF(AND(82=p_MesCorte,ISNUMBER(r_S_PROVMAT)),r_S_PROVMAT,CJ$41)</f>
        <v>0</v>
      </c>
      <c r="CK42" s="12" t="n">
        <f aca="false">IF(AND(83=p_MesCorte,ISNUMBER(r_S_PROVMAT)),r_S_PROVMAT,CK$41)</f>
        <v>0</v>
      </c>
      <c r="CL42" s="12" t="n">
        <f aca="false">IF(AND(84=p_MesCorte,ISNUMBER(r_S_PROVMAT)),r_S_PROVMAT,CL$41)</f>
        <v>0</v>
      </c>
      <c r="CM42" s="12" t="n">
        <f aca="false">IF(AND(85=p_MesCorte,ISNUMBER(r_S_PROVMAT)),r_S_PROVMAT,CM$41)</f>
        <v>0</v>
      </c>
      <c r="CN42" s="12" t="n">
        <f aca="false">IF(AND(86=p_MesCorte,ISNUMBER(r_S_PROVMAT)),r_S_PROVMAT,CN$41)</f>
        <v>0</v>
      </c>
      <c r="CO42" s="12" t="n">
        <f aca="false">IF(AND(87=p_MesCorte,ISNUMBER(r_S_PROVMAT)),r_S_PROVMAT,CO$41)</f>
        <v>0</v>
      </c>
      <c r="CP42" s="12" t="n">
        <f aca="false">IF(AND(88=p_MesCorte,ISNUMBER(r_S_PROVMAT)),r_S_PROVMAT,CP$41)</f>
        <v>0</v>
      </c>
      <c r="CQ42" s="12" t="n">
        <f aca="false">IF(AND(89=p_MesCorte,ISNUMBER(r_S_PROVMAT)),r_S_PROVMAT,CQ$41)</f>
        <v>0</v>
      </c>
      <c r="CR42" s="12" t="n">
        <f aca="false">IF(AND(90=p_MesCorte,ISNUMBER(r_S_PROVMAT)),r_S_PROVMAT,CR$41)</f>
        <v>0</v>
      </c>
      <c r="CS42" s="12" t="n">
        <f aca="false">IF(AND(91=p_MesCorte,ISNUMBER(r_S_PROVMAT)),r_S_PROVMAT,CS$41)</f>
        <v>0</v>
      </c>
      <c r="CT42" s="12" t="n">
        <f aca="false">IF(AND(92=p_MesCorte,ISNUMBER(r_S_PROVMAT)),r_S_PROVMAT,CT$41)</f>
        <v>0</v>
      </c>
      <c r="CU42" s="12" t="n">
        <f aca="false">IF(AND(93=p_MesCorte,ISNUMBER(r_S_PROVMAT)),r_S_PROVMAT,CU$41)</f>
        <v>0</v>
      </c>
      <c r="CV42" s="12" t="n">
        <f aca="false">IF(AND(94=p_MesCorte,ISNUMBER(r_S_PROVMAT)),r_S_PROVMAT,CV$41)</f>
        <v>0</v>
      </c>
      <c r="CW42" s="12" t="n">
        <f aca="false">IF(AND(95=p_MesCorte,ISNUMBER(r_S_PROVMAT)),r_S_PROVMAT,CW$41)</f>
        <v>0</v>
      </c>
      <c r="CX42" s="12" t="n">
        <f aca="false">IF(AND(96=p_MesCorte,ISNUMBER(r_S_PROVMAT)),r_S_PROVMAT,CX$41)</f>
        <v>0</v>
      </c>
      <c r="CY42" s="12" t="n">
        <f aca="false">IF(AND(97=p_MesCorte,ISNUMBER(r_S_PROVMAT)),r_S_PROVMAT,CY$41)</f>
        <v>0</v>
      </c>
      <c r="CZ42" s="12" t="n">
        <f aca="false">IF(AND(98=p_MesCorte,ISNUMBER(r_S_PROVMAT)),r_S_PROVMAT,CZ$41)</f>
        <v>0</v>
      </c>
      <c r="DA42" s="12" t="n">
        <f aca="false">IF(AND(99=p_MesCorte,ISNUMBER(r_S_PROVMAT)),r_S_PROVMAT,DA$41)</f>
        <v>0</v>
      </c>
      <c r="DB42" s="12" t="n">
        <f aca="false">IF(AND(100=p_MesCorte,ISNUMBER(r_S_PROVMAT)),r_S_PROVMAT,DB$41)</f>
        <v>0</v>
      </c>
      <c r="DC42" s="12" t="n">
        <f aca="false">IF(AND(101=p_MesCorte,ISNUMBER(r_S_PROVMAT)),r_S_PROVMAT,DC$41)</f>
        <v>0</v>
      </c>
      <c r="DD42" s="12" t="n">
        <f aca="false">IF(AND(102=p_MesCorte,ISNUMBER(r_S_PROVMAT)),r_S_PROVMAT,DD$41)</f>
        <v>0</v>
      </c>
      <c r="DE42" s="12" t="n">
        <f aca="false">IF(AND(103=p_MesCorte,ISNUMBER(r_S_PROVMAT)),r_S_PROVMAT,DE$41)</f>
        <v>0</v>
      </c>
      <c r="DF42" s="12" t="n">
        <f aca="false">IF(AND(104=p_MesCorte,ISNUMBER(r_S_PROVMAT)),r_S_PROVMAT,DF$41)</f>
        <v>0</v>
      </c>
      <c r="DG42" s="12" t="n">
        <f aca="false">IF(AND(105=p_MesCorte,ISNUMBER(r_S_PROVMAT)),r_S_PROVMAT,DG$41)</f>
        <v>0</v>
      </c>
      <c r="DH42" s="12" t="n">
        <f aca="false">IF(AND(106=p_MesCorte,ISNUMBER(r_S_PROVMAT)),r_S_PROVMAT,DH$41)</f>
        <v>0</v>
      </c>
      <c r="DI42" s="12" t="n">
        <f aca="false">IF(AND(107=p_MesCorte,ISNUMBER(r_S_PROVMAT)),r_S_PROVMAT,DI$41)</f>
        <v>0</v>
      </c>
      <c r="DJ42" s="12" t="n">
        <f aca="false">IF(AND(108=p_MesCorte,ISNUMBER(r_S_PROVMAT)),r_S_PROVMAT,DJ$41)</f>
        <v>0</v>
      </c>
      <c r="DK42" s="12" t="n">
        <f aca="false">IF(AND(109=p_MesCorte,ISNUMBER(r_S_PROVMAT)),r_S_PROVMAT,DK$41)</f>
        <v>0</v>
      </c>
      <c r="DL42" s="12" t="n">
        <f aca="false">IF(AND(110=p_MesCorte,ISNUMBER(r_S_PROVMAT)),r_S_PROVMAT,DL$41)</f>
        <v>0</v>
      </c>
      <c r="DM42" s="12" t="n">
        <f aca="false">IF(AND(111=p_MesCorte,ISNUMBER(r_S_PROVMAT)),r_S_PROVMAT,DM$41)</f>
        <v>0</v>
      </c>
      <c r="DN42" s="12" t="n">
        <f aca="false">IF(AND(112=p_MesCorte,ISNUMBER(r_S_PROVMAT)),r_S_PROVMAT,DN$41)</f>
        <v>0</v>
      </c>
      <c r="DO42" s="12" t="n">
        <f aca="false">IF(AND(113=p_MesCorte,ISNUMBER(r_S_PROVMAT)),r_S_PROVMAT,DO$41)</f>
        <v>0</v>
      </c>
      <c r="DP42" s="12" t="n">
        <f aca="false">IF(AND(114=p_MesCorte,ISNUMBER(r_S_PROVMAT)),r_S_PROVMAT,DP$41)</f>
        <v>0</v>
      </c>
      <c r="DQ42" s="12" t="n">
        <f aca="false">IF(AND(115=p_MesCorte,ISNUMBER(r_S_PROVMAT)),r_S_PROVMAT,DQ$41)</f>
        <v>0</v>
      </c>
      <c r="DR42" s="12" t="n">
        <f aca="false">IF(AND(116=p_MesCorte,ISNUMBER(r_S_PROVMAT)),r_S_PROVMAT,DR$41)</f>
        <v>0</v>
      </c>
      <c r="DS42" s="12" t="n">
        <f aca="false">IF(AND(117=p_MesCorte,ISNUMBER(r_S_PROVMAT)),r_S_PROVMAT,DS$41)</f>
        <v>0</v>
      </c>
      <c r="DT42" s="12" t="n">
        <f aca="false">IF(AND(118=p_MesCorte,ISNUMBER(r_S_PROVMAT)),r_S_PROVMAT,DT$41)</f>
        <v>0</v>
      </c>
      <c r="DU42" s="12" t="n">
        <f aca="false">IF(AND(119=p_MesCorte,ISNUMBER(r_S_PROVMAT)),r_S_PROVMAT,DU$41)</f>
        <v>0</v>
      </c>
      <c r="DV42" s="12" t="n">
        <f aca="false">IF(AND(120=p_MesCorte,ISNUMBER(r_S_PROVMAT)),r_S_PROVMAT,DV$41)</f>
        <v>0</v>
      </c>
      <c r="DW42" s="12" t="n">
        <f aca="false">IF(AND(121=p_MesCorte,ISNUMBER(r_S_PROVMAT)),r_S_PROVMAT,DW$41)</f>
        <v>0</v>
      </c>
      <c r="DX42" s="12" t="n">
        <f aca="false">IF(AND(122=p_MesCorte,ISNUMBER(r_S_PROVMAT)),r_S_PROVMAT,DX$41)</f>
        <v>0</v>
      </c>
      <c r="DY42" s="12" t="n">
        <f aca="false">IF(AND(123=p_MesCorte,ISNUMBER(r_S_PROVMAT)),r_S_PROVMAT,DY$41)</f>
        <v>0</v>
      </c>
      <c r="DZ42" s="12" t="n">
        <f aca="false">IF(AND(124=p_MesCorte,ISNUMBER(r_S_PROVMAT)),r_S_PROVMAT,DZ$41)</f>
        <v>0</v>
      </c>
      <c r="EA42" s="12" t="n">
        <f aca="false">IF(AND(125=p_MesCorte,ISNUMBER(r_S_PROVMAT)),r_S_PROVMAT,EA$41)</f>
        <v>0</v>
      </c>
      <c r="EB42" s="12" t="n">
        <f aca="false">IF(AND(126=p_MesCorte,ISNUMBER(r_S_PROVMAT)),r_S_PROVMAT,EB$41)</f>
        <v>0</v>
      </c>
      <c r="EC42" s="12" t="n">
        <f aca="false">IF(AND(127=p_MesCorte,ISNUMBER(r_S_PROVMAT)),r_S_PROVMAT,EC$41)</f>
        <v>0</v>
      </c>
      <c r="ED42" s="12" t="n">
        <f aca="false">IF(AND(128=p_MesCorte,ISNUMBER(r_S_PROVMAT)),r_S_PROVMAT,ED$41)</f>
        <v>0</v>
      </c>
      <c r="EE42" s="12" t="n">
        <f aca="false">IF(AND(129=p_MesCorte,ISNUMBER(r_S_PROVMAT)),r_S_PROVMAT,EE$41)</f>
        <v>0</v>
      </c>
      <c r="EF42" s="12" t="n">
        <f aca="false">IF(AND(130=p_MesCorte,ISNUMBER(r_S_PROVMAT)),r_S_PROVMAT,EF$41)</f>
        <v>0</v>
      </c>
      <c r="EG42" s="12" t="n">
        <f aca="false">IF(AND(131=p_MesCorte,ISNUMBER(r_S_PROVMAT)),r_S_PROVMAT,EG$41)</f>
        <v>0</v>
      </c>
      <c r="EH42" s="12" t="n">
        <f aca="false">IF(AND(132=p_MesCorte,ISNUMBER(r_S_PROVMAT)),r_S_PROVMAT,EH$41)</f>
        <v>0</v>
      </c>
      <c r="EI42" s="12" t="n">
        <f aca="false">IF(AND(133=p_MesCorte,ISNUMBER(r_S_PROVMAT)),r_S_PROVMAT,EI$41)</f>
        <v>0</v>
      </c>
      <c r="EJ42" s="12" t="n">
        <f aca="false">IF(AND(134=p_MesCorte,ISNUMBER(r_S_PROVMAT)),r_S_PROVMAT,EJ$41)</f>
        <v>0</v>
      </c>
      <c r="EK42" s="12" t="n">
        <f aca="false">IF(AND(135=p_MesCorte,ISNUMBER(r_S_PROVMAT)),r_S_PROVMAT,EK$41)</f>
        <v>0</v>
      </c>
      <c r="EL42" s="12" t="n">
        <f aca="false">IF(AND(136=p_MesCorte,ISNUMBER(r_S_PROVMAT)),r_S_PROVMAT,EL$41)</f>
        <v>0</v>
      </c>
      <c r="EM42" s="12" t="n">
        <f aca="false">IF(AND(137=p_MesCorte,ISNUMBER(r_S_PROVMAT)),r_S_PROVMAT,EM$41)</f>
        <v>0</v>
      </c>
      <c r="EN42" s="12" t="n">
        <f aca="false">IF(AND(138=p_MesCorte,ISNUMBER(r_S_PROVMAT)),r_S_PROVMAT,EN$41)</f>
        <v>0</v>
      </c>
      <c r="EO42" s="12" t="n">
        <f aca="false">IF(AND(139=p_MesCorte,ISNUMBER(r_S_PROVMAT)),r_S_PROVMAT,EO$41)</f>
        <v>0</v>
      </c>
      <c r="EP42" s="12" t="n">
        <f aca="false">IF(AND(140=p_MesCorte,ISNUMBER(r_S_PROVMAT)),r_S_PROVMAT,EP$41)</f>
        <v>0</v>
      </c>
      <c r="EQ42" s="12" t="n">
        <f aca="false">IF(AND(141=p_MesCorte,ISNUMBER(r_S_PROVMAT)),r_S_PROVMAT,EQ$41)</f>
        <v>0</v>
      </c>
      <c r="ER42" s="12" t="n">
        <f aca="false">IF(AND(142=p_MesCorte,ISNUMBER(r_S_PROVMAT)),r_S_PROVMAT,ER$41)</f>
        <v>0</v>
      </c>
      <c r="ES42" s="12" t="n">
        <f aca="false">IF(AND(143=p_MesCorte,ISNUMBER(r_S_PROVMAT)),r_S_PROVMAT,ES$41)</f>
        <v>0</v>
      </c>
      <c r="ET42" s="12" t="n">
        <f aca="false">IF(AND(144=p_MesCorte,ISNUMBER(r_S_PROVMAT)),r_S_PROVMAT,ET$41)</f>
        <v>0</v>
      </c>
      <c r="EU42" s="12" t="n">
        <f aca="false">IF(AND(145=p_MesCorte,ISNUMBER(r_S_PROVMAT)),r_S_PROVMAT,EU$41)</f>
        <v>0</v>
      </c>
      <c r="EV42" s="12" t="n">
        <f aca="false">IF(AND(146=p_MesCorte,ISNUMBER(r_S_PROVMAT)),r_S_PROVMAT,EV$41)</f>
        <v>0</v>
      </c>
      <c r="EW42" s="12" t="n">
        <f aca="false">IF(AND(147=p_MesCorte,ISNUMBER(r_S_PROVMAT)),r_S_PROVMAT,EW$41)</f>
        <v>0</v>
      </c>
      <c r="EX42" s="12" t="n">
        <f aca="false">IF(AND(148=p_MesCorte,ISNUMBER(r_S_PROVMAT)),r_S_PROVMAT,EX$41)</f>
        <v>0</v>
      </c>
      <c r="EY42" s="12" t="n">
        <f aca="false">IF(AND(149=p_MesCorte,ISNUMBER(r_S_PROVMAT)),r_S_PROVMAT,EY$41)</f>
        <v>0</v>
      </c>
      <c r="EZ42" s="12" t="n">
        <f aca="false">IF(AND(150=p_MesCorte,ISNUMBER(r_S_PROVMAT)),r_S_PROVMAT,EZ$41)</f>
        <v>0</v>
      </c>
      <c r="FA42" s="12" t="n">
        <f aca="false">IF(AND(151=p_MesCorte,ISNUMBER(r_S_PROVMAT)),r_S_PROVMAT,FA$41)</f>
        <v>0</v>
      </c>
      <c r="FB42" s="12" t="n">
        <f aca="false">IF(AND(152=p_MesCorte,ISNUMBER(r_S_PROVMAT)),r_S_PROVMAT,FB$41)</f>
        <v>0</v>
      </c>
      <c r="FC42" s="12" t="n">
        <f aca="false">IF(AND(153=p_MesCorte,ISNUMBER(r_S_PROVMAT)),r_S_PROVMAT,FC$41)</f>
        <v>0</v>
      </c>
      <c r="FD42" s="12" t="n">
        <f aca="false">IF(AND(154=p_MesCorte,ISNUMBER(r_S_PROVMAT)),r_S_PROVMAT,FD$41)</f>
        <v>0</v>
      </c>
      <c r="FE42" s="12" t="n">
        <f aca="false">IF(AND(155=p_MesCorte,ISNUMBER(r_S_PROVMAT)),r_S_PROVMAT,FE$41)</f>
        <v>0</v>
      </c>
      <c r="FF42" s="12" t="n">
        <f aca="false">IF(AND(156=p_MesCorte,ISNUMBER(r_S_PROVMAT)),r_S_PROVMAT,FF$41)</f>
        <v>0</v>
      </c>
    </row>
    <row r="43" customFormat="false" ht="15" hidden="false" customHeight="false" outlineLevel="0" collapsed="false">
      <c r="A43" s="2" t="s">
        <v>1344</v>
      </c>
      <c r="B43" s="8" t="s">
        <v>1308</v>
      </c>
      <c r="C43" s="8" t="s">
        <v>255</v>
      </c>
      <c r="E43" s="65" t="n">
        <f aca="false">SUM($F43:$FF43)</f>
        <v>0</v>
      </c>
      <c r="F43" s="13" t="n">
        <f aca="false">F$42-F$41</f>
        <v>0</v>
      </c>
      <c r="G43" s="13" t="n">
        <f aca="false">G$42-G$41</f>
        <v>0</v>
      </c>
      <c r="H43" s="13" t="n">
        <f aca="false">H$42-H$41</f>
        <v>0</v>
      </c>
      <c r="I43" s="13" t="n">
        <f aca="false">I$42-I$41</f>
        <v>0</v>
      </c>
      <c r="J43" s="13" t="n">
        <f aca="false">J$42-J$41</f>
        <v>0</v>
      </c>
      <c r="K43" s="13" t="n">
        <f aca="false">K$42-K$41</f>
        <v>0</v>
      </c>
      <c r="L43" s="13" t="n">
        <f aca="false">L$42-L$41</f>
        <v>0</v>
      </c>
      <c r="M43" s="13" t="n">
        <f aca="false">M$42-M$41</f>
        <v>0</v>
      </c>
      <c r="N43" s="13" t="n">
        <f aca="false">N$42-N$41</f>
        <v>0</v>
      </c>
      <c r="O43" s="13" t="n">
        <f aca="false">O$42-O$41</f>
        <v>0</v>
      </c>
      <c r="P43" s="13" t="n">
        <f aca="false">P$42-P$41</f>
        <v>0</v>
      </c>
      <c r="Q43" s="13" t="n">
        <f aca="false">Q$42-Q$41</f>
        <v>0</v>
      </c>
      <c r="R43" s="13" t="n">
        <f aca="false">R$42-R$41</f>
        <v>0</v>
      </c>
      <c r="S43" s="13" t="n">
        <f aca="false">S$42-S$41</f>
        <v>0</v>
      </c>
      <c r="T43" s="13" t="n">
        <f aca="false">T$42-T$41</f>
        <v>0</v>
      </c>
      <c r="U43" s="13" t="n">
        <f aca="false">U$42-U$41</f>
        <v>0</v>
      </c>
      <c r="V43" s="13" t="n">
        <f aca="false">V$42-V$41</f>
        <v>0</v>
      </c>
      <c r="W43" s="13" t="n">
        <f aca="false">W$42-W$41</f>
        <v>0</v>
      </c>
      <c r="X43" s="13" t="n">
        <f aca="false">X$42-X$41</f>
        <v>0</v>
      </c>
      <c r="Y43" s="13" t="n">
        <f aca="false">Y$42-Y$41</f>
        <v>0</v>
      </c>
      <c r="Z43" s="13" t="n">
        <f aca="false">Z$42-Z$41</f>
        <v>0</v>
      </c>
      <c r="AA43" s="13" t="n">
        <f aca="false">AA$42-AA$41</f>
        <v>0</v>
      </c>
      <c r="AB43" s="13" t="n">
        <f aca="false">AB$42-AB$41</f>
        <v>0</v>
      </c>
      <c r="AC43" s="13" t="n">
        <f aca="false">AC$42-AC$41</f>
        <v>0</v>
      </c>
      <c r="AD43" s="13" t="n">
        <f aca="false">AD$42-AD$41</f>
        <v>0</v>
      </c>
      <c r="AE43" s="13" t="n">
        <f aca="false">AE$42-AE$41</f>
        <v>0</v>
      </c>
      <c r="AF43" s="13" t="n">
        <f aca="false">AF$42-AF$41</f>
        <v>0</v>
      </c>
      <c r="AG43" s="13" t="n">
        <f aca="false">AG$42-AG$41</f>
        <v>0</v>
      </c>
      <c r="AH43" s="13" t="n">
        <f aca="false">AH$42-AH$41</f>
        <v>0</v>
      </c>
      <c r="AI43" s="13" t="n">
        <f aca="false">AI$42-AI$41</f>
        <v>0</v>
      </c>
      <c r="AJ43" s="13" t="n">
        <f aca="false">AJ$42-AJ$41</f>
        <v>0</v>
      </c>
      <c r="AK43" s="13" t="n">
        <f aca="false">AK$42-AK$41</f>
        <v>0</v>
      </c>
      <c r="AL43" s="13" t="n">
        <f aca="false">AL$42-AL$41</f>
        <v>0</v>
      </c>
      <c r="AM43" s="13" t="n">
        <f aca="false">AM$42-AM$41</f>
        <v>0</v>
      </c>
      <c r="AN43" s="13" t="n">
        <f aca="false">AN$42-AN$41</f>
        <v>0</v>
      </c>
      <c r="AO43" s="13" t="n">
        <f aca="false">AO$42-AO$41</f>
        <v>0</v>
      </c>
      <c r="AP43" s="13" t="n">
        <f aca="false">AP$42-AP$41</f>
        <v>0</v>
      </c>
      <c r="AQ43" s="13" t="n">
        <f aca="false">AQ$42-AQ$41</f>
        <v>0</v>
      </c>
      <c r="AR43" s="13" t="n">
        <f aca="false">AR$42-AR$41</f>
        <v>0</v>
      </c>
      <c r="AS43" s="13" t="n">
        <f aca="false">AS$42-AS$41</f>
        <v>0</v>
      </c>
      <c r="AT43" s="13" t="n">
        <f aca="false">AT$42-AT$41</f>
        <v>0</v>
      </c>
      <c r="AU43" s="13" t="n">
        <f aca="false">AU$42-AU$41</f>
        <v>0</v>
      </c>
      <c r="AV43" s="13" t="n">
        <f aca="false">AV$42-AV$41</f>
        <v>0</v>
      </c>
      <c r="AW43" s="13" t="n">
        <f aca="false">AW$42-AW$41</f>
        <v>0</v>
      </c>
      <c r="AX43" s="13" t="n">
        <f aca="false">AX$42-AX$41</f>
        <v>0</v>
      </c>
      <c r="AY43" s="13" t="n">
        <f aca="false">AY$42-AY$41</f>
        <v>0</v>
      </c>
      <c r="AZ43" s="13" t="n">
        <f aca="false">AZ$42-AZ$41</f>
        <v>0</v>
      </c>
      <c r="BA43" s="13" t="n">
        <f aca="false">BA$42-BA$41</f>
        <v>0</v>
      </c>
      <c r="BB43" s="13" t="n">
        <f aca="false">BB$42-BB$41</f>
        <v>0</v>
      </c>
      <c r="BC43" s="13" t="n">
        <f aca="false">BC$42-BC$41</f>
        <v>0</v>
      </c>
      <c r="BD43" s="13" t="n">
        <f aca="false">BD$42-BD$41</f>
        <v>0</v>
      </c>
      <c r="BE43" s="13" t="n">
        <f aca="false">BE$42-BE$41</f>
        <v>0</v>
      </c>
      <c r="BF43" s="13" t="n">
        <f aca="false">BF$42-BF$41</f>
        <v>0</v>
      </c>
      <c r="BG43" s="13" t="n">
        <f aca="false">BG$42-BG$41</f>
        <v>0</v>
      </c>
      <c r="BH43" s="13" t="n">
        <f aca="false">BH$42-BH$41</f>
        <v>0</v>
      </c>
      <c r="BI43" s="13" t="n">
        <f aca="false">BI$42-BI$41</f>
        <v>0</v>
      </c>
      <c r="BJ43" s="13" t="n">
        <f aca="false">BJ$42-BJ$41</f>
        <v>0</v>
      </c>
      <c r="BK43" s="13" t="n">
        <f aca="false">BK$42-BK$41</f>
        <v>0</v>
      </c>
      <c r="BL43" s="13" t="n">
        <f aca="false">BL$42-BL$41</f>
        <v>0</v>
      </c>
      <c r="BM43" s="13" t="n">
        <f aca="false">BM$42-BM$41</f>
        <v>0</v>
      </c>
      <c r="BN43" s="13" t="n">
        <f aca="false">BN$42-BN$41</f>
        <v>0</v>
      </c>
      <c r="BO43" s="13" t="n">
        <f aca="false">BO$42-BO$41</f>
        <v>0</v>
      </c>
      <c r="BP43" s="13" t="n">
        <f aca="false">BP$42-BP$41</f>
        <v>0</v>
      </c>
      <c r="BQ43" s="13" t="n">
        <f aca="false">BQ$42-BQ$41</f>
        <v>0</v>
      </c>
      <c r="BR43" s="13" t="n">
        <f aca="false">BR$42-BR$41</f>
        <v>0</v>
      </c>
      <c r="BS43" s="13" t="n">
        <f aca="false">BS$42-BS$41</f>
        <v>0</v>
      </c>
      <c r="BT43" s="13" t="n">
        <f aca="false">BT$42-BT$41</f>
        <v>0</v>
      </c>
      <c r="BU43" s="13" t="n">
        <f aca="false">BU$42-BU$41</f>
        <v>0</v>
      </c>
      <c r="BV43" s="13" t="n">
        <f aca="false">BV$42-BV$41</f>
        <v>0</v>
      </c>
      <c r="BW43" s="13" t="n">
        <f aca="false">BW$42-BW$41</f>
        <v>0</v>
      </c>
      <c r="BX43" s="13" t="n">
        <f aca="false">BX$42-BX$41</f>
        <v>0</v>
      </c>
      <c r="BY43" s="13" t="n">
        <f aca="false">BY$42-BY$41</f>
        <v>0</v>
      </c>
      <c r="BZ43" s="13" t="n">
        <f aca="false">BZ$42-BZ$41</f>
        <v>0</v>
      </c>
      <c r="CA43" s="13" t="n">
        <f aca="false">CA$42-CA$41</f>
        <v>0</v>
      </c>
      <c r="CB43" s="13" t="n">
        <f aca="false">CB$42-CB$41</f>
        <v>0</v>
      </c>
      <c r="CC43" s="13" t="n">
        <f aca="false">CC$42-CC$41</f>
        <v>0</v>
      </c>
      <c r="CD43" s="13" t="n">
        <f aca="false">CD$42-CD$41</f>
        <v>0</v>
      </c>
      <c r="CE43" s="13" t="n">
        <f aca="false">CE$42-CE$41</f>
        <v>0</v>
      </c>
      <c r="CF43" s="13" t="n">
        <f aca="false">CF$42-CF$41</f>
        <v>0</v>
      </c>
      <c r="CG43" s="13" t="n">
        <f aca="false">CG$42-CG$41</f>
        <v>0</v>
      </c>
      <c r="CH43" s="13" t="n">
        <f aca="false">CH$42-CH$41</f>
        <v>0</v>
      </c>
      <c r="CI43" s="13" t="n">
        <f aca="false">CI$42-CI$41</f>
        <v>0</v>
      </c>
      <c r="CJ43" s="13" t="n">
        <f aca="false">CJ$42-CJ$41</f>
        <v>0</v>
      </c>
      <c r="CK43" s="13" t="n">
        <f aca="false">CK$42-CK$41</f>
        <v>0</v>
      </c>
      <c r="CL43" s="13" t="n">
        <f aca="false">CL$42-CL$41</f>
        <v>0</v>
      </c>
      <c r="CM43" s="13" t="n">
        <f aca="false">CM$42-CM$41</f>
        <v>0</v>
      </c>
      <c r="CN43" s="13" t="n">
        <f aca="false">CN$42-CN$41</f>
        <v>0</v>
      </c>
      <c r="CO43" s="13" t="n">
        <f aca="false">CO$42-CO$41</f>
        <v>0</v>
      </c>
      <c r="CP43" s="13" t="n">
        <f aca="false">CP$42-CP$41</f>
        <v>0</v>
      </c>
      <c r="CQ43" s="13" t="n">
        <f aca="false">CQ$42-CQ$41</f>
        <v>0</v>
      </c>
      <c r="CR43" s="13" t="n">
        <f aca="false">CR$42-CR$41</f>
        <v>0</v>
      </c>
      <c r="CS43" s="13" t="n">
        <f aca="false">CS$42-CS$41</f>
        <v>0</v>
      </c>
      <c r="CT43" s="13" t="n">
        <f aca="false">CT$42-CT$41</f>
        <v>0</v>
      </c>
      <c r="CU43" s="13" t="n">
        <f aca="false">CU$42-CU$41</f>
        <v>0</v>
      </c>
      <c r="CV43" s="13" t="n">
        <f aca="false">CV$42-CV$41</f>
        <v>0</v>
      </c>
      <c r="CW43" s="13" t="n">
        <f aca="false">CW$42-CW$41</f>
        <v>0</v>
      </c>
      <c r="CX43" s="13" t="n">
        <f aca="false">CX$42-CX$41</f>
        <v>0</v>
      </c>
      <c r="CY43" s="13" t="n">
        <f aca="false">CY$42-CY$41</f>
        <v>0</v>
      </c>
      <c r="CZ43" s="13" t="n">
        <f aca="false">CZ$42-CZ$41</f>
        <v>0</v>
      </c>
      <c r="DA43" s="13" t="n">
        <f aca="false">DA$42-DA$41</f>
        <v>0</v>
      </c>
      <c r="DB43" s="13" t="n">
        <f aca="false">DB$42-DB$41</f>
        <v>0</v>
      </c>
      <c r="DC43" s="13" t="n">
        <f aca="false">DC$42-DC$41</f>
        <v>0</v>
      </c>
      <c r="DD43" s="13" t="n">
        <f aca="false">DD$42-DD$41</f>
        <v>0</v>
      </c>
      <c r="DE43" s="13" t="n">
        <f aca="false">DE$42-DE$41</f>
        <v>0</v>
      </c>
      <c r="DF43" s="13" t="n">
        <f aca="false">DF$42-DF$41</f>
        <v>0</v>
      </c>
      <c r="DG43" s="13" t="n">
        <f aca="false">DG$42-DG$41</f>
        <v>0</v>
      </c>
      <c r="DH43" s="13" t="n">
        <f aca="false">DH$42-DH$41</f>
        <v>0</v>
      </c>
      <c r="DI43" s="13" t="n">
        <f aca="false">DI$42-DI$41</f>
        <v>0</v>
      </c>
      <c r="DJ43" s="13" t="n">
        <f aca="false">DJ$42-DJ$41</f>
        <v>0</v>
      </c>
      <c r="DK43" s="13" t="n">
        <f aca="false">DK$42-DK$41</f>
        <v>0</v>
      </c>
      <c r="DL43" s="13" t="n">
        <f aca="false">DL$42-DL$41</f>
        <v>0</v>
      </c>
      <c r="DM43" s="13" t="n">
        <f aca="false">DM$42-DM$41</f>
        <v>0</v>
      </c>
      <c r="DN43" s="13" t="n">
        <f aca="false">DN$42-DN$41</f>
        <v>0</v>
      </c>
      <c r="DO43" s="13" t="n">
        <f aca="false">DO$42-DO$41</f>
        <v>0</v>
      </c>
      <c r="DP43" s="13" t="n">
        <f aca="false">DP$42-DP$41</f>
        <v>0</v>
      </c>
      <c r="DQ43" s="13" t="n">
        <f aca="false">DQ$42-DQ$41</f>
        <v>0</v>
      </c>
      <c r="DR43" s="13" t="n">
        <f aca="false">DR$42-DR$41</f>
        <v>0</v>
      </c>
      <c r="DS43" s="13" t="n">
        <f aca="false">DS$42-DS$41</f>
        <v>0</v>
      </c>
      <c r="DT43" s="13" t="n">
        <f aca="false">DT$42-DT$41</f>
        <v>0</v>
      </c>
      <c r="DU43" s="13" t="n">
        <f aca="false">DU$42-DU$41</f>
        <v>0</v>
      </c>
      <c r="DV43" s="13" t="n">
        <f aca="false">DV$42-DV$41</f>
        <v>0</v>
      </c>
      <c r="DW43" s="13" t="n">
        <f aca="false">DW$42-DW$41</f>
        <v>0</v>
      </c>
      <c r="DX43" s="13" t="n">
        <f aca="false">DX$42-DX$41</f>
        <v>0</v>
      </c>
      <c r="DY43" s="13" t="n">
        <f aca="false">DY$42-DY$41</f>
        <v>0</v>
      </c>
      <c r="DZ43" s="13" t="n">
        <f aca="false">DZ$42-DZ$41</f>
        <v>0</v>
      </c>
      <c r="EA43" s="13" t="n">
        <f aca="false">EA$42-EA$41</f>
        <v>0</v>
      </c>
      <c r="EB43" s="13" t="n">
        <f aca="false">EB$42-EB$41</f>
        <v>0</v>
      </c>
      <c r="EC43" s="13" t="n">
        <f aca="false">EC$42-EC$41</f>
        <v>0</v>
      </c>
      <c r="ED43" s="13" t="n">
        <f aca="false">ED$42-ED$41</f>
        <v>0</v>
      </c>
      <c r="EE43" s="13" t="n">
        <f aca="false">EE$42-EE$41</f>
        <v>0</v>
      </c>
      <c r="EF43" s="13" t="n">
        <f aca="false">EF$42-EF$41</f>
        <v>0</v>
      </c>
      <c r="EG43" s="13" t="n">
        <f aca="false">EG$42-EG$41</f>
        <v>0</v>
      </c>
      <c r="EH43" s="13" t="n">
        <f aca="false">EH$42-EH$41</f>
        <v>0</v>
      </c>
      <c r="EI43" s="13" t="n">
        <f aca="false">EI$42-EI$41</f>
        <v>0</v>
      </c>
      <c r="EJ43" s="13" t="n">
        <f aca="false">EJ$42-EJ$41</f>
        <v>0</v>
      </c>
      <c r="EK43" s="13" t="n">
        <f aca="false">EK$42-EK$41</f>
        <v>0</v>
      </c>
      <c r="EL43" s="13" t="n">
        <f aca="false">EL$42-EL$41</f>
        <v>0</v>
      </c>
      <c r="EM43" s="13" t="n">
        <f aca="false">EM$42-EM$41</f>
        <v>0</v>
      </c>
      <c r="EN43" s="13" t="n">
        <f aca="false">EN$42-EN$41</f>
        <v>0</v>
      </c>
      <c r="EO43" s="13" t="n">
        <f aca="false">EO$42-EO$41</f>
        <v>0</v>
      </c>
      <c r="EP43" s="13" t="n">
        <f aca="false">EP$42-EP$41</f>
        <v>0</v>
      </c>
      <c r="EQ43" s="13" t="n">
        <f aca="false">EQ$42-EQ$41</f>
        <v>0</v>
      </c>
      <c r="ER43" s="13" t="n">
        <f aca="false">ER$42-ER$41</f>
        <v>0</v>
      </c>
      <c r="ES43" s="13" t="n">
        <f aca="false">ES$42-ES$41</f>
        <v>0</v>
      </c>
      <c r="ET43" s="13" t="n">
        <f aca="false">ET$42-ET$41</f>
        <v>0</v>
      </c>
      <c r="EU43" s="13" t="n">
        <f aca="false">EU$42-EU$41</f>
        <v>0</v>
      </c>
      <c r="EV43" s="13" t="n">
        <f aca="false">EV$42-EV$41</f>
        <v>0</v>
      </c>
      <c r="EW43" s="13" t="n">
        <f aca="false">EW$42-EW$41</f>
        <v>0</v>
      </c>
      <c r="EX43" s="13" t="n">
        <f aca="false">EX$42-EX$41</f>
        <v>0</v>
      </c>
      <c r="EY43" s="13" t="n">
        <f aca="false">EY$42-EY$41</f>
        <v>0</v>
      </c>
      <c r="EZ43" s="13" t="n">
        <f aca="false">EZ$42-EZ$41</f>
        <v>0</v>
      </c>
      <c r="FA43" s="13" t="n">
        <f aca="false">FA$42-FA$41</f>
        <v>0</v>
      </c>
      <c r="FB43" s="13" t="n">
        <f aca="false">FB$42-FB$41</f>
        <v>0</v>
      </c>
      <c r="FC43" s="13" t="n">
        <f aca="false">FC$42-FC$41</f>
        <v>0</v>
      </c>
      <c r="FD43" s="13" t="n">
        <f aca="false">FD$42-FD$41</f>
        <v>0</v>
      </c>
      <c r="FE43" s="13" t="n">
        <f aca="false">FE$42-FE$41</f>
        <v>0</v>
      </c>
      <c r="FF43" s="13" t="n">
        <f aca="false">FF$42-FF$41</f>
        <v>0</v>
      </c>
    </row>
    <row r="44" customFormat="false" ht="15" hidden="false" customHeight="false" outlineLevel="0" collapsed="false">
      <c r="A44" s="2" t="s">
        <v>1345</v>
      </c>
      <c r="B44" s="8" t="s">
        <v>1346</v>
      </c>
      <c r="C44" s="8" t="s">
        <v>255</v>
      </c>
      <c r="E44" s="65" t="n">
        <f aca="false">INDEX($F44:$FF44,1,p_MesFin+1)</f>
        <v>0</v>
      </c>
      <c r="F44" s="13" t="n">
        <f aca="false">0+F$43-F$39</f>
        <v>0</v>
      </c>
      <c r="G44" s="13" t="n">
        <f aca="false">F$44+G$43-G$39</f>
        <v>0</v>
      </c>
      <c r="H44" s="13" t="n">
        <f aca="false">G$44+H$43-H$39</f>
        <v>0</v>
      </c>
      <c r="I44" s="13" t="n">
        <f aca="false">H$44+I$43-I$39</f>
        <v>0</v>
      </c>
      <c r="J44" s="13" t="n">
        <f aca="false">I$44+J$43-J$39</f>
        <v>0</v>
      </c>
      <c r="K44" s="13" t="n">
        <f aca="false">J$44+K$43-K$39</f>
        <v>0</v>
      </c>
      <c r="L44" s="13" t="n">
        <f aca="false">K$44+L$43-L$39</f>
        <v>0</v>
      </c>
      <c r="M44" s="13" t="n">
        <f aca="false">L$44+M$43-M$39</f>
        <v>0</v>
      </c>
      <c r="N44" s="13" t="n">
        <f aca="false">M$44+N$43-N$39</f>
        <v>0</v>
      </c>
      <c r="O44" s="13" t="n">
        <f aca="false">N$44+O$43-O$39</f>
        <v>0</v>
      </c>
      <c r="P44" s="13" t="n">
        <f aca="false">O$44+P$43-P$39</f>
        <v>0</v>
      </c>
      <c r="Q44" s="13" t="n">
        <f aca="false">P$44+Q$43-Q$39</f>
        <v>0</v>
      </c>
      <c r="R44" s="13" t="n">
        <f aca="false">Q$44+R$43-R$39</f>
        <v>0</v>
      </c>
      <c r="S44" s="13" t="n">
        <f aca="false">R$44+S$43-S$39</f>
        <v>0</v>
      </c>
      <c r="T44" s="13" t="n">
        <f aca="false">S$44+T$43-T$39</f>
        <v>0</v>
      </c>
      <c r="U44" s="13" t="n">
        <f aca="false">T$44+U$43-U$39</f>
        <v>0</v>
      </c>
      <c r="V44" s="13" t="n">
        <f aca="false">U$44+V$43-V$39</f>
        <v>0</v>
      </c>
      <c r="W44" s="13" t="n">
        <f aca="false">V$44+W$43-W$39</f>
        <v>0</v>
      </c>
      <c r="X44" s="13" t="n">
        <f aca="false">W$44+X$43-X$39</f>
        <v>0</v>
      </c>
      <c r="Y44" s="13" t="n">
        <f aca="false">X$44+Y$43-Y$39</f>
        <v>0</v>
      </c>
      <c r="Z44" s="13" t="n">
        <f aca="false">Y$44+Z$43-Z$39</f>
        <v>0</v>
      </c>
      <c r="AA44" s="13" t="n">
        <f aca="false">Z$44+AA$43-AA$39</f>
        <v>0</v>
      </c>
      <c r="AB44" s="13" t="n">
        <f aca="false">AA$44+AB$43-AB$39</f>
        <v>0</v>
      </c>
      <c r="AC44" s="13" t="n">
        <f aca="false">AB$44+AC$43-AC$39</f>
        <v>0</v>
      </c>
      <c r="AD44" s="13" t="n">
        <f aca="false">AC$44+AD$43-AD$39</f>
        <v>0</v>
      </c>
      <c r="AE44" s="13" t="n">
        <f aca="false">AD$44+AE$43-AE$39</f>
        <v>0</v>
      </c>
      <c r="AF44" s="13" t="n">
        <f aca="false">AE$44+AF$43-AF$39</f>
        <v>0</v>
      </c>
      <c r="AG44" s="13" t="n">
        <f aca="false">AF$44+AG$43-AG$39</f>
        <v>0</v>
      </c>
      <c r="AH44" s="13" t="n">
        <f aca="false">AG$44+AH$43-AH$39</f>
        <v>0</v>
      </c>
      <c r="AI44" s="13" t="n">
        <f aca="false">AH$44+AI$43-AI$39</f>
        <v>0</v>
      </c>
      <c r="AJ44" s="13" t="n">
        <f aca="false">AI$44+AJ$43-AJ$39</f>
        <v>0</v>
      </c>
      <c r="AK44" s="13" t="n">
        <f aca="false">AJ$44+AK$43-AK$39</f>
        <v>0</v>
      </c>
      <c r="AL44" s="13" t="n">
        <f aca="false">AK$44+AL$43-AL$39</f>
        <v>0</v>
      </c>
      <c r="AM44" s="13" t="n">
        <f aca="false">AL$44+AM$43-AM$39</f>
        <v>0</v>
      </c>
      <c r="AN44" s="13" t="n">
        <f aca="false">AM$44+AN$43-AN$39</f>
        <v>0</v>
      </c>
      <c r="AO44" s="13" t="n">
        <f aca="false">AN$44+AO$43-AO$39</f>
        <v>0</v>
      </c>
      <c r="AP44" s="13" t="n">
        <f aca="false">AO$44+AP$43-AP$39</f>
        <v>0</v>
      </c>
      <c r="AQ44" s="13" t="n">
        <f aca="false">AP$44+AQ$43-AQ$39</f>
        <v>0</v>
      </c>
      <c r="AR44" s="13" t="n">
        <f aca="false">AQ$44+AR$43-AR$39</f>
        <v>0</v>
      </c>
      <c r="AS44" s="13" t="n">
        <f aca="false">AR$44+AS$43-AS$39</f>
        <v>0</v>
      </c>
      <c r="AT44" s="13" t="n">
        <f aca="false">AS$44+AT$43-AT$39</f>
        <v>0</v>
      </c>
      <c r="AU44" s="13" t="n">
        <f aca="false">AT$44+AU$43-AU$39</f>
        <v>0</v>
      </c>
      <c r="AV44" s="13" t="n">
        <f aca="false">AU$44+AV$43-AV$39</f>
        <v>0</v>
      </c>
      <c r="AW44" s="13" t="n">
        <f aca="false">AV$44+AW$43-AW$39</f>
        <v>0</v>
      </c>
      <c r="AX44" s="13" t="n">
        <f aca="false">AW$44+AX$43-AX$39</f>
        <v>0</v>
      </c>
      <c r="AY44" s="13" t="n">
        <f aca="false">AX$44+AY$43-AY$39</f>
        <v>0</v>
      </c>
      <c r="AZ44" s="13" t="n">
        <f aca="false">AY$44+AZ$43-AZ$39</f>
        <v>0</v>
      </c>
      <c r="BA44" s="13" t="n">
        <f aca="false">AZ$44+BA$43-BA$39</f>
        <v>0</v>
      </c>
      <c r="BB44" s="13" t="n">
        <f aca="false">BA$44+BB$43-BB$39</f>
        <v>0</v>
      </c>
      <c r="BC44" s="13" t="n">
        <f aca="false">BB$44+BC$43-BC$39</f>
        <v>0</v>
      </c>
      <c r="BD44" s="13" t="n">
        <f aca="false">BC$44+BD$43-BD$39</f>
        <v>0</v>
      </c>
      <c r="BE44" s="13" t="n">
        <f aca="false">BD$44+BE$43-BE$39</f>
        <v>0</v>
      </c>
      <c r="BF44" s="13" t="n">
        <f aca="false">BE$44+BF$43-BF$39</f>
        <v>0</v>
      </c>
      <c r="BG44" s="13" t="n">
        <f aca="false">BF$44+BG$43-BG$39</f>
        <v>0</v>
      </c>
      <c r="BH44" s="13" t="n">
        <f aca="false">BG$44+BH$43-BH$39</f>
        <v>0</v>
      </c>
      <c r="BI44" s="13" t="n">
        <f aca="false">BH$44+BI$43-BI$39</f>
        <v>0</v>
      </c>
      <c r="BJ44" s="13" t="n">
        <f aca="false">BI$44+BJ$43-BJ$39</f>
        <v>0</v>
      </c>
      <c r="BK44" s="13" t="n">
        <f aca="false">BJ$44+BK$43-BK$39</f>
        <v>0</v>
      </c>
      <c r="BL44" s="13" t="n">
        <f aca="false">BK$44+BL$43-BL$39</f>
        <v>0</v>
      </c>
      <c r="BM44" s="13" t="n">
        <f aca="false">BL$44+BM$43-BM$39</f>
        <v>0</v>
      </c>
      <c r="BN44" s="13" t="n">
        <f aca="false">BM$44+BN$43-BN$39</f>
        <v>0</v>
      </c>
      <c r="BO44" s="13" t="n">
        <f aca="false">BN$44+BO$43-BO$39</f>
        <v>0</v>
      </c>
      <c r="BP44" s="13" t="n">
        <f aca="false">BO$44+BP$43-BP$39</f>
        <v>0</v>
      </c>
      <c r="BQ44" s="13" t="n">
        <f aca="false">BP$44+BQ$43-BQ$39</f>
        <v>0</v>
      </c>
      <c r="BR44" s="13" t="n">
        <f aca="false">BQ$44+BR$43-BR$39</f>
        <v>0</v>
      </c>
      <c r="BS44" s="13" t="n">
        <f aca="false">BR$44+BS$43-BS$39</f>
        <v>0</v>
      </c>
      <c r="BT44" s="13" t="n">
        <f aca="false">BS$44+BT$43-BT$39</f>
        <v>0</v>
      </c>
      <c r="BU44" s="13" t="n">
        <f aca="false">BT$44+BU$43-BU$39</f>
        <v>0</v>
      </c>
      <c r="BV44" s="13" t="n">
        <f aca="false">BU$44+BV$43-BV$39</f>
        <v>0</v>
      </c>
      <c r="BW44" s="13" t="n">
        <f aca="false">BV$44+BW$43-BW$39</f>
        <v>0</v>
      </c>
      <c r="BX44" s="13" t="n">
        <f aca="false">BW$44+BX$43-BX$39</f>
        <v>0</v>
      </c>
      <c r="BY44" s="13" t="n">
        <f aca="false">BX$44+BY$43-BY$39</f>
        <v>0</v>
      </c>
      <c r="BZ44" s="13" t="n">
        <f aca="false">BY$44+BZ$43-BZ$39</f>
        <v>0</v>
      </c>
      <c r="CA44" s="13" t="n">
        <f aca="false">BZ$44+CA$43-CA$39</f>
        <v>0</v>
      </c>
      <c r="CB44" s="13" t="n">
        <f aca="false">CA$44+CB$43-CB$39</f>
        <v>0</v>
      </c>
      <c r="CC44" s="13" t="n">
        <f aca="false">CB$44+CC$43-CC$39</f>
        <v>0</v>
      </c>
      <c r="CD44" s="13" t="n">
        <f aca="false">CC$44+CD$43-CD$39</f>
        <v>0</v>
      </c>
      <c r="CE44" s="13" t="n">
        <f aca="false">CD$44+CE$43-CE$39</f>
        <v>0</v>
      </c>
      <c r="CF44" s="13" t="n">
        <f aca="false">CE$44+CF$43-CF$39</f>
        <v>0</v>
      </c>
      <c r="CG44" s="13" t="n">
        <f aca="false">CF$44+CG$43-CG$39</f>
        <v>0</v>
      </c>
      <c r="CH44" s="13" t="n">
        <f aca="false">CG$44+CH$43-CH$39</f>
        <v>0</v>
      </c>
      <c r="CI44" s="13" t="n">
        <f aca="false">CH$44+CI$43-CI$39</f>
        <v>0</v>
      </c>
      <c r="CJ44" s="13" t="n">
        <f aca="false">CI$44+CJ$43-CJ$39</f>
        <v>0</v>
      </c>
      <c r="CK44" s="13" t="n">
        <f aca="false">CJ$44+CK$43-CK$39</f>
        <v>0</v>
      </c>
      <c r="CL44" s="13" t="n">
        <f aca="false">CK$44+CL$43-CL$39</f>
        <v>0</v>
      </c>
      <c r="CM44" s="13" t="n">
        <f aca="false">CL$44+CM$43-CM$39</f>
        <v>0</v>
      </c>
      <c r="CN44" s="13" t="n">
        <f aca="false">CM$44+CN$43-CN$39</f>
        <v>0</v>
      </c>
      <c r="CO44" s="13" t="n">
        <f aca="false">CN$44+CO$43-CO$39</f>
        <v>0</v>
      </c>
      <c r="CP44" s="13" t="n">
        <f aca="false">CO$44+CP$43-CP$39</f>
        <v>0</v>
      </c>
      <c r="CQ44" s="13" t="n">
        <f aca="false">CP$44+CQ$43-CQ$39</f>
        <v>0</v>
      </c>
      <c r="CR44" s="13" t="n">
        <f aca="false">CQ$44+CR$43-CR$39</f>
        <v>0</v>
      </c>
      <c r="CS44" s="13" t="n">
        <f aca="false">CR$44+CS$43-CS$39</f>
        <v>0</v>
      </c>
      <c r="CT44" s="13" t="n">
        <f aca="false">CS$44+CT$43-CT$39</f>
        <v>0</v>
      </c>
      <c r="CU44" s="13" t="n">
        <f aca="false">CT$44+CU$43-CU$39</f>
        <v>0</v>
      </c>
      <c r="CV44" s="13" t="n">
        <f aca="false">CU$44+CV$43-CV$39</f>
        <v>0</v>
      </c>
      <c r="CW44" s="13" t="n">
        <f aca="false">CV$44+CW$43-CW$39</f>
        <v>0</v>
      </c>
      <c r="CX44" s="13" t="n">
        <f aca="false">CW$44+CX$43-CX$39</f>
        <v>0</v>
      </c>
      <c r="CY44" s="13" t="n">
        <f aca="false">CX$44+CY$43-CY$39</f>
        <v>0</v>
      </c>
      <c r="CZ44" s="13" t="n">
        <f aca="false">CY$44+CZ$43-CZ$39</f>
        <v>0</v>
      </c>
      <c r="DA44" s="13" t="n">
        <f aca="false">CZ$44+DA$43-DA$39</f>
        <v>0</v>
      </c>
      <c r="DB44" s="13" t="n">
        <f aca="false">DA$44+DB$43-DB$39</f>
        <v>0</v>
      </c>
      <c r="DC44" s="13" t="n">
        <f aca="false">DB$44+DC$43-DC$39</f>
        <v>0</v>
      </c>
      <c r="DD44" s="13" t="n">
        <f aca="false">DC$44+DD$43-DD$39</f>
        <v>0</v>
      </c>
      <c r="DE44" s="13" t="n">
        <f aca="false">DD$44+DE$43-DE$39</f>
        <v>0</v>
      </c>
      <c r="DF44" s="13" t="n">
        <f aca="false">DE$44+DF$43-DF$39</f>
        <v>0</v>
      </c>
      <c r="DG44" s="13" t="n">
        <f aca="false">DF$44+DG$43-DG$39</f>
        <v>0</v>
      </c>
      <c r="DH44" s="13" t="n">
        <f aca="false">DG$44+DH$43-DH$39</f>
        <v>0</v>
      </c>
      <c r="DI44" s="13" t="n">
        <f aca="false">DH$44+DI$43-DI$39</f>
        <v>0</v>
      </c>
      <c r="DJ44" s="13" t="n">
        <f aca="false">DI$44+DJ$43-DJ$39</f>
        <v>0</v>
      </c>
      <c r="DK44" s="13" t="n">
        <f aca="false">DJ$44+DK$43-DK$39</f>
        <v>0</v>
      </c>
      <c r="DL44" s="13" t="n">
        <f aca="false">DK$44+DL$43-DL$39</f>
        <v>0</v>
      </c>
      <c r="DM44" s="13" t="n">
        <f aca="false">DL$44+DM$43-DM$39</f>
        <v>0</v>
      </c>
      <c r="DN44" s="13" t="n">
        <f aca="false">DM$44+DN$43-DN$39</f>
        <v>0</v>
      </c>
      <c r="DO44" s="13" t="n">
        <f aca="false">DN$44+DO$43-DO$39</f>
        <v>0</v>
      </c>
      <c r="DP44" s="13" t="n">
        <f aca="false">DO$44+DP$43-DP$39</f>
        <v>0</v>
      </c>
      <c r="DQ44" s="13" t="n">
        <f aca="false">DP$44+DQ$43-DQ$39</f>
        <v>0</v>
      </c>
      <c r="DR44" s="13" t="n">
        <f aca="false">DQ$44+DR$43-DR$39</f>
        <v>0</v>
      </c>
      <c r="DS44" s="13" t="n">
        <f aca="false">DR$44+DS$43-DS$39</f>
        <v>0</v>
      </c>
      <c r="DT44" s="13" t="n">
        <f aca="false">DS$44+DT$43-DT$39</f>
        <v>0</v>
      </c>
      <c r="DU44" s="13" t="n">
        <f aca="false">DT$44+DU$43-DU$39</f>
        <v>0</v>
      </c>
      <c r="DV44" s="13" t="n">
        <f aca="false">DU$44+DV$43-DV$39</f>
        <v>0</v>
      </c>
      <c r="DW44" s="13" t="n">
        <f aca="false">DV$44+DW$43-DW$39</f>
        <v>0</v>
      </c>
      <c r="DX44" s="13" t="n">
        <f aca="false">DW$44+DX$43-DX$39</f>
        <v>0</v>
      </c>
      <c r="DY44" s="13" t="n">
        <f aca="false">DX$44+DY$43-DY$39</f>
        <v>0</v>
      </c>
      <c r="DZ44" s="13" t="n">
        <f aca="false">DY$44+DZ$43-DZ$39</f>
        <v>0</v>
      </c>
      <c r="EA44" s="13" t="n">
        <f aca="false">DZ$44+EA$43-EA$39</f>
        <v>0</v>
      </c>
      <c r="EB44" s="13" t="n">
        <f aca="false">EA$44+EB$43-EB$39</f>
        <v>0</v>
      </c>
      <c r="EC44" s="13" t="n">
        <f aca="false">EB$44+EC$43-EC$39</f>
        <v>0</v>
      </c>
      <c r="ED44" s="13" t="n">
        <f aca="false">EC$44+ED$43-ED$39</f>
        <v>0</v>
      </c>
      <c r="EE44" s="13" t="n">
        <f aca="false">ED$44+EE$43-EE$39</f>
        <v>0</v>
      </c>
      <c r="EF44" s="13" t="n">
        <f aca="false">EE$44+EF$43-EF$39</f>
        <v>0</v>
      </c>
      <c r="EG44" s="13" t="n">
        <f aca="false">EF$44+EG$43-EG$39</f>
        <v>0</v>
      </c>
      <c r="EH44" s="13" t="n">
        <f aca="false">EG$44+EH$43-EH$39</f>
        <v>0</v>
      </c>
      <c r="EI44" s="13" t="n">
        <f aca="false">EH$44+EI$43-EI$39</f>
        <v>0</v>
      </c>
      <c r="EJ44" s="13" t="n">
        <f aca="false">EI$44+EJ$43-EJ$39</f>
        <v>0</v>
      </c>
      <c r="EK44" s="13" t="n">
        <f aca="false">EJ$44+EK$43-EK$39</f>
        <v>0</v>
      </c>
      <c r="EL44" s="13" t="n">
        <f aca="false">EK$44+EL$43-EL$39</f>
        <v>0</v>
      </c>
      <c r="EM44" s="13" t="n">
        <f aca="false">EL$44+EM$43-EM$39</f>
        <v>0</v>
      </c>
      <c r="EN44" s="13" t="n">
        <f aca="false">EM$44+EN$43-EN$39</f>
        <v>0</v>
      </c>
      <c r="EO44" s="13" t="n">
        <f aca="false">EN$44+EO$43-EO$39</f>
        <v>0</v>
      </c>
      <c r="EP44" s="13" t="n">
        <f aca="false">EO$44+EP$43-EP$39</f>
        <v>0</v>
      </c>
      <c r="EQ44" s="13" t="n">
        <f aca="false">EP$44+EQ$43-EQ$39</f>
        <v>0</v>
      </c>
      <c r="ER44" s="13" t="n">
        <f aca="false">EQ$44+ER$43-ER$39</f>
        <v>0</v>
      </c>
      <c r="ES44" s="13" t="n">
        <f aca="false">ER$44+ES$43-ES$39</f>
        <v>0</v>
      </c>
      <c r="ET44" s="13" t="n">
        <f aca="false">ES$44+ET$43-ET$39</f>
        <v>0</v>
      </c>
      <c r="EU44" s="13" t="n">
        <f aca="false">ET$44+EU$43-EU$39</f>
        <v>0</v>
      </c>
      <c r="EV44" s="13" t="n">
        <f aca="false">EU$44+EV$43-EV$39</f>
        <v>0</v>
      </c>
      <c r="EW44" s="13" t="n">
        <f aca="false">EV$44+EW$43-EW$39</f>
        <v>0</v>
      </c>
      <c r="EX44" s="13" t="n">
        <f aca="false">EW$44+EX$43-EX$39</f>
        <v>0</v>
      </c>
      <c r="EY44" s="13" t="n">
        <f aca="false">EX$44+EY$43-EY$39</f>
        <v>0</v>
      </c>
      <c r="EZ44" s="13" t="n">
        <f aca="false">EY$44+EZ$43-EZ$39</f>
        <v>0</v>
      </c>
      <c r="FA44" s="13" t="n">
        <f aca="false">EZ$44+FA$43-FA$39</f>
        <v>0</v>
      </c>
      <c r="FB44" s="13" t="n">
        <f aca="false">FA$44+FB$43-FB$39</f>
        <v>0</v>
      </c>
      <c r="FC44" s="13" t="n">
        <f aca="false">FB$44+FC$43-FC$39</f>
        <v>0</v>
      </c>
      <c r="FD44" s="13" t="n">
        <f aca="false">FC$44+FD$43-FD$39</f>
        <v>0</v>
      </c>
      <c r="FE44" s="13" t="n">
        <f aca="false">FD$44+FE$43-FE$39</f>
        <v>0</v>
      </c>
      <c r="FF44" s="13" t="n">
        <f aca="false">FE$44+FF$43-FF$39</f>
        <v>0</v>
      </c>
    </row>
    <row r="45" customFormat="false" ht="15" hidden="false" customHeight="false" outlineLevel="0" collapsed="false">
      <c r="A45" s="4"/>
      <c r="B45" s="3" t="s">
        <v>1347</v>
      </c>
      <c r="C45" s="4"/>
      <c r="D45" s="4"/>
      <c r="E45" s="4"/>
    </row>
    <row r="46" customFormat="false" ht="15" hidden="false" customHeight="false" outlineLevel="0" collapsed="false">
      <c r="A46" s="2" t="s">
        <v>1348</v>
      </c>
      <c r="B46" s="8" t="s">
        <v>1349</v>
      </c>
      <c r="C46" s="8" t="s">
        <v>255</v>
      </c>
      <c r="E46" s="65" t="n">
        <f aca="false">SUM($F46:$FF46)</f>
        <v>7964817.76123879</v>
      </c>
      <c r="F46" s="28" t="n">
        <f aca="false">Costos_Personal!F$150</f>
        <v>0</v>
      </c>
      <c r="G46" s="28" t="n">
        <f aca="false">Costos_Personal!G$150</f>
        <v>55604.17758386</v>
      </c>
      <c r="H46" s="28" t="n">
        <f aca="false">Costos_Personal!H$150</f>
        <v>50672.4497482436</v>
      </c>
      <c r="I46" s="28" t="n">
        <f aca="false">Costos_Personal!I$150</f>
        <v>50672.4497482436</v>
      </c>
      <c r="J46" s="28" t="n">
        <f aca="false">Costos_Personal!J$150</f>
        <v>50672.4497482436</v>
      </c>
      <c r="K46" s="28" t="n">
        <f aca="false">Costos_Personal!K$150</f>
        <v>50672.4497482436</v>
      </c>
      <c r="L46" s="28" t="n">
        <f aca="false">Costos_Personal!L$150</f>
        <v>50672.4497482436</v>
      </c>
      <c r="M46" s="28" t="n">
        <f aca="false">Costos_Personal!M$150</f>
        <v>50672.4497482436</v>
      </c>
      <c r="N46" s="28" t="n">
        <f aca="false">Costos_Personal!N$150</f>
        <v>50672.4497482436</v>
      </c>
      <c r="O46" s="28" t="n">
        <f aca="false">Costos_Personal!O$150</f>
        <v>50672.4497482436</v>
      </c>
      <c r="P46" s="28" t="n">
        <f aca="false">Costos_Personal!P$150</f>
        <v>50672.4497482436</v>
      </c>
      <c r="Q46" s="28" t="n">
        <f aca="false">Costos_Personal!Q$150</f>
        <v>50672.4497482436</v>
      </c>
      <c r="R46" s="28" t="n">
        <f aca="false">Costos_Personal!R$150</f>
        <v>51968.7616386545</v>
      </c>
      <c r="S46" s="28" t="n">
        <f aca="false">Costos_Personal!S$150</f>
        <v>56525.0809982435</v>
      </c>
      <c r="T46" s="28" t="n">
        <f aca="false">Costos_Personal!T$150</f>
        <v>56525.0809982435</v>
      </c>
      <c r="U46" s="28" t="n">
        <f aca="false">Costos_Personal!U$150</f>
        <v>56525.0809982435</v>
      </c>
      <c r="V46" s="28" t="n">
        <f aca="false">Costos_Personal!V$150</f>
        <v>56525.0809982435</v>
      </c>
      <c r="W46" s="28" t="n">
        <f aca="false">Costos_Personal!W$150</f>
        <v>56525.0809982435</v>
      </c>
      <c r="X46" s="28" t="n">
        <f aca="false">Costos_Personal!X$150</f>
        <v>56525.0809982435</v>
      </c>
      <c r="Y46" s="28" t="n">
        <f aca="false">Costos_Personal!Y$150</f>
        <v>56525.0809982435</v>
      </c>
      <c r="Z46" s="28" t="n">
        <f aca="false">Costos_Personal!Z$150</f>
        <v>56525.0809982435</v>
      </c>
      <c r="AA46" s="28" t="n">
        <f aca="false">Costos_Personal!AA$150</f>
        <v>56525.0809982435</v>
      </c>
      <c r="AB46" s="28" t="n">
        <f aca="false">Costos_Personal!AB$150</f>
        <v>56525.0809982435</v>
      </c>
      <c r="AC46" s="28" t="n">
        <f aca="false">Costos_Personal!AC$150</f>
        <v>56525.0809982435</v>
      </c>
      <c r="AD46" s="28" t="n">
        <f aca="false">Costos_Personal!AD$150</f>
        <v>57828.1220119422</v>
      </c>
      <c r="AE46" s="28" t="n">
        <f aca="false">Costos_Personal!AE$150</f>
        <v>62619.9560702915</v>
      </c>
      <c r="AF46" s="28" t="n">
        <f aca="false">Costos_Personal!AF$150</f>
        <v>62619.9560702915</v>
      </c>
      <c r="AG46" s="28" t="n">
        <f aca="false">Costos_Personal!AG$150</f>
        <v>62619.9560702915</v>
      </c>
      <c r="AH46" s="28" t="n">
        <f aca="false">Costos_Personal!AH$150</f>
        <v>62619.9560702915</v>
      </c>
      <c r="AI46" s="28" t="n">
        <f aca="false">Costos_Personal!AI$150</f>
        <v>62619.9560702915</v>
      </c>
      <c r="AJ46" s="28" t="n">
        <f aca="false">Costos_Personal!AJ$150</f>
        <v>62619.9560702915</v>
      </c>
      <c r="AK46" s="28" t="n">
        <f aca="false">Costos_Personal!AK$150</f>
        <v>62619.9560702915</v>
      </c>
      <c r="AL46" s="28" t="n">
        <f aca="false">Costos_Personal!AL$150</f>
        <v>62619.9560702915</v>
      </c>
      <c r="AM46" s="28" t="n">
        <f aca="false">Costos_Personal!AM$150</f>
        <v>62619.9560702915</v>
      </c>
      <c r="AN46" s="28" t="n">
        <f aca="false">Costos_Personal!AN$150</f>
        <v>62619.9560702915</v>
      </c>
      <c r="AO46" s="28" t="n">
        <f aca="false">Costos_Personal!AO$150</f>
        <v>62619.9560702915</v>
      </c>
      <c r="AP46" s="28" t="n">
        <f aca="false">Costos_Personal!AP$150</f>
        <v>63673.7438157709</v>
      </c>
      <c r="AQ46" s="28" t="n">
        <f aca="false">Costos_Personal!AQ$150</f>
        <v>67765.6751573158</v>
      </c>
      <c r="AR46" s="28" t="n">
        <f aca="false">Costos_Personal!AR$150</f>
        <v>67765.6751573158</v>
      </c>
      <c r="AS46" s="28" t="n">
        <f aca="false">Costos_Personal!AS$150</f>
        <v>67765.6751573158</v>
      </c>
      <c r="AT46" s="28" t="n">
        <f aca="false">Costos_Personal!AT$150</f>
        <v>67765.6751573158</v>
      </c>
      <c r="AU46" s="28" t="n">
        <f aca="false">Costos_Personal!AU$150</f>
        <v>67765.6751573158</v>
      </c>
      <c r="AV46" s="28" t="n">
        <f aca="false">Costos_Personal!AV$150</f>
        <v>67765.6751573158</v>
      </c>
      <c r="AW46" s="28" t="n">
        <f aca="false">Costos_Personal!AW$150</f>
        <v>67765.6751573158</v>
      </c>
      <c r="AX46" s="28" t="n">
        <f aca="false">Costos_Personal!AX$150</f>
        <v>67765.6751573158</v>
      </c>
      <c r="AY46" s="28" t="n">
        <f aca="false">Costos_Personal!AY$150</f>
        <v>67765.6751573158</v>
      </c>
      <c r="AZ46" s="28" t="n">
        <f aca="false">Costos_Personal!AZ$150</f>
        <v>67765.6751573158</v>
      </c>
      <c r="BA46" s="28" t="n">
        <f aca="false">Costos_Personal!BA$150</f>
        <v>67765.6751573158</v>
      </c>
      <c r="BB46" s="28" t="n">
        <f aca="false">Costos_Personal!BB$150</f>
        <v>67765.6751573158</v>
      </c>
      <c r="BC46" s="28" t="n">
        <f aca="false">Costos_Personal!BC$150</f>
        <v>68776.4707151862</v>
      </c>
      <c r="BD46" s="28" t="n">
        <f aca="false">Costos_Personal!BD$150</f>
        <v>68776.4707151862</v>
      </c>
      <c r="BE46" s="28" t="n">
        <f aca="false">Costos_Personal!BE$150</f>
        <v>68776.4707151862</v>
      </c>
      <c r="BF46" s="28" t="n">
        <f aca="false">Costos_Personal!BF$150</f>
        <v>68776.4707151862</v>
      </c>
      <c r="BG46" s="28" t="n">
        <f aca="false">Costos_Personal!BG$150</f>
        <v>68776.4707151862</v>
      </c>
      <c r="BH46" s="28" t="n">
        <f aca="false">Costos_Personal!BH$150</f>
        <v>68776.4707151862</v>
      </c>
      <c r="BI46" s="28" t="n">
        <f aca="false">Costos_Personal!BI$150</f>
        <v>68776.4707151862</v>
      </c>
      <c r="BJ46" s="28" t="n">
        <f aca="false">Costos_Personal!BJ$150</f>
        <v>68776.4707151862</v>
      </c>
      <c r="BK46" s="28" t="n">
        <f aca="false">Costos_Personal!BK$150</f>
        <v>68776.4707151862</v>
      </c>
      <c r="BL46" s="28" t="n">
        <f aca="false">Costos_Personal!BL$150</f>
        <v>68776.4707151862</v>
      </c>
      <c r="BM46" s="28" t="n">
        <f aca="false">Costos_Personal!BM$150</f>
        <v>68776.4707151862</v>
      </c>
      <c r="BN46" s="28" t="n">
        <f aca="false">Costos_Personal!BN$150</f>
        <v>68776.4707151862</v>
      </c>
      <c r="BO46" s="28" t="n">
        <f aca="false">Costos_Personal!BO$150</f>
        <v>69650.6743903824</v>
      </c>
      <c r="BP46" s="28" t="n">
        <f aca="false">Costos_Personal!BP$150</f>
        <v>69650.6743903824</v>
      </c>
      <c r="BQ46" s="28" t="n">
        <f aca="false">Costos_Personal!BQ$150</f>
        <v>69650.6743903824</v>
      </c>
      <c r="BR46" s="28" t="n">
        <f aca="false">Costos_Personal!BR$150</f>
        <v>69650.6743903824</v>
      </c>
      <c r="BS46" s="28" t="n">
        <f aca="false">Costos_Personal!BS$150</f>
        <v>69650.6743903824</v>
      </c>
      <c r="BT46" s="28" t="n">
        <f aca="false">Costos_Personal!BT$150</f>
        <v>69650.6743903824</v>
      </c>
      <c r="BU46" s="28" t="n">
        <f aca="false">Costos_Personal!BU$150</f>
        <v>69650.6743903824</v>
      </c>
      <c r="BV46" s="28" t="n">
        <f aca="false">Costos_Personal!BV$150</f>
        <v>69650.6743903824</v>
      </c>
      <c r="BW46" s="28" t="n">
        <f aca="false">Costos_Personal!BW$150</f>
        <v>69650.6743903824</v>
      </c>
      <c r="BX46" s="28" t="n">
        <f aca="false">Costos_Personal!BX$150</f>
        <v>69650.6743903824</v>
      </c>
      <c r="BY46" s="28" t="n">
        <f aca="false">Costos_Personal!BY$150</f>
        <v>69650.6743903824</v>
      </c>
      <c r="BZ46" s="28" t="n">
        <f aca="false">Costos_Personal!BZ$150</f>
        <v>69650.6743903824</v>
      </c>
      <c r="CA46" s="28" t="n">
        <f aca="false">Costos_Personal!CA$150</f>
        <v>70545.1064650103</v>
      </c>
      <c r="CB46" s="28" t="n">
        <f aca="false">Costos_Personal!CB$150</f>
        <v>70545.1064650103</v>
      </c>
      <c r="CC46" s="28" t="n">
        <f aca="false">Costos_Personal!CC$150</f>
        <v>70545.1064650103</v>
      </c>
      <c r="CD46" s="28" t="n">
        <f aca="false">Costos_Personal!CD$150</f>
        <v>70545.1064650103</v>
      </c>
      <c r="CE46" s="28" t="n">
        <f aca="false">Costos_Personal!CE$150</f>
        <v>70545.1064650103</v>
      </c>
      <c r="CF46" s="28" t="n">
        <f aca="false">Costos_Personal!CF$150</f>
        <v>70545.1064650103</v>
      </c>
      <c r="CG46" s="28" t="n">
        <f aca="false">Costos_Personal!CG$150</f>
        <v>70545.1064650103</v>
      </c>
      <c r="CH46" s="28" t="n">
        <f aca="false">Costos_Personal!CH$150</f>
        <v>70545.1064650103</v>
      </c>
      <c r="CI46" s="28" t="n">
        <f aca="false">Costos_Personal!CI$150</f>
        <v>70545.1064650103</v>
      </c>
      <c r="CJ46" s="28" t="n">
        <f aca="false">Costos_Personal!CJ$150</f>
        <v>70545.1064650103</v>
      </c>
      <c r="CK46" s="28" t="n">
        <f aca="false">Costos_Personal!CK$150</f>
        <v>70545.1064650103</v>
      </c>
      <c r="CL46" s="28" t="n">
        <f aca="false">Costos_Personal!CL$150</f>
        <v>70545.1064650103</v>
      </c>
      <c r="CM46" s="28" t="n">
        <f aca="false">Costos_Personal!CM$150</f>
        <v>71460.3294106446</v>
      </c>
      <c r="CN46" s="28" t="n">
        <f aca="false">Costos_Personal!CN$150</f>
        <v>71460.3294106446</v>
      </c>
      <c r="CO46" s="28" t="n">
        <f aca="false">Costos_Personal!CO$150</f>
        <v>71460.3294106446</v>
      </c>
      <c r="CP46" s="28" t="n">
        <f aca="false">Costos_Personal!CP$150</f>
        <v>71460.3294106446</v>
      </c>
      <c r="CQ46" s="28" t="n">
        <f aca="false">Costos_Personal!CQ$150</f>
        <v>71460.3294106446</v>
      </c>
      <c r="CR46" s="28" t="n">
        <f aca="false">Costos_Personal!CR$150</f>
        <v>71460.3294106446</v>
      </c>
      <c r="CS46" s="28" t="n">
        <f aca="false">Costos_Personal!CS$150</f>
        <v>71460.3294106446</v>
      </c>
      <c r="CT46" s="28" t="n">
        <f aca="false">Costos_Personal!CT$150</f>
        <v>71460.3294106446</v>
      </c>
      <c r="CU46" s="28" t="n">
        <f aca="false">Costos_Personal!CU$150</f>
        <v>71460.3294106446</v>
      </c>
      <c r="CV46" s="28" t="n">
        <f aca="false">Costos_Personal!CV$150</f>
        <v>71460.3294106446</v>
      </c>
      <c r="CW46" s="28" t="n">
        <f aca="false">Costos_Personal!CW$150</f>
        <v>71460.3294106446</v>
      </c>
      <c r="CX46" s="28" t="n">
        <f aca="false">Costos_Personal!CX$150</f>
        <v>71460.3294106446</v>
      </c>
      <c r="CY46" s="28" t="n">
        <f aca="false">Costos_Personal!CY$150</f>
        <v>72396.9221292033</v>
      </c>
      <c r="CZ46" s="28" t="n">
        <f aca="false">Costos_Personal!CZ$150</f>
        <v>72396.9221292033</v>
      </c>
      <c r="DA46" s="28" t="n">
        <f aca="false">Costos_Personal!DA$150</f>
        <v>72396.9221292033</v>
      </c>
      <c r="DB46" s="28" t="n">
        <f aca="false">Costos_Personal!DB$150</f>
        <v>72396.9221292033</v>
      </c>
      <c r="DC46" s="28" t="n">
        <f aca="false">Costos_Personal!DC$150</f>
        <v>72396.9221292033</v>
      </c>
      <c r="DD46" s="28" t="n">
        <f aca="false">Costos_Personal!DD$150</f>
        <v>72396.9221292033</v>
      </c>
      <c r="DE46" s="28" t="n">
        <f aca="false">Costos_Personal!DE$150</f>
        <v>72396.9221292033</v>
      </c>
      <c r="DF46" s="28" t="n">
        <f aca="false">Costos_Personal!DF$150</f>
        <v>72396.9221292033</v>
      </c>
      <c r="DG46" s="28" t="n">
        <f aca="false">Costos_Personal!DG$150</f>
        <v>72396.9221292033</v>
      </c>
      <c r="DH46" s="28" t="n">
        <f aca="false">Costos_Personal!DH$150</f>
        <v>72396.9221292033</v>
      </c>
      <c r="DI46" s="28" t="n">
        <f aca="false">Costos_Personal!DI$150</f>
        <v>72396.9221292033</v>
      </c>
      <c r="DJ46" s="28" t="n">
        <f aca="false">Costos_Personal!DJ$150</f>
        <v>72396.9221292033</v>
      </c>
      <c r="DK46" s="28" t="n">
        <f aca="false">Costos_Personal!DK$150</f>
        <v>73355.4804414196</v>
      </c>
      <c r="DL46" s="28" t="n">
        <f aca="false">Costos_Personal!DL$150</f>
        <v>73355.4804414196</v>
      </c>
      <c r="DM46" s="28" t="n">
        <f aca="false">Costos_Personal!DM$150</f>
        <v>73355.4804414196</v>
      </c>
      <c r="DN46" s="28" t="n">
        <f aca="false">Costos_Personal!DN$150</f>
        <v>73355.4804414196</v>
      </c>
      <c r="DO46" s="28" t="n">
        <f aca="false">Costos_Personal!DO$150</f>
        <v>73355.4804414196</v>
      </c>
      <c r="DP46" s="28" t="n">
        <f aca="false">Costos_Personal!DP$150</f>
        <v>73355.4804414196</v>
      </c>
      <c r="DQ46" s="28" t="n">
        <f aca="false">Costos_Personal!DQ$150</f>
        <v>73355.4804414196</v>
      </c>
      <c r="DR46" s="28" t="n">
        <f aca="false">Costos_Personal!DR$150</f>
        <v>73355.4804414196</v>
      </c>
      <c r="DS46" s="28" t="n">
        <f aca="false">Costos_Personal!DS$150</f>
        <v>73355.4804414196</v>
      </c>
      <c r="DT46" s="28" t="n">
        <f aca="false">Costos_Personal!DT$150</f>
        <v>73355.4804414196</v>
      </c>
      <c r="DU46" s="28" t="n">
        <f aca="false">Costos_Personal!DU$150</f>
        <v>73355.4804414196</v>
      </c>
      <c r="DV46" s="28" t="n">
        <f aca="false">Costos_Personal!DV$150</f>
        <v>64370.6268837116</v>
      </c>
      <c r="DW46" s="28" t="n">
        <f aca="false">Costos_Personal!DW$150</f>
        <v>0</v>
      </c>
      <c r="DX46" s="28" t="n">
        <f aca="false">Costos_Personal!DX$150</f>
        <v>0</v>
      </c>
      <c r="DY46" s="28" t="n">
        <f aca="false">Costos_Personal!DY$150</f>
        <v>0</v>
      </c>
      <c r="DZ46" s="28" t="n">
        <f aca="false">Costos_Personal!DZ$150</f>
        <v>0</v>
      </c>
      <c r="EA46" s="28" t="n">
        <f aca="false">Costos_Personal!EA$150</f>
        <v>0</v>
      </c>
      <c r="EB46" s="28" t="n">
        <f aca="false">Costos_Personal!EB$150</f>
        <v>0</v>
      </c>
      <c r="EC46" s="28" t="n">
        <f aca="false">Costos_Personal!EC$150</f>
        <v>0</v>
      </c>
      <c r="ED46" s="28" t="n">
        <f aca="false">Costos_Personal!ED$150</f>
        <v>0</v>
      </c>
      <c r="EE46" s="28" t="n">
        <f aca="false">Costos_Personal!EE$150</f>
        <v>0</v>
      </c>
      <c r="EF46" s="28" t="n">
        <f aca="false">Costos_Personal!EF$150</f>
        <v>0</v>
      </c>
      <c r="EG46" s="28" t="n">
        <f aca="false">Costos_Personal!EG$150</f>
        <v>0</v>
      </c>
      <c r="EH46" s="28" t="n">
        <f aca="false">Costos_Personal!EH$150</f>
        <v>0</v>
      </c>
      <c r="EI46" s="28" t="n">
        <f aca="false">Costos_Personal!EI$150</f>
        <v>0</v>
      </c>
      <c r="EJ46" s="28" t="n">
        <f aca="false">Costos_Personal!EJ$150</f>
        <v>0</v>
      </c>
      <c r="EK46" s="28" t="n">
        <f aca="false">Costos_Personal!EK$150</f>
        <v>0</v>
      </c>
      <c r="EL46" s="28" t="n">
        <f aca="false">Costos_Personal!EL$150</f>
        <v>0</v>
      </c>
      <c r="EM46" s="28" t="n">
        <f aca="false">Costos_Personal!EM$150</f>
        <v>0</v>
      </c>
      <c r="EN46" s="28" t="n">
        <f aca="false">Costos_Personal!EN$150</f>
        <v>0</v>
      </c>
      <c r="EO46" s="28" t="n">
        <f aca="false">Costos_Personal!EO$150</f>
        <v>0</v>
      </c>
      <c r="EP46" s="28" t="n">
        <f aca="false">Costos_Personal!EP$150</f>
        <v>0</v>
      </c>
      <c r="EQ46" s="28" t="n">
        <f aca="false">Costos_Personal!EQ$150</f>
        <v>0</v>
      </c>
      <c r="ER46" s="28" t="n">
        <f aca="false">Costos_Personal!ER$150</f>
        <v>0</v>
      </c>
      <c r="ES46" s="28" t="n">
        <f aca="false">Costos_Personal!ES$150</f>
        <v>0</v>
      </c>
      <c r="ET46" s="28" t="n">
        <f aca="false">Costos_Personal!ET$150</f>
        <v>0</v>
      </c>
      <c r="EU46" s="28" t="n">
        <f aca="false">Costos_Personal!EU$150</f>
        <v>0</v>
      </c>
      <c r="EV46" s="28" t="n">
        <f aca="false">Costos_Personal!EV$150</f>
        <v>0</v>
      </c>
      <c r="EW46" s="28" t="n">
        <f aca="false">Costos_Personal!EW$150</f>
        <v>0</v>
      </c>
      <c r="EX46" s="28" t="n">
        <f aca="false">Costos_Personal!EX$150</f>
        <v>0</v>
      </c>
      <c r="EY46" s="28" t="n">
        <f aca="false">Costos_Personal!EY$150</f>
        <v>0</v>
      </c>
      <c r="EZ46" s="28" t="n">
        <f aca="false">Costos_Personal!EZ$150</f>
        <v>0</v>
      </c>
      <c r="FA46" s="28" t="n">
        <f aca="false">Costos_Personal!FA$150</f>
        <v>0</v>
      </c>
      <c r="FB46" s="28" t="n">
        <f aca="false">Costos_Personal!FB$150</f>
        <v>0</v>
      </c>
      <c r="FC46" s="28" t="n">
        <f aca="false">Costos_Personal!FC$150</f>
        <v>0</v>
      </c>
      <c r="FD46" s="28" t="n">
        <f aca="false">Costos_Personal!FD$150</f>
        <v>0</v>
      </c>
      <c r="FE46" s="28" t="n">
        <f aca="false">Costos_Personal!FE$150</f>
        <v>0</v>
      </c>
      <c r="FF46" s="28" t="n">
        <f aca="false">Costos_Personal!FF$150</f>
        <v>0</v>
      </c>
    </row>
    <row r="47" customFormat="false" ht="15" hidden="false" customHeight="false" outlineLevel="0" collapsed="false">
      <c r="A47" s="2" t="s">
        <v>1350</v>
      </c>
      <c r="B47" s="8" t="s">
        <v>1351</v>
      </c>
      <c r="C47" s="8" t="s">
        <v>255</v>
      </c>
      <c r="E47" s="65" t="n">
        <f aca="false">SUM($F47:$FF47)</f>
        <v>7964817.76123879</v>
      </c>
      <c r="F47" s="13" t="n">
        <f aca="false">(IF(0-p_LmenI&gt;=0,INDEX($F$46:$FF$46,1,0-p_LmenI+1),0)*(1-p_LmenF)+IF(0-p_LmenI-1&gt;=0,INDEX($F$46:$FF$46,1,0-p_LmenI),0)*p_LmenF)</f>
        <v>0</v>
      </c>
      <c r="G47" s="13" t="n">
        <f aca="false">(IF(1-p_LmenI&gt;=0,INDEX($F$46:$FF$46,1,1-p_LmenI+1),0)*(1-p_LmenF)+IF(1-p_LmenI-1&gt;=0,INDEX($F$46:$FF$46,1,1-p_LmenI),0)*p_LmenF)</f>
        <v>761.701062792606</v>
      </c>
      <c r="H47" s="13" t="n">
        <f aca="false">(IF(2-p_LmenI&gt;=0,INDEX($F$46:$FF$46,1,2-p_LmenI+1),0)*(1-p_LmenF)+IF(2-p_LmenI-1&gt;=0,INDEX($F$46:$FF$46,1,2-p_LmenI),0)*p_LmenF)</f>
        <v>55536.6196683036</v>
      </c>
      <c r="I47" s="13" t="n">
        <f aca="false">(IF(3-p_LmenI&gt;=0,INDEX($F$46:$FF$46,1,3-p_LmenI+1),0)*(1-p_LmenF)+IF(3-p_LmenI-1&gt;=0,INDEX($F$46:$FF$46,1,3-p_LmenI),0)*p_LmenF)</f>
        <v>50672.4497482436</v>
      </c>
      <c r="J47" s="13" t="n">
        <f aca="false">(IF(4-p_LmenI&gt;=0,INDEX($F$46:$FF$46,1,4-p_LmenI+1),0)*(1-p_LmenF)+IF(4-p_LmenI-1&gt;=0,INDEX($F$46:$FF$46,1,4-p_LmenI),0)*p_LmenF)</f>
        <v>50672.4497482436</v>
      </c>
      <c r="K47" s="13" t="n">
        <f aca="false">(IF(5-p_LmenI&gt;=0,INDEX($F$46:$FF$46,1,5-p_LmenI+1),0)*(1-p_LmenF)+IF(5-p_LmenI-1&gt;=0,INDEX($F$46:$FF$46,1,5-p_LmenI),0)*p_LmenF)</f>
        <v>50672.4497482436</v>
      </c>
      <c r="L47" s="13" t="n">
        <f aca="false">(IF(6-p_LmenI&gt;=0,INDEX($F$46:$FF$46,1,6-p_LmenI+1),0)*(1-p_LmenF)+IF(6-p_LmenI-1&gt;=0,INDEX($F$46:$FF$46,1,6-p_LmenI),0)*p_LmenF)</f>
        <v>50672.4497482436</v>
      </c>
      <c r="M47" s="13" t="n">
        <f aca="false">(IF(7-p_LmenI&gt;=0,INDEX($F$46:$FF$46,1,7-p_LmenI+1),0)*(1-p_LmenF)+IF(7-p_LmenI-1&gt;=0,INDEX($F$46:$FF$46,1,7-p_LmenI),0)*p_LmenF)</f>
        <v>50672.4497482436</v>
      </c>
      <c r="N47" s="13" t="n">
        <f aca="false">(IF(8-p_LmenI&gt;=0,INDEX($F$46:$FF$46,1,8-p_LmenI+1),0)*(1-p_LmenF)+IF(8-p_LmenI-1&gt;=0,INDEX($F$46:$FF$46,1,8-p_LmenI),0)*p_LmenF)</f>
        <v>50672.4497482436</v>
      </c>
      <c r="O47" s="13" t="n">
        <f aca="false">(IF(9-p_LmenI&gt;=0,INDEX($F$46:$FF$46,1,9-p_LmenI+1),0)*(1-p_LmenF)+IF(9-p_LmenI-1&gt;=0,INDEX($F$46:$FF$46,1,9-p_LmenI),0)*p_LmenF)</f>
        <v>50672.4497482436</v>
      </c>
      <c r="P47" s="13" t="n">
        <f aca="false">(IF(10-p_LmenI&gt;=0,INDEX($F$46:$FF$46,1,10-p_LmenI+1),0)*(1-p_LmenF)+IF(10-p_LmenI-1&gt;=0,INDEX($F$46:$FF$46,1,10-p_LmenI),0)*p_LmenF)</f>
        <v>50672.4497482436</v>
      </c>
      <c r="Q47" s="13" t="n">
        <f aca="false">(IF(11-p_LmenI&gt;=0,INDEX($F$46:$FF$46,1,11-p_LmenI+1),0)*(1-p_LmenF)+IF(11-p_LmenI-1&gt;=0,INDEX($F$46:$FF$46,1,11-p_LmenI),0)*p_LmenF)</f>
        <v>50672.4497482436</v>
      </c>
      <c r="R47" s="13" t="n">
        <f aca="false">(IF(12-p_LmenI&gt;=0,INDEX($F$46:$FF$46,1,12-p_LmenI+1),0)*(1-p_LmenF)+IF(12-p_LmenI-1&gt;=0,INDEX($F$46:$FF$46,1,12-p_LmenI),0)*p_LmenF)</f>
        <v>50690.2074453725</v>
      </c>
      <c r="S47" s="13" t="n">
        <f aca="false">(IF(13-p_LmenI&gt;=0,INDEX($F$46:$FF$46,1,13-p_LmenI+1),0)*(1-p_LmenF)+IF(13-p_LmenI-1&gt;=0,INDEX($F$46:$FF$46,1,13-p_LmenI),0)*p_LmenF)</f>
        <v>52031.1769723475</v>
      </c>
      <c r="T47" s="13" t="n">
        <f aca="false">(IF(14-p_LmenI&gt;=0,INDEX($F$46:$FF$46,1,14-p_LmenI+1),0)*(1-p_LmenF)+IF(14-p_LmenI-1&gt;=0,INDEX($F$46:$FF$46,1,14-p_LmenI),0)*p_LmenF)</f>
        <v>56525.0809982435</v>
      </c>
      <c r="U47" s="13" t="n">
        <f aca="false">(IF(15-p_LmenI&gt;=0,INDEX($F$46:$FF$46,1,15-p_LmenI+1),0)*(1-p_LmenF)+IF(15-p_LmenI-1&gt;=0,INDEX($F$46:$FF$46,1,15-p_LmenI),0)*p_LmenF)</f>
        <v>56525.0809982435</v>
      </c>
      <c r="V47" s="13" t="n">
        <f aca="false">(IF(16-p_LmenI&gt;=0,INDEX($F$46:$FF$46,1,16-p_LmenI+1),0)*(1-p_LmenF)+IF(16-p_LmenI-1&gt;=0,INDEX($F$46:$FF$46,1,16-p_LmenI),0)*p_LmenF)</f>
        <v>56525.0809982435</v>
      </c>
      <c r="W47" s="13" t="n">
        <f aca="false">(IF(17-p_LmenI&gt;=0,INDEX($F$46:$FF$46,1,17-p_LmenI+1),0)*(1-p_LmenF)+IF(17-p_LmenI-1&gt;=0,INDEX($F$46:$FF$46,1,17-p_LmenI),0)*p_LmenF)</f>
        <v>56525.0809982435</v>
      </c>
      <c r="X47" s="13" t="n">
        <f aca="false">(IF(18-p_LmenI&gt;=0,INDEX($F$46:$FF$46,1,18-p_LmenI+1),0)*(1-p_LmenF)+IF(18-p_LmenI-1&gt;=0,INDEX($F$46:$FF$46,1,18-p_LmenI),0)*p_LmenF)</f>
        <v>56525.0809982435</v>
      </c>
      <c r="Y47" s="13" t="n">
        <f aca="false">(IF(19-p_LmenI&gt;=0,INDEX($F$46:$FF$46,1,19-p_LmenI+1),0)*(1-p_LmenF)+IF(19-p_LmenI-1&gt;=0,INDEX($F$46:$FF$46,1,19-p_LmenI),0)*p_LmenF)</f>
        <v>56525.0809982435</v>
      </c>
      <c r="Z47" s="13" t="n">
        <f aca="false">(IF(20-p_LmenI&gt;=0,INDEX($F$46:$FF$46,1,20-p_LmenI+1),0)*(1-p_LmenF)+IF(20-p_LmenI-1&gt;=0,INDEX($F$46:$FF$46,1,20-p_LmenI),0)*p_LmenF)</f>
        <v>56525.0809982435</v>
      </c>
      <c r="AA47" s="13" t="n">
        <f aca="false">(IF(21-p_LmenI&gt;=0,INDEX($F$46:$FF$46,1,21-p_LmenI+1),0)*(1-p_LmenF)+IF(21-p_LmenI-1&gt;=0,INDEX($F$46:$FF$46,1,21-p_LmenI),0)*p_LmenF)</f>
        <v>56525.0809982435</v>
      </c>
      <c r="AB47" s="13" t="n">
        <f aca="false">(IF(22-p_LmenI&gt;=0,INDEX($F$46:$FF$46,1,22-p_LmenI+1),0)*(1-p_LmenF)+IF(22-p_LmenI-1&gt;=0,INDEX($F$46:$FF$46,1,22-p_LmenI),0)*p_LmenF)</f>
        <v>56525.0809982435</v>
      </c>
      <c r="AC47" s="13" t="n">
        <f aca="false">(IF(23-p_LmenI&gt;=0,INDEX($F$46:$FF$46,1,23-p_LmenI+1),0)*(1-p_LmenF)+IF(23-p_LmenI-1&gt;=0,INDEX($F$46:$FF$46,1,23-p_LmenI),0)*p_LmenF)</f>
        <v>56525.0809982435</v>
      </c>
      <c r="AD47" s="13" t="n">
        <f aca="false">(IF(24-p_LmenI&gt;=0,INDEX($F$46:$FF$46,1,24-p_LmenI+1),0)*(1-p_LmenF)+IF(24-p_LmenI-1&gt;=0,INDEX($F$46:$FF$46,1,24-p_LmenI),0)*p_LmenF)</f>
        <v>56542.9308751435</v>
      </c>
      <c r="AE47" s="13" t="n">
        <f aca="false">(IF(25-p_LmenI&gt;=0,INDEX($F$46:$FF$46,1,25-p_LmenI+1),0)*(1-p_LmenF)+IF(25-p_LmenI-1&gt;=0,INDEX($F$46:$FF$46,1,25-p_LmenI),0)*p_LmenF)</f>
        <v>57893.7635743853</v>
      </c>
      <c r="AF47" s="13" t="n">
        <f aca="false">(IF(26-p_LmenI&gt;=0,INDEX($F$46:$FF$46,1,26-p_LmenI+1),0)*(1-p_LmenF)+IF(26-p_LmenI-1&gt;=0,INDEX($F$46:$FF$46,1,26-p_LmenI),0)*p_LmenF)</f>
        <v>62619.9560702915</v>
      </c>
      <c r="AG47" s="13" t="n">
        <f aca="false">(IF(27-p_LmenI&gt;=0,INDEX($F$46:$FF$46,1,27-p_LmenI+1),0)*(1-p_LmenF)+IF(27-p_LmenI-1&gt;=0,INDEX($F$46:$FF$46,1,27-p_LmenI),0)*p_LmenF)</f>
        <v>62619.9560702915</v>
      </c>
      <c r="AH47" s="13" t="n">
        <f aca="false">(IF(28-p_LmenI&gt;=0,INDEX($F$46:$FF$46,1,28-p_LmenI+1),0)*(1-p_LmenF)+IF(28-p_LmenI-1&gt;=0,INDEX($F$46:$FF$46,1,28-p_LmenI),0)*p_LmenF)</f>
        <v>62619.9560702915</v>
      </c>
      <c r="AI47" s="13" t="n">
        <f aca="false">(IF(29-p_LmenI&gt;=0,INDEX($F$46:$FF$46,1,29-p_LmenI+1),0)*(1-p_LmenF)+IF(29-p_LmenI-1&gt;=0,INDEX($F$46:$FF$46,1,29-p_LmenI),0)*p_LmenF)</f>
        <v>62619.9560702915</v>
      </c>
      <c r="AJ47" s="13" t="n">
        <f aca="false">(IF(30-p_LmenI&gt;=0,INDEX($F$46:$FF$46,1,30-p_LmenI+1),0)*(1-p_LmenF)+IF(30-p_LmenI-1&gt;=0,INDEX($F$46:$FF$46,1,30-p_LmenI),0)*p_LmenF)</f>
        <v>62619.9560702915</v>
      </c>
      <c r="AK47" s="13" t="n">
        <f aca="false">(IF(31-p_LmenI&gt;=0,INDEX($F$46:$FF$46,1,31-p_LmenI+1),0)*(1-p_LmenF)+IF(31-p_LmenI-1&gt;=0,INDEX($F$46:$FF$46,1,31-p_LmenI),0)*p_LmenF)</f>
        <v>62619.9560702915</v>
      </c>
      <c r="AL47" s="13" t="n">
        <f aca="false">(IF(32-p_LmenI&gt;=0,INDEX($F$46:$FF$46,1,32-p_LmenI+1),0)*(1-p_LmenF)+IF(32-p_LmenI-1&gt;=0,INDEX($F$46:$FF$46,1,32-p_LmenI),0)*p_LmenF)</f>
        <v>62619.9560702915</v>
      </c>
      <c r="AM47" s="13" t="n">
        <f aca="false">(IF(33-p_LmenI&gt;=0,INDEX($F$46:$FF$46,1,33-p_LmenI+1),0)*(1-p_LmenF)+IF(33-p_LmenI-1&gt;=0,INDEX($F$46:$FF$46,1,33-p_LmenI),0)*p_LmenF)</f>
        <v>62619.9560702915</v>
      </c>
      <c r="AN47" s="13" t="n">
        <f aca="false">(IF(34-p_LmenI&gt;=0,INDEX($F$46:$FF$46,1,34-p_LmenI+1),0)*(1-p_LmenF)+IF(34-p_LmenI-1&gt;=0,INDEX($F$46:$FF$46,1,34-p_LmenI),0)*p_LmenF)</f>
        <v>62619.9560702915</v>
      </c>
      <c r="AO47" s="13" t="n">
        <f aca="false">(IF(35-p_LmenI&gt;=0,INDEX($F$46:$FF$46,1,35-p_LmenI+1),0)*(1-p_LmenF)+IF(35-p_LmenI-1&gt;=0,INDEX($F$46:$FF$46,1,35-p_LmenI),0)*p_LmenF)</f>
        <v>62619.9560702915</v>
      </c>
      <c r="AP47" s="13" t="n">
        <f aca="false">(IF(36-p_LmenI&gt;=0,INDEX($F$46:$FF$46,1,36-p_LmenI+1),0)*(1-p_LmenF)+IF(36-p_LmenI-1&gt;=0,INDEX($F$46:$FF$46,1,36-p_LmenI),0)*p_LmenF)</f>
        <v>62634.3915188597</v>
      </c>
      <c r="AQ47" s="13" t="n">
        <f aca="false">(IF(37-p_LmenI&gt;=0,INDEX($F$46:$FF$46,1,37-p_LmenI+1),0)*(1-p_LmenF)+IF(37-p_LmenI-1&gt;=0,INDEX($F$46:$FF$46,1,37-p_LmenI),0)*p_LmenF)</f>
        <v>63729.7976697647</v>
      </c>
      <c r="AR47" s="13" t="n">
        <f aca="false">(IF(38-p_LmenI&gt;=0,INDEX($F$46:$FF$46,1,38-p_LmenI+1),0)*(1-p_LmenF)+IF(38-p_LmenI-1&gt;=0,INDEX($F$46:$FF$46,1,38-p_LmenI),0)*p_LmenF)</f>
        <v>67765.6751573158</v>
      </c>
      <c r="AS47" s="13" t="n">
        <f aca="false">(IF(39-p_LmenI&gt;=0,INDEX($F$46:$FF$46,1,39-p_LmenI+1),0)*(1-p_LmenF)+IF(39-p_LmenI-1&gt;=0,INDEX($F$46:$FF$46,1,39-p_LmenI),0)*p_LmenF)</f>
        <v>67765.6751573158</v>
      </c>
      <c r="AT47" s="13" t="n">
        <f aca="false">(IF(40-p_LmenI&gt;=0,INDEX($F$46:$FF$46,1,40-p_LmenI+1),0)*(1-p_LmenF)+IF(40-p_LmenI-1&gt;=0,INDEX($F$46:$FF$46,1,40-p_LmenI),0)*p_LmenF)</f>
        <v>67765.6751573158</v>
      </c>
      <c r="AU47" s="13" t="n">
        <f aca="false">(IF(41-p_LmenI&gt;=0,INDEX($F$46:$FF$46,1,41-p_LmenI+1),0)*(1-p_LmenF)+IF(41-p_LmenI-1&gt;=0,INDEX($F$46:$FF$46,1,41-p_LmenI),0)*p_LmenF)</f>
        <v>67765.6751573158</v>
      </c>
      <c r="AV47" s="13" t="n">
        <f aca="false">(IF(42-p_LmenI&gt;=0,INDEX($F$46:$FF$46,1,42-p_LmenI+1),0)*(1-p_LmenF)+IF(42-p_LmenI-1&gt;=0,INDEX($F$46:$FF$46,1,42-p_LmenI),0)*p_LmenF)</f>
        <v>67765.6751573158</v>
      </c>
      <c r="AW47" s="13" t="n">
        <f aca="false">(IF(43-p_LmenI&gt;=0,INDEX($F$46:$FF$46,1,43-p_LmenI+1),0)*(1-p_LmenF)+IF(43-p_LmenI-1&gt;=0,INDEX($F$46:$FF$46,1,43-p_LmenI),0)*p_LmenF)</f>
        <v>67765.6751573158</v>
      </c>
      <c r="AX47" s="13" t="n">
        <f aca="false">(IF(44-p_LmenI&gt;=0,INDEX($F$46:$FF$46,1,44-p_LmenI+1),0)*(1-p_LmenF)+IF(44-p_LmenI-1&gt;=0,INDEX($F$46:$FF$46,1,44-p_LmenI),0)*p_LmenF)</f>
        <v>67765.6751573158</v>
      </c>
      <c r="AY47" s="13" t="n">
        <f aca="false">(IF(45-p_LmenI&gt;=0,INDEX($F$46:$FF$46,1,45-p_LmenI+1),0)*(1-p_LmenF)+IF(45-p_LmenI-1&gt;=0,INDEX($F$46:$FF$46,1,45-p_LmenI),0)*p_LmenF)</f>
        <v>67765.6751573158</v>
      </c>
      <c r="AZ47" s="13" t="n">
        <f aca="false">(IF(46-p_LmenI&gt;=0,INDEX($F$46:$FF$46,1,46-p_LmenI+1),0)*(1-p_LmenF)+IF(46-p_LmenI-1&gt;=0,INDEX($F$46:$FF$46,1,46-p_LmenI),0)*p_LmenF)</f>
        <v>67765.6751573158</v>
      </c>
      <c r="BA47" s="13" t="n">
        <f aca="false">(IF(47-p_LmenI&gt;=0,INDEX($F$46:$FF$46,1,47-p_LmenI+1),0)*(1-p_LmenF)+IF(47-p_LmenI-1&gt;=0,INDEX($F$46:$FF$46,1,47-p_LmenI),0)*p_LmenF)</f>
        <v>67765.6751573158</v>
      </c>
      <c r="BB47" s="13" t="n">
        <f aca="false">(IF(48-p_LmenI&gt;=0,INDEX($F$46:$FF$46,1,48-p_LmenI+1),0)*(1-p_LmenF)+IF(48-p_LmenI-1&gt;=0,INDEX($F$46:$FF$46,1,48-p_LmenI),0)*p_LmenF)</f>
        <v>67765.6751573158</v>
      </c>
      <c r="BC47" s="13" t="n">
        <f aca="false">(IF(49-p_LmenI&gt;=0,INDEX($F$46:$FF$46,1,49-p_LmenI+1),0)*(1-p_LmenF)+IF(49-p_LmenI-1&gt;=0,INDEX($F$46:$FF$46,1,49-p_LmenI),0)*p_LmenF)</f>
        <v>67779.5216718072</v>
      </c>
      <c r="BD47" s="13" t="n">
        <f aca="false">(IF(50-p_LmenI&gt;=0,INDEX($F$46:$FF$46,1,50-p_LmenI+1),0)*(1-p_LmenF)+IF(50-p_LmenI-1&gt;=0,INDEX($F$46:$FF$46,1,50-p_LmenI),0)*p_LmenF)</f>
        <v>68776.4707151862</v>
      </c>
      <c r="BE47" s="13" t="n">
        <f aca="false">(IF(51-p_LmenI&gt;=0,INDEX($F$46:$FF$46,1,51-p_LmenI+1),0)*(1-p_LmenF)+IF(51-p_LmenI-1&gt;=0,INDEX($F$46:$FF$46,1,51-p_LmenI),0)*p_LmenF)</f>
        <v>68776.4707151862</v>
      </c>
      <c r="BF47" s="13" t="n">
        <f aca="false">(IF(52-p_LmenI&gt;=0,INDEX($F$46:$FF$46,1,52-p_LmenI+1),0)*(1-p_LmenF)+IF(52-p_LmenI-1&gt;=0,INDEX($F$46:$FF$46,1,52-p_LmenI),0)*p_LmenF)</f>
        <v>68776.4707151862</v>
      </c>
      <c r="BG47" s="13" t="n">
        <f aca="false">(IF(53-p_LmenI&gt;=0,INDEX($F$46:$FF$46,1,53-p_LmenI+1),0)*(1-p_LmenF)+IF(53-p_LmenI-1&gt;=0,INDEX($F$46:$FF$46,1,53-p_LmenI),0)*p_LmenF)</f>
        <v>68776.4707151862</v>
      </c>
      <c r="BH47" s="13" t="n">
        <f aca="false">(IF(54-p_LmenI&gt;=0,INDEX($F$46:$FF$46,1,54-p_LmenI+1),0)*(1-p_LmenF)+IF(54-p_LmenI-1&gt;=0,INDEX($F$46:$FF$46,1,54-p_LmenI),0)*p_LmenF)</f>
        <v>68776.4707151862</v>
      </c>
      <c r="BI47" s="13" t="n">
        <f aca="false">(IF(55-p_LmenI&gt;=0,INDEX($F$46:$FF$46,1,55-p_LmenI+1),0)*(1-p_LmenF)+IF(55-p_LmenI-1&gt;=0,INDEX($F$46:$FF$46,1,55-p_LmenI),0)*p_LmenF)</f>
        <v>68776.4707151862</v>
      </c>
      <c r="BJ47" s="13" t="n">
        <f aca="false">(IF(56-p_LmenI&gt;=0,INDEX($F$46:$FF$46,1,56-p_LmenI+1),0)*(1-p_LmenF)+IF(56-p_LmenI-1&gt;=0,INDEX($F$46:$FF$46,1,56-p_LmenI),0)*p_LmenF)</f>
        <v>68776.4707151862</v>
      </c>
      <c r="BK47" s="13" t="n">
        <f aca="false">(IF(57-p_LmenI&gt;=0,INDEX($F$46:$FF$46,1,57-p_LmenI+1),0)*(1-p_LmenF)+IF(57-p_LmenI-1&gt;=0,INDEX($F$46:$FF$46,1,57-p_LmenI),0)*p_LmenF)</f>
        <v>68776.4707151862</v>
      </c>
      <c r="BL47" s="13" t="n">
        <f aca="false">(IF(58-p_LmenI&gt;=0,INDEX($F$46:$FF$46,1,58-p_LmenI+1),0)*(1-p_LmenF)+IF(58-p_LmenI-1&gt;=0,INDEX($F$46:$FF$46,1,58-p_LmenI),0)*p_LmenF)</f>
        <v>68776.4707151862</v>
      </c>
      <c r="BM47" s="13" t="n">
        <f aca="false">(IF(59-p_LmenI&gt;=0,INDEX($F$46:$FF$46,1,59-p_LmenI+1),0)*(1-p_LmenF)+IF(59-p_LmenI-1&gt;=0,INDEX($F$46:$FF$46,1,59-p_LmenI),0)*p_LmenF)</f>
        <v>68776.4707151862</v>
      </c>
      <c r="BN47" s="13" t="n">
        <f aca="false">(IF(60-p_LmenI&gt;=0,INDEX($F$46:$FF$46,1,60-p_LmenI+1),0)*(1-p_LmenF)+IF(60-p_LmenI-1&gt;=0,INDEX($F$46:$FF$46,1,60-p_LmenI),0)*p_LmenF)</f>
        <v>68776.4707151862</v>
      </c>
      <c r="BO47" s="13" t="n">
        <f aca="false">(IF(61-p_LmenI&gt;=0,INDEX($F$46:$FF$46,1,61-p_LmenI+1),0)*(1-p_LmenF)+IF(61-p_LmenI-1&gt;=0,INDEX($F$46:$FF$46,1,61-p_LmenI),0)*p_LmenF)</f>
        <v>68788.4461079971</v>
      </c>
      <c r="BP47" s="13" t="n">
        <f aca="false">(IF(62-p_LmenI&gt;=0,INDEX($F$46:$FF$46,1,62-p_LmenI+1),0)*(1-p_LmenF)+IF(62-p_LmenI-1&gt;=0,INDEX($F$46:$FF$46,1,62-p_LmenI),0)*p_LmenF)</f>
        <v>69650.6743903824</v>
      </c>
      <c r="BQ47" s="13" t="n">
        <f aca="false">(IF(63-p_LmenI&gt;=0,INDEX($F$46:$FF$46,1,63-p_LmenI+1),0)*(1-p_LmenF)+IF(63-p_LmenI-1&gt;=0,INDEX($F$46:$FF$46,1,63-p_LmenI),0)*p_LmenF)</f>
        <v>69650.6743903824</v>
      </c>
      <c r="BR47" s="13" t="n">
        <f aca="false">(IF(64-p_LmenI&gt;=0,INDEX($F$46:$FF$46,1,64-p_LmenI+1),0)*(1-p_LmenF)+IF(64-p_LmenI-1&gt;=0,INDEX($F$46:$FF$46,1,64-p_LmenI),0)*p_LmenF)</f>
        <v>69650.6743903824</v>
      </c>
      <c r="BS47" s="13" t="n">
        <f aca="false">(IF(65-p_LmenI&gt;=0,INDEX($F$46:$FF$46,1,65-p_LmenI+1),0)*(1-p_LmenF)+IF(65-p_LmenI-1&gt;=0,INDEX($F$46:$FF$46,1,65-p_LmenI),0)*p_LmenF)</f>
        <v>69650.6743903824</v>
      </c>
      <c r="BT47" s="13" t="n">
        <f aca="false">(IF(66-p_LmenI&gt;=0,INDEX($F$46:$FF$46,1,66-p_LmenI+1),0)*(1-p_LmenF)+IF(66-p_LmenI-1&gt;=0,INDEX($F$46:$FF$46,1,66-p_LmenI),0)*p_LmenF)</f>
        <v>69650.6743903824</v>
      </c>
      <c r="BU47" s="13" t="n">
        <f aca="false">(IF(67-p_LmenI&gt;=0,INDEX($F$46:$FF$46,1,67-p_LmenI+1),0)*(1-p_LmenF)+IF(67-p_LmenI-1&gt;=0,INDEX($F$46:$FF$46,1,67-p_LmenI),0)*p_LmenF)</f>
        <v>69650.6743903824</v>
      </c>
      <c r="BV47" s="13" t="n">
        <f aca="false">(IF(68-p_LmenI&gt;=0,INDEX($F$46:$FF$46,1,68-p_LmenI+1),0)*(1-p_LmenF)+IF(68-p_LmenI-1&gt;=0,INDEX($F$46:$FF$46,1,68-p_LmenI),0)*p_LmenF)</f>
        <v>69650.6743903824</v>
      </c>
      <c r="BW47" s="13" t="n">
        <f aca="false">(IF(69-p_LmenI&gt;=0,INDEX($F$46:$FF$46,1,69-p_LmenI+1),0)*(1-p_LmenF)+IF(69-p_LmenI-1&gt;=0,INDEX($F$46:$FF$46,1,69-p_LmenI),0)*p_LmenF)</f>
        <v>69650.6743903824</v>
      </c>
      <c r="BX47" s="13" t="n">
        <f aca="false">(IF(70-p_LmenI&gt;=0,INDEX($F$46:$FF$46,1,70-p_LmenI+1),0)*(1-p_LmenF)+IF(70-p_LmenI-1&gt;=0,INDEX($F$46:$FF$46,1,70-p_LmenI),0)*p_LmenF)</f>
        <v>69650.6743903824</v>
      </c>
      <c r="BY47" s="13" t="n">
        <f aca="false">(IF(71-p_LmenI&gt;=0,INDEX($F$46:$FF$46,1,71-p_LmenI+1),0)*(1-p_LmenF)+IF(71-p_LmenI-1&gt;=0,INDEX($F$46:$FF$46,1,71-p_LmenI),0)*p_LmenF)</f>
        <v>69650.6743903824</v>
      </c>
      <c r="BZ47" s="13" t="n">
        <f aca="false">(IF(72-p_LmenI&gt;=0,INDEX($F$46:$FF$46,1,72-p_LmenI+1),0)*(1-p_LmenF)+IF(72-p_LmenI-1&gt;=0,INDEX($F$46:$FF$46,1,72-p_LmenI),0)*p_LmenF)</f>
        <v>69650.6743903824</v>
      </c>
      <c r="CA47" s="13" t="n">
        <f aca="false">(IF(73-p_LmenI&gt;=0,INDEX($F$46:$FF$46,1,73-p_LmenI+1),0)*(1-p_LmenF)+IF(73-p_LmenI-1&gt;=0,INDEX($F$46:$FF$46,1,73-p_LmenI),0)*p_LmenF)</f>
        <v>69662.9268845554</v>
      </c>
      <c r="CB47" s="13" t="n">
        <f aca="false">(IF(74-p_LmenI&gt;=0,INDEX($F$46:$FF$46,1,74-p_LmenI+1),0)*(1-p_LmenF)+IF(74-p_LmenI-1&gt;=0,INDEX($F$46:$FF$46,1,74-p_LmenI),0)*p_LmenF)</f>
        <v>70545.1064650103</v>
      </c>
      <c r="CC47" s="13" t="n">
        <f aca="false">(IF(75-p_LmenI&gt;=0,INDEX($F$46:$FF$46,1,75-p_LmenI+1),0)*(1-p_LmenF)+IF(75-p_LmenI-1&gt;=0,INDEX($F$46:$FF$46,1,75-p_LmenI),0)*p_LmenF)</f>
        <v>70545.1064650103</v>
      </c>
      <c r="CD47" s="13" t="n">
        <f aca="false">(IF(76-p_LmenI&gt;=0,INDEX($F$46:$FF$46,1,76-p_LmenI+1),0)*(1-p_LmenF)+IF(76-p_LmenI-1&gt;=0,INDEX($F$46:$FF$46,1,76-p_LmenI),0)*p_LmenF)</f>
        <v>70545.1064650103</v>
      </c>
      <c r="CE47" s="13" t="n">
        <f aca="false">(IF(77-p_LmenI&gt;=0,INDEX($F$46:$FF$46,1,77-p_LmenI+1),0)*(1-p_LmenF)+IF(77-p_LmenI-1&gt;=0,INDEX($F$46:$FF$46,1,77-p_LmenI),0)*p_LmenF)</f>
        <v>70545.1064650103</v>
      </c>
      <c r="CF47" s="13" t="n">
        <f aca="false">(IF(78-p_LmenI&gt;=0,INDEX($F$46:$FF$46,1,78-p_LmenI+1),0)*(1-p_LmenF)+IF(78-p_LmenI-1&gt;=0,INDEX($F$46:$FF$46,1,78-p_LmenI),0)*p_LmenF)</f>
        <v>70545.1064650103</v>
      </c>
      <c r="CG47" s="13" t="n">
        <f aca="false">(IF(79-p_LmenI&gt;=0,INDEX($F$46:$FF$46,1,79-p_LmenI+1),0)*(1-p_LmenF)+IF(79-p_LmenI-1&gt;=0,INDEX($F$46:$FF$46,1,79-p_LmenI),0)*p_LmenF)</f>
        <v>70545.1064650103</v>
      </c>
      <c r="CH47" s="13" t="n">
        <f aca="false">(IF(80-p_LmenI&gt;=0,INDEX($F$46:$FF$46,1,80-p_LmenI+1),0)*(1-p_LmenF)+IF(80-p_LmenI-1&gt;=0,INDEX($F$46:$FF$46,1,80-p_LmenI),0)*p_LmenF)</f>
        <v>70545.1064650103</v>
      </c>
      <c r="CI47" s="13" t="n">
        <f aca="false">(IF(81-p_LmenI&gt;=0,INDEX($F$46:$FF$46,1,81-p_LmenI+1),0)*(1-p_LmenF)+IF(81-p_LmenI-1&gt;=0,INDEX($F$46:$FF$46,1,81-p_LmenI),0)*p_LmenF)</f>
        <v>70545.1064650103</v>
      </c>
      <c r="CJ47" s="13" t="n">
        <f aca="false">(IF(82-p_LmenI&gt;=0,INDEX($F$46:$FF$46,1,82-p_LmenI+1),0)*(1-p_LmenF)+IF(82-p_LmenI-1&gt;=0,INDEX($F$46:$FF$46,1,82-p_LmenI),0)*p_LmenF)</f>
        <v>70545.1064650103</v>
      </c>
      <c r="CK47" s="13" t="n">
        <f aca="false">(IF(83-p_LmenI&gt;=0,INDEX($F$46:$FF$46,1,83-p_LmenI+1),0)*(1-p_LmenF)+IF(83-p_LmenI-1&gt;=0,INDEX($F$46:$FF$46,1,83-p_LmenI),0)*p_LmenF)</f>
        <v>70545.1064650103</v>
      </c>
      <c r="CL47" s="13" t="n">
        <f aca="false">(IF(84-p_LmenI&gt;=0,INDEX($F$46:$FF$46,1,84-p_LmenI+1),0)*(1-p_LmenF)+IF(84-p_LmenI-1&gt;=0,INDEX($F$46:$FF$46,1,84-p_LmenI),0)*p_LmenF)</f>
        <v>70545.1064650103</v>
      </c>
      <c r="CM47" s="13" t="n">
        <f aca="false">(IF(85-p_LmenI&gt;=0,INDEX($F$46:$FF$46,1,85-p_LmenI+1),0)*(1-p_LmenF)+IF(85-p_LmenI-1&gt;=0,INDEX($F$46:$FF$46,1,85-p_LmenI),0)*p_LmenF)</f>
        <v>70557.6437656354</v>
      </c>
      <c r="CN47" s="13" t="n">
        <f aca="false">(IF(86-p_LmenI&gt;=0,INDEX($F$46:$FF$46,1,86-p_LmenI+1),0)*(1-p_LmenF)+IF(86-p_LmenI-1&gt;=0,INDEX($F$46:$FF$46,1,86-p_LmenI),0)*p_LmenF)</f>
        <v>71460.3294106446</v>
      </c>
      <c r="CO47" s="13" t="n">
        <f aca="false">(IF(87-p_LmenI&gt;=0,INDEX($F$46:$FF$46,1,87-p_LmenI+1),0)*(1-p_LmenF)+IF(87-p_LmenI-1&gt;=0,INDEX($F$46:$FF$46,1,87-p_LmenI),0)*p_LmenF)</f>
        <v>71460.3294106446</v>
      </c>
      <c r="CP47" s="13" t="n">
        <f aca="false">(IF(88-p_LmenI&gt;=0,INDEX($F$46:$FF$46,1,88-p_LmenI+1),0)*(1-p_LmenF)+IF(88-p_LmenI-1&gt;=0,INDEX($F$46:$FF$46,1,88-p_LmenI),0)*p_LmenF)</f>
        <v>71460.3294106446</v>
      </c>
      <c r="CQ47" s="13" t="n">
        <f aca="false">(IF(89-p_LmenI&gt;=0,INDEX($F$46:$FF$46,1,89-p_LmenI+1),0)*(1-p_LmenF)+IF(89-p_LmenI-1&gt;=0,INDEX($F$46:$FF$46,1,89-p_LmenI),0)*p_LmenF)</f>
        <v>71460.3294106446</v>
      </c>
      <c r="CR47" s="13" t="n">
        <f aca="false">(IF(90-p_LmenI&gt;=0,INDEX($F$46:$FF$46,1,90-p_LmenI+1),0)*(1-p_LmenF)+IF(90-p_LmenI-1&gt;=0,INDEX($F$46:$FF$46,1,90-p_LmenI),0)*p_LmenF)</f>
        <v>71460.3294106446</v>
      </c>
      <c r="CS47" s="13" t="n">
        <f aca="false">(IF(91-p_LmenI&gt;=0,INDEX($F$46:$FF$46,1,91-p_LmenI+1),0)*(1-p_LmenF)+IF(91-p_LmenI-1&gt;=0,INDEX($F$46:$FF$46,1,91-p_LmenI),0)*p_LmenF)</f>
        <v>71460.3294106446</v>
      </c>
      <c r="CT47" s="13" t="n">
        <f aca="false">(IF(92-p_LmenI&gt;=0,INDEX($F$46:$FF$46,1,92-p_LmenI+1),0)*(1-p_LmenF)+IF(92-p_LmenI-1&gt;=0,INDEX($F$46:$FF$46,1,92-p_LmenI),0)*p_LmenF)</f>
        <v>71460.3294106446</v>
      </c>
      <c r="CU47" s="13" t="n">
        <f aca="false">(IF(93-p_LmenI&gt;=0,INDEX($F$46:$FF$46,1,93-p_LmenI+1),0)*(1-p_LmenF)+IF(93-p_LmenI-1&gt;=0,INDEX($F$46:$FF$46,1,93-p_LmenI),0)*p_LmenF)</f>
        <v>71460.3294106446</v>
      </c>
      <c r="CV47" s="13" t="n">
        <f aca="false">(IF(94-p_LmenI&gt;=0,INDEX($F$46:$FF$46,1,94-p_LmenI+1),0)*(1-p_LmenF)+IF(94-p_LmenI-1&gt;=0,INDEX($F$46:$FF$46,1,94-p_LmenI),0)*p_LmenF)</f>
        <v>71460.3294106446</v>
      </c>
      <c r="CW47" s="13" t="n">
        <f aca="false">(IF(95-p_LmenI&gt;=0,INDEX($F$46:$FF$46,1,95-p_LmenI+1),0)*(1-p_LmenF)+IF(95-p_LmenI-1&gt;=0,INDEX($F$46:$FF$46,1,95-p_LmenI),0)*p_LmenF)</f>
        <v>71460.3294106446</v>
      </c>
      <c r="CX47" s="13" t="n">
        <f aca="false">(IF(96-p_LmenI&gt;=0,INDEX($F$46:$FF$46,1,96-p_LmenI+1),0)*(1-p_LmenF)+IF(96-p_LmenI-1&gt;=0,INDEX($F$46:$FF$46,1,96-p_LmenI),0)*p_LmenF)</f>
        <v>71460.3294106446</v>
      </c>
      <c r="CY47" s="13" t="n">
        <f aca="false">(IF(97-p_LmenI&gt;=0,INDEX($F$46:$FF$46,1,97-p_LmenI+1),0)*(1-p_LmenF)+IF(97-p_LmenI-1&gt;=0,INDEX($F$46:$FF$46,1,97-p_LmenI),0)*p_LmenF)</f>
        <v>71473.1594478852</v>
      </c>
      <c r="CZ47" s="13" t="n">
        <f aca="false">(IF(98-p_LmenI&gt;=0,INDEX($F$46:$FF$46,1,98-p_LmenI+1),0)*(1-p_LmenF)+IF(98-p_LmenI-1&gt;=0,INDEX($F$46:$FF$46,1,98-p_LmenI),0)*p_LmenF)</f>
        <v>72396.9221292033</v>
      </c>
      <c r="DA47" s="13" t="n">
        <f aca="false">(IF(99-p_LmenI&gt;=0,INDEX($F$46:$FF$46,1,99-p_LmenI+1),0)*(1-p_LmenF)+IF(99-p_LmenI-1&gt;=0,INDEX($F$46:$FF$46,1,99-p_LmenI),0)*p_LmenF)</f>
        <v>72396.9221292033</v>
      </c>
      <c r="DB47" s="13" t="n">
        <f aca="false">(IF(100-p_LmenI&gt;=0,INDEX($F$46:$FF$46,1,100-p_LmenI+1),0)*(1-p_LmenF)+IF(100-p_LmenI-1&gt;=0,INDEX($F$46:$FF$46,1,100-p_LmenI),0)*p_LmenF)</f>
        <v>72396.9221292033</v>
      </c>
      <c r="DC47" s="13" t="n">
        <f aca="false">(IF(101-p_LmenI&gt;=0,INDEX($F$46:$FF$46,1,101-p_LmenI+1),0)*(1-p_LmenF)+IF(101-p_LmenI-1&gt;=0,INDEX($F$46:$FF$46,1,101-p_LmenI),0)*p_LmenF)</f>
        <v>72396.9221292033</v>
      </c>
      <c r="DD47" s="13" t="n">
        <f aca="false">(IF(102-p_LmenI&gt;=0,INDEX($F$46:$FF$46,1,102-p_LmenI+1),0)*(1-p_LmenF)+IF(102-p_LmenI-1&gt;=0,INDEX($F$46:$FF$46,1,102-p_LmenI),0)*p_LmenF)</f>
        <v>72396.9221292033</v>
      </c>
      <c r="DE47" s="13" t="n">
        <f aca="false">(IF(103-p_LmenI&gt;=0,INDEX($F$46:$FF$46,1,103-p_LmenI+1),0)*(1-p_LmenF)+IF(103-p_LmenI-1&gt;=0,INDEX($F$46:$FF$46,1,103-p_LmenI),0)*p_LmenF)</f>
        <v>72396.9221292033</v>
      </c>
      <c r="DF47" s="13" t="n">
        <f aca="false">(IF(104-p_LmenI&gt;=0,INDEX($F$46:$FF$46,1,104-p_LmenI+1),0)*(1-p_LmenF)+IF(104-p_LmenI-1&gt;=0,INDEX($F$46:$FF$46,1,104-p_LmenI),0)*p_LmenF)</f>
        <v>72396.9221292033</v>
      </c>
      <c r="DG47" s="13" t="n">
        <f aca="false">(IF(105-p_LmenI&gt;=0,INDEX($F$46:$FF$46,1,105-p_LmenI+1),0)*(1-p_LmenF)+IF(105-p_LmenI-1&gt;=0,INDEX($F$46:$FF$46,1,105-p_LmenI),0)*p_LmenF)</f>
        <v>72396.9221292033</v>
      </c>
      <c r="DH47" s="13" t="n">
        <f aca="false">(IF(106-p_LmenI&gt;=0,INDEX($F$46:$FF$46,1,106-p_LmenI+1),0)*(1-p_LmenF)+IF(106-p_LmenI-1&gt;=0,INDEX($F$46:$FF$46,1,106-p_LmenI),0)*p_LmenF)</f>
        <v>72396.9221292033</v>
      </c>
      <c r="DI47" s="13" t="n">
        <f aca="false">(IF(107-p_LmenI&gt;=0,INDEX($F$46:$FF$46,1,107-p_LmenI+1),0)*(1-p_LmenF)+IF(107-p_LmenI-1&gt;=0,INDEX($F$46:$FF$46,1,107-p_LmenI),0)*p_LmenF)</f>
        <v>72396.9221292033</v>
      </c>
      <c r="DJ47" s="13" t="n">
        <f aca="false">(IF(108-p_LmenI&gt;=0,INDEX($F$46:$FF$46,1,108-p_LmenI+1),0)*(1-p_LmenF)+IF(108-p_LmenI-1&gt;=0,INDEX($F$46:$FF$46,1,108-p_LmenI),0)*p_LmenF)</f>
        <v>72396.9221292033</v>
      </c>
      <c r="DK47" s="13" t="n">
        <f aca="false">(IF(109-p_LmenI&gt;=0,INDEX($F$46:$FF$46,1,109-p_LmenI+1),0)*(1-p_LmenF)+IF(109-p_LmenI-1&gt;=0,INDEX($F$46:$FF$46,1,109-p_LmenI),0)*p_LmenF)</f>
        <v>72410.0530649871</v>
      </c>
      <c r="DL47" s="13" t="n">
        <f aca="false">(IF(110-p_LmenI&gt;=0,INDEX($F$46:$FF$46,1,110-p_LmenI+1),0)*(1-p_LmenF)+IF(110-p_LmenI-1&gt;=0,INDEX($F$46:$FF$46,1,110-p_LmenI),0)*p_LmenF)</f>
        <v>73355.4804414196</v>
      </c>
      <c r="DM47" s="13" t="n">
        <f aca="false">(IF(111-p_LmenI&gt;=0,INDEX($F$46:$FF$46,1,111-p_LmenI+1),0)*(1-p_LmenF)+IF(111-p_LmenI-1&gt;=0,INDEX($F$46:$FF$46,1,111-p_LmenI),0)*p_LmenF)</f>
        <v>73355.4804414196</v>
      </c>
      <c r="DN47" s="13" t="n">
        <f aca="false">(IF(112-p_LmenI&gt;=0,INDEX($F$46:$FF$46,1,112-p_LmenI+1),0)*(1-p_LmenF)+IF(112-p_LmenI-1&gt;=0,INDEX($F$46:$FF$46,1,112-p_LmenI),0)*p_LmenF)</f>
        <v>73355.4804414196</v>
      </c>
      <c r="DO47" s="13" t="n">
        <f aca="false">(IF(113-p_LmenI&gt;=0,INDEX($F$46:$FF$46,1,113-p_LmenI+1),0)*(1-p_LmenF)+IF(113-p_LmenI-1&gt;=0,INDEX($F$46:$FF$46,1,113-p_LmenI),0)*p_LmenF)</f>
        <v>73355.4804414196</v>
      </c>
      <c r="DP47" s="13" t="n">
        <f aca="false">(IF(114-p_LmenI&gt;=0,INDEX($F$46:$FF$46,1,114-p_LmenI+1),0)*(1-p_LmenF)+IF(114-p_LmenI-1&gt;=0,INDEX($F$46:$FF$46,1,114-p_LmenI),0)*p_LmenF)</f>
        <v>73355.4804414196</v>
      </c>
      <c r="DQ47" s="13" t="n">
        <f aca="false">(IF(115-p_LmenI&gt;=0,INDEX($F$46:$FF$46,1,115-p_LmenI+1),0)*(1-p_LmenF)+IF(115-p_LmenI-1&gt;=0,INDEX($F$46:$FF$46,1,115-p_LmenI),0)*p_LmenF)</f>
        <v>73355.4804414196</v>
      </c>
      <c r="DR47" s="13" t="n">
        <f aca="false">(IF(116-p_LmenI&gt;=0,INDEX($F$46:$FF$46,1,116-p_LmenI+1),0)*(1-p_LmenF)+IF(116-p_LmenI-1&gt;=0,INDEX($F$46:$FF$46,1,116-p_LmenI),0)*p_LmenF)</f>
        <v>73355.4804414196</v>
      </c>
      <c r="DS47" s="13" t="n">
        <f aca="false">(IF(117-p_LmenI&gt;=0,INDEX($F$46:$FF$46,1,117-p_LmenI+1),0)*(1-p_LmenF)+IF(117-p_LmenI-1&gt;=0,INDEX($F$46:$FF$46,1,117-p_LmenI),0)*p_LmenF)</f>
        <v>73355.4804414196</v>
      </c>
      <c r="DT47" s="13" t="n">
        <f aca="false">(IF(118-p_LmenI&gt;=0,INDEX($F$46:$FF$46,1,118-p_LmenI+1),0)*(1-p_LmenF)+IF(118-p_LmenI-1&gt;=0,INDEX($F$46:$FF$46,1,118-p_LmenI),0)*p_LmenF)</f>
        <v>73355.4804414196</v>
      </c>
      <c r="DU47" s="13" t="n">
        <f aca="false">(IF(119-p_LmenI&gt;=0,INDEX($F$46:$FF$46,1,119-p_LmenI+1),0)*(1-p_LmenF)+IF(119-p_LmenI-1&gt;=0,INDEX($F$46:$FF$46,1,119-p_LmenI),0)*p_LmenF)</f>
        <v>73355.4804414196</v>
      </c>
      <c r="DV47" s="13" t="n">
        <f aca="false">(IF(120-p_LmenI&gt;=0,INDEX($F$46:$FF$46,1,120-p_LmenI+1),0)*(1-p_LmenF)+IF(120-p_LmenI-1&gt;=0,INDEX($F$46:$FF$46,1,120-p_LmenI),0)*p_LmenF)</f>
        <v>73232.4002556976</v>
      </c>
      <c r="DW47" s="13" t="n">
        <f aca="false">(IF(121-p_LmenI&gt;=0,INDEX($F$46:$FF$46,1,121-p_LmenI+1),0)*(1-p_LmenF)+IF(121-p_LmenI-1&gt;=0,INDEX($F$46:$FF$46,1,121-p_LmenI),0)*p_LmenF)</f>
        <v>63488.8374743457</v>
      </c>
      <c r="DX47" s="13" t="n">
        <f aca="false">(IF(122-p_LmenI&gt;=0,INDEX($F$46:$FF$46,1,122-p_LmenI+1),0)*(1-p_LmenF)+IF(122-p_LmenI-1&gt;=0,INDEX($F$46:$FF$46,1,122-p_LmenI),0)*p_LmenF)</f>
        <v>0</v>
      </c>
      <c r="DY47" s="13" t="n">
        <f aca="false">(IF(123-p_LmenI&gt;=0,INDEX($F$46:$FF$46,1,123-p_LmenI+1),0)*(1-p_LmenF)+IF(123-p_LmenI-1&gt;=0,INDEX($F$46:$FF$46,1,123-p_LmenI),0)*p_LmenF)</f>
        <v>0</v>
      </c>
      <c r="DZ47" s="13" t="n">
        <f aca="false">(IF(124-p_LmenI&gt;=0,INDEX($F$46:$FF$46,1,124-p_LmenI+1),0)*(1-p_LmenF)+IF(124-p_LmenI-1&gt;=0,INDEX($F$46:$FF$46,1,124-p_LmenI),0)*p_LmenF)</f>
        <v>0</v>
      </c>
      <c r="EA47" s="13" t="n">
        <f aca="false">(IF(125-p_LmenI&gt;=0,INDEX($F$46:$FF$46,1,125-p_LmenI+1),0)*(1-p_LmenF)+IF(125-p_LmenI-1&gt;=0,INDEX($F$46:$FF$46,1,125-p_LmenI),0)*p_LmenF)</f>
        <v>0</v>
      </c>
      <c r="EB47" s="13" t="n">
        <f aca="false">(IF(126-p_LmenI&gt;=0,INDEX($F$46:$FF$46,1,126-p_LmenI+1),0)*(1-p_LmenF)+IF(126-p_LmenI-1&gt;=0,INDEX($F$46:$FF$46,1,126-p_LmenI),0)*p_LmenF)</f>
        <v>0</v>
      </c>
      <c r="EC47" s="13" t="n">
        <f aca="false">(IF(127-p_LmenI&gt;=0,INDEX($F$46:$FF$46,1,127-p_LmenI+1),0)*(1-p_LmenF)+IF(127-p_LmenI-1&gt;=0,INDEX($F$46:$FF$46,1,127-p_LmenI),0)*p_LmenF)</f>
        <v>0</v>
      </c>
      <c r="ED47" s="13" t="n">
        <f aca="false">(IF(128-p_LmenI&gt;=0,INDEX($F$46:$FF$46,1,128-p_LmenI+1),0)*(1-p_LmenF)+IF(128-p_LmenI-1&gt;=0,INDEX($F$46:$FF$46,1,128-p_LmenI),0)*p_LmenF)</f>
        <v>0</v>
      </c>
      <c r="EE47" s="13" t="n">
        <f aca="false">(IF(129-p_LmenI&gt;=0,INDEX($F$46:$FF$46,1,129-p_LmenI+1),0)*(1-p_LmenF)+IF(129-p_LmenI-1&gt;=0,INDEX($F$46:$FF$46,1,129-p_LmenI),0)*p_LmenF)</f>
        <v>0</v>
      </c>
      <c r="EF47" s="13" t="n">
        <f aca="false">(IF(130-p_LmenI&gt;=0,INDEX($F$46:$FF$46,1,130-p_LmenI+1),0)*(1-p_LmenF)+IF(130-p_LmenI-1&gt;=0,INDEX($F$46:$FF$46,1,130-p_LmenI),0)*p_LmenF)</f>
        <v>0</v>
      </c>
      <c r="EG47" s="13" t="n">
        <f aca="false">(IF(131-p_LmenI&gt;=0,INDEX($F$46:$FF$46,1,131-p_LmenI+1),0)*(1-p_LmenF)+IF(131-p_LmenI-1&gt;=0,INDEX($F$46:$FF$46,1,131-p_LmenI),0)*p_LmenF)</f>
        <v>0</v>
      </c>
      <c r="EH47" s="13" t="n">
        <f aca="false">(IF(132-p_LmenI&gt;=0,INDEX($F$46:$FF$46,1,132-p_LmenI+1),0)*(1-p_LmenF)+IF(132-p_LmenI-1&gt;=0,INDEX($F$46:$FF$46,1,132-p_LmenI),0)*p_LmenF)</f>
        <v>0</v>
      </c>
      <c r="EI47" s="13" t="n">
        <f aca="false">(IF(133-p_LmenI&gt;=0,INDEX($F$46:$FF$46,1,133-p_LmenI+1),0)*(1-p_LmenF)+IF(133-p_LmenI-1&gt;=0,INDEX($F$46:$FF$46,1,133-p_LmenI),0)*p_LmenF)</f>
        <v>0</v>
      </c>
      <c r="EJ47" s="13" t="n">
        <f aca="false">(IF(134-p_LmenI&gt;=0,INDEX($F$46:$FF$46,1,134-p_LmenI+1),0)*(1-p_LmenF)+IF(134-p_LmenI-1&gt;=0,INDEX($F$46:$FF$46,1,134-p_LmenI),0)*p_LmenF)</f>
        <v>0</v>
      </c>
      <c r="EK47" s="13" t="n">
        <f aca="false">(IF(135-p_LmenI&gt;=0,INDEX($F$46:$FF$46,1,135-p_LmenI+1),0)*(1-p_LmenF)+IF(135-p_LmenI-1&gt;=0,INDEX($F$46:$FF$46,1,135-p_LmenI),0)*p_LmenF)</f>
        <v>0</v>
      </c>
      <c r="EL47" s="13" t="n">
        <f aca="false">(IF(136-p_LmenI&gt;=0,INDEX($F$46:$FF$46,1,136-p_LmenI+1),0)*(1-p_LmenF)+IF(136-p_LmenI-1&gt;=0,INDEX($F$46:$FF$46,1,136-p_LmenI),0)*p_LmenF)</f>
        <v>0</v>
      </c>
      <c r="EM47" s="13" t="n">
        <f aca="false">(IF(137-p_LmenI&gt;=0,INDEX($F$46:$FF$46,1,137-p_LmenI+1),0)*(1-p_LmenF)+IF(137-p_LmenI-1&gt;=0,INDEX($F$46:$FF$46,1,137-p_LmenI),0)*p_LmenF)</f>
        <v>0</v>
      </c>
      <c r="EN47" s="13" t="n">
        <f aca="false">(IF(138-p_LmenI&gt;=0,INDEX($F$46:$FF$46,1,138-p_LmenI+1),0)*(1-p_LmenF)+IF(138-p_LmenI-1&gt;=0,INDEX($F$46:$FF$46,1,138-p_LmenI),0)*p_LmenF)</f>
        <v>0</v>
      </c>
      <c r="EO47" s="13" t="n">
        <f aca="false">(IF(139-p_LmenI&gt;=0,INDEX($F$46:$FF$46,1,139-p_LmenI+1),0)*(1-p_LmenF)+IF(139-p_LmenI-1&gt;=0,INDEX($F$46:$FF$46,1,139-p_LmenI),0)*p_LmenF)</f>
        <v>0</v>
      </c>
      <c r="EP47" s="13" t="n">
        <f aca="false">(IF(140-p_LmenI&gt;=0,INDEX($F$46:$FF$46,1,140-p_LmenI+1),0)*(1-p_LmenF)+IF(140-p_LmenI-1&gt;=0,INDEX($F$46:$FF$46,1,140-p_LmenI),0)*p_LmenF)</f>
        <v>0</v>
      </c>
      <c r="EQ47" s="13" t="n">
        <f aca="false">(IF(141-p_LmenI&gt;=0,INDEX($F$46:$FF$46,1,141-p_LmenI+1),0)*(1-p_LmenF)+IF(141-p_LmenI-1&gt;=0,INDEX($F$46:$FF$46,1,141-p_LmenI),0)*p_LmenF)</f>
        <v>0</v>
      </c>
      <c r="ER47" s="13" t="n">
        <f aca="false">(IF(142-p_LmenI&gt;=0,INDEX($F$46:$FF$46,1,142-p_LmenI+1),0)*(1-p_LmenF)+IF(142-p_LmenI-1&gt;=0,INDEX($F$46:$FF$46,1,142-p_LmenI),0)*p_LmenF)</f>
        <v>0</v>
      </c>
      <c r="ES47" s="13" t="n">
        <f aca="false">(IF(143-p_LmenI&gt;=0,INDEX($F$46:$FF$46,1,143-p_LmenI+1),0)*(1-p_LmenF)+IF(143-p_LmenI-1&gt;=0,INDEX($F$46:$FF$46,1,143-p_LmenI),0)*p_LmenF)</f>
        <v>0</v>
      </c>
      <c r="ET47" s="13" t="n">
        <f aca="false">(IF(144-p_LmenI&gt;=0,INDEX($F$46:$FF$46,1,144-p_LmenI+1),0)*(1-p_LmenF)+IF(144-p_LmenI-1&gt;=0,INDEX($F$46:$FF$46,1,144-p_LmenI),0)*p_LmenF)</f>
        <v>0</v>
      </c>
      <c r="EU47" s="13" t="n">
        <f aca="false">(IF(145-p_LmenI&gt;=0,INDEX($F$46:$FF$46,1,145-p_LmenI+1),0)*(1-p_LmenF)+IF(145-p_LmenI-1&gt;=0,INDEX($F$46:$FF$46,1,145-p_LmenI),0)*p_LmenF)</f>
        <v>0</v>
      </c>
      <c r="EV47" s="13" t="n">
        <f aca="false">(IF(146-p_LmenI&gt;=0,INDEX($F$46:$FF$46,1,146-p_LmenI+1),0)*(1-p_LmenF)+IF(146-p_LmenI-1&gt;=0,INDEX($F$46:$FF$46,1,146-p_LmenI),0)*p_LmenF)</f>
        <v>0</v>
      </c>
      <c r="EW47" s="13" t="n">
        <f aca="false">(IF(147-p_LmenI&gt;=0,INDEX($F$46:$FF$46,1,147-p_LmenI+1),0)*(1-p_LmenF)+IF(147-p_LmenI-1&gt;=0,INDEX($F$46:$FF$46,1,147-p_LmenI),0)*p_LmenF)</f>
        <v>0</v>
      </c>
      <c r="EX47" s="13" t="n">
        <f aca="false">(IF(148-p_LmenI&gt;=0,INDEX($F$46:$FF$46,1,148-p_LmenI+1),0)*(1-p_LmenF)+IF(148-p_LmenI-1&gt;=0,INDEX($F$46:$FF$46,1,148-p_LmenI),0)*p_LmenF)</f>
        <v>0</v>
      </c>
      <c r="EY47" s="13" t="n">
        <f aca="false">(IF(149-p_LmenI&gt;=0,INDEX($F$46:$FF$46,1,149-p_LmenI+1),0)*(1-p_LmenF)+IF(149-p_LmenI-1&gt;=0,INDEX($F$46:$FF$46,1,149-p_LmenI),0)*p_LmenF)</f>
        <v>0</v>
      </c>
      <c r="EZ47" s="13" t="n">
        <f aca="false">(IF(150-p_LmenI&gt;=0,INDEX($F$46:$FF$46,1,150-p_LmenI+1),0)*(1-p_LmenF)+IF(150-p_LmenI-1&gt;=0,INDEX($F$46:$FF$46,1,150-p_LmenI),0)*p_LmenF)</f>
        <v>0</v>
      </c>
      <c r="FA47" s="13" t="n">
        <f aca="false">(IF(151-p_LmenI&gt;=0,INDEX($F$46:$FF$46,1,151-p_LmenI+1),0)*(1-p_LmenF)+IF(151-p_LmenI-1&gt;=0,INDEX($F$46:$FF$46,1,151-p_LmenI),0)*p_LmenF)</f>
        <v>0</v>
      </c>
      <c r="FB47" s="13" t="n">
        <f aca="false">(IF(152-p_LmenI&gt;=0,INDEX($F$46:$FF$46,1,152-p_LmenI+1),0)*(1-p_LmenF)+IF(152-p_LmenI-1&gt;=0,INDEX($F$46:$FF$46,1,152-p_LmenI),0)*p_LmenF)</f>
        <v>0</v>
      </c>
      <c r="FC47" s="13" t="n">
        <f aca="false">(IF(153-p_LmenI&gt;=0,INDEX($F$46:$FF$46,1,153-p_LmenI+1),0)*(1-p_LmenF)+IF(153-p_LmenI-1&gt;=0,INDEX($F$46:$FF$46,1,153-p_LmenI),0)*p_LmenF)</f>
        <v>0</v>
      </c>
      <c r="FD47" s="13" t="n">
        <f aca="false">(IF(154-p_LmenI&gt;=0,INDEX($F$46:$FF$46,1,154-p_LmenI+1),0)*(1-p_LmenF)+IF(154-p_LmenI-1&gt;=0,INDEX($F$46:$FF$46,1,154-p_LmenI),0)*p_LmenF)</f>
        <v>0</v>
      </c>
      <c r="FE47" s="13" t="n">
        <f aca="false">(IF(155-p_LmenI&gt;=0,INDEX($F$46:$FF$46,1,155-p_LmenI+1),0)*(1-p_LmenF)+IF(155-p_LmenI-1&gt;=0,INDEX($F$46:$FF$46,1,155-p_LmenI),0)*p_LmenF)</f>
        <v>0</v>
      </c>
      <c r="FF47" s="13" t="n">
        <f aca="false">(IF(156-p_LmenI&gt;=0,INDEX($F$46:$FF$46,1,156-p_LmenI+1),0)*(1-p_LmenF)+IF(156-p_LmenI-1&gt;=0,INDEX($F$46:$FF$46,1,156-p_LmenI),0)*p_LmenF)</f>
        <v>0</v>
      </c>
    </row>
    <row r="48" customFormat="false" ht="15" hidden="false" customHeight="false" outlineLevel="0" collapsed="false">
      <c r="A48" s="2" t="s">
        <v>1352</v>
      </c>
      <c r="B48" s="8" t="s">
        <v>1337</v>
      </c>
      <c r="C48" s="8" t="s">
        <v>255</v>
      </c>
      <c r="E48" s="65" t="n">
        <f aca="false">SUM($F48:$FF48)</f>
        <v>0</v>
      </c>
      <c r="F48" s="13" t="n">
        <f aca="false">IF(AND(p_MesCorte&gt;=0,0=p_MesCorte+MAX(1,ROUND(p_Lmen,0))),0,0)*Calendario!F$13</f>
        <v>0</v>
      </c>
      <c r="G48" s="13" t="n">
        <f aca="false">IF(AND(p_MesCorte&gt;=0,1=p_MesCorte+MAX(1,ROUND(p_Lmen,0))),F$53,0)*Calendario!G$13</f>
        <v>0</v>
      </c>
      <c r="H48" s="13" t="n">
        <f aca="false">IF(AND(p_MesCorte&gt;=0,2=p_MesCorte+MAX(1,ROUND(p_Lmen,0))),G$53,0)*Calendario!H$13</f>
        <v>0</v>
      </c>
      <c r="I48" s="13" t="n">
        <f aca="false">IF(AND(p_MesCorte&gt;=0,3=p_MesCorte+MAX(1,ROUND(p_Lmen,0))),H$53,0)*Calendario!I$13</f>
        <v>0</v>
      </c>
      <c r="J48" s="13" t="n">
        <f aca="false">IF(AND(p_MesCorte&gt;=0,4=p_MesCorte+MAX(1,ROUND(p_Lmen,0))),I$53,0)*Calendario!J$13</f>
        <v>0</v>
      </c>
      <c r="K48" s="13" t="n">
        <f aca="false">IF(AND(p_MesCorte&gt;=0,5=p_MesCorte+MAX(1,ROUND(p_Lmen,0))),J$53,0)*Calendario!K$13</f>
        <v>0</v>
      </c>
      <c r="L48" s="13" t="n">
        <f aca="false">IF(AND(p_MesCorte&gt;=0,6=p_MesCorte+MAX(1,ROUND(p_Lmen,0))),K$53,0)*Calendario!L$13</f>
        <v>0</v>
      </c>
      <c r="M48" s="13" t="n">
        <f aca="false">IF(AND(p_MesCorte&gt;=0,7=p_MesCorte+MAX(1,ROUND(p_Lmen,0))),L$53,0)*Calendario!M$13</f>
        <v>0</v>
      </c>
      <c r="N48" s="13" t="n">
        <f aca="false">IF(AND(p_MesCorte&gt;=0,8=p_MesCorte+MAX(1,ROUND(p_Lmen,0))),M$53,0)*Calendario!N$13</f>
        <v>0</v>
      </c>
      <c r="O48" s="13" t="n">
        <f aca="false">IF(AND(p_MesCorte&gt;=0,9=p_MesCorte+MAX(1,ROUND(p_Lmen,0))),N$53,0)*Calendario!O$13</f>
        <v>0</v>
      </c>
      <c r="P48" s="13" t="n">
        <f aca="false">IF(AND(p_MesCorte&gt;=0,10=p_MesCorte+MAX(1,ROUND(p_Lmen,0))),O$53,0)*Calendario!P$13</f>
        <v>0</v>
      </c>
      <c r="Q48" s="13" t="n">
        <f aca="false">IF(AND(p_MesCorte&gt;=0,11=p_MesCorte+MAX(1,ROUND(p_Lmen,0))),P$53,0)*Calendario!Q$13</f>
        <v>0</v>
      </c>
      <c r="R48" s="13" t="n">
        <f aca="false">IF(AND(p_MesCorte&gt;=0,12=p_MesCorte+MAX(1,ROUND(p_Lmen,0))),Q$53,0)*Calendario!R$13</f>
        <v>0</v>
      </c>
      <c r="S48" s="13" t="n">
        <f aca="false">IF(AND(p_MesCorte&gt;=0,13=p_MesCorte+MAX(1,ROUND(p_Lmen,0))),R$53,0)*Calendario!S$13</f>
        <v>0</v>
      </c>
      <c r="T48" s="13" t="n">
        <f aca="false">IF(AND(p_MesCorte&gt;=0,14=p_MesCorte+MAX(1,ROUND(p_Lmen,0))),S$53,0)*Calendario!T$13</f>
        <v>0</v>
      </c>
      <c r="U48" s="13" t="n">
        <f aca="false">IF(AND(p_MesCorte&gt;=0,15=p_MesCorte+MAX(1,ROUND(p_Lmen,0))),T$53,0)*Calendario!U$13</f>
        <v>0</v>
      </c>
      <c r="V48" s="13" t="n">
        <f aca="false">IF(AND(p_MesCorte&gt;=0,16=p_MesCorte+MAX(1,ROUND(p_Lmen,0))),U$53,0)*Calendario!V$13</f>
        <v>0</v>
      </c>
      <c r="W48" s="13" t="n">
        <f aca="false">IF(AND(p_MesCorte&gt;=0,17=p_MesCorte+MAX(1,ROUND(p_Lmen,0))),V$53,0)*Calendario!W$13</f>
        <v>0</v>
      </c>
      <c r="X48" s="13" t="n">
        <f aca="false">IF(AND(p_MesCorte&gt;=0,18=p_MesCorte+MAX(1,ROUND(p_Lmen,0))),W$53,0)*Calendario!X$13</f>
        <v>0</v>
      </c>
      <c r="Y48" s="13" t="n">
        <f aca="false">IF(AND(p_MesCorte&gt;=0,19=p_MesCorte+MAX(1,ROUND(p_Lmen,0))),X$53,0)*Calendario!Y$13</f>
        <v>0</v>
      </c>
      <c r="Z48" s="13" t="n">
        <f aca="false">IF(AND(p_MesCorte&gt;=0,20=p_MesCorte+MAX(1,ROUND(p_Lmen,0))),Y$53,0)*Calendario!Z$13</f>
        <v>0</v>
      </c>
      <c r="AA48" s="13" t="n">
        <f aca="false">IF(AND(p_MesCorte&gt;=0,21=p_MesCorte+MAX(1,ROUND(p_Lmen,0))),Z$53,0)*Calendario!AA$13</f>
        <v>0</v>
      </c>
      <c r="AB48" s="13" t="n">
        <f aca="false">IF(AND(p_MesCorte&gt;=0,22=p_MesCorte+MAX(1,ROUND(p_Lmen,0))),AA$53,0)*Calendario!AB$13</f>
        <v>0</v>
      </c>
      <c r="AC48" s="13" t="n">
        <f aca="false">IF(AND(p_MesCorte&gt;=0,23=p_MesCorte+MAX(1,ROUND(p_Lmen,0))),AB$53,0)*Calendario!AC$13</f>
        <v>0</v>
      </c>
      <c r="AD48" s="13" t="n">
        <f aca="false">IF(AND(p_MesCorte&gt;=0,24=p_MesCorte+MAX(1,ROUND(p_Lmen,0))),AC$53,0)*Calendario!AD$13</f>
        <v>0</v>
      </c>
      <c r="AE48" s="13" t="n">
        <f aca="false">IF(AND(p_MesCorte&gt;=0,25=p_MesCorte+MAX(1,ROUND(p_Lmen,0))),AD$53,0)*Calendario!AE$13</f>
        <v>0</v>
      </c>
      <c r="AF48" s="13" t="n">
        <f aca="false">IF(AND(p_MesCorte&gt;=0,26=p_MesCorte+MAX(1,ROUND(p_Lmen,0))),AE$53,0)*Calendario!AF$13</f>
        <v>0</v>
      </c>
      <c r="AG48" s="13" t="n">
        <f aca="false">IF(AND(p_MesCorte&gt;=0,27=p_MesCorte+MAX(1,ROUND(p_Lmen,0))),AF$53,0)*Calendario!AG$13</f>
        <v>0</v>
      </c>
      <c r="AH48" s="13" t="n">
        <f aca="false">IF(AND(p_MesCorte&gt;=0,28=p_MesCorte+MAX(1,ROUND(p_Lmen,0))),AG$53,0)*Calendario!AH$13</f>
        <v>0</v>
      </c>
      <c r="AI48" s="13" t="n">
        <f aca="false">IF(AND(p_MesCorte&gt;=0,29=p_MesCorte+MAX(1,ROUND(p_Lmen,0))),AH$53,0)*Calendario!AI$13</f>
        <v>0</v>
      </c>
      <c r="AJ48" s="13" t="n">
        <f aca="false">IF(AND(p_MesCorte&gt;=0,30=p_MesCorte+MAX(1,ROUND(p_Lmen,0))),AI$53,0)*Calendario!AJ$13</f>
        <v>0</v>
      </c>
      <c r="AK48" s="13" t="n">
        <f aca="false">IF(AND(p_MesCorte&gt;=0,31=p_MesCorte+MAX(1,ROUND(p_Lmen,0))),AJ$53,0)*Calendario!AK$13</f>
        <v>0</v>
      </c>
      <c r="AL48" s="13" t="n">
        <f aca="false">IF(AND(p_MesCorte&gt;=0,32=p_MesCorte+MAX(1,ROUND(p_Lmen,0))),AK$53,0)*Calendario!AL$13</f>
        <v>0</v>
      </c>
      <c r="AM48" s="13" t="n">
        <f aca="false">IF(AND(p_MesCorte&gt;=0,33=p_MesCorte+MAX(1,ROUND(p_Lmen,0))),AL$53,0)*Calendario!AM$13</f>
        <v>0</v>
      </c>
      <c r="AN48" s="13" t="n">
        <f aca="false">IF(AND(p_MesCorte&gt;=0,34=p_MesCorte+MAX(1,ROUND(p_Lmen,0))),AM$53,0)*Calendario!AN$13</f>
        <v>0</v>
      </c>
      <c r="AO48" s="13" t="n">
        <f aca="false">IF(AND(p_MesCorte&gt;=0,35=p_MesCorte+MAX(1,ROUND(p_Lmen,0))),AN$53,0)*Calendario!AO$13</f>
        <v>0</v>
      </c>
      <c r="AP48" s="13" t="n">
        <f aca="false">IF(AND(p_MesCorte&gt;=0,36=p_MesCorte+MAX(1,ROUND(p_Lmen,0))),AO$53,0)*Calendario!AP$13</f>
        <v>0</v>
      </c>
      <c r="AQ48" s="13" t="n">
        <f aca="false">IF(AND(p_MesCorte&gt;=0,37=p_MesCorte+MAX(1,ROUND(p_Lmen,0))),AP$53,0)*Calendario!AQ$13</f>
        <v>0</v>
      </c>
      <c r="AR48" s="13" t="n">
        <f aca="false">IF(AND(p_MesCorte&gt;=0,38=p_MesCorte+MAX(1,ROUND(p_Lmen,0))),AQ$53,0)*Calendario!AR$13</f>
        <v>0</v>
      </c>
      <c r="AS48" s="13" t="n">
        <f aca="false">IF(AND(p_MesCorte&gt;=0,39=p_MesCorte+MAX(1,ROUND(p_Lmen,0))),AR$53,0)*Calendario!AS$13</f>
        <v>0</v>
      </c>
      <c r="AT48" s="13" t="n">
        <f aca="false">IF(AND(p_MesCorte&gt;=0,40=p_MesCorte+MAX(1,ROUND(p_Lmen,0))),AS$53,0)*Calendario!AT$13</f>
        <v>0</v>
      </c>
      <c r="AU48" s="13" t="n">
        <f aca="false">IF(AND(p_MesCorte&gt;=0,41=p_MesCorte+MAX(1,ROUND(p_Lmen,0))),AT$53,0)*Calendario!AU$13</f>
        <v>0</v>
      </c>
      <c r="AV48" s="13" t="n">
        <f aca="false">IF(AND(p_MesCorte&gt;=0,42=p_MesCorte+MAX(1,ROUND(p_Lmen,0))),AU$53,0)*Calendario!AV$13</f>
        <v>0</v>
      </c>
      <c r="AW48" s="13" t="n">
        <f aca="false">IF(AND(p_MesCorte&gt;=0,43=p_MesCorte+MAX(1,ROUND(p_Lmen,0))),AV$53,0)*Calendario!AW$13</f>
        <v>0</v>
      </c>
      <c r="AX48" s="13" t="n">
        <f aca="false">IF(AND(p_MesCorte&gt;=0,44=p_MesCorte+MAX(1,ROUND(p_Lmen,0))),AW$53,0)*Calendario!AX$13</f>
        <v>0</v>
      </c>
      <c r="AY48" s="13" t="n">
        <f aca="false">IF(AND(p_MesCorte&gt;=0,45=p_MesCorte+MAX(1,ROUND(p_Lmen,0))),AX$53,0)*Calendario!AY$13</f>
        <v>0</v>
      </c>
      <c r="AZ48" s="13" t="n">
        <f aca="false">IF(AND(p_MesCorte&gt;=0,46=p_MesCorte+MAX(1,ROUND(p_Lmen,0))),AY$53,0)*Calendario!AZ$13</f>
        <v>0</v>
      </c>
      <c r="BA48" s="13" t="n">
        <f aca="false">IF(AND(p_MesCorte&gt;=0,47=p_MesCorte+MAX(1,ROUND(p_Lmen,0))),AZ$53,0)*Calendario!BA$13</f>
        <v>0</v>
      </c>
      <c r="BB48" s="13" t="n">
        <f aca="false">IF(AND(p_MesCorte&gt;=0,48=p_MesCorte+MAX(1,ROUND(p_Lmen,0))),BA$53,0)*Calendario!BB$13</f>
        <v>0</v>
      </c>
      <c r="BC48" s="13" t="n">
        <f aca="false">IF(AND(p_MesCorte&gt;=0,49=p_MesCorte+MAX(1,ROUND(p_Lmen,0))),BB$53,0)*Calendario!BC$13</f>
        <v>0</v>
      </c>
      <c r="BD48" s="13" t="n">
        <f aca="false">IF(AND(p_MesCorte&gt;=0,50=p_MesCorte+MAX(1,ROUND(p_Lmen,0))),BC$53,0)*Calendario!BD$13</f>
        <v>0</v>
      </c>
      <c r="BE48" s="13" t="n">
        <f aca="false">IF(AND(p_MesCorte&gt;=0,51=p_MesCorte+MAX(1,ROUND(p_Lmen,0))),BD$53,0)*Calendario!BE$13</f>
        <v>0</v>
      </c>
      <c r="BF48" s="13" t="n">
        <f aca="false">IF(AND(p_MesCorte&gt;=0,52=p_MesCorte+MAX(1,ROUND(p_Lmen,0))),BE$53,0)*Calendario!BF$13</f>
        <v>0</v>
      </c>
      <c r="BG48" s="13" t="n">
        <f aca="false">IF(AND(p_MesCorte&gt;=0,53=p_MesCorte+MAX(1,ROUND(p_Lmen,0))),BF$53,0)*Calendario!BG$13</f>
        <v>0</v>
      </c>
      <c r="BH48" s="13" t="n">
        <f aca="false">IF(AND(p_MesCorte&gt;=0,54=p_MesCorte+MAX(1,ROUND(p_Lmen,0))),BG$53,0)*Calendario!BH$13</f>
        <v>0</v>
      </c>
      <c r="BI48" s="13" t="n">
        <f aca="false">IF(AND(p_MesCorte&gt;=0,55=p_MesCorte+MAX(1,ROUND(p_Lmen,0))),BH$53,0)*Calendario!BI$13</f>
        <v>0</v>
      </c>
      <c r="BJ48" s="13" t="n">
        <f aca="false">IF(AND(p_MesCorte&gt;=0,56=p_MesCorte+MAX(1,ROUND(p_Lmen,0))),BI$53,0)*Calendario!BJ$13</f>
        <v>0</v>
      </c>
      <c r="BK48" s="13" t="n">
        <f aca="false">IF(AND(p_MesCorte&gt;=0,57=p_MesCorte+MAX(1,ROUND(p_Lmen,0))),BJ$53,0)*Calendario!BK$13</f>
        <v>0</v>
      </c>
      <c r="BL48" s="13" t="n">
        <f aca="false">IF(AND(p_MesCorte&gt;=0,58=p_MesCorte+MAX(1,ROUND(p_Lmen,0))),BK$53,0)*Calendario!BL$13</f>
        <v>0</v>
      </c>
      <c r="BM48" s="13" t="n">
        <f aca="false">IF(AND(p_MesCorte&gt;=0,59=p_MesCorte+MAX(1,ROUND(p_Lmen,0))),BL$53,0)*Calendario!BM$13</f>
        <v>0</v>
      </c>
      <c r="BN48" s="13" t="n">
        <f aca="false">IF(AND(p_MesCorte&gt;=0,60=p_MesCorte+MAX(1,ROUND(p_Lmen,0))),BM$53,0)*Calendario!BN$13</f>
        <v>0</v>
      </c>
      <c r="BO48" s="13" t="n">
        <f aca="false">IF(AND(p_MesCorte&gt;=0,61=p_MesCorte+MAX(1,ROUND(p_Lmen,0))),BN$53,0)*Calendario!BO$13</f>
        <v>0</v>
      </c>
      <c r="BP48" s="13" t="n">
        <f aca="false">IF(AND(p_MesCorte&gt;=0,62=p_MesCorte+MAX(1,ROUND(p_Lmen,0))),BO$53,0)*Calendario!BP$13</f>
        <v>0</v>
      </c>
      <c r="BQ48" s="13" t="n">
        <f aca="false">IF(AND(p_MesCorte&gt;=0,63=p_MesCorte+MAX(1,ROUND(p_Lmen,0))),BP$53,0)*Calendario!BQ$13</f>
        <v>0</v>
      </c>
      <c r="BR48" s="13" t="n">
        <f aca="false">IF(AND(p_MesCorte&gt;=0,64=p_MesCorte+MAX(1,ROUND(p_Lmen,0))),BQ$53,0)*Calendario!BR$13</f>
        <v>0</v>
      </c>
      <c r="BS48" s="13" t="n">
        <f aca="false">IF(AND(p_MesCorte&gt;=0,65=p_MesCorte+MAX(1,ROUND(p_Lmen,0))),BR$53,0)*Calendario!BS$13</f>
        <v>0</v>
      </c>
      <c r="BT48" s="13" t="n">
        <f aca="false">IF(AND(p_MesCorte&gt;=0,66=p_MesCorte+MAX(1,ROUND(p_Lmen,0))),BS$53,0)*Calendario!BT$13</f>
        <v>0</v>
      </c>
      <c r="BU48" s="13" t="n">
        <f aca="false">IF(AND(p_MesCorte&gt;=0,67=p_MesCorte+MAX(1,ROUND(p_Lmen,0))),BT$53,0)*Calendario!BU$13</f>
        <v>0</v>
      </c>
      <c r="BV48" s="13" t="n">
        <f aca="false">IF(AND(p_MesCorte&gt;=0,68=p_MesCorte+MAX(1,ROUND(p_Lmen,0))),BU$53,0)*Calendario!BV$13</f>
        <v>0</v>
      </c>
      <c r="BW48" s="13" t="n">
        <f aca="false">IF(AND(p_MesCorte&gt;=0,69=p_MesCorte+MAX(1,ROUND(p_Lmen,0))),BV$53,0)*Calendario!BW$13</f>
        <v>0</v>
      </c>
      <c r="BX48" s="13" t="n">
        <f aca="false">IF(AND(p_MesCorte&gt;=0,70=p_MesCorte+MAX(1,ROUND(p_Lmen,0))),BW$53,0)*Calendario!BX$13</f>
        <v>0</v>
      </c>
      <c r="BY48" s="13" t="n">
        <f aca="false">IF(AND(p_MesCorte&gt;=0,71=p_MesCorte+MAX(1,ROUND(p_Lmen,0))),BX$53,0)*Calendario!BY$13</f>
        <v>0</v>
      </c>
      <c r="BZ48" s="13" t="n">
        <f aca="false">IF(AND(p_MesCorte&gt;=0,72=p_MesCorte+MAX(1,ROUND(p_Lmen,0))),BY$53,0)*Calendario!BZ$13</f>
        <v>0</v>
      </c>
      <c r="CA48" s="13" t="n">
        <f aca="false">IF(AND(p_MesCorte&gt;=0,73=p_MesCorte+MAX(1,ROUND(p_Lmen,0))),BZ$53,0)*Calendario!CA$13</f>
        <v>0</v>
      </c>
      <c r="CB48" s="13" t="n">
        <f aca="false">IF(AND(p_MesCorte&gt;=0,74=p_MesCorte+MAX(1,ROUND(p_Lmen,0))),CA$53,0)*Calendario!CB$13</f>
        <v>0</v>
      </c>
      <c r="CC48" s="13" t="n">
        <f aca="false">IF(AND(p_MesCorte&gt;=0,75=p_MesCorte+MAX(1,ROUND(p_Lmen,0))),CB$53,0)*Calendario!CC$13</f>
        <v>0</v>
      </c>
      <c r="CD48" s="13" t="n">
        <f aca="false">IF(AND(p_MesCorte&gt;=0,76=p_MesCorte+MAX(1,ROUND(p_Lmen,0))),CC$53,0)*Calendario!CD$13</f>
        <v>0</v>
      </c>
      <c r="CE48" s="13" t="n">
        <f aca="false">IF(AND(p_MesCorte&gt;=0,77=p_MesCorte+MAX(1,ROUND(p_Lmen,0))),CD$53,0)*Calendario!CE$13</f>
        <v>0</v>
      </c>
      <c r="CF48" s="13" t="n">
        <f aca="false">IF(AND(p_MesCorte&gt;=0,78=p_MesCorte+MAX(1,ROUND(p_Lmen,0))),CE$53,0)*Calendario!CF$13</f>
        <v>0</v>
      </c>
      <c r="CG48" s="13" t="n">
        <f aca="false">IF(AND(p_MesCorte&gt;=0,79=p_MesCorte+MAX(1,ROUND(p_Lmen,0))),CF$53,0)*Calendario!CG$13</f>
        <v>0</v>
      </c>
      <c r="CH48" s="13" t="n">
        <f aca="false">IF(AND(p_MesCorte&gt;=0,80=p_MesCorte+MAX(1,ROUND(p_Lmen,0))),CG$53,0)*Calendario!CH$13</f>
        <v>0</v>
      </c>
      <c r="CI48" s="13" t="n">
        <f aca="false">IF(AND(p_MesCorte&gt;=0,81=p_MesCorte+MAX(1,ROUND(p_Lmen,0))),CH$53,0)*Calendario!CI$13</f>
        <v>0</v>
      </c>
      <c r="CJ48" s="13" t="n">
        <f aca="false">IF(AND(p_MesCorte&gt;=0,82=p_MesCorte+MAX(1,ROUND(p_Lmen,0))),CI$53,0)*Calendario!CJ$13</f>
        <v>0</v>
      </c>
      <c r="CK48" s="13" t="n">
        <f aca="false">IF(AND(p_MesCorte&gt;=0,83=p_MesCorte+MAX(1,ROUND(p_Lmen,0))),CJ$53,0)*Calendario!CK$13</f>
        <v>0</v>
      </c>
      <c r="CL48" s="13" t="n">
        <f aca="false">IF(AND(p_MesCorte&gt;=0,84=p_MesCorte+MAX(1,ROUND(p_Lmen,0))),CK$53,0)*Calendario!CL$13</f>
        <v>0</v>
      </c>
      <c r="CM48" s="13" t="n">
        <f aca="false">IF(AND(p_MesCorte&gt;=0,85=p_MesCorte+MAX(1,ROUND(p_Lmen,0))),CL$53,0)*Calendario!CM$13</f>
        <v>0</v>
      </c>
      <c r="CN48" s="13" t="n">
        <f aca="false">IF(AND(p_MesCorte&gt;=0,86=p_MesCorte+MAX(1,ROUND(p_Lmen,0))),CM$53,0)*Calendario!CN$13</f>
        <v>0</v>
      </c>
      <c r="CO48" s="13" t="n">
        <f aca="false">IF(AND(p_MesCorte&gt;=0,87=p_MesCorte+MAX(1,ROUND(p_Lmen,0))),CN$53,0)*Calendario!CO$13</f>
        <v>0</v>
      </c>
      <c r="CP48" s="13" t="n">
        <f aca="false">IF(AND(p_MesCorte&gt;=0,88=p_MesCorte+MAX(1,ROUND(p_Lmen,0))),CO$53,0)*Calendario!CP$13</f>
        <v>0</v>
      </c>
      <c r="CQ48" s="13" t="n">
        <f aca="false">IF(AND(p_MesCorte&gt;=0,89=p_MesCorte+MAX(1,ROUND(p_Lmen,0))),CP$53,0)*Calendario!CQ$13</f>
        <v>0</v>
      </c>
      <c r="CR48" s="13" t="n">
        <f aca="false">IF(AND(p_MesCorte&gt;=0,90=p_MesCorte+MAX(1,ROUND(p_Lmen,0))),CQ$53,0)*Calendario!CR$13</f>
        <v>0</v>
      </c>
      <c r="CS48" s="13" t="n">
        <f aca="false">IF(AND(p_MesCorte&gt;=0,91=p_MesCorte+MAX(1,ROUND(p_Lmen,0))),CR$53,0)*Calendario!CS$13</f>
        <v>0</v>
      </c>
      <c r="CT48" s="13" t="n">
        <f aca="false">IF(AND(p_MesCorte&gt;=0,92=p_MesCorte+MAX(1,ROUND(p_Lmen,0))),CS$53,0)*Calendario!CT$13</f>
        <v>0</v>
      </c>
      <c r="CU48" s="13" t="n">
        <f aca="false">IF(AND(p_MesCorte&gt;=0,93=p_MesCorte+MAX(1,ROUND(p_Lmen,0))),CT$53,0)*Calendario!CU$13</f>
        <v>0</v>
      </c>
      <c r="CV48" s="13" t="n">
        <f aca="false">IF(AND(p_MesCorte&gt;=0,94=p_MesCorte+MAX(1,ROUND(p_Lmen,0))),CU$53,0)*Calendario!CV$13</f>
        <v>0</v>
      </c>
      <c r="CW48" s="13" t="n">
        <f aca="false">IF(AND(p_MesCorte&gt;=0,95=p_MesCorte+MAX(1,ROUND(p_Lmen,0))),CV$53,0)*Calendario!CW$13</f>
        <v>0</v>
      </c>
      <c r="CX48" s="13" t="n">
        <f aca="false">IF(AND(p_MesCorte&gt;=0,96=p_MesCorte+MAX(1,ROUND(p_Lmen,0))),CW$53,0)*Calendario!CX$13</f>
        <v>0</v>
      </c>
      <c r="CY48" s="13" t="n">
        <f aca="false">IF(AND(p_MesCorte&gt;=0,97=p_MesCorte+MAX(1,ROUND(p_Lmen,0))),CX$53,0)*Calendario!CY$13</f>
        <v>0</v>
      </c>
      <c r="CZ48" s="13" t="n">
        <f aca="false">IF(AND(p_MesCorte&gt;=0,98=p_MesCorte+MAX(1,ROUND(p_Lmen,0))),CY$53,0)*Calendario!CZ$13</f>
        <v>0</v>
      </c>
      <c r="DA48" s="13" t="n">
        <f aca="false">IF(AND(p_MesCorte&gt;=0,99=p_MesCorte+MAX(1,ROUND(p_Lmen,0))),CZ$53,0)*Calendario!DA$13</f>
        <v>0</v>
      </c>
      <c r="DB48" s="13" t="n">
        <f aca="false">IF(AND(p_MesCorte&gt;=0,100=p_MesCorte+MAX(1,ROUND(p_Lmen,0))),DA$53,0)*Calendario!DB$13</f>
        <v>0</v>
      </c>
      <c r="DC48" s="13" t="n">
        <f aca="false">IF(AND(p_MesCorte&gt;=0,101=p_MesCorte+MAX(1,ROUND(p_Lmen,0))),DB$53,0)*Calendario!DC$13</f>
        <v>0</v>
      </c>
      <c r="DD48" s="13" t="n">
        <f aca="false">IF(AND(p_MesCorte&gt;=0,102=p_MesCorte+MAX(1,ROUND(p_Lmen,0))),DC$53,0)*Calendario!DD$13</f>
        <v>0</v>
      </c>
      <c r="DE48" s="13" t="n">
        <f aca="false">IF(AND(p_MesCorte&gt;=0,103=p_MesCorte+MAX(1,ROUND(p_Lmen,0))),DD$53,0)*Calendario!DE$13</f>
        <v>0</v>
      </c>
      <c r="DF48" s="13" t="n">
        <f aca="false">IF(AND(p_MesCorte&gt;=0,104=p_MesCorte+MAX(1,ROUND(p_Lmen,0))),DE$53,0)*Calendario!DF$13</f>
        <v>0</v>
      </c>
      <c r="DG48" s="13" t="n">
        <f aca="false">IF(AND(p_MesCorte&gt;=0,105=p_MesCorte+MAX(1,ROUND(p_Lmen,0))),DF$53,0)*Calendario!DG$13</f>
        <v>0</v>
      </c>
      <c r="DH48" s="13" t="n">
        <f aca="false">IF(AND(p_MesCorte&gt;=0,106=p_MesCorte+MAX(1,ROUND(p_Lmen,0))),DG$53,0)*Calendario!DH$13</f>
        <v>0</v>
      </c>
      <c r="DI48" s="13" t="n">
        <f aca="false">IF(AND(p_MesCorte&gt;=0,107=p_MesCorte+MAX(1,ROUND(p_Lmen,0))),DH$53,0)*Calendario!DI$13</f>
        <v>0</v>
      </c>
      <c r="DJ48" s="13" t="n">
        <f aca="false">IF(AND(p_MesCorte&gt;=0,108=p_MesCorte+MAX(1,ROUND(p_Lmen,0))),DI$53,0)*Calendario!DJ$13</f>
        <v>0</v>
      </c>
      <c r="DK48" s="13" t="n">
        <f aca="false">IF(AND(p_MesCorte&gt;=0,109=p_MesCorte+MAX(1,ROUND(p_Lmen,0))),DJ$53,0)*Calendario!DK$13</f>
        <v>0</v>
      </c>
      <c r="DL48" s="13" t="n">
        <f aca="false">IF(AND(p_MesCorte&gt;=0,110=p_MesCorte+MAX(1,ROUND(p_Lmen,0))),DK$53,0)*Calendario!DL$13</f>
        <v>0</v>
      </c>
      <c r="DM48" s="13" t="n">
        <f aca="false">IF(AND(p_MesCorte&gt;=0,111=p_MesCorte+MAX(1,ROUND(p_Lmen,0))),DL$53,0)*Calendario!DM$13</f>
        <v>0</v>
      </c>
      <c r="DN48" s="13" t="n">
        <f aca="false">IF(AND(p_MesCorte&gt;=0,112=p_MesCorte+MAX(1,ROUND(p_Lmen,0))),DM$53,0)*Calendario!DN$13</f>
        <v>0</v>
      </c>
      <c r="DO48" s="13" t="n">
        <f aca="false">IF(AND(p_MesCorte&gt;=0,113=p_MesCorte+MAX(1,ROUND(p_Lmen,0))),DN$53,0)*Calendario!DO$13</f>
        <v>0</v>
      </c>
      <c r="DP48" s="13" t="n">
        <f aca="false">IF(AND(p_MesCorte&gt;=0,114=p_MesCorte+MAX(1,ROUND(p_Lmen,0))),DO$53,0)*Calendario!DP$13</f>
        <v>0</v>
      </c>
      <c r="DQ48" s="13" t="n">
        <f aca="false">IF(AND(p_MesCorte&gt;=0,115=p_MesCorte+MAX(1,ROUND(p_Lmen,0))),DP$53,0)*Calendario!DQ$13</f>
        <v>0</v>
      </c>
      <c r="DR48" s="13" t="n">
        <f aca="false">IF(AND(p_MesCorte&gt;=0,116=p_MesCorte+MAX(1,ROUND(p_Lmen,0))),DQ$53,0)*Calendario!DR$13</f>
        <v>0</v>
      </c>
      <c r="DS48" s="13" t="n">
        <f aca="false">IF(AND(p_MesCorte&gt;=0,117=p_MesCorte+MAX(1,ROUND(p_Lmen,0))),DR$53,0)*Calendario!DS$13</f>
        <v>0</v>
      </c>
      <c r="DT48" s="13" t="n">
        <f aca="false">IF(AND(p_MesCorte&gt;=0,118=p_MesCorte+MAX(1,ROUND(p_Lmen,0))),DS$53,0)*Calendario!DT$13</f>
        <v>0</v>
      </c>
      <c r="DU48" s="13" t="n">
        <f aca="false">IF(AND(p_MesCorte&gt;=0,119=p_MesCorte+MAX(1,ROUND(p_Lmen,0))),DT$53,0)*Calendario!DU$13</f>
        <v>0</v>
      </c>
      <c r="DV48" s="13" t="n">
        <f aca="false">IF(AND(p_MesCorte&gt;=0,120=p_MesCorte+MAX(1,ROUND(p_Lmen,0))),DU$53,0)*Calendario!DV$13</f>
        <v>0</v>
      </c>
      <c r="DW48" s="13" t="n">
        <f aca="false">IF(AND(p_MesCorte&gt;=0,121=p_MesCorte+MAX(1,ROUND(p_Lmen,0))),DV$53,0)*Calendario!DW$13</f>
        <v>0</v>
      </c>
      <c r="DX48" s="13" t="n">
        <f aca="false">IF(AND(p_MesCorte&gt;=0,122=p_MesCorte+MAX(1,ROUND(p_Lmen,0))),DW$53,0)*Calendario!DX$13</f>
        <v>0</v>
      </c>
      <c r="DY48" s="13" t="n">
        <f aca="false">IF(AND(p_MesCorte&gt;=0,123=p_MesCorte+MAX(1,ROUND(p_Lmen,0))),DX$53,0)*Calendario!DY$13</f>
        <v>0</v>
      </c>
      <c r="DZ48" s="13" t="n">
        <f aca="false">IF(AND(p_MesCorte&gt;=0,124=p_MesCorte+MAX(1,ROUND(p_Lmen,0))),DY$53,0)*Calendario!DZ$13</f>
        <v>0</v>
      </c>
      <c r="EA48" s="13" t="n">
        <f aca="false">IF(AND(p_MesCorte&gt;=0,125=p_MesCorte+MAX(1,ROUND(p_Lmen,0))),DZ$53,0)*Calendario!EA$13</f>
        <v>0</v>
      </c>
      <c r="EB48" s="13" t="n">
        <f aca="false">IF(AND(p_MesCorte&gt;=0,126=p_MesCorte+MAX(1,ROUND(p_Lmen,0))),EA$53,0)*Calendario!EB$13</f>
        <v>0</v>
      </c>
      <c r="EC48" s="13" t="n">
        <f aca="false">IF(AND(p_MesCorte&gt;=0,127=p_MesCorte+MAX(1,ROUND(p_Lmen,0))),EB$53,0)*Calendario!EC$13</f>
        <v>0</v>
      </c>
      <c r="ED48" s="13" t="n">
        <f aca="false">IF(AND(p_MesCorte&gt;=0,128=p_MesCorte+MAX(1,ROUND(p_Lmen,0))),EC$53,0)*Calendario!ED$13</f>
        <v>0</v>
      </c>
      <c r="EE48" s="13" t="n">
        <f aca="false">IF(AND(p_MesCorte&gt;=0,129=p_MesCorte+MAX(1,ROUND(p_Lmen,0))),ED$53,0)*Calendario!EE$13</f>
        <v>0</v>
      </c>
      <c r="EF48" s="13" t="n">
        <f aca="false">IF(AND(p_MesCorte&gt;=0,130=p_MesCorte+MAX(1,ROUND(p_Lmen,0))),EE$53,0)*Calendario!EF$13</f>
        <v>0</v>
      </c>
      <c r="EG48" s="13" t="n">
        <f aca="false">IF(AND(p_MesCorte&gt;=0,131=p_MesCorte+MAX(1,ROUND(p_Lmen,0))),EF$53,0)*Calendario!EG$13</f>
        <v>0</v>
      </c>
      <c r="EH48" s="13" t="n">
        <f aca="false">IF(AND(p_MesCorte&gt;=0,132=p_MesCorte+MAX(1,ROUND(p_Lmen,0))),EG$53,0)*Calendario!EH$13</f>
        <v>0</v>
      </c>
      <c r="EI48" s="13" t="n">
        <f aca="false">IF(AND(p_MesCorte&gt;=0,133=p_MesCorte+MAX(1,ROUND(p_Lmen,0))),EH$53,0)*Calendario!EI$13</f>
        <v>0</v>
      </c>
      <c r="EJ48" s="13" t="n">
        <f aca="false">IF(AND(p_MesCorte&gt;=0,134=p_MesCorte+MAX(1,ROUND(p_Lmen,0))),EI$53,0)*Calendario!EJ$13</f>
        <v>0</v>
      </c>
      <c r="EK48" s="13" t="n">
        <f aca="false">IF(AND(p_MesCorte&gt;=0,135=p_MesCorte+MAX(1,ROUND(p_Lmen,0))),EJ$53,0)*Calendario!EK$13</f>
        <v>0</v>
      </c>
      <c r="EL48" s="13" t="n">
        <f aca="false">IF(AND(p_MesCorte&gt;=0,136=p_MesCorte+MAX(1,ROUND(p_Lmen,0))),EK$53,0)*Calendario!EL$13</f>
        <v>0</v>
      </c>
      <c r="EM48" s="13" t="n">
        <f aca="false">IF(AND(p_MesCorte&gt;=0,137=p_MesCorte+MAX(1,ROUND(p_Lmen,0))),EL$53,0)*Calendario!EM$13</f>
        <v>0</v>
      </c>
      <c r="EN48" s="13" t="n">
        <f aca="false">IF(AND(p_MesCorte&gt;=0,138=p_MesCorte+MAX(1,ROUND(p_Lmen,0))),EM$53,0)*Calendario!EN$13</f>
        <v>0</v>
      </c>
      <c r="EO48" s="13" t="n">
        <f aca="false">IF(AND(p_MesCorte&gt;=0,139=p_MesCorte+MAX(1,ROUND(p_Lmen,0))),EN$53,0)*Calendario!EO$13</f>
        <v>0</v>
      </c>
      <c r="EP48" s="13" t="n">
        <f aca="false">IF(AND(p_MesCorte&gt;=0,140=p_MesCorte+MAX(1,ROUND(p_Lmen,0))),EO$53,0)*Calendario!EP$13</f>
        <v>0</v>
      </c>
      <c r="EQ48" s="13" t="n">
        <f aca="false">IF(AND(p_MesCorte&gt;=0,141=p_MesCorte+MAX(1,ROUND(p_Lmen,0))),EP$53,0)*Calendario!EQ$13</f>
        <v>0</v>
      </c>
      <c r="ER48" s="13" t="n">
        <f aca="false">IF(AND(p_MesCorte&gt;=0,142=p_MesCorte+MAX(1,ROUND(p_Lmen,0))),EQ$53,0)*Calendario!ER$13</f>
        <v>0</v>
      </c>
      <c r="ES48" s="13" t="n">
        <f aca="false">IF(AND(p_MesCorte&gt;=0,143=p_MesCorte+MAX(1,ROUND(p_Lmen,0))),ER$53,0)*Calendario!ES$13</f>
        <v>0</v>
      </c>
      <c r="ET48" s="13" t="n">
        <f aca="false">IF(AND(p_MesCorte&gt;=0,144=p_MesCorte+MAX(1,ROUND(p_Lmen,0))),ES$53,0)*Calendario!ET$13</f>
        <v>0</v>
      </c>
      <c r="EU48" s="13" t="n">
        <f aca="false">IF(AND(p_MesCorte&gt;=0,145=p_MesCorte+MAX(1,ROUND(p_Lmen,0))),ET$53,0)*Calendario!EU$13</f>
        <v>0</v>
      </c>
      <c r="EV48" s="13" t="n">
        <f aca="false">IF(AND(p_MesCorte&gt;=0,146=p_MesCorte+MAX(1,ROUND(p_Lmen,0))),EU$53,0)*Calendario!EV$13</f>
        <v>0</v>
      </c>
      <c r="EW48" s="13" t="n">
        <f aca="false">IF(AND(p_MesCorte&gt;=0,147=p_MesCorte+MAX(1,ROUND(p_Lmen,0))),EV$53,0)*Calendario!EW$13</f>
        <v>0</v>
      </c>
      <c r="EX48" s="13" t="n">
        <f aca="false">IF(AND(p_MesCorte&gt;=0,148=p_MesCorte+MAX(1,ROUND(p_Lmen,0))),EW$53,0)*Calendario!EX$13</f>
        <v>0</v>
      </c>
      <c r="EY48" s="13" t="n">
        <f aca="false">IF(AND(p_MesCorte&gt;=0,149=p_MesCorte+MAX(1,ROUND(p_Lmen,0))),EX$53,0)*Calendario!EY$13</f>
        <v>0</v>
      </c>
      <c r="EZ48" s="13" t="n">
        <f aca="false">IF(AND(p_MesCorte&gt;=0,150=p_MesCorte+MAX(1,ROUND(p_Lmen,0))),EY$53,0)*Calendario!EZ$13</f>
        <v>0</v>
      </c>
      <c r="FA48" s="13" t="n">
        <f aca="false">IF(AND(p_MesCorte&gt;=0,151=p_MesCorte+MAX(1,ROUND(p_Lmen,0))),EZ$53,0)*Calendario!FA$13</f>
        <v>0</v>
      </c>
      <c r="FB48" s="13" t="n">
        <f aca="false">IF(AND(p_MesCorte&gt;=0,152=p_MesCorte+MAX(1,ROUND(p_Lmen,0))),FA$53,0)*Calendario!FB$13</f>
        <v>0</v>
      </c>
      <c r="FC48" s="13" t="n">
        <f aca="false">IF(AND(p_MesCorte&gt;=0,153=p_MesCorte+MAX(1,ROUND(p_Lmen,0))),FB$53,0)*Calendario!FC$13</f>
        <v>0</v>
      </c>
      <c r="FD48" s="13" t="n">
        <f aca="false">IF(AND(p_MesCorte&gt;=0,154=p_MesCorte+MAX(1,ROUND(p_Lmen,0))),FC$53,0)*Calendario!FD$13</f>
        <v>0</v>
      </c>
      <c r="FE48" s="13" t="n">
        <f aca="false">IF(AND(p_MesCorte&gt;=0,155=p_MesCorte+MAX(1,ROUND(p_Lmen,0))),FD$53,0)*Calendario!FE$13</f>
        <v>0</v>
      </c>
      <c r="FF48" s="13" t="n">
        <f aca="false">IF(AND(p_MesCorte&gt;=0,156=p_MesCorte+MAX(1,ROUND(p_Lmen,0))),FE$53,0)*Calendario!FF$13</f>
        <v>0</v>
      </c>
    </row>
    <row r="49" customFormat="false" ht="15" hidden="false" customHeight="false" outlineLevel="0" collapsed="false">
      <c r="A49" s="2" t="s">
        <v>1353</v>
      </c>
      <c r="B49" s="66" t="s">
        <v>1354</v>
      </c>
      <c r="C49" s="8" t="s">
        <v>255</v>
      </c>
      <c r="E49" s="67" t="n">
        <f aca="false">SUM($F49:$FF49)</f>
        <v>7901328.92376444</v>
      </c>
      <c r="F49" s="12" t="n">
        <f aca="false">IF(F$9=1,SUMIFS(dr_USD,dr_Mes,0,dr_Cod,"PAGO_MEN",dr_Est,"&lt;&gt;Excluido"),(F$47+F$48)*Calendario!F$13)</f>
        <v>0</v>
      </c>
      <c r="G49" s="12" t="n">
        <f aca="false">IF(G$9=1,SUMIFS(dr_USD,dr_Mes,1,dr_Cod,"PAGO_MEN",dr_Est,"&lt;&gt;Excluido"),(G$47+G$48)*Calendario!G$13)</f>
        <v>761.701062792606</v>
      </c>
      <c r="H49" s="12" t="n">
        <f aca="false">IF(H$9=1,SUMIFS(dr_USD,dr_Mes,2,dr_Cod,"PAGO_MEN",dr_Est,"&lt;&gt;Excluido"),(H$47+H$48)*Calendario!H$13)</f>
        <v>55536.6196683036</v>
      </c>
      <c r="I49" s="12" t="n">
        <f aca="false">IF(I$9=1,SUMIFS(dr_USD,dr_Mes,3,dr_Cod,"PAGO_MEN",dr_Est,"&lt;&gt;Excluido"),(I$47+I$48)*Calendario!I$13)</f>
        <v>50672.4497482436</v>
      </c>
      <c r="J49" s="12" t="n">
        <f aca="false">IF(J$9=1,SUMIFS(dr_USD,dr_Mes,4,dr_Cod,"PAGO_MEN",dr_Est,"&lt;&gt;Excluido"),(J$47+J$48)*Calendario!J$13)</f>
        <v>50672.4497482436</v>
      </c>
      <c r="K49" s="12" t="n">
        <f aca="false">IF(K$9=1,SUMIFS(dr_USD,dr_Mes,5,dr_Cod,"PAGO_MEN",dr_Est,"&lt;&gt;Excluido"),(K$47+K$48)*Calendario!K$13)</f>
        <v>50672.4497482436</v>
      </c>
      <c r="L49" s="12" t="n">
        <f aca="false">IF(L$9=1,SUMIFS(dr_USD,dr_Mes,6,dr_Cod,"PAGO_MEN",dr_Est,"&lt;&gt;Excluido"),(L$47+L$48)*Calendario!L$13)</f>
        <v>50672.4497482436</v>
      </c>
      <c r="M49" s="12" t="n">
        <f aca="false">IF(M$9=1,SUMIFS(dr_USD,dr_Mes,7,dr_Cod,"PAGO_MEN",dr_Est,"&lt;&gt;Excluido"),(M$47+M$48)*Calendario!M$13)</f>
        <v>50672.4497482436</v>
      </c>
      <c r="N49" s="12" t="n">
        <f aca="false">IF(N$9=1,SUMIFS(dr_USD,dr_Mes,8,dr_Cod,"PAGO_MEN",dr_Est,"&lt;&gt;Excluido"),(N$47+N$48)*Calendario!N$13)</f>
        <v>50672.4497482436</v>
      </c>
      <c r="O49" s="12" t="n">
        <f aca="false">IF(O$9=1,SUMIFS(dr_USD,dr_Mes,9,dr_Cod,"PAGO_MEN",dr_Est,"&lt;&gt;Excluido"),(O$47+O$48)*Calendario!O$13)</f>
        <v>50672.4497482436</v>
      </c>
      <c r="P49" s="12" t="n">
        <f aca="false">IF(P$9=1,SUMIFS(dr_USD,dr_Mes,10,dr_Cod,"PAGO_MEN",dr_Est,"&lt;&gt;Excluido"),(P$47+P$48)*Calendario!P$13)</f>
        <v>50672.4497482436</v>
      </c>
      <c r="Q49" s="12" t="n">
        <f aca="false">IF(Q$9=1,SUMIFS(dr_USD,dr_Mes,11,dr_Cod,"PAGO_MEN",dr_Est,"&lt;&gt;Excluido"),(Q$47+Q$48)*Calendario!Q$13)</f>
        <v>50672.4497482436</v>
      </c>
      <c r="R49" s="12" t="n">
        <f aca="false">IF(R$9=1,SUMIFS(dr_USD,dr_Mes,12,dr_Cod,"PAGO_MEN",dr_Est,"&lt;&gt;Excluido"),(R$47+R$48)*Calendario!R$13)</f>
        <v>50690.2074453725</v>
      </c>
      <c r="S49" s="12" t="n">
        <f aca="false">IF(S$9=1,SUMIFS(dr_USD,dr_Mes,13,dr_Cod,"PAGO_MEN",dr_Est,"&lt;&gt;Excluido"),(S$47+S$48)*Calendario!S$13)</f>
        <v>52031.1769723475</v>
      </c>
      <c r="T49" s="12" t="n">
        <f aca="false">IF(T$9=1,SUMIFS(dr_USD,dr_Mes,14,dr_Cod,"PAGO_MEN",dr_Est,"&lt;&gt;Excluido"),(T$47+T$48)*Calendario!T$13)</f>
        <v>56525.0809982435</v>
      </c>
      <c r="U49" s="12" t="n">
        <f aca="false">IF(U$9=1,SUMIFS(dr_USD,dr_Mes,15,dr_Cod,"PAGO_MEN",dr_Est,"&lt;&gt;Excluido"),(U$47+U$48)*Calendario!U$13)</f>
        <v>56525.0809982435</v>
      </c>
      <c r="V49" s="12" t="n">
        <f aca="false">IF(V$9=1,SUMIFS(dr_USD,dr_Mes,16,dr_Cod,"PAGO_MEN",dr_Est,"&lt;&gt;Excluido"),(V$47+V$48)*Calendario!V$13)</f>
        <v>56525.0809982435</v>
      </c>
      <c r="W49" s="12" t="n">
        <f aca="false">IF(W$9=1,SUMIFS(dr_USD,dr_Mes,17,dr_Cod,"PAGO_MEN",dr_Est,"&lt;&gt;Excluido"),(W$47+W$48)*Calendario!W$13)</f>
        <v>56525.0809982435</v>
      </c>
      <c r="X49" s="12" t="n">
        <f aca="false">IF(X$9=1,SUMIFS(dr_USD,dr_Mes,18,dr_Cod,"PAGO_MEN",dr_Est,"&lt;&gt;Excluido"),(X$47+X$48)*Calendario!X$13)</f>
        <v>56525.0809982435</v>
      </c>
      <c r="Y49" s="12" t="n">
        <f aca="false">IF(Y$9=1,SUMIFS(dr_USD,dr_Mes,19,dr_Cod,"PAGO_MEN",dr_Est,"&lt;&gt;Excluido"),(Y$47+Y$48)*Calendario!Y$13)</f>
        <v>56525.0809982435</v>
      </c>
      <c r="Z49" s="12" t="n">
        <f aca="false">IF(Z$9=1,SUMIFS(dr_USD,dr_Mes,20,dr_Cod,"PAGO_MEN",dr_Est,"&lt;&gt;Excluido"),(Z$47+Z$48)*Calendario!Z$13)</f>
        <v>56525.0809982435</v>
      </c>
      <c r="AA49" s="12" t="n">
        <f aca="false">IF(AA$9=1,SUMIFS(dr_USD,dr_Mes,21,dr_Cod,"PAGO_MEN",dr_Est,"&lt;&gt;Excluido"),(AA$47+AA$48)*Calendario!AA$13)</f>
        <v>56525.0809982435</v>
      </c>
      <c r="AB49" s="12" t="n">
        <f aca="false">IF(AB$9=1,SUMIFS(dr_USD,dr_Mes,22,dr_Cod,"PAGO_MEN",dr_Est,"&lt;&gt;Excluido"),(AB$47+AB$48)*Calendario!AB$13)</f>
        <v>56525.0809982435</v>
      </c>
      <c r="AC49" s="12" t="n">
        <f aca="false">IF(AC$9=1,SUMIFS(dr_USD,dr_Mes,23,dr_Cod,"PAGO_MEN",dr_Est,"&lt;&gt;Excluido"),(AC$47+AC$48)*Calendario!AC$13)</f>
        <v>56525.0809982435</v>
      </c>
      <c r="AD49" s="12" t="n">
        <f aca="false">IF(AD$9=1,SUMIFS(dr_USD,dr_Mes,24,dr_Cod,"PAGO_MEN",dr_Est,"&lt;&gt;Excluido"),(AD$47+AD$48)*Calendario!AD$13)</f>
        <v>56542.9308751435</v>
      </c>
      <c r="AE49" s="12" t="n">
        <f aca="false">IF(AE$9=1,SUMIFS(dr_USD,dr_Mes,25,dr_Cod,"PAGO_MEN",dr_Est,"&lt;&gt;Excluido"),(AE$47+AE$48)*Calendario!AE$13)</f>
        <v>57893.7635743853</v>
      </c>
      <c r="AF49" s="12" t="n">
        <f aca="false">IF(AF$9=1,SUMIFS(dr_USD,dr_Mes,26,dr_Cod,"PAGO_MEN",dr_Est,"&lt;&gt;Excluido"),(AF$47+AF$48)*Calendario!AF$13)</f>
        <v>62619.9560702915</v>
      </c>
      <c r="AG49" s="12" t="n">
        <f aca="false">IF(AG$9=1,SUMIFS(dr_USD,dr_Mes,27,dr_Cod,"PAGO_MEN",dr_Est,"&lt;&gt;Excluido"),(AG$47+AG$48)*Calendario!AG$13)</f>
        <v>62619.9560702915</v>
      </c>
      <c r="AH49" s="12" t="n">
        <f aca="false">IF(AH$9=1,SUMIFS(dr_USD,dr_Mes,28,dr_Cod,"PAGO_MEN",dr_Est,"&lt;&gt;Excluido"),(AH$47+AH$48)*Calendario!AH$13)</f>
        <v>62619.9560702915</v>
      </c>
      <c r="AI49" s="12" t="n">
        <f aca="false">IF(AI$9=1,SUMIFS(dr_USD,dr_Mes,29,dr_Cod,"PAGO_MEN",dr_Est,"&lt;&gt;Excluido"),(AI$47+AI$48)*Calendario!AI$13)</f>
        <v>62619.9560702915</v>
      </c>
      <c r="AJ49" s="12" t="n">
        <f aca="false">IF(AJ$9=1,SUMIFS(dr_USD,dr_Mes,30,dr_Cod,"PAGO_MEN",dr_Est,"&lt;&gt;Excluido"),(AJ$47+AJ$48)*Calendario!AJ$13)</f>
        <v>62619.9560702915</v>
      </c>
      <c r="AK49" s="12" t="n">
        <f aca="false">IF(AK$9=1,SUMIFS(dr_USD,dr_Mes,31,dr_Cod,"PAGO_MEN",dr_Est,"&lt;&gt;Excluido"),(AK$47+AK$48)*Calendario!AK$13)</f>
        <v>62619.9560702915</v>
      </c>
      <c r="AL49" s="12" t="n">
        <f aca="false">IF(AL$9=1,SUMIFS(dr_USD,dr_Mes,32,dr_Cod,"PAGO_MEN",dr_Est,"&lt;&gt;Excluido"),(AL$47+AL$48)*Calendario!AL$13)</f>
        <v>62619.9560702915</v>
      </c>
      <c r="AM49" s="12" t="n">
        <f aca="false">IF(AM$9=1,SUMIFS(dr_USD,dr_Mes,33,dr_Cod,"PAGO_MEN",dr_Est,"&lt;&gt;Excluido"),(AM$47+AM$48)*Calendario!AM$13)</f>
        <v>62619.9560702915</v>
      </c>
      <c r="AN49" s="12" t="n">
        <f aca="false">IF(AN$9=1,SUMIFS(dr_USD,dr_Mes,34,dr_Cod,"PAGO_MEN",dr_Est,"&lt;&gt;Excluido"),(AN$47+AN$48)*Calendario!AN$13)</f>
        <v>62619.9560702915</v>
      </c>
      <c r="AO49" s="12" t="n">
        <f aca="false">IF(AO$9=1,SUMIFS(dr_USD,dr_Mes,35,dr_Cod,"PAGO_MEN",dr_Est,"&lt;&gt;Excluido"),(AO$47+AO$48)*Calendario!AO$13)</f>
        <v>62619.9560702915</v>
      </c>
      <c r="AP49" s="12" t="n">
        <f aca="false">IF(AP$9=1,SUMIFS(dr_USD,dr_Mes,36,dr_Cod,"PAGO_MEN",dr_Est,"&lt;&gt;Excluido"),(AP$47+AP$48)*Calendario!AP$13)</f>
        <v>62634.3915188597</v>
      </c>
      <c r="AQ49" s="12" t="n">
        <f aca="false">IF(AQ$9=1,SUMIFS(dr_USD,dr_Mes,37,dr_Cod,"PAGO_MEN",dr_Est,"&lt;&gt;Excluido"),(AQ$47+AQ$48)*Calendario!AQ$13)</f>
        <v>63729.7976697647</v>
      </c>
      <c r="AR49" s="12" t="n">
        <f aca="false">IF(AR$9=1,SUMIFS(dr_USD,dr_Mes,38,dr_Cod,"PAGO_MEN",dr_Est,"&lt;&gt;Excluido"),(AR$47+AR$48)*Calendario!AR$13)</f>
        <v>67765.6751573158</v>
      </c>
      <c r="AS49" s="12" t="n">
        <f aca="false">IF(AS$9=1,SUMIFS(dr_USD,dr_Mes,39,dr_Cod,"PAGO_MEN",dr_Est,"&lt;&gt;Excluido"),(AS$47+AS$48)*Calendario!AS$13)</f>
        <v>67765.6751573158</v>
      </c>
      <c r="AT49" s="12" t="n">
        <f aca="false">IF(AT$9=1,SUMIFS(dr_USD,dr_Mes,40,dr_Cod,"PAGO_MEN",dr_Est,"&lt;&gt;Excluido"),(AT$47+AT$48)*Calendario!AT$13)</f>
        <v>67765.6751573158</v>
      </c>
      <c r="AU49" s="12" t="n">
        <f aca="false">IF(AU$9=1,SUMIFS(dr_USD,dr_Mes,41,dr_Cod,"PAGO_MEN",dr_Est,"&lt;&gt;Excluido"),(AU$47+AU$48)*Calendario!AU$13)</f>
        <v>67765.6751573158</v>
      </c>
      <c r="AV49" s="12" t="n">
        <f aca="false">IF(AV$9=1,SUMIFS(dr_USD,dr_Mes,42,dr_Cod,"PAGO_MEN",dr_Est,"&lt;&gt;Excluido"),(AV$47+AV$48)*Calendario!AV$13)</f>
        <v>67765.6751573158</v>
      </c>
      <c r="AW49" s="12" t="n">
        <f aca="false">IF(AW$9=1,SUMIFS(dr_USD,dr_Mes,43,dr_Cod,"PAGO_MEN",dr_Est,"&lt;&gt;Excluido"),(AW$47+AW$48)*Calendario!AW$13)</f>
        <v>67765.6751573158</v>
      </c>
      <c r="AX49" s="12" t="n">
        <f aca="false">IF(AX$9=1,SUMIFS(dr_USD,dr_Mes,44,dr_Cod,"PAGO_MEN",dr_Est,"&lt;&gt;Excluido"),(AX$47+AX$48)*Calendario!AX$13)</f>
        <v>67765.6751573158</v>
      </c>
      <c r="AY49" s="12" t="n">
        <f aca="false">IF(AY$9=1,SUMIFS(dr_USD,dr_Mes,45,dr_Cod,"PAGO_MEN",dr_Est,"&lt;&gt;Excluido"),(AY$47+AY$48)*Calendario!AY$13)</f>
        <v>67765.6751573158</v>
      </c>
      <c r="AZ49" s="12" t="n">
        <f aca="false">IF(AZ$9=1,SUMIFS(dr_USD,dr_Mes,46,dr_Cod,"PAGO_MEN",dr_Est,"&lt;&gt;Excluido"),(AZ$47+AZ$48)*Calendario!AZ$13)</f>
        <v>67765.6751573158</v>
      </c>
      <c r="BA49" s="12" t="n">
        <f aca="false">IF(BA$9=1,SUMIFS(dr_USD,dr_Mes,47,dr_Cod,"PAGO_MEN",dr_Est,"&lt;&gt;Excluido"),(BA$47+BA$48)*Calendario!BA$13)</f>
        <v>67765.6751573158</v>
      </c>
      <c r="BB49" s="12" t="n">
        <f aca="false">IF(BB$9=1,SUMIFS(dr_USD,dr_Mes,48,dr_Cod,"PAGO_MEN",dr_Est,"&lt;&gt;Excluido"),(BB$47+BB$48)*Calendario!BB$13)</f>
        <v>67765.6751573158</v>
      </c>
      <c r="BC49" s="12" t="n">
        <f aca="false">IF(BC$9=1,SUMIFS(dr_USD,dr_Mes,49,dr_Cod,"PAGO_MEN",dr_Est,"&lt;&gt;Excluido"),(BC$47+BC$48)*Calendario!BC$13)</f>
        <v>67779.5216718072</v>
      </c>
      <c r="BD49" s="12" t="n">
        <f aca="false">IF(BD$9=1,SUMIFS(dr_USD,dr_Mes,50,dr_Cod,"PAGO_MEN",dr_Est,"&lt;&gt;Excluido"),(BD$47+BD$48)*Calendario!BD$13)</f>
        <v>68776.4707151862</v>
      </c>
      <c r="BE49" s="12" t="n">
        <f aca="false">IF(BE$9=1,SUMIFS(dr_USD,dr_Mes,51,dr_Cod,"PAGO_MEN",dr_Est,"&lt;&gt;Excluido"),(BE$47+BE$48)*Calendario!BE$13)</f>
        <v>68776.4707151862</v>
      </c>
      <c r="BF49" s="12" t="n">
        <f aca="false">IF(BF$9=1,SUMIFS(dr_USD,dr_Mes,52,dr_Cod,"PAGO_MEN",dr_Est,"&lt;&gt;Excluido"),(BF$47+BF$48)*Calendario!BF$13)</f>
        <v>68776.4707151862</v>
      </c>
      <c r="BG49" s="12" t="n">
        <f aca="false">IF(BG$9=1,SUMIFS(dr_USD,dr_Mes,53,dr_Cod,"PAGO_MEN",dr_Est,"&lt;&gt;Excluido"),(BG$47+BG$48)*Calendario!BG$13)</f>
        <v>68776.4707151862</v>
      </c>
      <c r="BH49" s="12" t="n">
        <f aca="false">IF(BH$9=1,SUMIFS(dr_USD,dr_Mes,54,dr_Cod,"PAGO_MEN",dr_Est,"&lt;&gt;Excluido"),(BH$47+BH$48)*Calendario!BH$13)</f>
        <v>68776.4707151862</v>
      </c>
      <c r="BI49" s="12" t="n">
        <f aca="false">IF(BI$9=1,SUMIFS(dr_USD,dr_Mes,55,dr_Cod,"PAGO_MEN",dr_Est,"&lt;&gt;Excluido"),(BI$47+BI$48)*Calendario!BI$13)</f>
        <v>68776.4707151862</v>
      </c>
      <c r="BJ49" s="12" t="n">
        <f aca="false">IF(BJ$9=1,SUMIFS(dr_USD,dr_Mes,56,dr_Cod,"PAGO_MEN",dr_Est,"&lt;&gt;Excluido"),(BJ$47+BJ$48)*Calendario!BJ$13)</f>
        <v>68776.4707151862</v>
      </c>
      <c r="BK49" s="12" t="n">
        <f aca="false">IF(BK$9=1,SUMIFS(dr_USD,dr_Mes,57,dr_Cod,"PAGO_MEN",dr_Est,"&lt;&gt;Excluido"),(BK$47+BK$48)*Calendario!BK$13)</f>
        <v>68776.4707151862</v>
      </c>
      <c r="BL49" s="12" t="n">
        <f aca="false">IF(BL$9=1,SUMIFS(dr_USD,dr_Mes,58,dr_Cod,"PAGO_MEN",dr_Est,"&lt;&gt;Excluido"),(BL$47+BL$48)*Calendario!BL$13)</f>
        <v>68776.4707151862</v>
      </c>
      <c r="BM49" s="12" t="n">
        <f aca="false">IF(BM$9=1,SUMIFS(dr_USD,dr_Mes,59,dr_Cod,"PAGO_MEN",dr_Est,"&lt;&gt;Excluido"),(BM$47+BM$48)*Calendario!BM$13)</f>
        <v>68776.4707151862</v>
      </c>
      <c r="BN49" s="12" t="n">
        <f aca="false">IF(BN$9=1,SUMIFS(dr_USD,dr_Mes,60,dr_Cod,"PAGO_MEN",dr_Est,"&lt;&gt;Excluido"),(BN$47+BN$48)*Calendario!BN$13)</f>
        <v>68776.4707151862</v>
      </c>
      <c r="BO49" s="12" t="n">
        <f aca="false">IF(BO$9=1,SUMIFS(dr_USD,dr_Mes,61,dr_Cod,"PAGO_MEN",dr_Est,"&lt;&gt;Excluido"),(BO$47+BO$48)*Calendario!BO$13)</f>
        <v>68788.4461079971</v>
      </c>
      <c r="BP49" s="12" t="n">
        <f aca="false">IF(BP$9=1,SUMIFS(dr_USD,dr_Mes,62,dr_Cod,"PAGO_MEN",dr_Est,"&lt;&gt;Excluido"),(BP$47+BP$48)*Calendario!BP$13)</f>
        <v>69650.6743903824</v>
      </c>
      <c r="BQ49" s="12" t="n">
        <f aca="false">IF(BQ$9=1,SUMIFS(dr_USD,dr_Mes,63,dr_Cod,"PAGO_MEN",dr_Est,"&lt;&gt;Excluido"),(BQ$47+BQ$48)*Calendario!BQ$13)</f>
        <v>69650.6743903824</v>
      </c>
      <c r="BR49" s="12" t="n">
        <f aca="false">IF(BR$9=1,SUMIFS(dr_USD,dr_Mes,64,dr_Cod,"PAGO_MEN",dr_Est,"&lt;&gt;Excluido"),(BR$47+BR$48)*Calendario!BR$13)</f>
        <v>69650.6743903824</v>
      </c>
      <c r="BS49" s="12" t="n">
        <f aca="false">IF(BS$9=1,SUMIFS(dr_USD,dr_Mes,65,dr_Cod,"PAGO_MEN",dr_Est,"&lt;&gt;Excluido"),(BS$47+BS$48)*Calendario!BS$13)</f>
        <v>69650.6743903824</v>
      </c>
      <c r="BT49" s="12" t="n">
        <f aca="false">IF(BT$9=1,SUMIFS(dr_USD,dr_Mes,66,dr_Cod,"PAGO_MEN",dr_Est,"&lt;&gt;Excluido"),(BT$47+BT$48)*Calendario!BT$13)</f>
        <v>69650.6743903824</v>
      </c>
      <c r="BU49" s="12" t="n">
        <f aca="false">IF(BU$9=1,SUMIFS(dr_USD,dr_Mes,67,dr_Cod,"PAGO_MEN",dr_Est,"&lt;&gt;Excluido"),(BU$47+BU$48)*Calendario!BU$13)</f>
        <v>69650.6743903824</v>
      </c>
      <c r="BV49" s="12" t="n">
        <f aca="false">IF(BV$9=1,SUMIFS(dr_USD,dr_Mes,68,dr_Cod,"PAGO_MEN",dr_Est,"&lt;&gt;Excluido"),(BV$47+BV$48)*Calendario!BV$13)</f>
        <v>69650.6743903824</v>
      </c>
      <c r="BW49" s="12" t="n">
        <f aca="false">IF(BW$9=1,SUMIFS(dr_USD,dr_Mes,69,dr_Cod,"PAGO_MEN",dr_Est,"&lt;&gt;Excluido"),(BW$47+BW$48)*Calendario!BW$13)</f>
        <v>69650.6743903824</v>
      </c>
      <c r="BX49" s="12" t="n">
        <f aca="false">IF(BX$9=1,SUMIFS(dr_USD,dr_Mes,70,dr_Cod,"PAGO_MEN",dr_Est,"&lt;&gt;Excluido"),(BX$47+BX$48)*Calendario!BX$13)</f>
        <v>69650.6743903824</v>
      </c>
      <c r="BY49" s="12" t="n">
        <f aca="false">IF(BY$9=1,SUMIFS(dr_USD,dr_Mes,71,dr_Cod,"PAGO_MEN",dr_Est,"&lt;&gt;Excluido"),(BY$47+BY$48)*Calendario!BY$13)</f>
        <v>69650.6743903824</v>
      </c>
      <c r="BZ49" s="12" t="n">
        <f aca="false">IF(BZ$9=1,SUMIFS(dr_USD,dr_Mes,72,dr_Cod,"PAGO_MEN",dr_Est,"&lt;&gt;Excluido"),(BZ$47+BZ$48)*Calendario!BZ$13)</f>
        <v>69650.6743903824</v>
      </c>
      <c r="CA49" s="12" t="n">
        <f aca="false">IF(CA$9=1,SUMIFS(dr_USD,dr_Mes,73,dr_Cod,"PAGO_MEN",dr_Est,"&lt;&gt;Excluido"),(CA$47+CA$48)*Calendario!CA$13)</f>
        <v>69662.9268845554</v>
      </c>
      <c r="CB49" s="12" t="n">
        <f aca="false">IF(CB$9=1,SUMIFS(dr_USD,dr_Mes,74,dr_Cod,"PAGO_MEN",dr_Est,"&lt;&gt;Excluido"),(CB$47+CB$48)*Calendario!CB$13)</f>
        <v>70545.1064650103</v>
      </c>
      <c r="CC49" s="12" t="n">
        <f aca="false">IF(CC$9=1,SUMIFS(dr_USD,dr_Mes,75,dr_Cod,"PAGO_MEN",dr_Est,"&lt;&gt;Excluido"),(CC$47+CC$48)*Calendario!CC$13)</f>
        <v>70545.1064650103</v>
      </c>
      <c r="CD49" s="12" t="n">
        <f aca="false">IF(CD$9=1,SUMIFS(dr_USD,dr_Mes,76,dr_Cod,"PAGO_MEN",dr_Est,"&lt;&gt;Excluido"),(CD$47+CD$48)*Calendario!CD$13)</f>
        <v>70545.1064650103</v>
      </c>
      <c r="CE49" s="12" t="n">
        <f aca="false">IF(CE$9=1,SUMIFS(dr_USD,dr_Mes,77,dr_Cod,"PAGO_MEN",dr_Est,"&lt;&gt;Excluido"),(CE$47+CE$48)*Calendario!CE$13)</f>
        <v>70545.1064650103</v>
      </c>
      <c r="CF49" s="12" t="n">
        <f aca="false">IF(CF$9=1,SUMIFS(dr_USD,dr_Mes,78,dr_Cod,"PAGO_MEN",dr_Est,"&lt;&gt;Excluido"),(CF$47+CF$48)*Calendario!CF$13)</f>
        <v>70545.1064650103</v>
      </c>
      <c r="CG49" s="12" t="n">
        <f aca="false">IF(CG$9=1,SUMIFS(dr_USD,dr_Mes,79,dr_Cod,"PAGO_MEN",dr_Est,"&lt;&gt;Excluido"),(CG$47+CG$48)*Calendario!CG$13)</f>
        <v>70545.1064650103</v>
      </c>
      <c r="CH49" s="12" t="n">
        <f aca="false">IF(CH$9=1,SUMIFS(dr_USD,dr_Mes,80,dr_Cod,"PAGO_MEN",dr_Est,"&lt;&gt;Excluido"),(CH$47+CH$48)*Calendario!CH$13)</f>
        <v>70545.1064650103</v>
      </c>
      <c r="CI49" s="12" t="n">
        <f aca="false">IF(CI$9=1,SUMIFS(dr_USD,dr_Mes,81,dr_Cod,"PAGO_MEN",dr_Est,"&lt;&gt;Excluido"),(CI$47+CI$48)*Calendario!CI$13)</f>
        <v>70545.1064650103</v>
      </c>
      <c r="CJ49" s="12" t="n">
        <f aca="false">IF(CJ$9=1,SUMIFS(dr_USD,dr_Mes,82,dr_Cod,"PAGO_MEN",dr_Est,"&lt;&gt;Excluido"),(CJ$47+CJ$48)*Calendario!CJ$13)</f>
        <v>70545.1064650103</v>
      </c>
      <c r="CK49" s="12" t="n">
        <f aca="false">IF(CK$9=1,SUMIFS(dr_USD,dr_Mes,83,dr_Cod,"PAGO_MEN",dr_Est,"&lt;&gt;Excluido"),(CK$47+CK$48)*Calendario!CK$13)</f>
        <v>70545.1064650103</v>
      </c>
      <c r="CL49" s="12" t="n">
        <f aca="false">IF(CL$9=1,SUMIFS(dr_USD,dr_Mes,84,dr_Cod,"PAGO_MEN",dr_Est,"&lt;&gt;Excluido"),(CL$47+CL$48)*Calendario!CL$13)</f>
        <v>70545.1064650103</v>
      </c>
      <c r="CM49" s="12" t="n">
        <f aca="false">IF(CM$9=1,SUMIFS(dr_USD,dr_Mes,85,dr_Cod,"PAGO_MEN",dr_Est,"&lt;&gt;Excluido"),(CM$47+CM$48)*Calendario!CM$13)</f>
        <v>70557.6437656354</v>
      </c>
      <c r="CN49" s="12" t="n">
        <f aca="false">IF(CN$9=1,SUMIFS(dr_USD,dr_Mes,86,dr_Cod,"PAGO_MEN",dr_Est,"&lt;&gt;Excluido"),(CN$47+CN$48)*Calendario!CN$13)</f>
        <v>71460.3294106446</v>
      </c>
      <c r="CO49" s="12" t="n">
        <f aca="false">IF(CO$9=1,SUMIFS(dr_USD,dr_Mes,87,dr_Cod,"PAGO_MEN",dr_Est,"&lt;&gt;Excluido"),(CO$47+CO$48)*Calendario!CO$13)</f>
        <v>71460.3294106446</v>
      </c>
      <c r="CP49" s="12" t="n">
        <f aca="false">IF(CP$9=1,SUMIFS(dr_USD,dr_Mes,88,dr_Cod,"PAGO_MEN",dr_Est,"&lt;&gt;Excluido"),(CP$47+CP$48)*Calendario!CP$13)</f>
        <v>71460.3294106446</v>
      </c>
      <c r="CQ49" s="12" t="n">
        <f aca="false">IF(CQ$9=1,SUMIFS(dr_USD,dr_Mes,89,dr_Cod,"PAGO_MEN",dr_Est,"&lt;&gt;Excluido"),(CQ$47+CQ$48)*Calendario!CQ$13)</f>
        <v>71460.3294106446</v>
      </c>
      <c r="CR49" s="12" t="n">
        <f aca="false">IF(CR$9=1,SUMIFS(dr_USD,dr_Mes,90,dr_Cod,"PAGO_MEN",dr_Est,"&lt;&gt;Excluido"),(CR$47+CR$48)*Calendario!CR$13)</f>
        <v>71460.3294106446</v>
      </c>
      <c r="CS49" s="12" t="n">
        <f aca="false">IF(CS$9=1,SUMIFS(dr_USD,dr_Mes,91,dr_Cod,"PAGO_MEN",dr_Est,"&lt;&gt;Excluido"),(CS$47+CS$48)*Calendario!CS$13)</f>
        <v>71460.3294106446</v>
      </c>
      <c r="CT49" s="12" t="n">
        <f aca="false">IF(CT$9=1,SUMIFS(dr_USD,dr_Mes,92,dr_Cod,"PAGO_MEN",dr_Est,"&lt;&gt;Excluido"),(CT$47+CT$48)*Calendario!CT$13)</f>
        <v>71460.3294106446</v>
      </c>
      <c r="CU49" s="12" t="n">
        <f aca="false">IF(CU$9=1,SUMIFS(dr_USD,dr_Mes,93,dr_Cod,"PAGO_MEN",dr_Est,"&lt;&gt;Excluido"),(CU$47+CU$48)*Calendario!CU$13)</f>
        <v>71460.3294106446</v>
      </c>
      <c r="CV49" s="12" t="n">
        <f aca="false">IF(CV$9=1,SUMIFS(dr_USD,dr_Mes,94,dr_Cod,"PAGO_MEN",dr_Est,"&lt;&gt;Excluido"),(CV$47+CV$48)*Calendario!CV$13)</f>
        <v>71460.3294106446</v>
      </c>
      <c r="CW49" s="12" t="n">
        <f aca="false">IF(CW$9=1,SUMIFS(dr_USD,dr_Mes,95,dr_Cod,"PAGO_MEN",dr_Est,"&lt;&gt;Excluido"),(CW$47+CW$48)*Calendario!CW$13)</f>
        <v>71460.3294106446</v>
      </c>
      <c r="CX49" s="12" t="n">
        <f aca="false">IF(CX$9=1,SUMIFS(dr_USD,dr_Mes,96,dr_Cod,"PAGO_MEN",dr_Est,"&lt;&gt;Excluido"),(CX$47+CX$48)*Calendario!CX$13)</f>
        <v>71460.3294106446</v>
      </c>
      <c r="CY49" s="12" t="n">
        <f aca="false">IF(CY$9=1,SUMIFS(dr_USD,dr_Mes,97,dr_Cod,"PAGO_MEN",dr_Est,"&lt;&gt;Excluido"),(CY$47+CY$48)*Calendario!CY$13)</f>
        <v>71473.1594478852</v>
      </c>
      <c r="CZ49" s="12" t="n">
        <f aca="false">IF(CZ$9=1,SUMIFS(dr_USD,dr_Mes,98,dr_Cod,"PAGO_MEN",dr_Est,"&lt;&gt;Excluido"),(CZ$47+CZ$48)*Calendario!CZ$13)</f>
        <v>72396.9221292033</v>
      </c>
      <c r="DA49" s="12" t="n">
        <f aca="false">IF(DA$9=1,SUMIFS(dr_USD,dr_Mes,99,dr_Cod,"PAGO_MEN",dr_Est,"&lt;&gt;Excluido"),(DA$47+DA$48)*Calendario!DA$13)</f>
        <v>72396.9221292033</v>
      </c>
      <c r="DB49" s="12" t="n">
        <f aca="false">IF(DB$9=1,SUMIFS(dr_USD,dr_Mes,100,dr_Cod,"PAGO_MEN",dr_Est,"&lt;&gt;Excluido"),(DB$47+DB$48)*Calendario!DB$13)</f>
        <v>72396.9221292033</v>
      </c>
      <c r="DC49" s="12" t="n">
        <f aca="false">IF(DC$9=1,SUMIFS(dr_USD,dr_Mes,101,dr_Cod,"PAGO_MEN",dr_Est,"&lt;&gt;Excluido"),(DC$47+DC$48)*Calendario!DC$13)</f>
        <v>72396.9221292033</v>
      </c>
      <c r="DD49" s="12" t="n">
        <f aca="false">IF(DD$9=1,SUMIFS(dr_USD,dr_Mes,102,dr_Cod,"PAGO_MEN",dr_Est,"&lt;&gt;Excluido"),(DD$47+DD$48)*Calendario!DD$13)</f>
        <v>72396.9221292033</v>
      </c>
      <c r="DE49" s="12" t="n">
        <f aca="false">IF(DE$9=1,SUMIFS(dr_USD,dr_Mes,103,dr_Cod,"PAGO_MEN",dr_Est,"&lt;&gt;Excluido"),(DE$47+DE$48)*Calendario!DE$13)</f>
        <v>72396.9221292033</v>
      </c>
      <c r="DF49" s="12" t="n">
        <f aca="false">IF(DF$9=1,SUMIFS(dr_USD,dr_Mes,104,dr_Cod,"PAGO_MEN",dr_Est,"&lt;&gt;Excluido"),(DF$47+DF$48)*Calendario!DF$13)</f>
        <v>72396.9221292033</v>
      </c>
      <c r="DG49" s="12" t="n">
        <f aca="false">IF(DG$9=1,SUMIFS(dr_USD,dr_Mes,105,dr_Cod,"PAGO_MEN",dr_Est,"&lt;&gt;Excluido"),(DG$47+DG$48)*Calendario!DG$13)</f>
        <v>72396.9221292033</v>
      </c>
      <c r="DH49" s="12" t="n">
        <f aca="false">IF(DH$9=1,SUMIFS(dr_USD,dr_Mes,106,dr_Cod,"PAGO_MEN",dr_Est,"&lt;&gt;Excluido"),(DH$47+DH$48)*Calendario!DH$13)</f>
        <v>72396.9221292033</v>
      </c>
      <c r="DI49" s="12" t="n">
        <f aca="false">IF(DI$9=1,SUMIFS(dr_USD,dr_Mes,107,dr_Cod,"PAGO_MEN",dr_Est,"&lt;&gt;Excluido"),(DI$47+DI$48)*Calendario!DI$13)</f>
        <v>72396.9221292033</v>
      </c>
      <c r="DJ49" s="12" t="n">
        <f aca="false">IF(DJ$9=1,SUMIFS(dr_USD,dr_Mes,108,dr_Cod,"PAGO_MEN",dr_Est,"&lt;&gt;Excluido"),(DJ$47+DJ$48)*Calendario!DJ$13)</f>
        <v>72396.9221292033</v>
      </c>
      <c r="DK49" s="12" t="n">
        <f aca="false">IF(DK$9=1,SUMIFS(dr_USD,dr_Mes,109,dr_Cod,"PAGO_MEN",dr_Est,"&lt;&gt;Excluido"),(DK$47+DK$48)*Calendario!DK$13)</f>
        <v>72410.0530649871</v>
      </c>
      <c r="DL49" s="12" t="n">
        <f aca="false">IF(DL$9=1,SUMIFS(dr_USD,dr_Mes,110,dr_Cod,"PAGO_MEN",dr_Est,"&lt;&gt;Excluido"),(DL$47+DL$48)*Calendario!DL$13)</f>
        <v>73355.4804414196</v>
      </c>
      <c r="DM49" s="12" t="n">
        <f aca="false">IF(DM$9=1,SUMIFS(dr_USD,dr_Mes,111,dr_Cod,"PAGO_MEN",dr_Est,"&lt;&gt;Excluido"),(DM$47+DM$48)*Calendario!DM$13)</f>
        <v>73355.4804414196</v>
      </c>
      <c r="DN49" s="12" t="n">
        <f aca="false">IF(DN$9=1,SUMIFS(dr_USD,dr_Mes,112,dr_Cod,"PAGO_MEN",dr_Est,"&lt;&gt;Excluido"),(DN$47+DN$48)*Calendario!DN$13)</f>
        <v>73355.4804414196</v>
      </c>
      <c r="DO49" s="12" t="n">
        <f aca="false">IF(DO$9=1,SUMIFS(dr_USD,dr_Mes,113,dr_Cod,"PAGO_MEN",dr_Est,"&lt;&gt;Excluido"),(DO$47+DO$48)*Calendario!DO$13)</f>
        <v>73355.4804414196</v>
      </c>
      <c r="DP49" s="12" t="n">
        <f aca="false">IF(DP$9=1,SUMIFS(dr_USD,dr_Mes,114,dr_Cod,"PAGO_MEN",dr_Est,"&lt;&gt;Excluido"),(DP$47+DP$48)*Calendario!DP$13)</f>
        <v>73355.4804414196</v>
      </c>
      <c r="DQ49" s="12" t="n">
        <f aca="false">IF(DQ$9=1,SUMIFS(dr_USD,dr_Mes,115,dr_Cod,"PAGO_MEN",dr_Est,"&lt;&gt;Excluido"),(DQ$47+DQ$48)*Calendario!DQ$13)</f>
        <v>73355.4804414196</v>
      </c>
      <c r="DR49" s="12" t="n">
        <f aca="false">IF(DR$9=1,SUMIFS(dr_USD,dr_Mes,116,dr_Cod,"PAGO_MEN",dr_Est,"&lt;&gt;Excluido"),(DR$47+DR$48)*Calendario!DR$13)</f>
        <v>73355.4804414196</v>
      </c>
      <c r="DS49" s="12" t="n">
        <f aca="false">IF(DS$9=1,SUMIFS(dr_USD,dr_Mes,117,dr_Cod,"PAGO_MEN",dr_Est,"&lt;&gt;Excluido"),(DS$47+DS$48)*Calendario!DS$13)</f>
        <v>73355.4804414196</v>
      </c>
      <c r="DT49" s="12" t="n">
        <f aca="false">IF(DT$9=1,SUMIFS(dr_USD,dr_Mes,118,dr_Cod,"PAGO_MEN",dr_Est,"&lt;&gt;Excluido"),(DT$47+DT$48)*Calendario!DT$13)</f>
        <v>73355.4804414196</v>
      </c>
      <c r="DU49" s="12" t="n">
        <f aca="false">IF(DU$9=1,SUMIFS(dr_USD,dr_Mes,119,dr_Cod,"PAGO_MEN",dr_Est,"&lt;&gt;Excluido"),(DU$47+DU$48)*Calendario!DU$13)</f>
        <v>73355.4804414196</v>
      </c>
      <c r="DV49" s="12" t="n">
        <f aca="false">IF(DV$9=1,SUMIFS(dr_USD,dr_Mes,120,dr_Cod,"PAGO_MEN",dr_Est,"&lt;&gt;Excluido"),(DV$47+DV$48)*Calendario!DV$13)</f>
        <v>73232.4002556976</v>
      </c>
      <c r="DW49" s="12" t="n">
        <f aca="false">IF(DW$9=1,SUMIFS(dr_USD,dr_Mes,121,dr_Cod,"PAGO_MEN",dr_Est,"&lt;&gt;Excluido"),(DW$47+DW$48)*Calendario!DW$13)</f>
        <v>0</v>
      </c>
      <c r="DX49" s="12" t="n">
        <f aca="false">IF(DX$9=1,SUMIFS(dr_USD,dr_Mes,122,dr_Cod,"PAGO_MEN",dr_Est,"&lt;&gt;Excluido"),(DX$47+DX$48)*Calendario!DX$13)</f>
        <v>0</v>
      </c>
      <c r="DY49" s="12" t="n">
        <f aca="false">IF(DY$9=1,SUMIFS(dr_USD,dr_Mes,123,dr_Cod,"PAGO_MEN",dr_Est,"&lt;&gt;Excluido"),(DY$47+DY$48)*Calendario!DY$13)</f>
        <v>0</v>
      </c>
      <c r="DZ49" s="12" t="n">
        <f aca="false">IF(DZ$9=1,SUMIFS(dr_USD,dr_Mes,124,dr_Cod,"PAGO_MEN",dr_Est,"&lt;&gt;Excluido"),(DZ$47+DZ$48)*Calendario!DZ$13)</f>
        <v>0</v>
      </c>
      <c r="EA49" s="12" t="n">
        <f aca="false">IF(EA$9=1,SUMIFS(dr_USD,dr_Mes,125,dr_Cod,"PAGO_MEN",dr_Est,"&lt;&gt;Excluido"),(EA$47+EA$48)*Calendario!EA$13)</f>
        <v>0</v>
      </c>
      <c r="EB49" s="12" t="n">
        <f aca="false">IF(EB$9=1,SUMIFS(dr_USD,dr_Mes,126,dr_Cod,"PAGO_MEN",dr_Est,"&lt;&gt;Excluido"),(EB$47+EB$48)*Calendario!EB$13)</f>
        <v>0</v>
      </c>
      <c r="EC49" s="12" t="n">
        <f aca="false">IF(EC$9=1,SUMIFS(dr_USD,dr_Mes,127,dr_Cod,"PAGO_MEN",dr_Est,"&lt;&gt;Excluido"),(EC$47+EC$48)*Calendario!EC$13)</f>
        <v>0</v>
      </c>
      <c r="ED49" s="12" t="n">
        <f aca="false">IF(ED$9=1,SUMIFS(dr_USD,dr_Mes,128,dr_Cod,"PAGO_MEN",dr_Est,"&lt;&gt;Excluido"),(ED$47+ED$48)*Calendario!ED$13)</f>
        <v>0</v>
      </c>
      <c r="EE49" s="12" t="n">
        <f aca="false">IF(EE$9=1,SUMIFS(dr_USD,dr_Mes,129,dr_Cod,"PAGO_MEN",dr_Est,"&lt;&gt;Excluido"),(EE$47+EE$48)*Calendario!EE$13)</f>
        <v>0</v>
      </c>
      <c r="EF49" s="12" t="n">
        <f aca="false">IF(EF$9=1,SUMIFS(dr_USD,dr_Mes,130,dr_Cod,"PAGO_MEN",dr_Est,"&lt;&gt;Excluido"),(EF$47+EF$48)*Calendario!EF$13)</f>
        <v>0</v>
      </c>
      <c r="EG49" s="12" t="n">
        <f aca="false">IF(EG$9=1,SUMIFS(dr_USD,dr_Mes,131,dr_Cod,"PAGO_MEN",dr_Est,"&lt;&gt;Excluido"),(EG$47+EG$48)*Calendario!EG$13)</f>
        <v>0</v>
      </c>
      <c r="EH49" s="12" t="n">
        <f aca="false">IF(EH$9=1,SUMIFS(dr_USD,dr_Mes,132,dr_Cod,"PAGO_MEN",dr_Est,"&lt;&gt;Excluido"),(EH$47+EH$48)*Calendario!EH$13)</f>
        <v>0</v>
      </c>
      <c r="EI49" s="12" t="n">
        <f aca="false">IF(EI$9=1,SUMIFS(dr_USD,dr_Mes,133,dr_Cod,"PAGO_MEN",dr_Est,"&lt;&gt;Excluido"),(EI$47+EI$48)*Calendario!EI$13)</f>
        <v>0</v>
      </c>
      <c r="EJ49" s="12" t="n">
        <f aca="false">IF(EJ$9=1,SUMIFS(dr_USD,dr_Mes,134,dr_Cod,"PAGO_MEN",dr_Est,"&lt;&gt;Excluido"),(EJ$47+EJ$48)*Calendario!EJ$13)</f>
        <v>0</v>
      </c>
      <c r="EK49" s="12" t="n">
        <f aca="false">IF(EK$9=1,SUMIFS(dr_USD,dr_Mes,135,dr_Cod,"PAGO_MEN",dr_Est,"&lt;&gt;Excluido"),(EK$47+EK$48)*Calendario!EK$13)</f>
        <v>0</v>
      </c>
      <c r="EL49" s="12" t="n">
        <f aca="false">IF(EL$9=1,SUMIFS(dr_USD,dr_Mes,136,dr_Cod,"PAGO_MEN",dr_Est,"&lt;&gt;Excluido"),(EL$47+EL$48)*Calendario!EL$13)</f>
        <v>0</v>
      </c>
      <c r="EM49" s="12" t="n">
        <f aca="false">IF(EM$9=1,SUMIFS(dr_USD,dr_Mes,137,dr_Cod,"PAGO_MEN",dr_Est,"&lt;&gt;Excluido"),(EM$47+EM$48)*Calendario!EM$13)</f>
        <v>0</v>
      </c>
      <c r="EN49" s="12" t="n">
        <f aca="false">IF(EN$9=1,SUMIFS(dr_USD,dr_Mes,138,dr_Cod,"PAGO_MEN",dr_Est,"&lt;&gt;Excluido"),(EN$47+EN$48)*Calendario!EN$13)</f>
        <v>0</v>
      </c>
      <c r="EO49" s="12" t="n">
        <f aca="false">IF(EO$9=1,SUMIFS(dr_USD,dr_Mes,139,dr_Cod,"PAGO_MEN",dr_Est,"&lt;&gt;Excluido"),(EO$47+EO$48)*Calendario!EO$13)</f>
        <v>0</v>
      </c>
      <c r="EP49" s="12" t="n">
        <f aca="false">IF(EP$9=1,SUMIFS(dr_USD,dr_Mes,140,dr_Cod,"PAGO_MEN",dr_Est,"&lt;&gt;Excluido"),(EP$47+EP$48)*Calendario!EP$13)</f>
        <v>0</v>
      </c>
      <c r="EQ49" s="12" t="n">
        <f aca="false">IF(EQ$9=1,SUMIFS(dr_USD,dr_Mes,141,dr_Cod,"PAGO_MEN",dr_Est,"&lt;&gt;Excluido"),(EQ$47+EQ$48)*Calendario!EQ$13)</f>
        <v>0</v>
      </c>
      <c r="ER49" s="12" t="n">
        <f aca="false">IF(ER$9=1,SUMIFS(dr_USD,dr_Mes,142,dr_Cod,"PAGO_MEN",dr_Est,"&lt;&gt;Excluido"),(ER$47+ER$48)*Calendario!ER$13)</f>
        <v>0</v>
      </c>
      <c r="ES49" s="12" t="n">
        <f aca="false">IF(ES$9=1,SUMIFS(dr_USD,dr_Mes,143,dr_Cod,"PAGO_MEN",dr_Est,"&lt;&gt;Excluido"),(ES$47+ES$48)*Calendario!ES$13)</f>
        <v>0</v>
      </c>
      <c r="ET49" s="12" t="n">
        <f aca="false">IF(ET$9=1,SUMIFS(dr_USD,dr_Mes,144,dr_Cod,"PAGO_MEN",dr_Est,"&lt;&gt;Excluido"),(ET$47+ET$48)*Calendario!ET$13)</f>
        <v>0</v>
      </c>
      <c r="EU49" s="12" t="n">
        <f aca="false">IF(EU$9=1,SUMIFS(dr_USD,dr_Mes,145,dr_Cod,"PAGO_MEN",dr_Est,"&lt;&gt;Excluido"),(EU$47+EU$48)*Calendario!EU$13)</f>
        <v>0</v>
      </c>
      <c r="EV49" s="12" t="n">
        <f aca="false">IF(EV$9=1,SUMIFS(dr_USD,dr_Mes,146,dr_Cod,"PAGO_MEN",dr_Est,"&lt;&gt;Excluido"),(EV$47+EV$48)*Calendario!EV$13)</f>
        <v>0</v>
      </c>
      <c r="EW49" s="12" t="n">
        <f aca="false">IF(EW$9=1,SUMIFS(dr_USD,dr_Mes,147,dr_Cod,"PAGO_MEN",dr_Est,"&lt;&gt;Excluido"),(EW$47+EW$48)*Calendario!EW$13)</f>
        <v>0</v>
      </c>
      <c r="EX49" s="12" t="n">
        <f aca="false">IF(EX$9=1,SUMIFS(dr_USD,dr_Mes,148,dr_Cod,"PAGO_MEN",dr_Est,"&lt;&gt;Excluido"),(EX$47+EX$48)*Calendario!EX$13)</f>
        <v>0</v>
      </c>
      <c r="EY49" s="12" t="n">
        <f aca="false">IF(EY$9=1,SUMIFS(dr_USD,dr_Mes,149,dr_Cod,"PAGO_MEN",dr_Est,"&lt;&gt;Excluido"),(EY$47+EY$48)*Calendario!EY$13)</f>
        <v>0</v>
      </c>
      <c r="EZ49" s="12" t="n">
        <f aca="false">IF(EZ$9=1,SUMIFS(dr_USD,dr_Mes,150,dr_Cod,"PAGO_MEN",dr_Est,"&lt;&gt;Excluido"),(EZ$47+EZ$48)*Calendario!EZ$13)</f>
        <v>0</v>
      </c>
      <c r="FA49" s="12" t="n">
        <f aca="false">IF(FA$9=1,SUMIFS(dr_USD,dr_Mes,151,dr_Cod,"PAGO_MEN",dr_Est,"&lt;&gt;Excluido"),(FA$47+FA$48)*Calendario!FA$13)</f>
        <v>0</v>
      </c>
      <c r="FB49" s="12" t="n">
        <f aca="false">IF(FB$9=1,SUMIFS(dr_USD,dr_Mes,152,dr_Cod,"PAGO_MEN",dr_Est,"&lt;&gt;Excluido"),(FB$47+FB$48)*Calendario!FB$13)</f>
        <v>0</v>
      </c>
      <c r="FC49" s="12" t="n">
        <f aca="false">IF(FC$9=1,SUMIFS(dr_USD,dr_Mes,153,dr_Cod,"PAGO_MEN",dr_Est,"&lt;&gt;Excluido"),(FC$47+FC$48)*Calendario!FC$13)</f>
        <v>0</v>
      </c>
      <c r="FD49" s="12" t="n">
        <f aca="false">IF(FD$9=1,SUMIFS(dr_USD,dr_Mes,154,dr_Cod,"PAGO_MEN",dr_Est,"&lt;&gt;Excluido"),(FD$47+FD$48)*Calendario!FD$13)</f>
        <v>0</v>
      </c>
      <c r="FE49" s="12" t="n">
        <f aca="false">IF(FE$9=1,SUMIFS(dr_USD,dr_Mes,155,dr_Cod,"PAGO_MEN",dr_Est,"&lt;&gt;Excluido"),(FE$47+FE$48)*Calendario!FE$13)</f>
        <v>0</v>
      </c>
      <c r="FF49" s="12" t="n">
        <f aca="false">IF(FF$9=1,SUMIFS(dr_USD,dr_Mes,156,dr_Cod,"PAGO_MEN",dr_Est,"&lt;&gt;Excluido"),(FF$47+FF$48)*Calendario!FF$13)</f>
        <v>0</v>
      </c>
    </row>
    <row r="50" customFormat="false" ht="15" hidden="false" customHeight="false" outlineLevel="0" collapsed="false">
      <c r="A50" s="2" t="s">
        <v>1355</v>
      </c>
      <c r="B50" s="8" t="s">
        <v>1356</v>
      </c>
      <c r="C50" s="8" t="s">
        <v>255</v>
      </c>
      <c r="F50" s="13" t="n">
        <f aca="false">0+F$46-F$49</f>
        <v>0</v>
      </c>
      <c r="G50" s="13" t="n">
        <f aca="false">F$51+G$46-G$49</f>
        <v>54842.4765210674</v>
      </c>
      <c r="H50" s="13" t="n">
        <f aca="false">G$51+H$46-H$49</f>
        <v>49978.3066010073</v>
      </c>
      <c r="I50" s="13" t="n">
        <f aca="false">H$51+I$46-I$49</f>
        <v>49978.3066010073</v>
      </c>
      <c r="J50" s="13" t="n">
        <f aca="false">I$51+J$46-J$49</f>
        <v>49978.3066010073</v>
      </c>
      <c r="K50" s="13" t="n">
        <f aca="false">J$51+K$46-K$49</f>
        <v>49978.3066010073</v>
      </c>
      <c r="L50" s="13" t="n">
        <f aca="false">K$51+L$46-L$49</f>
        <v>49978.3066010073</v>
      </c>
      <c r="M50" s="13" t="n">
        <f aca="false">L$51+M$46-M$49</f>
        <v>49978.3066010073</v>
      </c>
      <c r="N50" s="13" t="n">
        <f aca="false">M$51+N$46-N$49</f>
        <v>49978.3066010073</v>
      </c>
      <c r="O50" s="13" t="n">
        <f aca="false">N$51+O$46-O$49</f>
        <v>49978.3066010073</v>
      </c>
      <c r="P50" s="13" t="n">
        <f aca="false">O$51+P$46-P$49</f>
        <v>49978.3066010073</v>
      </c>
      <c r="Q50" s="13" t="n">
        <f aca="false">P$51+Q$46-Q$49</f>
        <v>49978.3066010073</v>
      </c>
      <c r="R50" s="13" t="n">
        <f aca="false">Q$51+R$46-R$49</f>
        <v>51256.8607942894</v>
      </c>
      <c r="S50" s="13" t="n">
        <f aca="false">R$51+S$46-S$49</f>
        <v>55750.7648201854</v>
      </c>
      <c r="T50" s="13" t="n">
        <f aca="false">S$51+T$46-T$49</f>
        <v>55750.7648201854</v>
      </c>
      <c r="U50" s="13" t="n">
        <f aca="false">T$51+U$46-U$49</f>
        <v>55750.7648201854</v>
      </c>
      <c r="V50" s="13" t="n">
        <f aca="false">U$51+V$46-V$49</f>
        <v>55750.7648201854</v>
      </c>
      <c r="W50" s="13" t="n">
        <f aca="false">V$51+W$46-W$49</f>
        <v>55750.7648201854</v>
      </c>
      <c r="X50" s="13" t="n">
        <f aca="false">W$51+X$46-X$49</f>
        <v>55750.7648201854</v>
      </c>
      <c r="Y50" s="13" t="n">
        <f aca="false">X$51+Y$46-Y$49</f>
        <v>55750.7648201854</v>
      </c>
      <c r="Z50" s="13" t="n">
        <f aca="false">Y$51+Z$46-Z$49</f>
        <v>55750.7648201854</v>
      </c>
      <c r="AA50" s="13" t="n">
        <f aca="false">Z$51+AA$46-AA$49</f>
        <v>55750.7648201854</v>
      </c>
      <c r="AB50" s="13" t="n">
        <f aca="false">AA$51+AB$46-AB$49</f>
        <v>55750.7648201854</v>
      </c>
      <c r="AC50" s="13" t="n">
        <f aca="false">AB$51+AC$46-AC$49</f>
        <v>55750.7648201854</v>
      </c>
      <c r="AD50" s="13" t="n">
        <f aca="false">AC$51+AD$46-AD$49</f>
        <v>57035.9559569841</v>
      </c>
      <c r="AE50" s="13" t="n">
        <f aca="false">AD$51+AE$46-AE$49</f>
        <v>61762.1484528902</v>
      </c>
      <c r="AF50" s="13" t="n">
        <f aca="false">AE$51+AF$46-AF$49</f>
        <v>61762.1484528902</v>
      </c>
      <c r="AG50" s="13" t="n">
        <f aca="false">AF$51+AG$46-AG$49</f>
        <v>61762.1484528902</v>
      </c>
      <c r="AH50" s="13" t="n">
        <f aca="false">AG$51+AH$46-AH$49</f>
        <v>61762.1484528902</v>
      </c>
      <c r="AI50" s="13" t="n">
        <f aca="false">AH$51+AI$46-AI$49</f>
        <v>61762.1484528902</v>
      </c>
      <c r="AJ50" s="13" t="n">
        <f aca="false">AI$51+AJ$46-AJ$49</f>
        <v>61762.1484528902</v>
      </c>
      <c r="AK50" s="13" t="n">
        <f aca="false">AJ$51+AK$46-AK$49</f>
        <v>61762.1484528902</v>
      </c>
      <c r="AL50" s="13" t="n">
        <f aca="false">AK$51+AL$46-AL$49</f>
        <v>61762.1484528902</v>
      </c>
      <c r="AM50" s="13" t="n">
        <f aca="false">AL$51+AM$46-AM$49</f>
        <v>61762.1484528902</v>
      </c>
      <c r="AN50" s="13" t="n">
        <f aca="false">AM$51+AN$46-AN$49</f>
        <v>61762.1484528902</v>
      </c>
      <c r="AO50" s="13" t="n">
        <f aca="false">AN$51+AO$46-AO$49</f>
        <v>61762.1484528902</v>
      </c>
      <c r="AP50" s="13" t="n">
        <f aca="false">AO$51+AP$46-AP$49</f>
        <v>62801.5007498015</v>
      </c>
      <c r="AQ50" s="13" t="n">
        <f aca="false">AP$51+AQ$46-AQ$49</f>
        <v>66837.3782373526</v>
      </c>
      <c r="AR50" s="13" t="n">
        <f aca="false">AQ$51+AR$46-AR$49</f>
        <v>66837.3782373526</v>
      </c>
      <c r="AS50" s="13" t="n">
        <f aca="false">AR$51+AS$46-AS$49</f>
        <v>66837.3782373526</v>
      </c>
      <c r="AT50" s="13" t="n">
        <f aca="false">AS$51+AT$46-AT$49</f>
        <v>66837.3782373526</v>
      </c>
      <c r="AU50" s="13" t="n">
        <f aca="false">AT$51+AU$46-AU$49</f>
        <v>66837.3782373526</v>
      </c>
      <c r="AV50" s="13" t="n">
        <f aca="false">AU$51+AV$46-AV$49</f>
        <v>66837.3782373526</v>
      </c>
      <c r="AW50" s="13" t="n">
        <f aca="false">AV$51+AW$46-AW$49</f>
        <v>66837.3782373526</v>
      </c>
      <c r="AX50" s="13" t="n">
        <f aca="false">AW$51+AX$46-AX$49</f>
        <v>66837.3782373526</v>
      </c>
      <c r="AY50" s="13" t="n">
        <f aca="false">AX$51+AY$46-AY$49</f>
        <v>66837.3782373526</v>
      </c>
      <c r="AZ50" s="13" t="n">
        <f aca="false">AY$51+AZ$46-AZ$49</f>
        <v>66837.3782373526</v>
      </c>
      <c r="BA50" s="13" t="n">
        <f aca="false">AZ$51+BA$46-BA$49</f>
        <v>66837.3782373526</v>
      </c>
      <c r="BB50" s="13" t="n">
        <f aca="false">BA$51+BB$46-BB$49</f>
        <v>66837.3782373526</v>
      </c>
      <c r="BC50" s="13" t="n">
        <f aca="false">BB$51+BC$46-BC$49</f>
        <v>67834.3272807317</v>
      </c>
      <c r="BD50" s="13" t="n">
        <f aca="false">BC$51+BD$46-BD$49</f>
        <v>67834.3272807317</v>
      </c>
      <c r="BE50" s="13" t="n">
        <f aca="false">BD$51+BE$46-BE$49</f>
        <v>67834.3272807317</v>
      </c>
      <c r="BF50" s="13" t="n">
        <f aca="false">BE$51+BF$46-BF$49</f>
        <v>67834.3272807317</v>
      </c>
      <c r="BG50" s="13" t="n">
        <f aca="false">BF$51+BG$46-BG$49</f>
        <v>67834.3272807317</v>
      </c>
      <c r="BH50" s="13" t="n">
        <f aca="false">BG$51+BH$46-BH$49</f>
        <v>67834.3272807317</v>
      </c>
      <c r="BI50" s="13" t="n">
        <f aca="false">BH$51+BI$46-BI$49</f>
        <v>67834.3272807317</v>
      </c>
      <c r="BJ50" s="13" t="n">
        <f aca="false">BI$51+BJ$46-BJ$49</f>
        <v>67834.3272807317</v>
      </c>
      <c r="BK50" s="13" t="n">
        <f aca="false">BJ$51+BK$46-BK$49</f>
        <v>67834.3272807317</v>
      </c>
      <c r="BL50" s="13" t="n">
        <f aca="false">BK$51+BL$46-BL$49</f>
        <v>67834.3272807317</v>
      </c>
      <c r="BM50" s="13" t="n">
        <f aca="false">BL$51+BM$46-BM$49</f>
        <v>67834.3272807317</v>
      </c>
      <c r="BN50" s="13" t="n">
        <f aca="false">BM$51+BN$46-BN$49</f>
        <v>67834.3272807317</v>
      </c>
      <c r="BO50" s="13" t="n">
        <f aca="false">BN$51+BO$46-BO$49</f>
        <v>68696.5555631169</v>
      </c>
      <c r="BP50" s="13" t="n">
        <f aca="false">BO$51+BP$46-BP$49</f>
        <v>68696.5555631169</v>
      </c>
      <c r="BQ50" s="13" t="n">
        <f aca="false">BP$51+BQ$46-BQ$49</f>
        <v>68696.5555631169</v>
      </c>
      <c r="BR50" s="13" t="n">
        <f aca="false">BQ$51+BR$46-BR$49</f>
        <v>68696.5555631169</v>
      </c>
      <c r="BS50" s="13" t="n">
        <f aca="false">BR$51+BS$46-BS$49</f>
        <v>68696.5555631169</v>
      </c>
      <c r="BT50" s="13" t="n">
        <f aca="false">BS$51+BT$46-BT$49</f>
        <v>68696.5555631169</v>
      </c>
      <c r="BU50" s="13" t="n">
        <f aca="false">BT$51+BU$46-BU$49</f>
        <v>68696.5555631169</v>
      </c>
      <c r="BV50" s="13" t="n">
        <f aca="false">BU$51+BV$46-BV$49</f>
        <v>68696.5555631169</v>
      </c>
      <c r="BW50" s="13" t="n">
        <f aca="false">BV$51+BW$46-BW$49</f>
        <v>68696.5555631169</v>
      </c>
      <c r="BX50" s="13" t="n">
        <f aca="false">BW$51+BX$46-BX$49</f>
        <v>68696.5555631169</v>
      </c>
      <c r="BY50" s="13" t="n">
        <f aca="false">BX$51+BY$46-BY$49</f>
        <v>68696.5555631169</v>
      </c>
      <c r="BZ50" s="13" t="n">
        <f aca="false">BY$51+BZ$46-BZ$49</f>
        <v>68696.5555631169</v>
      </c>
      <c r="CA50" s="13" t="n">
        <f aca="false">BZ$51+CA$46-CA$49</f>
        <v>69578.7351435718</v>
      </c>
      <c r="CB50" s="13" t="n">
        <f aca="false">CA$51+CB$46-CB$49</f>
        <v>69578.7351435718</v>
      </c>
      <c r="CC50" s="13" t="n">
        <f aca="false">CB$51+CC$46-CC$49</f>
        <v>69578.7351435718</v>
      </c>
      <c r="CD50" s="13" t="n">
        <f aca="false">CC$51+CD$46-CD$49</f>
        <v>69578.7351435718</v>
      </c>
      <c r="CE50" s="13" t="n">
        <f aca="false">CD$51+CE$46-CE$49</f>
        <v>69578.7351435718</v>
      </c>
      <c r="CF50" s="13" t="n">
        <f aca="false">CE$51+CF$46-CF$49</f>
        <v>69578.7351435718</v>
      </c>
      <c r="CG50" s="13" t="n">
        <f aca="false">CF$51+CG$46-CG$49</f>
        <v>69578.7351435718</v>
      </c>
      <c r="CH50" s="13" t="n">
        <f aca="false">CG$51+CH$46-CH$49</f>
        <v>69578.7351435718</v>
      </c>
      <c r="CI50" s="13" t="n">
        <f aca="false">CH$51+CI$46-CI$49</f>
        <v>69578.7351435718</v>
      </c>
      <c r="CJ50" s="13" t="n">
        <f aca="false">CI$51+CJ$46-CJ$49</f>
        <v>69578.7351435718</v>
      </c>
      <c r="CK50" s="13" t="n">
        <f aca="false">CJ$51+CK$46-CK$49</f>
        <v>69578.7351435718</v>
      </c>
      <c r="CL50" s="13" t="n">
        <f aca="false">CK$51+CL$46-CL$49</f>
        <v>69578.7351435718</v>
      </c>
      <c r="CM50" s="13" t="n">
        <f aca="false">CL$51+CM$46-CM$49</f>
        <v>70481.4207885811</v>
      </c>
      <c r="CN50" s="13" t="n">
        <f aca="false">CM$51+CN$46-CN$49</f>
        <v>70481.4207885811</v>
      </c>
      <c r="CO50" s="13" t="n">
        <f aca="false">CN$51+CO$46-CO$49</f>
        <v>70481.4207885811</v>
      </c>
      <c r="CP50" s="13" t="n">
        <f aca="false">CO$51+CP$46-CP$49</f>
        <v>70481.4207885811</v>
      </c>
      <c r="CQ50" s="13" t="n">
        <f aca="false">CP$51+CQ$46-CQ$49</f>
        <v>70481.4207885811</v>
      </c>
      <c r="CR50" s="13" t="n">
        <f aca="false">CQ$51+CR$46-CR$49</f>
        <v>70481.4207885811</v>
      </c>
      <c r="CS50" s="13" t="n">
        <f aca="false">CR$51+CS$46-CS$49</f>
        <v>70481.4207885811</v>
      </c>
      <c r="CT50" s="13" t="n">
        <f aca="false">CS$51+CT$46-CT$49</f>
        <v>70481.4207885811</v>
      </c>
      <c r="CU50" s="13" t="n">
        <f aca="false">CT$51+CU$46-CU$49</f>
        <v>70481.4207885811</v>
      </c>
      <c r="CV50" s="13" t="n">
        <f aca="false">CU$51+CV$46-CV$49</f>
        <v>70481.4207885811</v>
      </c>
      <c r="CW50" s="13" t="n">
        <f aca="false">CV$51+CW$46-CW$49</f>
        <v>70481.4207885811</v>
      </c>
      <c r="CX50" s="13" t="n">
        <f aca="false">CW$51+CX$46-CX$49</f>
        <v>70481.4207885811</v>
      </c>
      <c r="CY50" s="13" t="n">
        <f aca="false">CX$51+CY$46-CY$49</f>
        <v>71405.1834698992</v>
      </c>
      <c r="CZ50" s="13" t="n">
        <f aca="false">CY$51+CZ$46-CZ$49</f>
        <v>71405.1834698992</v>
      </c>
      <c r="DA50" s="13" t="n">
        <f aca="false">CZ$51+DA$46-DA$49</f>
        <v>71405.1834698992</v>
      </c>
      <c r="DB50" s="13" t="n">
        <f aca="false">DA$51+DB$46-DB$49</f>
        <v>71405.1834698992</v>
      </c>
      <c r="DC50" s="13" t="n">
        <f aca="false">DB$51+DC$46-DC$49</f>
        <v>71405.1834698992</v>
      </c>
      <c r="DD50" s="13" t="n">
        <f aca="false">DC$51+DD$46-DD$49</f>
        <v>71405.1834698992</v>
      </c>
      <c r="DE50" s="13" t="n">
        <f aca="false">DD$51+DE$46-DE$49</f>
        <v>71405.1834698992</v>
      </c>
      <c r="DF50" s="13" t="n">
        <f aca="false">DE$51+DF$46-DF$49</f>
        <v>71405.1834698992</v>
      </c>
      <c r="DG50" s="13" t="n">
        <f aca="false">DF$51+DG$46-DG$49</f>
        <v>71405.1834698992</v>
      </c>
      <c r="DH50" s="13" t="n">
        <f aca="false">DG$51+DH$46-DH$49</f>
        <v>71405.1834698992</v>
      </c>
      <c r="DI50" s="13" t="n">
        <f aca="false">DH$51+DI$46-DI$49</f>
        <v>71405.1834698992</v>
      </c>
      <c r="DJ50" s="13" t="n">
        <f aca="false">DI$51+DJ$46-DJ$49</f>
        <v>71405.1834698992</v>
      </c>
      <c r="DK50" s="13" t="n">
        <f aca="false">DJ$51+DK$46-DK$49</f>
        <v>72350.6108463317</v>
      </c>
      <c r="DL50" s="13" t="n">
        <f aca="false">DK$51+DL$46-DL$49</f>
        <v>72350.6108463317</v>
      </c>
      <c r="DM50" s="13" t="n">
        <f aca="false">DL$51+DM$46-DM$49</f>
        <v>72350.6108463317</v>
      </c>
      <c r="DN50" s="13" t="n">
        <f aca="false">DM$51+DN$46-DN$49</f>
        <v>72350.6108463317</v>
      </c>
      <c r="DO50" s="13" t="n">
        <f aca="false">DN$51+DO$46-DO$49</f>
        <v>72350.6108463317</v>
      </c>
      <c r="DP50" s="13" t="n">
        <f aca="false">DO$51+DP$46-DP$49</f>
        <v>72350.6108463317</v>
      </c>
      <c r="DQ50" s="13" t="n">
        <f aca="false">DP$51+DQ$46-DQ$49</f>
        <v>72350.6108463317</v>
      </c>
      <c r="DR50" s="13" t="n">
        <f aca="false">DQ$51+DR$46-DR$49</f>
        <v>72350.6108463317</v>
      </c>
      <c r="DS50" s="13" t="n">
        <f aca="false">DR$51+DS$46-DS$49</f>
        <v>72350.6108463317</v>
      </c>
      <c r="DT50" s="13" t="n">
        <f aca="false">DS$51+DT$46-DT$49</f>
        <v>72350.6108463317</v>
      </c>
      <c r="DU50" s="13" t="n">
        <f aca="false">DT$51+DU$46-DU$49</f>
        <v>72350.6108463317</v>
      </c>
      <c r="DV50" s="13" t="n">
        <f aca="false">DU$51+DV$46-DV$49</f>
        <v>63488.8374743457</v>
      </c>
      <c r="DW50" s="13" t="n">
        <f aca="false">DV$51+DW$46-DW$49</f>
        <v>63488.8374743457</v>
      </c>
      <c r="DX50" s="13" t="n">
        <f aca="false">DW$51+DX$46-DX$49</f>
        <v>63488.8374743457</v>
      </c>
      <c r="DY50" s="13" t="n">
        <f aca="false">DX$51+DY$46-DY$49</f>
        <v>63488.8374743457</v>
      </c>
      <c r="DZ50" s="13" t="n">
        <f aca="false">DY$51+DZ$46-DZ$49</f>
        <v>63488.8374743457</v>
      </c>
      <c r="EA50" s="13" t="n">
        <f aca="false">DZ$51+EA$46-EA$49</f>
        <v>63488.8374743457</v>
      </c>
      <c r="EB50" s="13" t="n">
        <f aca="false">EA$51+EB$46-EB$49</f>
        <v>63488.8374743457</v>
      </c>
      <c r="EC50" s="13" t="n">
        <f aca="false">EB$51+EC$46-EC$49</f>
        <v>63488.8374743457</v>
      </c>
      <c r="ED50" s="13" t="n">
        <f aca="false">EC$51+ED$46-ED$49</f>
        <v>63488.8374743457</v>
      </c>
      <c r="EE50" s="13" t="n">
        <f aca="false">ED$51+EE$46-EE$49</f>
        <v>63488.8374743457</v>
      </c>
      <c r="EF50" s="13" t="n">
        <f aca="false">EE$51+EF$46-EF$49</f>
        <v>63488.8374743457</v>
      </c>
      <c r="EG50" s="13" t="n">
        <f aca="false">EF$51+EG$46-EG$49</f>
        <v>63488.8374743457</v>
      </c>
      <c r="EH50" s="13" t="n">
        <f aca="false">EG$51+EH$46-EH$49</f>
        <v>63488.8374743457</v>
      </c>
      <c r="EI50" s="13" t="n">
        <f aca="false">EH$51+EI$46-EI$49</f>
        <v>63488.8374743457</v>
      </c>
      <c r="EJ50" s="13" t="n">
        <f aca="false">EI$51+EJ$46-EJ$49</f>
        <v>63488.8374743457</v>
      </c>
      <c r="EK50" s="13" t="n">
        <f aca="false">EJ$51+EK$46-EK$49</f>
        <v>63488.8374743457</v>
      </c>
      <c r="EL50" s="13" t="n">
        <f aca="false">EK$51+EL$46-EL$49</f>
        <v>63488.8374743457</v>
      </c>
      <c r="EM50" s="13" t="n">
        <f aca="false">EL$51+EM$46-EM$49</f>
        <v>63488.8374743457</v>
      </c>
      <c r="EN50" s="13" t="n">
        <f aca="false">EM$51+EN$46-EN$49</f>
        <v>63488.8374743457</v>
      </c>
      <c r="EO50" s="13" t="n">
        <f aca="false">EN$51+EO$46-EO$49</f>
        <v>63488.8374743457</v>
      </c>
      <c r="EP50" s="13" t="n">
        <f aca="false">EO$51+EP$46-EP$49</f>
        <v>63488.8374743457</v>
      </c>
      <c r="EQ50" s="13" t="n">
        <f aca="false">EP$51+EQ$46-EQ$49</f>
        <v>63488.8374743457</v>
      </c>
      <c r="ER50" s="13" t="n">
        <f aca="false">EQ$51+ER$46-ER$49</f>
        <v>63488.8374743457</v>
      </c>
      <c r="ES50" s="13" t="n">
        <f aca="false">ER$51+ES$46-ES$49</f>
        <v>63488.8374743457</v>
      </c>
      <c r="ET50" s="13" t="n">
        <f aca="false">ES$51+ET$46-ET$49</f>
        <v>63488.8374743457</v>
      </c>
      <c r="EU50" s="13" t="n">
        <f aca="false">ET$51+EU$46-EU$49</f>
        <v>63488.8374743457</v>
      </c>
      <c r="EV50" s="13" t="n">
        <f aca="false">EU$51+EV$46-EV$49</f>
        <v>63488.8374743457</v>
      </c>
      <c r="EW50" s="13" t="n">
        <f aca="false">EV$51+EW$46-EW$49</f>
        <v>63488.8374743457</v>
      </c>
      <c r="EX50" s="13" t="n">
        <f aca="false">EW$51+EX$46-EX$49</f>
        <v>63488.8374743457</v>
      </c>
      <c r="EY50" s="13" t="n">
        <f aca="false">EX$51+EY$46-EY$49</f>
        <v>63488.8374743457</v>
      </c>
      <c r="EZ50" s="13" t="n">
        <f aca="false">EY$51+EZ$46-EZ$49</f>
        <v>63488.8374743457</v>
      </c>
      <c r="FA50" s="13" t="n">
        <f aca="false">EZ$51+FA$46-FA$49</f>
        <v>63488.8374743457</v>
      </c>
      <c r="FB50" s="13" t="n">
        <f aca="false">FA$51+FB$46-FB$49</f>
        <v>63488.8374743457</v>
      </c>
      <c r="FC50" s="13" t="n">
        <f aca="false">FB$51+FC$46-FC$49</f>
        <v>63488.8374743457</v>
      </c>
      <c r="FD50" s="13" t="n">
        <f aca="false">FC$51+FD$46-FD$49</f>
        <v>63488.8374743457</v>
      </c>
      <c r="FE50" s="13" t="n">
        <f aca="false">FD$51+FE$46-FE$49</f>
        <v>63488.8374743457</v>
      </c>
      <c r="FF50" s="13" t="n">
        <f aca="false">FE$51+FF$46-FF$49</f>
        <v>63488.8374743457</v>
      </c>
    </row>
    <row r="51" customFormat="false" ht="15" hidden="false" customHeight="false" outlineLevel="0" collapsed="false">
      <c r="A51" s="2" t="s">
        <v>1357</v>
      </c>
      <c r="B51" s="66" t="s">
        <v>1358</v>
      </c>
      <c r="C51" s="8" t="s">
        <v>255</v>
      </c>
      <c r="E51" s="67" t="n">
        <f aca="false">INDEX($F51:$FF51,1,p_MesFin+1)</f>
        <v>63488.8374743457</v>
      </c>
      <c r="F51" s="12" t="n">
        <f aca="false">IF(AND(0=p_MesCorte,ISNUMBER(r_S_PROVMEN)),r_S_PROVMEN,F$50)</f>
        <v>0</v>
      </c>
      <c r="G51" s="12" t="n">
        <f aca="false">IF(AND(1=p_MesCorte,ISNUMBER(r_S_PROVMEN)),r_S_PROVMEN,G$50)</f>
        <v>54842.4765210674</v>
      </c>
      <c r="H51" s="12" t="n">
        <f aca="false">IF(AND(2=p_MesCorte,ISNUMBER(r_S_PROVMEN)),r_S_PROVMEN,H$50)</f>
        <v>49978.3066010073</v>
      </c>
      <c r="I51" s="12" t="n">
        <f aca="false">IF(AND(3=p_MesCorte,ISNUMBER(r_S_PROVMEN)),r_S_PROVMEN,I$50)</f>
        <v>49978.3066010073</v>
      </c>
      <c r="J51" s="12" t="n">
        <f aca="false">IF(AND(4=p_MesCorte,ISNUMBER(r_S_PROVMEN)),r_S_PROVMEN,J$50)</f>
        <v>49978.3066010073</v>
      </c>
      <c r="K51" s="12" t="n">
        <f aca="false">IF(AND(5=p_MesCorte,ISNUMBER(r_S_PROVMEN)),r_S_PROVMEN,K$50)</f>
        <v>49978.3066010073</v>
      </c>
      <c r="L51" s="12" t="n">
        <f aca="false">IF(AND(6=p_MesCorte,ISNUMBER(r_S_PROVMEN)),r_S_PROVMEN,L$50)</f>
        <v>49978.3066010073</v>
      </c>
      <c r="M51" s="12" t="n">
        <f aca="false">IF(AND(7=p_MesCorte,ISNUMBER(r_S_PROVMEN)),r_S_PROVMEN,M$50)</f>
        <v>49978.3066010073</v>
      </c>
      <c r="N51" s="12" t="n">
        <f aca="false">IF(AND(8=p_MesCorte,ISNUMBER(r_S_PROVMEN)),r_S_PROVMEN,N$50)</f>
        <v>49978.3066010073</v>
      </c>
      <c r="O51" s="12" t="n">
        <f aca="false">IF(AND(9=p_MesCorte,ISNUMBER(r_S_PROVMEN)),r_S_PROVMEN,O$50)</f>
        <v>49978.3066010073</v>
      </c>
      <c r="P51" s="12" t="n">
        <f aca="false">IF(AND(10=p_MesCorte,ISNUMBER(r_S_PROVMEN)),r_S_PROVMEN,P$50)</f>
        <v>49978.3066010073</v>
      </c>
      <c r="Q51" s="12" t="n">
        <f aca="false">IF(AND(11=p_MesCorte,ISNUMBER(r_S_PROVMEN)),r_S_PROVMEN,Q$50)</f>
        <v>49978.3066010073</v>
      </c>
      <c r="R51" s="12" t="n">
        <f aca="false">IF(AND(12=p_MesCorte,ISNUMBER(r_S_PROVMEN)),r_S_PROVMEN,R$50)</f>
        <v>51256.8607942894</v>
      </c>
      <c r="S51" s="12" t="n">
        <f aca="false">IF(AND(13=p_MesCorte,ISNUMBER(r_S_PROVMEN)),r_S_PROVMEN,S$50)</f>
        <v>55750.7648201854</v>
      </c>
      <c r="T51" s="12" t="n">
        <f aca="false">IF(AND(14=p_MesCorte,ISNUMBER(r_S_PROVMEN)),r_S_PROVMEN,T$50)</f>
        <v>55750.7648201854</v>
      </c>
      <c r="U51" s="12" t="n">
        <f aca="false">IF(AND(15=p_MesCorte,ISNUMBER(r_S_PROVMEN)),r_S_PROVMEN,U$50)</f>
        <v>55750.7648201854</v>
      </c>
      <c r="V51" s="12" t="n">
        <f aca="false">IF(AND(16=p_MesCorte,ISNUMBER(r_S_PROVMEN)),r_S_PROVMEN,V$50)</f>
        <v>55750.7648201854</v>
      </c>
      <c r="W51" s="12" t="n">
        <f aca="false">IF(AND(17=p_MesCorte,ISNUMBER(r_S_PROVMEN)),r_S_PROVMEN,W$50)</f>
        <v>55750.7648201854</v>
      </c>
      <c r="X51" s="12" t="n">
        <f aca="false">IF(AND(18=p_MesCorte,ISNUMBER(r_S_PROVMEN)),r_S_PROVMEN,X$50)</f>
        <v>55750.7648201854</v>
      </c>
      <c r="Y51" s="12" t="n">
        <f aca="false">IF(AND(19=p_MesCorte,ISNUMBER(r_S_PROVMEN)),r_S_PROVMEN,Y$50)</f>
        <v>55750.7648201854</v>
      </c>
      <c r="Z51" s="12" t="n">
        <f aca="false">IF(AND(20=p_MesCorte,ISNUMBER(r_S_PROVMEN)),r_S_PROVMEN,Z$50)</f>
        <v>55750.7648201854</v>
      </c>
      <c r="AA51" s="12" t="n">
        <f aca="false">IF(AND(21=p_MesCorte,ISNUMBER(r_S_PROVMEN)),r_S_PROVMEN,AA$50)</f>
        <v>55750.7648201854</v>
      </c>
      <c r="AB51" s="12" t="n">
        <f aca="false">IF(AND(22=p_MesCorte,ISNUMBER(r_S_PROVMEN)),r_S_PROVMEN,AB$50)</f>
        <v>55750.7648201854</v>
      </c>
      <c r="AC51" s="12" t="n">
        <f aca="false">IF(AND(23=p_MesCorte,ISNUMBER(r_S_PROVMEN)),r_S_PROVMEN,AC$50)</f>
        <v>55750.7648201854</v>
      </c>
      <c r="AD51" s="12" t="n">
        <f aca="false">IF(AND(24=p_MesCorte,ISNUMBER(r_S_PROVMEN)),r_S_PROVMEN,AD$50)</f>
        <v>57035.9559569841</v>
      </c>
      <c r="AE51" s="12" t="n">
        <f aca="false">IF(AND(25=p_MesCorte,ISNUMBER(r_S_PROVMEN)),r_S_PROVMEN,AE$50)</f>
        <v>61762.1484528902</v>
      </c>
      <c r="AF51" s="12" t="n">
        <f aca="false">IF(AND(26=p_MesCorte,ISNUMBER(r_S_PROVMEN)),r_S_PROVMEN,AF$50)</f>
        <v>61762.1484528902</v>
      </c>
      <c r="AG51" s="12" t="n">
        <f aca="false">IF(AND(27=p_MesCorte,ISNUMBER(r_S_PROVMEN)),r_S_PROVMEN,AG$50)</f>
        <v>61762.1484528902</v>
      </c>
      <c r="AH51" s="12" t="n">
        <f aca="false">IF(AND(28=p_MesCorte,ISNUMBER(r_S_PROVMEN)),r_S_PROVMEN,AH$50)</f>
        <v>61762.1484528902</v>
      </c>
      <c r="AI51" s="12" t="n">
        <f aca="false">IF(AND(29=p_MesCorte,ISNUMBER(r_S_PROVMEN)),r_S_PROVMEN,AI$50)</f>
        <v>61762.1484528902</v>
      </c>
      <c r="AJ51" s="12" t="n">
        <f aca="false">IF(AND(30=p_MesCorte,ISNUMBER(r_S_PROVMEN)),r_S_PROVMEN,AJ$50)</f>
        <v>61762.1484528902</v>
      </c>
      <c r="AK51" s="12" t="n">
        <f aca="false">IF(AND(31=p_MesCorte,ISNUMBER(r_S_PROVMEN)),r_S_PROVMEN,AK$50)</f>
        <v>61762.1484528902</v>
      </c>
      <c r="AL51" s="12" t="n">
        <f aca="false">IF(AND(32=p_MesCorte,ISNUMBER(r_S_PROVMEN)),r_S_PROVMEN,AL$50)</f>
        <v>61762.1484528902</v>
      </c>
      <c r="AM51" s="12" t="n">
        <f aca="false">IF(AND(33=p_MesCorte,ISNUMBER(r_S_PROVMEN)),r_S_PROVMEN,AM$50)</f>
        <v>61762.1484528902</v>
      </c>
      <c r="AN51" s="12" t="n">
        <f aca="false">IF(AND(34=p_MesCorte,ISNUMBER(r_S_PROVMEN)),r_S_PROVMEN,AN$50)</f>
        <v>61762.1484528902</v>
      </c>
      <c r="AO51" s="12" t="n">
        <f aca="false">IF(AND(35=p_MesCorte,ISNUMBER(r_S_PROVMEN)),r_S_PROVMEN,AO$50)</f>
        <v>61762.1484528902</v>
      </c>
      <c r="AP51" s="12" t="n">
        <f aca="false">IF(AND(36=p_MesCorte,ISNUMBER(r_S_PROVMEN)),r_S_PROVMEN,AP$50)</f>
        <v>62801.5007498015</v>
      </c>
      <c r="AQ51" s="12" t="n">
        <f aca="false">IF(AND(37=p_MesCorte,ISNUMBER(r_S_PROVMEN)),r_S_PROVMEN,AQ$50)</f>
        <v>66837.3782373526</v>
      </c>
      <c r="AR51" s="12" t="n">
        <f aca="false">IF(AND(38=p_MesCorte,ISNUMBER(r_S_PROVMEN)),r_S_PROVMEN,AR$50)</f>
        <v>66837.3782373526</v>
      </c>
      <c r="AS51" s="12" t="n">
        <f aca="false">IF(AND(39=p_MesCorte,ISNUMBER(r_S_PROVMEN)),r_S_PROVMEN,AS$50)</f>
        <v>66837.3782373526</v>
      </c>
      <c r="AT51" s="12" t="n">
        <f aca="false">IF(AND(40=p_MesCorte,ISNUMBER(r_S_PROVMEN)),r_S_PROVMEN,AT$50)</f>
        <v>66837.3782373526</v>
      </c>
      <c r="AU51" s="12" t="n">
        <f aca="false">IF(AND(41=p_MesCorte,ISNUMBER(r_S_PROVMEN)),r_S_PROVMEN,AU$50)</f>
        <v>66837.3782373526</v>
      </c>
      <c r="AV51" s="12" t="n">
        <f aca="false">IF(AND(42=p_MesCorte,ISNUMBER(r_S_PROVMEN)),r_S_PROVMEN,AV$50)</f>
        <v>66837.3782373526</v>
      </c>
      <c r="AW51" s="12" t="n">
        <f aca="false">IF(AND(43=p_MesCorte,ISNUMBER(r_S_PROVMEN)),r_S_PROVMEN,AW$50)</f>
        <v>66837.3782373526</v>
      </c>
      <c r="AX51" s="12" t="n">
        <f aca="false">IF(AND(44=p_MesCorte,ISNUMBER(r_S_PROVMEN)),r_S_PROVMEN,AX$50)</f>
        <v>66837.3782373526</v>
      </c>
      <c r="AY51" s="12" t="n">
        <f aca="false">IF(AND(45=p_MesCorte,ISNUMBER(r_S_PROVMEN)),r_S_PROVMEN,AY$50)</f>
        <v>66837.3782373526</v>
      </c>
      <c r="AZ51" s="12" t="n">
        <f aca="false">IF(AND(46=p_MesCorte,ISNUMBER(r_S_PROVMEN)),r_S_PROVMEN,AZ$50)</f>
        <v>66837.3782373526</v>
      </c>
      <c r="BA51" s="12" t="n">
        <f aca="false">IF(AND(47=p_MesCorte,ISNUMBER(r_S_PROVMEN)),r_S_PROVMEN,BA$50)</f>
        <v>66837.3782373526</v>
      </c>
      <c r="BB51" s="12" t="n">
        <f aca="false">IF(AND(48=p_MesCorte,ISNUMBER(r_S_PROVMEN)),r_S_PROVMEN,BB$50)</f>
        <v>66837.3782373526</v>
      </c>
      <c r="BC51" s="12" t="n">
        <f aca="false">IF(AND(49=p_MesCorte,ISNUMBER(r_S_PROVMEN)),r_S_PROVMEN,BC$50)</f>
        <v>67834.3272807317</v>
      </c>
      <c r="BD51" s="12" t="n">
        <f aca="false">IF(AND(50=p_MesCorte,ISNUMBER(r_S_PROVMEN)),r_S_PROVMEN,BD$50)</f>
        <v>67834.3272807317</v>
      </c>
      <c r="BE51" s="12" t="n">
        <f aca="false">IF(AND(51=p_MesCorte,ISNUMBER(r_S_PROVMEN)),r_S_PROVMEN,BE$50)</f>
        <v>67834.3272807317</v>
      </c>
      <c r="BF51" s="12" t="n">
        <f aca="false">IF(AND(52=p_MesCorte,ISNUMBER(r_S_PROVMEN)),r_S_PROVMEN,BF$50)</f>
        <v>67834.3272807317</v>
      </c>
      <c r="BG51" s="12" t="n">
        <f aca="false">IF(AND(53=p_MesCorte,ISNUMBER(r_S_PROVMEN)),r_S_PROVMEN,BG$50)</f>
        <v>67834.3272807317</v>
      </c>
      <c r="BH51" s="12" t="n">
        <f aca="false">IF(AND(54=p_MesCorte,ISNUMBER(r_S_PROVMEN)),r_S_PROVMEN,BH$50)</f>
        <v>67834.3272807317</v>
      </c>
      <c r="BI51" s="12" t="n">
        <f aca="false">IF(AND(55=p_MesCorte,ISNUMBER(r_S_PROVMEN)),r_S_PROVMEN,BI$50)</f>
        <v>67834.3272807317</v>
      </c>
      <c r="BJ51" s="12" t="n">
        <f aca="false">IF(AND(56=p_MesCorte,ISNUMBER(r_S_PROVMEN)),r_S_PROVMEN,BJ$50)</f>
        <v>67834.3272807317</v>
      </c>
      <c r="BK51" s="12" t="n">
        <f aca="false">IF(AND(57=p_MesCorte,ISNUMBER(r_S_PROVMEN)),r_S_PROVMEN,BK$50)</f>
        <v>67834.3272807317</v>
      </c>
      <c r="BL51" s="12" t="n">
        <f aca="false">IF(AND(58=p_MesCorte,ISNUMBER(r_S_PROVMEN)),r_S_PROVMEN,BL$50)</f>
        <v>67834.3272807317</v>
      </c>
      <c r="BM51" s="12" t="n">
        <f aca="false">IF(AND(59=p_MesCorte,ISNUMBER(r_S_PROVMEN)),r_S_PROVMEN,BM$50)</f>
        <v>67834.3272807317</v>
      </c>
      <c r="BN51" s="12" t="n">
        <f aca="false">IF(AND(60=p_MesCorte,ISNUMBER(r_S_PROVMEN)),r_S_PROVMEN,BN$50)</f>
        <v>67834.3272807317</v>
      </c>
      <c r="BO51" s="12" t="n">
        <f aca="false">IF(AND(61=p_MesCorte,ISNUMBER(r_S_PROVMEN)),r_S_PROVMEN,BO$50)</f>
        <v>68696.5555631169</v>
      </c>
      <c r="BP51" s="12" t="n">
        <f aca="false">IF(AND(62=p_MesCorte,ISNUMBER(r_S_PROVMEN)),r_S_PROVMEN,BP$50)</f>
        <v>68696.5555631169</v>
      </c>
      <c r="BQ51" s="12" t="n">
        <f aca="false">IF(AND(63=p_MesCorte,ISNUMBER(r_S_PROVMEN)),r_S_PROVMEN,BQ$50)</f>
        <v>68696.5555631169</v>
      </c>
      <c r="BR51" s="12" t="n">
        <f aca="false">IF(AND(64=p_MesCorte,ISNUMBER(r_S_PROVMEN)),r_S_PROVMEN,BR$50)</f>
        <v>68696.5555631169</v>
      </c>
      <c r="BS51" s="12" t="n">
        <f aca="false">IF(AND(65=p_MesCorte,ISNUMBER(r_S_PROVMEN)),r_S_PROVMEN,BS$50)</f>
        <v>68696.5555631169</v>
      </c>
      <c r="BT51" s="12" t="n">
        <f aca="false">IF(AND(66=p_MesCorte,ISNUMBER(r_S_PROVMEN)),r_S_PROVMEN,BT$50)</f>
        <v>68696.5555631169</v>
      </c>
      <c r="BU51" s="12" t="n">
        <f aca="false">IF(AND(67=p_MesCorte,ISNUMBER(r_S_PROVMEN)),r_S_PROVMEN,BU$50)</f>
        <v>68696.5555631169</v>
      </c>
      <c r="BV51" s="12" t="n">
        <f aca="false">IF(AND(68=p_MesCorte,ISNUMBER(r_S_PROVMEN)),r_S_PROVMEN,BV$50)</f>
        <v>68696.5555631169</v>
      </c>
      <c r="BW51" s="12" t="n">
        <f aca="false">IF(AND(69=p_MesCorte,ISNUMBER(r_S_PROVMEN)),r_S_PROVMEN,BW$50)</f>
        <v>68696.5555631169</v>
      </c>
      <c r="BX51" s="12" t="n">
        <f aca="false">IF(AND(70=p_MesCorte,ISNUMBER(r_S_PROVMEN)),r_S_PROVMEN,BX$50)</f>
        <v>68696.5555631169</v>
      </c>
      <c r="BY51" s="12" t="n">
        <f aca="false">IF(AND(71=p_MesCorte,ISNUMBER(r_S_PROVMEN)),r_S_PROVMEN,BY$50)</f>
        <v>68696.5555631169</v>
      </c>
      <c r="BZ51" s="12" t="n">
        <f aca="false">IF(AND(72=p_MesCorte,ISNUMBER(r_S_PROVMEN)),r_S_PROVMEN,BZ$50)</f>
        <v>68696.5555631169</v>
      </c>
      <c r="CA51" s="12" t="n">
        <f aca="false">IF(AND(73=p_MesCorte,ISNUMBER(r_S_PROVMEN)),r_S_PROVMEN,CA$50)</f>
        <v>69578.7351435718</v>
      </c>
      <c r="CB51" s="12" t="n">
        <f aca="false">IF(AND(74=p_MesCorte,ISNUMBER(r_S_PROVMEN)),r_S_PROVMEN,CB$50)</f>
        <v>69578.7351435718</v>
      </c>
      <c r="CC51" s="12" t="n">
        <f aca="false">IF(AND(75=p_MesCorte,ISNUMBER(r_S_PROVMEN)),r_S_PROVMEN,CC$50)</f>
        <v>69578.7351435718</v>
      </c>
      <c r="CD51" s="12" t="n">
        <f aca="false">IF(AND(76=p_MesCorte,ISNUMBER(r_S_PROVMEN)),r_S_PROVMEN,CD$50)</f>
        <v>69578.7351435718</v>
      </c>
      <c r="CE51" s="12" t="n">
        <f aca="false">IF(AND(77=p_MesCorte,ISNUMBER(r_S_PROVMEN)),r_S_PROVMEN,CE$50)</f>
        <v>69578.7351435718</v>
      </c>
      <c r="CF51" s="12" t="n">
        <f aca="false">IF(AND(78=p_MesCorte,ISNUMBER(r_S_PROVMEN)),r_S_PROVMEN,CF$50)</f>
        <v>69578.7351435718</v>
      </c>
      <c r="CG51" s="12" t="n">
        <f aca="false">IF(AND(79=p_MesCorte,ISNUMBER(r_S_PROVMEN)),r_S_PROVMEN,CG$50)</f>
        <v>69578.7351435718</v>
      </c>
      <c r="CH51" s="12" t="n">
        <f aca="false">IF(AND(80=p_MesCorte,ISNUMBER(r_S_PROVMEN)),r_S_PROVMEN,CH$50)</f>
        <v>69578.7351435718</v>
      </c>
      <c r="CI51" s="12" t="n">
        <f aca="false">IF(AND(81=p_MesCorte,ISNUMBER(r_S_PROVMEN)),r_S_PROVMEN,CI$50)</f>
        <v>69578.7351435718</v>
      </c>
      <c r="CJ51" s="12" t="n">
        <f aca="false">IF(AND(82=p_MesCorte,ISNUMBER(r_S_PROVMEN)),r_S_PROVMEN,CJ$50)</f>
        <v>69578.7351435718</v>
      </c>
      <c r="CK51" s="12" t="n">
        <f aca="false">IF(AND(83=p_MesCorte,ISNUMBER(r_S_PROVMEN)),r_S_PROVMEN,CK$50)</f>
        <v>69578.7351435718</v>
      </c>
      <c r="CL51" s="12" t="n">
        <f aca="false">IF(AND(84=p_MesCorte,ISNUMBER(r_S_PROVMEN)),r_S_PROVMEN,CL$50)</f>
        <v>69578.7351435718</v>
      </c>
      <c r="CM51" s="12" t="n">
        <f aca="false">IF(AND(85=p_MesCorte,ISNUMBER(r_S_PROVMEN)),r_S_PROVMEN,CM$50)</f>
        <v>70481.4207885811</v>
      </c>
      <c r="CN51" s="12" t="n">
        <f aca="false">IF(AND(86=p_MesCorte,ISNUMBER(r_S_PROVMEN)),r_S_PROVMEN,CN$50)</f>
        <v>70481.4207885811</v>
      </c>
      <c r="CO51" s="12" t="n">
        <f aca="false">IF(AND(87=p_MesCorte,ISNUMBER(r_S_PROVMEN)),r_S_PROVMEN,CO$50)</f>
        <v>70481.4207885811</v>
      </c>
      <c r="CP51" s="12" t="n">
        <f aca="false">IF(AND(88=p_MesCorte,ISNUMBER(r_S_PROVMEN)),r_S_PROVMEN,CP$50)</f>
        <v>70481.4207885811</v>
      </c>
      <c r="CQ51" s="12" t="n">
        <f aca="false">IF(AND(89=p_MesCorte,ISNUMBER(r_S_PROVMEN)),r_S_PROVMEN,CQ$50)</f>
        <v>70481.4207885811</v>
      </c>
      <c r="CR51" s="12" t="n">
        <f aca="false">IF(AND(90=p_MesCorte,ISNUMBER(r_S_PROVMEN)),r_S_PROVMEN,CR$50)</f>
        <v>70481.4207885811</v>
      </c>
      <c r="CS51" s="12" t="n">
        <f aca="false">IF(AND(91=p_MesCorte,ISNUMBER(r_S_PROVMEN)),r_S_PROVMEN,CS$50)</f>
        <v>70481.4207885811</v>
      </c>
      <c r="CT51" s="12" t="n">
        <f aca="false">IF(AND(92=p_MesCorte,ISNUMBER(r_S_PROVMEN)),r_S_PROVMEN,CT$50)</f>
        <v>70481.4207885811</v>
      </c>
      <c r="CU51" s="12" t="n">
        <f aca="false">IF(AND(93=p_MesCorte,ISNUMBER(r_S_PROVMEN)),r_S_PROVMEN,CU$50)</f>
        <v>70481.4207885811</v>
      </c>
      <c r="CV51" s="12" t="n">
        <f aca="false">IF(AND(94=p_MesCorte,ISNUMBER(r_S_PROVMEN)),r_S_PROVMEN,CV$50)</f>
        <v>70481.4207885811</v>
      </c>
      <c r="CW51" s="12" t="n">
        <f aca="false">IF(AND(95=p_MesCorte,ISNUMBER(r_S_PROVMEN)),r_S_PROVMEN,CW$50)</f>
        <v>70481.4207885811</v>
      </c>
      <c r="CX51" s="12" t="n">
        <f aca="false">IF(AND(96=p_MesCorte,ISNUMBER(r_S_PROVMEN)),r_S_PROVMEN,CX$50)</f>
        <v>70481.4207885811</v>
      </c>
      <c r="CY51" s="12" t="n">
        <f aca="false">IF(AND(97=p_MesCorte,ISNUMBER(r_S_PROVMEN)),r_S_PROVMEN,CY$50)</f>
        <v>71405.1834698992</v>
      </c>
      <c r="CZ51" s="12" t="n">
        <f aca="false">IF(AND(98=p_MesCorte,ISNUMBER(r_S_PROVMEN)),r_S_PROVMEN,CZ$50)</f>
        <v>71405.1834698992</v>
      </c>
      <c r="DA51" s="12" t="n">
        <f aca="false">IF(AND(99=p_MesCorte,ISNUMBER(r_S_PROVMEN)),r_S_PROVMEN,DA$50)</f>
        <v>71405.1834698992</v>
      </c>
      <c r="DB51" s="12" t="n">
        <f aca="false">IF(AND(100=p_MesCorte,ISNUMBER(r_S_PROVMEN)),r_S_PROVMEN,DB$50)</f>
        <v>71405.1834698992</v>
      </c>
      <c r="DC51" s="12" t="n">
        <f aca="false">IF(AND(101=p_MesCorte,ISNUMBER(r_S_PROVMEN)),r_S_PROVMEN,DC$50)</f>
        <v>71405.1834698992</v>
      </c>
      <c r="DD51" s="12" t="n">
        <f aca="false">IF(AND(102=p_MesCorte,ISNUMBER(r_S_PROVMEN)),r_S_PROVMEN,DD$50)</f>
        <v>71405.1834698992</v>
      </c>
      <c r="DE51" s="12" t="n">
        <f aca="false">IF(AND(103=p_MesCorte,ISNUMBER(r_S_PROVMEN)),r_S_PROVMEN,DE$50)</f>
        <v>71405.1834698992</v>
      </c>
      <c r="DF51" s="12" t="n">
        <f aca="false">IF(AND(104=p_MesCorte,ISNUMBER(r_S_PROVMEN)),r_S_PROVMEN,DF$50)</f>
        <v>71405.1834698992</v>
      </c>
      <c r="DG51" s="12" t="n">
        <f aca="false">IF(AND(105=p_MesCorte,ISNUMBER(r_S_PROVMEN)),r_S_PROVMEN,DG$50)</f>
        <v>71405.1834698992</v>
      </c>
      <c r="DH51" s="12" t="n">
        <f aca="false">IF(AND(106=p_MesCorte,ISNUMBER(r_S_PROVMEN)),r_S_PROVMEN,DH$50)</f>
        <v>71405.1834698992</v>
      </c>
      <c r="DI51" s="12" t="n">
        <f aca="false">IF(AND(107=p_MesCorte,ISNUMBER(r_S_PROVMEN)),r_S_PROVMEN,DI$50)</f>
        <v>71405.1834698992</v>
      </c>
      <c r="DJ51" s="12" t="n">
        <f aca="false">IF(AND(108=p_MesCorte,ISNUMBER(r_S_PROVMEN)),r_S_PROVMEN,DJ$50)</f>
        <v>71405.1834698992</v>
      </c>
      <c r="DK51" s="12" t="n">
        <f aca="false">IF(AND(109=p_MesCorte,ISNUMBER(r_S_PROVMEN)),r_S_PROVMEN,DK$50)</f>
        <v>72350.6108463317</v>
      </c>
      <c r="DL51" s="12" t="n">
        <f aca="false">IF(AND(110=p_MesCorte,ISNUMBER(r_S_PROVMEN)),r_S_PROVMEN,DL$50)</f>
        <v>72350.6108463317</v>
      </c>
      <c r="DM51" s="12" t="n">
        <f aca="false">IF(AND(111=p_MesCorte,ISNUMBER(r_S_PROVMEN)),r_S_PROVMEN,DM$50)</f>
        <v>72350.6108463317</v>
      </c>
      <c r="DN51" s="12" t="n">
        <f aca="false">IF(AND(112=p_MesCorte,ISNUMBER(r_S_PROVMEN)),r_S_PROVMEN,DN$50)</f>
        <v>72350.6108463317</v>
      </c>
      <c r="DO51" s="12" t="n">
        <f aca="false">IF(AND(113=p_MesCorte,ISNUMBER(r_S_PROVMEN)),r_S_PROVMEN,DO$50)</f>
        <v>72350.6108463317</v>
      </c>
      <c r="DP51" s="12" t="n">
        <f aca="false">IF(AND(114=p_MesCorte,ISNUMBER(r_S_PROVMEN)),r_S_PROVMEN,DP$50)</f>
        <v>72350.6108463317</v>
      </c>
      <c r="DQ51" s="12" t="n">
        <f aca="false">IF(AND(115=p_MesCorte,ISNUMBER(r_S_PROVMEN)),r_S_PROVMEN,DQ$50)</f>
        <v>72350.6108463317</v>
      </c>
      <c r="DR51" s="12" t="n">
        <f aca="false">IF(AND(116=p_MesCorte,ISNUMBER(r_S_PROVMEN)),r_S_PROVMEN,DR$50)</f>
        <v>72350.6108463317</v>
      </c>
      <c r="DS51" s="12" t="n">
        <f aca="false">IF(AND(117=p_MesCorte,ISNUMBER(r_S_PROVMEN)),r_S_PROVMEN,DS$50)</f>
        <v>72350.6108463317</v>
      </c>
      <c r="DT51" s="12" t="n">
        <f aca="false">IF(AND(118=p_MesCorte,ISNUMBER(r_S_PROVMEN)),r_S_PROVMEN,DT$50)</f>
        <v>72350.6108463317</v>
      </c>
      <c r="DU51" s="12" t="n">
        <f aca="false">IF(AND(119=p_MesCorte,ISNUMBER(r_S_PROVMEN)),r_S_PROVMEN,DU$50)</f>
        <v>72350.6108463317</v>
      </c>
      <c r="DV51" s="12" t="n">
        <f aca="false">IF(AND(120=p_MesCorte,ISNUMBER(r_S_PROVMEN)),r_S_PROVMEN,DV$50)</f>
        <v>63488.8374743457</v>
      </c>
      <c r="DW51" s="12" t="n">
        <f aca="false">IF(AND(121=p_MesCorte,ISNUMBER(r_S_PROVMEN)),r_S_PROVMEN,DW$50)</f>
        <v>63488.8374743457</v>
      </c>
      <c r="DX51" s="12" t="n">
        <f aca="false">IF(AND(122=p_MesCorte,ISNUMBER(r_S_PROVMEN)),r_S_PROVMEN,DX$50)</f>
        <v>63488.8374743457</v>
      </c>
      <c r="DY51" s="12" t="n">
        <f aca="false">IF(AND(123=p_MesCorte,ISNUMBER(r_S_PROVMEN)),r_S_PROVMEN,DY$50)</f>
        <v>63488.8374743457</v>
      </c>
      <c r="DZ51" s="12" t="n">
        <f aca="false">IF(AND(124=p_MesCorte,ISNUMBER(r_S_PROVMEN)),r_S_PROVMEN,DZ$50)</f>
        <v>63488.8374743457</v>
      </c>
      <c r="EA51" s="12" t="n">
        <f aca="false">IF(AND(125=p_MesCorte,ISNUMBER(r_S_PROVMEN)),r_S_PROVMEN,EA$50)</f>
        <v>63488.8374743457</v>
      </c>
      <c r="EB51" s="12" t="n">
        <f aca="false">IF(AND(126=p_MesCorte,ISNUMBER(r_S_PROVMEN)),r_S_PROVMEN,EB$50)</f>
        <v>63488.8374743457</v>
      </c>
      <c r="EC51" s="12" t="n">
        <f aca="false">IF(AND(127=p_MesCorte,ISNUMBER(r_S_PROVMEN)),r_S_PROVMEN,EC$50)</f>
        <v>63488.8374743457</v>
      </c>
      <c r="ED51" s="12" t="n">
        <f aca="false">IF(AND(128=p_MesCorte,ISNUMBER(r_S_PROVMEN)),r_S_PROVMEN,ED$50)</f>
        <v>63488.8374743457</v>
      </c>
      <c r="EE51" s="12" t="n">
        <f aca="false">IF(AND(129=p_MesCorte,ISNUMBER(r_S_PROVMEN)),r_S_PROVMEN,EE$50)</f>
        <v>63488.8374743457</v>
      </c>
      <c r="EF51" s="12" t="n">
        <f aca="false">IF(AND(130=p_MesCorte,ISNUMBER(r_S_PROVMEN)),r_S_PROVMEN,EF$50)</f>
        <v>63488.8374743457</v>
      </c>
      <c r="EG51" s="12" t="n">
        <f aca="false">IF(AND(131=p_MesCorte,ISNUMBER(r_S_PROVMEN)),r_S_PROVMEN,EG$50)</f>
        <v>63488.8374743457</v>
      </c>
      <c r="EH51" s="12" t="n">
        <f aca="false">IF(AND(132=p_MesCorte,ISNUMBER(r_S_PROVMEN)),r_S_PROVMEN,EH$50)</f>
        <v>63488.8374743457</v>
      </c>
      <c r="EI51" s="12" t="n">
        <f aca="false">IF(AND(133=p_MesCorte,ISNUMBER(r_S_PROVMEN)),r_S_PROVMEN,EI$50)</f>
        <v>63488.8374743457</v>
      </c>
      <c r="EJ51" s="12" t="n">
        <f aca="false">IF(AND(134=p_MesCorte,ISNUMBER(r_S_PROVMEN)),r_S_PROVMEN,EJ$50)</f>
        <v>63488.8374743457</v>
      </c>
      <c r="EK51" s="12" t="n">
        <f aca="false">IF(AND(135=p_MesCorte,ISNUMBER(r_S_PROVMEN)),r_S_PROVMEN,EK$50)</f>
        <v>63488.8374743457</v>
      </c>
      <c r="EL51" s="12" t="n">
        <f aca="false">IF(AND(136=p_MesCorte,ISNUMBER(r_S_PROVMEN)),r_S_PROVMEN,EL$50)</f>
        <v>63488.8374743457</v>
      </c>
      <c r="EM51" s="12" t="n">
        <f aca="false">IF(AND(137=p_MesCorte,ISNUMBER(r_S_PROVMEN)),r_S_PROVMEN,EM$50)</f>
        <v>63488.8374743457</v>
      </c>
      <c r="EN51" s="12" t="n">
        <f aca="false">IF(AND(138=p_MesCorte,ISNUMBER(r_S_PROVMEN)),r_S_PROVMEN,EN$50)</f>
        <v>63488.8374743457</v>
      </c>
      <c r="EO51" s="12" t="n">
        <f aca="false">IF(AND(139=p_MesCorte,ISNUMBER(r_S_PROVMEN)),r_S_PROVMEN,EO$50)</f>
        <v>63488.8374743457</v>
      </c>
      <c r="EP51" s="12" t="n">
        <f aca="false">IF(AND(140=p_MesCorte,ISNUMBER(r_S_PROVMEN)),r_S_PROVMEN,EP$50)</f>
        <v>63488.8374743457</v>
      </c>
      <c r="EQ51" s="12" t="n">
        <f aca="false">IF(AND(141=p_MesCorte,ISNUMBER(r_S_PROVMEN)),r_S_PROVMEN,EQ$50)</f>
        <v>63488.8374743457</v>
      </c>
      <c r="ER51" s="12" t="n">
        <f aca="false">IF(AND(142=p_MesCorte,ISNUMBER(r_S_PROVMEN)),r_S_PROVMEN,ER$50)</f>
        <v>63488.8374743457</v>
      </c>
      <c r="ES51" s="12" t="n">
        <f aca="false">IF(AND(143=p_MesCorte,ISNUMBER(r_S_PROVMEN)),r_S_PROVMEN,ES$50)</f>
        <v>63488.8374743457</v>
      </c>
      <c r="ET51" s="12" t="n">
        <f aca="false">IF(AND(144=p_MesCorte,ISNUMBER(r_S_PROVMEN)),r_S_PROVMEN,ET$50)</f>
        <v>63488.8374743457</v>
      </c>
      <c r="EU51" s="12" t="n">
        <f aca="false">IF(AND(145=p_MesCorte,ISNUMBER(r_S_PROVMEN)),r_S_PROVMEN,EU$50)</f>
        <v>63488.8374743457</v>
      </c>
      <c r="EV51" s="12" t="n">
        <f aca="false">IF(AND(146=p_MesCorte,ISNUMBER(r_S_PROVMEN)),r_S_PROVMEN,EV$50)</f>
        <v>63488.8374743457</v>
      </c>
      <c r="EW51" s="12" t="n">
        <f aca="false">IF(AND(147=p_MesCorte,ISNUMBER(r_S_PROVMEN)),r_S_PROVMEN,EW$50)</f>
        <v>63488.8374743457</v>
      </c>
      <c r="EX51" s="12" t="n">
        <f aca="false">IF(AND(148=p_MesCorte,ISNUMBER(r_S_PROVMEN)),r_S_PROVMEN,EX$50)</f>
        <v>63488.8374743457</v>
      </c>
      <c r="EY51" s="12" t="n">
        <f aca="false">IF(AND(149=p_MesCorte,ISNUMBER(r_S_PROVMEN)),r_S_PROVMEN,EY$50)</f>
        <v>63488.8374743457</v>
      </c>
      <c r="EZ51" s="12" t="n">
        <f aca="false">IF(AND(150=p_MesCorte,ISNUMBER(r_S_PROVMEN)),r_S_PROVMEN,EZ$50)</f>
        <v>63488.8374743457</v>
      </c>
      <c r="FA51" s="12" t="n">
        <f aca="false">IF(AND(151=p_MesCorte,ISNUMBER(r_S_PROVMEN)),r_S_PROVMEN,FA$50)</f>
        <v>63488.8374743457</v>
      </c>
      <c r="FB51" s="12" t="n">
        <f aca="false">IF(AND(152=p_MesCorte,ISNUMBER(r_S_PROVMEN)),r_S_PROVMEN,FB$50)</f>
        <v>63488.8374743457</v>
      </c>
      <c r="FC51" s="12" t="n">
        <f aca="false">IF(AND(153=p_MesCorte,ISNUMBER(r_S_PROVMEN)),r_S_PROVMEN,FC$50)</f>
        <v>63488.8374743457</v>
      </c>
      <c r="FD51" s="12" t="n">
        <f aca="false">IF(AND(154=p_MesCorte,ISNUMBER(r_S_PROVMEN)),r_S_PROVMEN,FD$50)</f>
        <v>63488.8374743457</v>
      </c>
      <c r="FE51" s="12" t="n">
        <f aca="false">IF(AND(155=p_MesCorte,ISNUMBER(r_S_PROVMEN)),r_S_PROVMEN,FE$50)</f>
        <v>63488.8374743457</v>
      </c>
      <c r="FF51" s="12" t="n">
        <f aca="false">IF(AND(156=p_MesCorte,ISNUMBER(r_S_PROVMEN)),r_S_PROVMEN,FF$50)</f>
        <v>63488.8374743457</v>
      </c>
    </row>
    <row r="52" customFormat="false" ht="15" hidden="false" customHeight="false" outlineLevel="0" collapsed="false">
      <c r="A52" s="2" t="s">
        <v>1359</v>
      </c>
      <c r="B52" s="8" t="s">
        <v>1308</v>
      </c>
      <c r="C52" s="8" t="s">
        <v>255</v>
      </c>
      <c r="E52" s="65" t="n">
        <f aca="false">SUM($F52:$FF52)</f>
        <v>0</v>
      </c>
      <c r="F52" s="13" t="n">
        <f aca="false">F$51-F$50</f>
        <v>0</v>
      </c>
      <c r="G52" s="13" t="n">
        <f aca="false">G$51-G$50</f>
        <v>0</v>
      </c>
      <c r="H52" s="13" t="n">
        <f aca="false">H$51-H$50</f>
        <v>0</v>
      </c>
      <c r="I52" s="13" t="n">
        <f aca="false">I$51-I$50</f>
        <v>0</v>
      </c>
      <c r="J52" s="13" t="n">
        <f aca="false">J$51-J$50</f>
        <v>0</v>
      </c>
      <c r="K52" s="13" t="n">
        <f aca="false">K$51-K$50</f>
        <v>0</v>
      </c>
      <c r="L52" s="13" t="n">
        <f aca="false">L$51-L$50</f>
        <v>0</v>
      </c>
      <c r="M52" s="13" t="n">
        <f aca="false">M$51-M$50</f>
        <v>0</v>
      </c>
      <c r="N52" s="13" t="n">
        <f aca="false">N$51-N$50</f>
        <v>0</v>
      </c>
      <c r="O52" s="13" t="n">
        <f aca="false">O$51-O$50</f>
        <v>0</v>
      </c>
      <c r="P52" s="13" t="n">
        <f aca="false">P$51-P$50</f>
        <v>0</v>
      </c>
      <c r="Q52" s="13" t="n">
        <f aca="false">Q$51-Q$50</f>
        <v>0</v>
      </c>
      <c r="R52" s="13" t="n">
        <f aca="false">R$51-R$50</f>
        <v>0</v>
      </c>
      <c r="S52" s="13" t="n">
        <f aca="false">S$51-S$50</f>
        <v>0</v>
      </c>
      <c r="T52" s="13" t="n">
        <f aca="false">T$51-T$50</f>
        <v>0</v>
      </c>
      <c r="U52" s="13" t="n">
        <f aca="false">U$51-U$50</f>
        <v>0</v>
      </c>
      <c r="V52" s="13" t="n">
        <f aca="false">V$51-V$50</f>
        <v>0</v>
      </c>
      <c r="W52" s="13" t="n">
        <f aca="false">W$51-W$50</f>
        <v>0</v>
      </c>
      <c r="X52" s="13" t="n">
        <f aca="false">X$51-X$50</f>
        <v>0</v>
      </c>
      <c r="Y52" s="13" t="n">
        <f aca="false">Y$51-Y$50</f>
        <v>0</v>
      </c>
      <c r="Z52" s="13" t="n">
        <f aca="false">Z$51-Z$50</f>
        <v>0</v>
      </c>
      <c r="AA52" s="13" t="n">
        <f aca="false">AA$51-AA$50</f>
        <v>0</v>
      </c>
      <c r="AB52" s="13" t="n">
        <f aca="false">AB$51-AB$50</f>
        <v>0</v>
      </c>
      <c r="AC52" s="13" t="n">
        <f aca="false">AC$51-AC$50</f>
        <v>0</v>
      </c>
      <c r="AD52" s="13" t="n">
        <f aca="false">AD$51-AD$50</f>
        <v>0</v>
      </c>
      <c r="AE52" s="13" t="n">
        <f aca="false">AE$51-AE$50</f>
        <v>0</v>
      </c>
      <c r="AF52" s="13" t="n">
        <f aca="false">AF$51-AF$50</f>
        <v>0</v>
      </c>
      <c r="AG52" s="13" t="n">
        <f aca="false">AG$51-AG$50</f>
        <v>0</v>
      </c>
      <c r="AH52" s="13" t="n">
        <f aca="false">AH$51-AH$50</f>
        <v>0</v>
      </c>
      <c r="AI52" s="13" t="n">
        <f aca="false">AI$51-AI$50</f>
        <v>0</v>
      </c>
      <c r="AJ52" s="13" t="n">
        <f aca="false">AJ$51-AJ$50</f>
        <v>0</v>
      </c>
      <c r="AK52" s="13" t="n">
        <f aca="false">AK$51-AK$50</f>
        <v>0</v>
      </c>
      <c r="AL52" s="13" t="n">
        <f aca="false">AL$51-AL$50</f>
        <v>0</v>
      </c>
      <c r="AM52" s="13" t="n">
        <f aca="false">AM$51-AM$50</f>
        <v>0</v>
      </c>
      <c r="AN52" s="13" t="n">
        <f aca="false">AN$51-AN$50</f>
        <v>0</v>
      </c>
      <c r="AO52" s="13" t="n">
        <f aca="false">AO$51-AO$50</f>
        <v>0</v>
      </c>
      <c r="AP52" s="13" t="n">
        <f aca="false">AP$51-AP$50</f>
        <v>0</v>
      </c>
      <c r="AQ52" s="13" t="n">
        <f aca="false">AQ$51-AQ$50</f>
        <v>0</v>
      </c>
      <c r="AR52" s="13" t="n">
        <f aca="false">AR$51-AR$50</f>
        <v>0</v>
      </c>
      <c r="AS52" s="13" t="n">
        <f aca="false">AS$51-AS$50</f>
        <v>0</v>
      </c>
      <c r="AT52" s="13" t="n">
        <f aca="false">AT$51-AT$50</f>
        <v>0</v>
      </c>
      <c r="AU52" s="13" t="n">
        <f aca="false">AU$51-AU$50</f>
        <v>0</v>
      </c>
      <c r="AV52" s="13" t="n">
        <f aca="false">AV$51-AV$50</f>
        <v>0</v>
      </c>
      <c r="AW52" s="13" t="n">
        <f aca="false">AW$51-AW$50</f>
        <v>0</v>
      </c>
      <c r="AX52" s="13" t="n">
        <f aca="false">AX$51-AX$50</f>
        <v>0</v>
      </c>
      <c r="AY52" s="13" t="n">
        <f aca="false">AY$51-AY$50</f>
        <v>0</v>
      </c>
      <c r="AZ52" s="13" t="n">
        <f aca="false">AZ$51-AZ$50</f>
        <v>0</v>
      </c>
      <c r="BA52" s="13" t="n">
        <f aca="false">BA$51-BA$50</f>
        <v>0</v>
      </c>
      <c r="BB52" s="13" t="n">
        <f aca="false">BB$51-BB$50</f>
        <v>0</v>
      </c>
      <c r="BC52" s="13" t="n">
        <f aca="false">BC$51-BC$50</f>
        <v>0</v>
      </c>
      <c r="BD52" s="13" t="n">
        <f aca="false">BD$51-BD$50</f>
        <v>0</v>
      </c>
      <c r="BE52" s="13" t="n">
        <f aca="false">BE$51-BE$50</f>
        <v>0</v>
      </c>
      <c r="BF52" s="13" t="n">
        <f aca="false">BF$51-BF$50</f>
        <v>0</v>
      </c>
      <c r="BG52" s="13" t="n">
        <f aca="false">BG$51-BG$50</f>
        <v>0</v>
      </c>
      <c r="BH52" s="13" t="n">
        <f aca="false">BH$51-BH$50</f>
        <v>0</v>
      </c>
      <c r="BI52" s="13" t="n">
        <f aca="false">BI$51-BI$50</f>
        <v>0</v>
      </c>
      <c r="BJ52" s="13" t="n">
        <f aca="false">BJ$51-BJ$50</f>
        <v>0</v>
      </c>
      <c r="BK52" s="13" t="n">
        <f aca="false">BK$51-BK$50</f>
        <v>0</v>
      </c>
      <c r="BL52" s="13" t="n">
        <f aca="false">BL$51-BL$50</f>
        <v>0</v>
      </c>
      <c r="BM52" s="13" t="n">
        <f aca="false">BM$51-BM$50</f>
        <v>0</v>
      </c>
      <c r="BN52" s="13" t="n">
        <f aca="false">BN$51-BN$50</f>
        <v>0</v>
      </c>
      <c r="BO52" s="13" t="n">
        <f aca="false">BO$51-BO$50</f>
        <v>0</v>
      </c>
      <c r="BP52" s="13" t="n">
        <f aca="false">BP$51-BP$50</f>
        <v>0</v>
      </c>
      <c r="BQ52" s="13" t="n">
        <f aca="false">BQ$51-BQ$50</f>
        <v>0</v>
      </c>
      <c r="BR52" s="13" t="n">
        <f aca="false">BR$51-BR$50</f>
        <v>0</v>
      </c>
      <c r="BS52" s="13" t="n">
        <f aca="false">BS$51-BS$50</f>
        <v>0</v>
      </c>
      <c r="BT52" s="13" t="n">
        <f aca="false">BT$51-BT$50</f>
        <v>0</v>
      </c>
      <c r="BU52" s="13" t="n">
        <f aca="false">BU$51-BU$50</f>
        <v>0</v>
      </c>
      <c r="BV52" s="13" t="n">
        <f aca="false">BV$51-BV$50</f>
        <v>0</v>
      </c>
      <c r="BW52" s="13" t="n">
        <f aca="false">BW$51-BW$50</f>
        <v>0</v>
      </c>
      <c r="BX52" s="13" t="n">
        <f aca="false">BX$51-BX$50</f>
        <v>0</v>
      </c>
      <c r="BY52" s="13" t="n">
        <f aca="false">BY$51-BY$50</f>
        <v>0</v>
      </c>
      <c r="BZ52" s="13" t="n">
        <f aca="false">BZ$51-BZ$50</f>
        <v>0</v>
      </c>
      <c r="CA52" s="13" t="n">
        <f aca="false">CA$51-CA$50</f>
        <v>0</v>
      </c>
      <c r="CB52" s="13" t="n">
        <f aca="false">CB$51-CB$50</f>
        <v>0</v>
      </c>
      <c r="CC52" s="13" t="n">
        <f aca="false">CC$51-CC$50</f>
        <v>0</v>
      </c>
      <c r="CD52" s="13" t="n">
        <f aca="false">CD$51-CD$50</f>
        <v>0</v>
      </c>
      <c r="CE52" s="13" t="n">
        <f aca="false">CE$51-CE$50</f>
        <v>0</v>
      </c>
      <c r="CF52" s="13" t="n">
        <f aca="false">CF$51-CF$50</f>
        <v>0</v>
      </c>
      <c r="CG52" s="13" t="n">
        <f aca="false">CG$51-CG$50</f>
        <v>0</v>
      </c>
      <c r="CH52" s="13" t="n">
        <f aca="false">CH$51-CH$50</f>
        <v>0</v>
      </c>
      <c r="CI52" s="13" t="n">
        <f aca="false">CI$51-CI$50</f>
        <v>0</v>
      </c>
      <c r="CJ52" s="13" t="n">
        <f aca="false">CJ$51-CJ$50</f>
        <v>0</v>
      </c>
      <c r="CK52" s="13" t="n">
        <f aca="false">CK$51-CK$50</f>
        <v>0</v>
      </c>
      <c r="CL52" s="13" t="n">
        <f aca="false">CL$51-CL$50</f>
        <v>0</v>
      </c>
      <c r="CM52" s="13" t="n">
        <f aca="false">CM$51-CM$50</f>
        <v>0</v>
      </c>
      <c r="CN52" s="13" t="n">
        <f aca="false">CN$51-CN$50</f>
        <v>0</v>
      </c>
      <c r="CO52" s="13" t="n">
        <f aca="false">CO$51-CO$50</f>
        <v>0</v>
      </c>
      <c r="CP52" s="13" t="n">
        <f aca="false">CP$51-CP$50</f>
        <v>0</v>
      </c>
      <c r="CQ52" s="13" t="n">
        <f aca="false">CQ$51-CQ$50</f>
        <v>0</v>
      </c>
      <c r="CR52" s="13" t="n">
        <f aca="false">CR$51-CR$50</f>
        <v>0</v>
      </c>
      <c r="CS52" s="13" t="n">
        <f aca="false">CS$51-CS$50</f>
        <v>0</v>
      </c>
      <c r="CT52" s="13" t="n">
        <f aca="false">CT$51-CT$50</f>
        <v>0</v>
      </c>
      <c r="CU52" s="13" t="n">
        <f aca="false">CU$51-CU$50</f>
        <v>0</v>
      </c>
      <c r="CV52" s="13" t="n">
        <f aca="false">CV$51-CV$50</f>
        <v>0</v>
      </c>
      <c r="CW52" s="13" t="n">
        <f aca="false">CW$51-CW$50</f>
        <v>0</v>
      </c>
      <c r="CX52" s="13" t="n">
        <f aca="false">CX$51-CX$50</f>
        <v>0</v>
      </c>
      <c r="CY52" s="13" t="n">
        <f aca="false">CY$51-CY$50</f>
        <v>0</v>
      </c>
      <c r="CZ52" s="13" t="n">
        <f aca="false">CZ$51-CZ$50</f>
        <v>0</v>
      </c>
      <c r="DA52" s="13" t="n">
        <f aca="false">DA$51-DA$50</f>
        <v>0</v>
      </c>
      <c r="DB52" s="13" t="n">
        <f aca="false">DB$51-DB$50</f>
        <v>0</v>
      </c>
      <c r="DC52" s="13" t="n">
        <f aca="false">DC$51-DC$50</f>
        <v>0</v>
      </c>
      <c r="DD52" s="13" t="n">
        <f aca="false">DD$51-DD$50</f>
        <v>0</v>
      </c>
      <c r="DE52" s="13" t="n">
        <f aca="false">DE$51-DE$50</f>
        <v>0</v>
      </c>
      <c r="DF52" s="13" t="n">
        <f aca="false">DF$51-DF$50</f>
        <v>0</v>
      </c>
      <c r="DG52" s="13" t="n">
        <f aca="false">DG$51-DG$50</f>
        <v>0</v>
      </c>
      <c r="DH52" s="13" t="n">
        <f aca="false">DH$51-DH$50</f>
        <v>0</v>
      </c>
      <c r="DI52" s="13" t="n">
        <f aca="false">DI$51-DI$50</f>
        <v>0</v>
      </c>
      <c r="DJ52" s="13" t="n">
        <f aca="false">DJ$51-DJ$50</f>
        <v>0</v>
      </c>
      <c r="DK52" s="13" t="n">
        <f aca="false">DK$51-DK$50</f>
        <v>0</v>
      </c>
      <c r="DL52" s="13" t="n">
        <f aca="false">DL$51-DL$50</f>
        <v>0</v>
      </c>
      <c r="DM52" s="13" t="n">
        <f aca="false">DM$51-DM$50</f>
        <v>0</v>
      </c>
      <c r="DN52" s="13" t="n">
        <f aca="false">DN$51-DN$50</f>
        <v>0</v>
      </c>
      <c r="DO52" s="13" t="n">
        <f aca="false">DO$51-DO$50</f>
        <v>0</v>
      </c>
      <c r="DP52" s="13" t="n">
        <f aca="false">DP$51-DP$50</f>
        <v>0</v>
      </c>
      <c r="DQ52" s="13" t="n">
        <f aca="false">DQ$51-DQ$50</f>
        <v>0</v>
      </c>
      <c r="DR52" s="13" t="n">
        <f aca="false">DR$51-DR$50</f>
        <v>0</v>
      </c>
      <c r="DS52" s="13" t="n">
        <f aca="false">DS$51-DS$50</f>
        <v>0</v>
      </c>
      <c r="DT52" s="13" t="n">
        <f aca="false">DT$51-DT$50</f>
        <v>0</v>
      </c>
      <c r="DU52" s="13" t="n">
        <f aca="false">DU$51-DU$50</f>
        <v>0</v>
      </c>
      <c r="DV52" s="13" t="n">
        <f aca="false">DV$51-DV$50</f>
        <v>0</v>
      </c>
      <c r="DW52" s="13" t="n">
        <f aca="false">DW$51-DW$50</f>
        <v>0</v>
      </c>
      <c r="DX52" s="13" t="n">
        <f aca="false">DX$51-DX$50</f>
        <v>0</v>
      </c>
      <c r="DY52" s="13" t="n">
        <f aca="false">DY$51-DY$50</f>
        <v>0</v>
      </c>
      <c r="DZ52" s="13" t="n">
        <f aca="false">DZ$51-DZ$50</f>
        <v>0</v>
      </c>
      <c r="EA52" s="13" t="n">
        <f aca="false">EA$51-EA$50</f>
        <v>0</v>
      </c>
      <c r="EB52" s="13" t="n">
        <f aca="false">EB$51-EB$50</f>
        <v>0</v>
      </c>
      <c r="EC52" s="13" t="n">
        <f aca="false">EC$51-EC$50</f>
        <v>0</v>
      </c>
      <c r="ED52" s="13" t="n">
        <f aca="false">ED$51-ED$50</f>
        <v>0</v>
      </c>
      <c r="EE52" s="13" t="n">
        <f aca="false">EE$51-EE$50</f>
        <v>0</v>
      </c>
      <c r="EF52" s="13" t="n">
        <f aca="false">EF$51-EF$50</f>
        <v>0</v>
      </c>
      <c r="EG52" s="13" t="n">
        <f aca="false">EG$51-EG$50</f>
        <v>0</v>
      </c>
      <c r="EH52" s="13" t="n">
        <f aca="false">EH$51-EH$50</f>
        <v>0</v>
      </c>
      <c r="EI52" s="13" t="n">
        <f aca="false">EI$51-EI$50</f>
        <v>0</v>
      </c>
      <c r="EJ52" s="13" t="n">
        <f aca="false">EJ$51-EJ$50</f>
        <v>0</v>
      </c>
      <c r="EK52" s="13" t="n">
        <f aca="false">EK$51-EK$50</f>
        <v>0</v>
      </c>
      <c r="EL52" s="13" t="n">
        <f aca="false">EL$51-EL$50</f>
        <v>0</v>
      </c>
      <c r="EM52" s="13" t="n">
        <f aca="false">EM$51-EM$50</f>
        <v>0</v>
      </c>
      <c r="EN52" s="13" t="n">
        <f aca="false">EN$51-EN$50</f>
        <v>0</v>
      </c>
      <c r="EO52" s="13" t="n">
        <f aca="false">EO$51-EO$50</f>
        <v>0</v>
      </c>
      <c r="EP52" s="13" t="n">
        <f aca="false">EP$51-EP$50</f>
        <v>0</v>
      </c>
      <c r="EQ52" s="13" t="n">
        <f aca="false">EQ$51-EQ$50</f>
        <v>0</v>
      </c>
      <c r="ER52" s="13" t="n">
        <f aca="false">ER$51-ER$50</f>
        <v>0</v>
      </c>
      <c r="ES52" s="13" t="n">
        <f aca="false">ES$51-ES$50</f>
        <v>0</v>
      </c>
      <c r="ET52" s="13" t="n">
        <f aca="false">ET$51-ET$50</f>
        <v>0</v>
      </c>
      <c r="EU52" s="13" t="n">
        <f aca="false">EU$51-EU$50</f>
        <v>0</v>
      </c>
      <c r="EV52" s="13" t="n">
        <f aca="false">EV$51-EV$50</f>
        <v>0</v>
      </c>
      <c r="EW52" s="13" t="n">
        <f aca="false">EW$51-EW$50</f>
        <v>0</v>
      </c>
      <c r="EX52" s="13" t="n">
        <f aca="false">EX$51-EX$50</f>
        <v>0</v>
      </c>
      <c r="EY52" s="13" t="n">
        <f aca="false">EY$51-EY$50</f>
        <v>0</v>
      </c>
      <c r="EZ52" s="13" t="n">
        <f aca="false">EZ$51-EZ$50</f>
        <v>0</v>
      </c>
      <c r="FA52" s="13" t="n">
        <f aca="false">FA$51-FA$50</f>
        <v>0</v>
      </c>
      <c r="FB52" s="13" t="n">
        <f aca="false">FB$51-FB$50</f>
        <v>0</v>
      </c>
      <c r="FC52" s="13" t="n">
        <f aca="false">FC$51-FC$50</f>
        <v>0</v>
      </c>
      <c r="FD52" s="13" t="n">
        <f aca="false">FD$51-FD$50</f>
        <v>0</v>
      </c>
      <c r="FE52" s="13" t="n">
        <f aca="false">FE$51-FE$50</f>
        <v>0</v>
      </c>
      <c r="FF52" s="13" t="n">
        <f aca="false">FF$51-FF$50</f>
        <v>0</v>
      </c>
    </row>
    <row r="53" customFormat="false" ht="15" hidden="false" customHeight="false" outlineLevel="0" collapsed="false">
      <c r="A53" s="2" t="s">
        <v>1360</v>
      </c>
      <c r="B53" s="8" t="s">
        <v>1346</v>
      </c>
      <c r="C53" s="8" t="s">
        <v>255</v>
      </c>
      <c r="E53" s="65" t="n">
        <f aca="false">INDEX($F53:$FF53,1,p_MesFin+1)</f>
        <v>0</v>
      </c>
      <c r="F53" s="13" t="n">
        <f aca="false">0+F$52-F$48</f>
        <v>0</v>
      </c>
      <c r="G53" s="13" t="n">
        <f aca="false">F$53+G$52-G$48</f>
        <v>0</v>
      </c>
      <c r="H53" s="13" t="n">
        <f aca="false">G$53+H$52-H$48</f>
        <v>0</v>
      </c>
      <c r="I53" s="13" t="n">
        <f aca="false">H$53+I$52-I$48</f>
        <v>0</v>
      </c>
      <c r="J53" s="13" t="n">
        <f aca="false">I$53+J$52-J$48</f>
        <v>0</v>
      </c>
      <c r="K53" s="13" t="n">
        <f aca="false">J$53+K$52-K$48</f>
        <v>0</v>
      </c>
      <c r="L53" s="13" t="n">
        <f aca="false">K$53+L$52-L$48</f>
        <v>0</v>
      </c>
      <c r="M53" s="13" t="n">
        <f aca="false">L$53+M$52-M$48</f>
        <v>0</v>
      </c>
      <c r="N53" s="13" t="n">
        <f aca="false">M$53+N$52-N$48</f>
        <v>0</v>
      </c>
      <c r="O53" s="13" t="n">
        <f aca="false">N$53+O$52-O$48</f>
        <v>0</v>
      </c>
      <c r="P53" s="13" t="n">
        <f aca="false">O$53+P$52-P$48</f>
        <v>0</v>
      </c>
      <c r="Q53" s="13" t="n">
        <f aca="false">P$53+Q$52-Q$48</f>
        <v>0</v>
      </c>
      <c r="R53" s="13" t="n">
        <f aca="false">Q$53+R$52-R$48</f>
        <v>0</v>
      </c>
      <c r="S53" s="13" t="n">
        <f aca="false">R$53+S$52-S$48</f>
        <v>0</v>
      </c>
      <c r="T53" s="13" t="n">
        <f aca="false">S$53+T$52-T$48</f>
        <v>0</v>
      </c>
      <c r="U53" s="13" t="n">
        <f aca="false">T$53+U$52-U$48</f>
        <v>0</v>
      </c>
      <c r="V53" s="13" t="n">
        <f aca="false">U$53+V$52-V$48</f>
        <v>0</v>
      </c>
      <c r="W53" s="13" t="n">
        <f aca="false">V$53+W$52-W$48</f>
        <v>0</v>
      </c>
      <c r="X53" s="13" t="n">
        <f aca="false">W$53+X$52-X$48</f>
        <v>0</v>
      </c>
      <c r="Y53" s="13" t="n">
        <f aca="false">X$53+Y$52-Y$48</f>
        <v>0</v>
      </c>
      <c r="Z53" s="13" t="n">
        <f aca="false">Y$53+Z$52-Z$48</f>
        <v>0</v>
      </c>
      <c r="AA53" s="13" t="n">
        <f aca="false">Z$53+AA$52-AA$48</f>
        <v>0</v>
      </c>
      <c r="AB53" s="13" t="n">
        <f aca="false">AA$53+AB$52-AB$48</f>
        <v>0</v>
      </c>
      <c r="AC53" s="13" t="n">
        <f aca="false">AB$53+AC$52-AC$48</f>
        <v>0</v>
      </c>
      <c r="AD53" s="13" t="n">
        <f aca="false">AC$53+AD$52-AD$48</f>
        <v>0</v>
      </c>
      <c r="AE53" s="13" t="n">
        <f aca="false">AD$53+AE$52-AE$48</f>
        <v>0</v>
      </c>
      <c r="AF53" s="13" t="n">
        <f aca="false">AE$53+AF$52-AF$48</f>
        <v>0</v>
      </c>
      <c r="AG53" s="13" t="n">
        <f aca="false">AF$53+AG$52-AG$48</f>
        <v>0</v>
      </c>
      <c r="AH53" s="13" t="n">
        <f aca="false">AG$53+AH$52-AH$48</f>
        <v>0</v>
      </c>
      <c r="AI53" s="13" t="n">
        <f aca="false">AH$53+AI$52-AI$48</f>
        <v>0</v>
      </c>
      <c r="AJ53" s="13" t="n">
        <f aca="false">AI$53+AJ$52-AJ$48</f>
        <v>0</v>
      </c>
      <c r="AK53" s="13" t="n">
        <f aca="false">AJ$53+AK$52-AK$48</f>
        <v>0</v>
      </c>
      <c r="AL53" s="13" t="n">
        <f aca="false">AK$53+AL$52-AL$48</f>
        <v>0</v>
      </c>
      <c r="AM53" s="13" t="n">
        <f aca="false">AL$53+AM$52-AM$48</f>
        <v>0</v>
      </c>
      <c r="AN53" s="13" t="n">
        <f aca="false">AM$53+AN$52-AN$48</f>
        <v>0</v>
      </c>
      <c r="AO53" s="13" t="n">
        <f aca="false">AN$53+AO$52-AO$48</f>
        <v>0</v>
      </c>
      <c r="AP53" s="13" t="n">
        <f aca="false">AO$53+AP$52-AP$48</f>
        <v>0</v>
      </c>
      <c r="AQ53" s="13" t="n">
        <f aca="false">AP$53+AQ$52-AQ$48</f>
        <v>0</v>
      </c>
      <c r="AR53" s="13" t="n">
        <f aca="false">AQ$53+AR$52-AR$48</f>
        <v>0</v>
      </c>
      <c r="AS53" s="13" t="n">
        <f aca="false">AR$53+AS$52-AS$48</f>
        <v>0</v>
      </c>
      <c r="AT53" s="13" t="n">
        <f aca="false">AS$53+AT$52-AT$48</f>
        <v>0</v>
      </c>
      <c r="AU53" s="13" t="n">
        <f aca="false">AT$53+AU$52-AU$48</f>
        <v>0</v>
      </c>
      <c r="AV53" s="13" t="n">
        <f aca="false">AU$53+AV$52-AV$48</f>
        <v>0</v>
      </c>
      <c r="AW53" s="13" t="n">
        <f aca="false">AV$53+AW$52-AW$48</f>
        <v>0</v>
      </c>
      <c r="AX53" s="13" t="n">
        <f aca="false">AW$53+AX$52-AX$48</f>
        <v>0</v>
      </c>
      <c r="AY53" s="13" t="n">
        <f aca="false">AX$53+AY$52-AY$48</f>
        <v>0</v>
      </c>
      <c r="AZ53" s="13" t="n">
        <f aca="false">AY$53+AZ$52-AZ$48</f>
        <v>0</v>
      </c>
      <c r="BA53" s="13" t="n">
        <f aca="false">AZ$53+BA$52-BA$48</f>
        <v>0</v>
      </c>
      <c r="BB53" s="13" t="n">
        <f aca="false">BA$53+BB$52-BB$48</f>
        <v>0</v>
      </c>
      <c r="BC53" s="13" t="n">
        <f aca="false">BB$53+BC$52-BC$48</f>
        <v>0</v>
      </c>
      <c r="BD53" s="13" t="n">
        <f aca="false">BC$53+BD$52-BD$48</f>
        <v>0</v>
      </c>
      <c r="BE53" s="13" t="n">
        <f aca="false">BD$53+BE$52-BE$48</f>
        <v>0</v>
      </c>
      <c r="BF53" s="13" t="n">
        <f aca="false">BE$53+BF$52-BF$48</f>
        <v>0</v>
      </c>
      <c r="BG53" s="13" t="n">
        <f aca="false">BF$53+BG$52-BG$48</f>
        <v>0</v>
      </c>
      <c r="BH53" s="13" t="n">
        <f aca="false">BG$53+BH$52-BH$48</f>
        <v>0</v>
      </c>
      <c r="BI53" s="13" t="n">
        <f aca="false">BH$53+BI$52-BI$48</f>
        <v>0</v>
      </c>
      <c r="BJ53" s="13" t="n">
        <f aca="false">BI$53+BJ$52-BJ$48</f>
        <v>0</v>
      </c>
      <c r="BK53" s="13" t="n">
        <f aca="false">BJ$53+BK$52-BK$48</f>
        <v>0</v>
      </c>
      <c r="BL53" s="13" t="n">
        <f aca="false">BK$53+BL$52-BL$48</f>
        <v>0</v>
      </c>
      <c r="BM53" s="13" t="n">
        <f aca="false">BL$53+BM$52-BM$48</f>
        <v>0</v>
      </c>
      <c r="BN53" s="13" t="n">
        <f aca="false">BM$53+BN$52-BN$48</f>
        <v>0</v>
      </c>
      <c r="BO53" s="13" t="n">
        <f aca="false">BN$53+BO$52-BO$48</f>
        <v>0</v>
      </c>
      <c r="BP53" s="13" t="n">
        <f aca="false">BO$53+BP$52-BP$48</f>
        <v>0</v>
      </c>
      <c r="BQ53" s="13" t="n">
        <f aca="false">BP$53+BQ$52-BQ$48</f>
        <v>0</v>
      </c>
      <c r="BR53" s="13" t="n">
        <f aca="false">BQ$53+BR$52-BR$48</f>
        <v>0</v>
      </c>
      <c r="BS53" s="13" t="n">
        <f aca="false">BR$53+BS$52-BS$48</f>
        <v>0</v>
      </c>
      <c r="BT53" s="13" t="n">
        <f aca="false">BS$53+BT$52-BT$48</f>
        <v>0</v>
      </c>
      <c r="BU53" s="13" t="n">
        <f aca="false">BT$53+BU$52-BU$48</f>
        <v>0</v>
      </c>
      <c r="BV53" s="13" t="n">
        <f aca="false">BU$53+BV$52-BV$48</f>
        <v>0</v>
      </c>
      <c r="BW53" s="13" t="n">
        <f aca="false">BV$53+BW$52-BW$48</f>
        <v>0</v>
      </c>
      <c r="BX53" s="13" t="n">
        <f aca="false">BW$53+BX$52-BX$48</f>
        <v>0</v>
      </c>
      <c r="BY53" s="13" t="n">
        <f aca="false">BX$53+BY$52-BY$48</f>
        <v>0</v>
      </c>
      <c r="BZ53" s="13" t="n">
        <f aca="false">BY$53+BZ$52-BZ$48</f>
        <v>0</v>
      </c>
      <c r="CA53" s="13" t="n">
        <f aca="false">BZ$53+CA$52-CA$48</f>
        <v>0</v>
      </c>
      <c r="CB53" s="13" t="n">
        <f aca="false">CA$53+CB$52-CB$48</f>
        <v>0</v>
      </c>
      <c r="CC53" s="13" t="n">
        <f aca="false">CB$53+CC$52-CC$48</f>
        <v>0</v>
      </c>
      <c r="CD53" s="13" t="n">
        <f aca="false">CC$53+CD$52-CD$48</f>
        <v>0</v>
      </c>
      <c r="CE53" s="13" t="n">
        <f aca="false">CD$53+CE$52-CE$48</f>
        <v>0</v>
      </c>
      <c r="CF53" s="13" t="n">
        <f aca="false">CE$53+CF$52-CF$48</f>
        <v>0</v>
      </c>
      <c r="CG53" s="13" t="n">
        <f aca="false">CF$53+CG$52-CG$48</f>
        <v>0</v>
      </c>
      <c r="CH53" s="13" t="n">
        <f aca="false">CG$53+CH$52-CH$48</f>
        <v>0</v>
      </c>
      <c r="CI53" s="13" t="n">
        <f aca="false">CH$53+CI$52-CI$48</f>
        <v>0</v>
      </c>
      <c r="CJ53" s="13" t="n">
        <f aca="false">CI$53+CJ$52-CJ$48</f>
        <v>0</v>
      </c>
      <c r="CK53" s="13" t="n">
        <f aca="false">CJ$53+CK$52-CK$48</f>
        <v>0</v>
      </c>
      <c r="CL53" s="13" t="n">
        <f aca="false">CK$53+CL$52-CL$48</f>
        <v>0</v>
      </c>
      <c r="CM53" s="13" t="n">
        <f aca="false">CL$53+CM$52-CM$48</f>
        <v>0</v>
      </c>
      <c r="CN53" s="13" t="n">
        <f aca="false">CM$53+CN$52-CN$48</f>
        <v>0</v>
      </c>
      <c r="CO53" s="13" t="n">
        <f aca="false">CN$53+CO$52-CO$48</f>
        <v>0</v>
      </c>
      <c r="CP53" s="13" t="n">
        <f aca="false">CO$53+CP$52-CP$48</f>
        <v>0</v>
      </c>
      <c r="CQ53" s="13" t="n">
        <f aca="false">CP$53+CQ$52-CQ$48</f>
        <v>0</v>
      </c>
      <c r="CR53" s="13" t="n">
        <f aca="false">CQ$53+CR$52-CR$48</f>
        <v>0</v>
      </c>
      <c r="CS53" s="13" t="n">
        <f aca="false">CR$53+CS$52-CS$48</f>
        <v>0</v>
      </c>
      <c r="CT53" s="13" t="n">
        <f aca="false">CS$53+CT$52-CT$48</f>
        <v>0</v>
      </c>
      <c r="CU53" s="13" t="n">
        <f aca="false">CT$53+CU$52-CU$48</f>
        <v>0</v>
      </c>
      <c r="CV53" s="13" t="n">
        <f aca="false">CU$53+CV$52-CV$48</f>
        <v>0</v>
      </c>
      <c r="CW53" s="13" t="n">
        <f aca="false">CV$53+CW$52-CW$48</f>
        <v>0</v>
      </c>
      <c r="CX53" s="13" t="n">
        <f aca="false">CW$53+CX$52-CX$48</f>
        <v>0</v>
      </c>
      <c r="CY53" s="13" t="n">
        <f aca="false">CX$53+CY$52-CY$48</f>
        <v>0</v>
      </c>
      <c r="CZ53" s="13" t="n">
        <f aca="false">CY$53+CZ$52-CZ$48</f>
        <v>0</v>
      </c>
      <c r="DA53" s="13" t="n">
        <f aca="false">CZ$53+DA$52-DA$48</f>
        <v>0</v>
      </c>
      <c r="DB53" s="13" t="n">
        <f aca="false">DA$53+DB$52-DB$48</f>
        <v>0</v>
      </c>
      <c r="DC53" s="13" t="n">
        <f aca="false">DB$53+DC$52-DC$48</f>
        <v>0</v>
      </c>
      <c r="DD53" s="13" t="n">
        <f aca="false">DC$53+DD$52-DD$48</f>
        <v>0</v>
      </c>
      <c r="DE53" s="13" t="n">
        <f aca="false">DD$53+DE$52-DE$48</f>
        <v>0</v>
      </c>
      <c r="DF53" s="13" t="n">
        <f aca="false">DE$53+DF$52-DF$48</f>
        <v>0</v>
      </c>
      <c r="DG53" s="13" t="n">
        <f aca="false">DF$53+DG$52-DG$48</f>
        <v>0</v>
      </c>
      <c r="DH53" s="13" t="n">
        <f aca="false">DG$53+DH$52-DH$48</f>
        <v>0</v>
      </c>
      <c r="DI53" s="13" t="n">
        <f aca="false">DH$53+DI$52-DI$48</f>
        <v>0</v>
      </c>
      <c r="DJ53" s="13" t="n">
        <f aca="false">DI$53+DJ$52-DJ$48</f>
        <v>0</v>
      </c>
      <c r="DK53" s="13" t="n">
        <f aca="false">DJ$53+DK$52-DK$48</f>
        <v>0</v>
      </c>
      <c r="DL53" s="13" t="n">
        <f aca="false">DK$53+DL$52-DL$48</f>
        <v>0</v>
      </c>
      <c r="DM53" s="13" t="n">
        <f aca="false">DL$53+DM$52-DM$48</f>
        <v>0</v>
      </c>
      <c r="DN53" s="13" t="n">
        <f aca="false">DM$53+DN$52-DN$48</f>
        <v>0</v>
      </c>
      <c r="DO53" s="13" t="n">
        <f aca="false">DN$53+DO$52-DO$48</f>
        <v>0</v>
      </c>
      <c r="DP53" s="13" t="n">
        <f aca="false">DO$53+DP$52-DP$48</f>
        <v>0</v>
      </c>
      <c r="DQ53" s="13" t="n">
        <f aca="false">DP$53+DQ$52-DQ$48</f>
        <v>0</v>
      </c>
      <c r="DR53" s="13" t="n">
        <f aca="false">DQ$53+DR$52-DR$48</f>
        <v>0</v>
      </c>
      <c r="DS53" s="13" t="n">
        <f aca="false">DR$53+DS$52-DS$48</f>
        <v>0</v>
      </c>
      <c r="DT53" s="13" t="n">
        <f aca="false">DS$53+DT$52-DT$48</f>
        <v>0</v>
      </c>
      <c r="DU53" s="13" t="n">
        <f aca="false">DT$53+DU$52-DU$48</f>
        <v>0</v>
      </c>
      <c r="DV53" s="13" t="n">
        <f aca="false">DU$53+DV$52-DV$48</f>
        <v>0</v>
      </c>
      <c r="DW53" s="13" t="n">
        <f aca="false">DV$53+DW$52-DW$48</f>
        <v>0</v>
      </c>
      <c r="DX53" s="13" t="n">
        <f aca="false">DW$53+DX$52-DX$48</f>
        <v>0</v>
      </c>
      <c r="DY53" s="13" t="n">
        <f aca="false">DX$53+DY$52-DY$48</f>
        <v>0</v>
      </c>
      <c r="DZ53" s="13" t="n">
        <f aca="false">DY$53+DZ$52-DZ$48</f>
        <v>0</v>
      </c>
      <c r="EA53" s="13" t="n">
        <f aca="false">DZ$53+EA$52-EA$48</f>
        <v>0</v>
      </c>
      <c r="EB53" s="13" t="n">
        <f aca="false">EA$53+EB$52-EB$48</f>
        <v>0</v>
      </c>
      <c r="EC53" s="13" t="n">
        <f aca="false">EB$53+EC$52-EC$48</f>
        <v>0</v>
      </c>
      <c r="ED53" s="13" t="n">
        <f aca="false">EC$53+ED$52-ED$48</f>
        <v>0</v>
      </c>
      <c r="EE53" s="13" t="n">
        <f aca="false">ED$53+EE$52-EE$48</f>
        <v>0</v>
      </c>
      <c r="EF53" s="13" t="n">
        <f aca="false">EE$53+EF$52-EF$48</f>
        <v>0</v>
      </c>
      <c r="EG53" s="13" t="n">
        <f aca="false">EF$53+EG$52-EG$48</f>
        <v>0</v>
      </c>
      <c r="EH53" s="13" t="n">
        <f aca="false">EG$53+EH$52-EH$48</f>
        <v>0</v>
      </c>
      <c r="EI53" s="13" t="n">
        <f aca="false">EH$53+EI$52-EI$48</f>
        <v>0</v>
      </c>
      <c r="EJ53" s="13" t="n">
        <f aca="false">EI$53+EJ$52-EJ$48</f>
        <v>0</v>
      </c>
      <c r="EK53" s="13" t="n">
        <f aca="false">EJ$53+EK$52-EK$48</f>
        <v>0</v>
      </c>
      <c r="EL53" s="13" t="n">
        <f aca="false">EK$53+EL$52-EL$48</f>
        <v>0</v>
      </c>
      <c r="EM53" s="13" t="n">
        <f aca="false">EL$53+EM$52-EM$48</f>
        <v>0</v>
      </c>
      <c r="EN53" s="13" t="n">
        <f aca="false">EM$53+EN$52-EN$48</f>
        <v>0</v>
      </c>
      <c r="EO53" s="13" t="n">
        <f aca="false">EN$53+EO$52-EO$48</f>
        <v>0</v>
      </c>
      <c r="EP53" s="13" t="n">
        <f aca="false">EO$53+EP$52-EP$48</f>
        <v>0</v>
      </c>
      <c r="EQ53" s="13" t="n">
        <f aca="false">EP$53+EQ$52-EQ$48</f>
        <v>0</v>
      </c>
      <c r="ER53" s="13" t="n">
        <f aca="false">EQ$53+ER$52-ER$48</f>
        <v>0</v>
      </c>
      <c r="ES53" s="13" t="n">
        <f aca="false">ER$53+ES$52-ES$48</f>
        <v>0</v>
      </c>
      <c r="ET53" s="13" t="n">
        <f aca="false">ES$53+ET$52-ET$48</f>
        <v>0</v>
      </c>
      <c r="EU53" s="13" t="n">
        <f aca="false">ET$53+EU$52-EU$48</f>
        <v>0</v>
      </c>
      <c r="EV53" s="13" t="n">
        <f aca="false">EU$53+EV$52-EV$48</f>
        <v>0</v>
      </c>
      <c r="EW53" s="13" t="n">
        <f aca="false">EV$53+EW$52-EW$48</f>
        <v>0</v>
      </c>
      <c r="EX53" s="13" t="n">
        <f aca="false">EW$53+EX$52-EX$48</f>
        <v>0</v>
      </c>
      <c r="EY53" s="13" t="n">
        <f aca="false">EX$53+EY$52-EY$48</f>
        <v>0</v>
      </c>
      <c r="EZ53" s="13" t="n">
        <f aca="false">EY$53+EZ$52-EZ$48</f>
        <v>0</v>
      </c>
      <c r="FA53" s="13" t="n">
        <f aca="false">EZ$53+FA$52-FA$48</f>
        <v>0</v>
      </c>
      <c r="FB53" s="13" t="n">
        <f aca="false">FA$53+FB$52-FB$48</f>
        <v>0</v>
      </c>
      <c r="FC53" s="13" t="n">
        <f aca="false">FB$53+FC$52-FC$48</f>
        <v>0</v>
      </c>
      <c r="FD53" s="13" t="n">
        <f aca="false">FC$53+FD$52-FD$48</f>
        <v>0</v>
      </c>
      <c r="FE53" s="13" t="n">
        <f aca="false">FD$53+FE$52-FE$48</f>
        <v>0</v>
      </c>
      <c r="FF53" s="13" t="n">
        <f aca="false">FE$53+FF$52-FF$48</f>
        <v>0</v>
      </c>
    </row>
    <row r="54" customFormat="false" ht="15" hidden="false" customHeight="false" outlineLevel="0" collapsed="false">
      <c r="A54" s="4"/>
      <c r="B54" s="3" t="s">
        <v>1361</v>
      </c>
      <c r="C54" s="4"/>
      <c r="D54" s="4"/>
      <c r="E54" s="4"/>
    </row>
    <row r="55" customFormat="false" ht="15" hidden="false" customHeight="false" outlineLevel="0" collapsed="false">
      <c r="A55" s="2" t="s">
        <v>1362</v>
      </c>
      <c r="B55" s="8" t="s">
        <v>1363</v>
      </c>
      <c r="C55" s="8" t="s">
        <v>255</v>
      </c>
      <c r="F55" s="13" t="n">
        <f aca="false">Produccion_Ventas!F$27*Costos_Personal!F$118+Produccion_Ventas!F$48*Costos_Personal!F$119+IF(Produccion_Ventas!F$26*p_WG+Produccion_Ventas!F$47*p_WC&gt;0,Costos_Personal!F$146*(Produccion_Ventas!F$27*p_WG+Produccion_Ventas!F$48*p_WC)/(Produccion_Ventas!F$26*p_WG+Produccion_Ventas!F$47*p_WC),0)</f>
        <v>0</v>
      </c>
      <c r="G55" s="13" t="n">
        <f aca="false">Produccion_Ventas!G$27*Costos_Personal!G$118+Produccion_Ventas!G$48*Costos_Personal!G$119+IF(Produccion_Ventas!G$26*p_WG+Produccion_Ventas!G$47*p_WC&gt;0,Costos_Personal!G$146*(Produccion_Ventas!G$27*p_WG+Produccion_Ventas!G$48*p_WC)/(Produccion_Ventas!G$26*p_WG+Produccion_Ventas!G$47*p_WC),0)</f>
        <v>96950.7265267049</v>
      </c>
      <c r="H55" s="13" t="n">
        <f aca="false">Produccion_Ventas!H$27*Costos_Personal!H$118+Produccion_Ventas!H$48*Costos_Personal!H$119+IF(Produccion_Ventas!H$26*p_WG+Produccion_Ventas!H$47*p_WC&gt;0,Costos_Personal!H$146*(Produccion_Ventas!H$27*p_WG+Produccion_Ventas!H$48*p_WC)/(Produccion_Ventas!H$26*p_WG+Produccion_Ventas!H$47*p_WC),0)</f>
        <v>101650.354358341</v>
      </c>
      <c r="I55" s="13" t="n">
        <f aca="false">Produccion_Ventas!I$27*Costos_Personal!I$118+Produccion_Ventas!I$48*Costos_Personal!I$119+IF(Produccion_Ventas!I$26*p_WG+Produccion_Ventas!I$47*p_WC&gt;0,Costos_Personal!I$146*(Produccion_Ventas!I$27*p_WG+Produccion_Ventas!I$48*p_WC)/(Produccion_Ventas!I$26*p_WG+Produccion_Ventas!I$47*p_WC),0)</f>
        <v>101650.354358341</v>
      </c>
      <c r="J55" s="13" t="n">
        <f aca="false">Produccion_Ventas!J$27*Costos_Personal!J$118+Produccion_Ventas!J$48*Costos_Personal!J$119+IF(Produccion_Ventas!J$26*p_WG+Produccion_Ventas!J$47*p_WC&gt;0,Costos_Personal!J$146*(Produccion_Ventas!J$27*p_WG+Produccion_Ventas!J$48*p_WC)/(Produccion_Ventas!J$26*p_WG+Produccion_Ventas!J$47*p_WC),0)</f>
        <v>101650.354358341</v>
      </c>
      <c r="K55" s="13" t="n">
        <f aca="false">Produccion_Ventas!K$27*Costos_Personal!K$118+Produccion_Ventas!K$48*Costos_Personal!K$119+IF(Produccion_Ventas!K$26*p_WG+Produccion_Ventas!K$47*p_WC&gt;0,Costos_Personal!K$146*(Produccion_Ventas!K$27*p_WG+Produccion_Ventas!K$48*p_WC)/(Produccion_Ventas!K$26*p_WG+Produccion_Ventas!K$47*p_WC),0)</f>
        <v>101650.354358341</v>
      </c>
      <c r="L55" s="13" t="n">
        <f aca="false">Produccion_Ventas!L$27*Costos_Personal!L$118+Produccion_Ventas!L$48*Costos_Personal!L$119+IF(Produccion_Ventas!L$26*p_WG+Produccion_Ventas!L$47*p_WC&gt;0,Costos_Personal!L$146*(Produccion_Ventas!L$27*p_WG+Produccion_Ventas!L$48*p_WC)/(Produccion_Ventas!L$26*p_WG+Produccion_Ventas!L$47*p_WC),0)</f>
        <v>101650.354358341</v>
      </c>
      <c r="M55" s="13" t="n">
        <f aca="false">Produccion_Ventas!M$27*Costos_Personal!M$118+Produccion_Ventas!M$48*Costos_Personal!M$119+IF(Produccion_Ventas!M$26*p_WG+Produccion_Ventas!M$47*p_WC&gt;0,Costos_Personal!M$146*(Produccion_Ventas!M$27*p_WG+Produccion_Ventas!M$48*p_WC)/(Produccion_Ventas!M$26*p_WG+Produccion_Ventas!M$47*p_WC),0)</f>
        <v>101650.354358341</v>
      </c>
      <c r="N55" s="13" t="n">
        <f aca="false">Produccion_Ventas!N$27*Costos_Personal!N$118+Produccion_Ventas!N$48*Costos_Personal!N$119+IF(Produccion_Ventas!N$26*p_WG+Produccion_Ventas!N$47*p_WC&gt;0,Costos_Personal!N$146*(Produccion_Ventas!N$27*p_WG+Produccion_Ventas!N$48*p_WC)/(Produccion_Ventas!N$26*p_WG+Produccion_Ventas!N$47*p_WC),0)</f>
        <v>101650.354358341</v>
      </c>
      <c r="O55" s="13" t="n">
        <f aca="false">Produccion_Ventas!O$27*Costos_Personal!O$118+Produccion_Ventas!O$48*Costos_Personal!O$119+IF(Produccion_Ventas!O$26*p_WG+Produccion_Ventas!O$47*p_WC&gt;0,Costos_Personal!O$146*(Produccion_Ventas!O$27*p_WG+Produccion_Ventas!O$48*p_WC)/(Produccion_Ventas!O$26*p_WG+Produccion_Ventas!O$47*p_WC),0)</f>
        <v>101650.354358341</v>
      </c>
      <c r="P55" s="13" t="n">
        <f aca="false">Produccion_Ventas!P$27*Costos_Personal!P$118+Produccion_Ventas!P$48*Costos_Personal!P$119+IF(Produccion_Ventas!P$26*p_WG+Produccion_Ventas!P$47*p_WC&gt;0,Costos_Personal!P$146*(Produccion_Ventas!P$27*p_WG+Produccion_Ventas!P$48*p_WC)/(Produccion_Ventas!P$26*p_WG+Produccion_Ventas!P$47*p_WC),0)</f>
        <v>101650.354358341</v>
      </c>
      <c r="Q55" s="13" t="n">
        <f aca="false">Produccion_Ventas!Q$27*Costos_Personal!Q$118+Produccion_Ventas!Q$48*Costos_Personal!Q$119+IF(Produccion_Ventas!Q$26*p_WG+Produccion_Ventas!Q$47*p_WC&gt;0,Costos_Personal!Q$146*(Produccion_Ventas!Q$27*p_WG+Produccion_Ventas!Q$48*p_WC)/(Produccion_Ventas!Q$26*p_WG+Produccion_Ventas!Q$47*p_WC),0)</f>
        <v>101650.354358341</v>
      </c>
      <c r="R55" s="13" t="n">
        <f aca="false">Produccion_Ventas!R$27*Costos_Personal!R$118+Produccion_Ventas!R$48*Costos_Personal!R$119+IF(Produccion_Ventas!R$26*p_WG+Produccion_Ventas!R$47*p_WC&gt;0,Costos_Personal!R$146*(Produccion_Ventas!R$27*p_WG+Produccion_Ventas!R$48*p_WC)/(Produccion_Ventas!R$26*p_WG+Produccion_Ventas!R$47*p_WC),0)</f>
        <v>126449.80891971</v>
      </c>
      <c r="S55" s="13" t="n">
        <f aca="false">Produccion_Ventas!S$27*Costos_Personal!S$118+Produccion_Ventas!S$48*Costos_Personal!S$119+IF(Produccion_Ventas!S$26*p_WG+Produccion_Ventas!S$47*p_WC&gt;0,Costos_Personal!S$146*(Produccion_Ventas!S$27*p_WG+Produccion_Ventas!S$48*p_WC)/(Produccion_Ventas!S$26*p_WG+Produccion_Ventas!S$47*p_WC),0)</f>
        <v>123936.146139163</v>
      </c>
      <c r="T55" s="13" t="n">
        <f aca="false">Produccion_Ventas!T$27*Costos_Personal!T$118+Produccion_Ventas!T$48*Costos_Personal!T$119+IF(Produccion_Ventas!T$26*p_WG+Produccion_Ventas!T$47*p_WC&gt;0,Costos_Personal!T$146*(Produccion_Ventas!T$27*p_WG+Produccion_Ventas!T$48*p_WC)/(Produccion_Ventas!T$26*p_WG+Produccion_Ventas!T$47*p_WC),0)</f>
        <v>123936.146139163</v>
      </c>
      <c r="U55" s="13" t="n">
        <f aca="false">Produccion_Ventas!U$27*Costos_Personal!U$118+Produccion_Ventas!U$48*Costos_Personal!U$119+IF(Produccion_Ventas!U$26*p_WG+Produccion_Ventas!U$47*p_WC&gt;0,Costos_Personal!U$146*(Produccion_Ventas!U$27*p_WG+Produccion_Ventas!U$48*p_WC)/(Produccion_Ventas!U$26*p_WG+Produccion_Ventas!U$47*p_WC),0)</f>
        <v>123936.146139163</v>
      </c>
      <c r="V55" s="13" t="n">
        <f aca="false">Produccion_Ventas!V$27*Costos_Personal!V$118+Produccion_Ventas!V$48*Costos_Personal!V$119+IF(Produccion_Ventas!V$26*p_WG+Produccion_Ventas!V$47*p_WC&gt;0,Costos_Personal!V$146*(Produccion_Ventas!V$27*p_WG+Produccion_Ventas!V$48*p_WC)/(Produccion_Ventas!V$26*p_WG+Produccion_Ventas!V$47*p_WC),0)</f>
        <v>123936.146139163</v>
      </c>
      <c r="W55" s="13" t="n">
        <f aca="false">Produccion_Ventas!W$27*Costos_Personal!W$118+Produccion_Ventas!W$48*Costos_Personal!W$119+IF(Produccion_Ventas!W$26*p_WG+Produccion_Ventas!W$47*p_WC&gt;0,Costos_Personal!W$146*(Produccion_Ventas!W$27*p_WG+Produccion_Ventas!W$48*p_WC)/(Produccion_Ventas!W$26*p_WG+Produccion_Ventas!W$47*p_WC),0)</f>
        <v>123936.146139163</v>
      </c>
      <c r="X55" s="13" t="n">
        <f aca="false">Produccion_Ventas!X$27*Costos_Personal!X$118+Produccion_Ventas!X$48*Costos_Personal!X$119+IF(Produccion_Ventas!X$26*p_WG+Produccion_Ventas!X$47*p_WC&gt;0,Costos_Personal!X$146*(Produccion_Ventas!X$27*p_WG+Produccion_Ventas!X$48*p_WC)/(Produccion_Ventas!X$26*p_WG+Produccion_Ventas!X$47*p_WC),0)</f>
        <v>123936.146139163</v>
      </c>
      <c r="Y55" s="13" t="n">
        <f aca="false">Produccion_Ventas!Y$27*Costos_Personal!Y$118+Produccion_Ventas!Y$48*Costos_Personal!Y$119+IF(Produccion_Ventas!Y$26*p_WG+Produccion_Ventas!Y$47*p_WC&gt;0,Costos_Personal!Y$146*(Produccion_Ventas!Y$27*p_WG+Produccion_Ventas!Y$48*p_WC)/(Produccion_Ventas!Y$26*p_WG+Produccion_Ventas!Y$47*p_WC),0)</f>
        <v>123936.146139163</v>
      </c>
      <c r="Z55" s="13" t="n">
        <f aca="false">Produccion_Ventas!Z$27*Costos_Personal!Z$118+Produccion_Ventas!Z$48*Costos_Personal!Z$119+IF(Produccion_Ventas!Z$26*p_WG+Produccion_Ventas!Z$47*p_WC&gt;0,Costos_Personal!Z$146*(Produccion_Ventas!Z$27*p_WG+Produccion_Ventas!Z$48*p_WC)/(Produccion_Ventas!Z$26*p_WG+Produccion_Ventas!Z$47*p_WC),0)</f>
        <v>123936.146139163</v>
      </c>
      <c r="AA55" s="13" t="n">
        <f aca="false">Produccion_Ventas!AA$27*Costos_Personal!AA$118+Produccion_Ventas!AA$48*Costos_Personal!AA$119+IF(Produccion_Ventas!AA$26*p_WG+Produccion_Ventas!AA$47*p_WC&gt;0,Costos_Personal!AA$146*(Produccion_Ventas!AA$27*p_WG+Produccion_Ventas!AA$48*p_WC)/(Produccion_Ventas!AA$26*p_WG+Produccion_Ventas!AA$47*p_WC),0)</f>
        <v>123936.146139163</v>
      </c>
      <c r="AB55" s="13" t="n">
        <f aca="false">Produccion_Ventas!AB$27*Costos_Personal!AB$118+Produccion_Ventas!AB$48*Costos_Personal!AB$119+IF(Produccion_Ventas!AB$26*p_WG+Produccion_Ventas!AB$47*p_WC&gt;0,Costos_Personal!AB$146*(Produccion_Ventas!AB$27*p_WG+Produccion_Ventas!AB$48*p_WC)/(Produccion_Ventas!AB$26*p_WG+Produccion_Ventas!AB$47*p_WC),0)</f>
        <v>123936.146139163</v>
      </c>
      <c r="AC55" s="13" t="n">
        <f aca="false">Produccion_Ventas!AC$27*Costos_Personal!AC$118+Produccion_Ventas!AC$48*Costos_Personal!AC$119+IF(Produccion_Ventas!AC$26*p_WG+Produccion_Ventas!AC$47*p_WC&gt;0,Costos_Personal!AC$146*(Produccion_Ventas!AC$27*p_WG+Produccion_Ventas!AC$48*p_WC)/(Produccion_Ventas!AC$26*p_WG+Produccion_Ventas!AC$47*p_WC),0)</f>
        <v>123936.146139163</v>
      </c>
      <c r="AD55" s="13" t="n">
        <f aca="false">Produccion_Ventas!AD$27*Costos_Personal!AD$118+Produccion_Ventas!AD$48*Costos_Personal!AD$119+IF(Produccion_Ventas!AD$26*p_WG+Produccion_Ventas!AD$47*p_WC&gt;0,Costos_Personal!AD$146*(Produccion_Ventas!AD$27*p_WG+Produccion_Ventas!AD$48*p_WC)/(Produccion_Ventas!AD$26*p_WG+Produccion_Ventas!AD$47*p_WC),0)</f>
        <v>148253.622528492</v>
      </c>
      <c r="AE55" s="13" t="n">
        <f aca="false">Produccion_Ventas!AE$27*Costos_Personal!AE$118+Produccion_Ventas!AE$48*Costos_Personal!AE$119+IF(Produccion_Ventas!AE$26*p_WG+Produccion_Ventas!AE$47*p_WC&gt;0,Costos_Personal!AE$146*(Produccion_Ventas!AE$27*p_WG+Produccion_Ventas!AE$48*p_WC)/(Produccion_Ventas!AE$26*p_WG+Produccion_Ventas!AE$47*p_WC),0)</f>
        <v>147332.674234134</v>
      </c>
      <c r="AF55" s="13" t="n">
        <f aca="false">Produccion_Ventas!AF$27*Costos_Personal!AF$118+Produccion_Ventas!AF$48*Costos_Personal!AF$119+IF(Produccion_Ventas!AF$26*p_WG+Produccion_Ventas!AF$47*p_WC&gt;0,Costos_Personal!AF$146*(Produccion_Ventas!AF$27*p_WG+Produccion_Ventas!AF$48*p_WC)/(Produccion_Ventas!AF$26*p_WG+Produccion_Ventas!AF$47*p_WC),0)</f>
        <v>147332.674234134</v>
      </c>
      <c r="AG55" s="13" t="n">
        <f aca="false">Produccion_Ventas!AG$27*Costos_Personal!AG$118+Produccion_Ventas!AG$48*Costos_Personal!AG$119+IF(Produccion_Ventas!AG$26*p_WG+Produccion_Ventas!AG$47*p_WC&gt;0,Costos_Personal!AG$146*(Produccion_Ventas!AG$27*p_WG+Produccion_Ventas!AG$48*p_WC)/(Produccion_Ventas!AG$26*p_WG+Produccion_Ventas!AG$47*p_WC),0)</f>
        <v>147332.674234134</v>
      </c>
      <c r="AH55" s="13" t="n">
        <f aca="false">Produccion_Ventas!AH$27*Costos_Personal!AH$118+Produccion_Ventas!AH$48*Costos_Personal!AH$119+IF(Produccion_Ventas!AH$26*p_WG+Produccion_Ventas!AH$47*p_WC&gt;0,Costos_Personal!AH$146*(Produccion_Ventas!AH$27*p_WG+Produccion_Ventas!AH$48*p_WC)/(Produccion_Ventas!AH$26*p_WG+Produccion_Ventas!AH$47*p_WC),0)</f>
        <v>147332.674234134</v>
      </c>
      <c r="AI55" s="13" t="n">
        <f aca="false">Produccion_Ventas!AI$27*Costos_Personal!AI$118+Produccion_Ventas!AI$48*Costos_Personal!AI$119+IF(Produccion_Ventas!AI$26*p_WG+Produccion_Ventas!AI$47*p_WC&gt;0,Costos_Personal!AI$146*(Produccion_Ventas!AI$27*p_WG+Produccion_Ventas!AI$48*p_WC)/(Produccion_Ventas!AI$26*p_WG+Produccion_Ventas!AI$47*p_WC),0)</f>
        <v>147332.674234134</v>
      </c>
      <c r="AJ55" s="13" t="n">
        <f aca="false">Produccion_Ventas!AJ$27*Costos_Personal!AJ$118+Produccion_Ventas!AJ$48*Costos_Personal!AJ$119+IF(Produccion_Ventas!AJ$26*p_WG+Produccion_Ventas!AJ$47*p_WC&gt;0,Costos_Personal!AJ$146*(Produccion_Ventas!AJ$27*p_WG+Produccion_Ventas!AJ$48*p_WC)/(Produccion_Ventas!AJ$26*p_WG+Produccion_Ventas!AJ$47*p_WC),0)</f>
        <v>147332.674234134</v>
      </c>
      <c r="AK55" s="13" t="n">
        <f aca="false">Produccion_Ventas!AK$27*Costos_Personal!AK$118+Produccion_Ventas!AK$48*Costos_Personal!AK$119+IF(Produccion_Ventas!AK$26*p_WG+Produccion_Ventas!AK$47*p_WC&gt;0,Costos_Personal!AK$146*(Produccion_Ventas!AK$27*p_WG+Produccion_Ventas!AK$48*p_WC)/(Produccion_Ventas!AK$26*p_WG+Produccion_Ventas!AK$47*p_WC),0)</f>
        <v>147332.674234134</v>
      </c>
      <c r="AL55" s="13" t="n">
        <f aca="false">Produccion_Ventas!AL$27*Costos_Personal!AL$118+Produccion_Ventas!AL$48*Costos_Personal!AL$119+IF(Produccion_Ventas!AL$26*p_WG+Produccion_Ventas!AL$47*p_WC&gt;0,Costos_Personal!AL$146*(Produccion_Ventas!AL$27*p_WG+Produccion_Ventas!AL$48*p_WC)/(Produccion_Ventas!AL$26*p_WG+Produccion_Ventas!AL$47*p_WC),0)</f>
        <v>147332.674234134</v>
      </c>
      <c r="AM55" s="13" t="n">
        <f aca="false">Produccion_Ventas!AM$27*Costos_Personal!AM$118+Produccion_Ventas!AM$48*Costos_Personal!AM$119+IF(Produccion_Ventas!AM$26*p_WG+Produccion_Ventas!AM$47*p_WC&gt;0,Costos_Personal!AM$146*(Produccion_Ventas!AM$27*p_WG+Produccion_Ventas!AM$48*p_WC)/(Produccion_Ventas!AM$26*p_WG+Produccion_Ventas!AM$47*p_WC),0)</f>
        <v>147332.674234134</v>
      </c>
      <c r="AN55" s="13" t="n">
        <f aca="false">Produccion_Ventas!AN$27*Costos_Personal!AN$118+Produccion_Ventas!AN$48*Costos_Personal!AN$119+IF(Produccion_Ventas!AN$26*p_WG+Produccion_Ventas!AN$47*p_WC&gt;0,Costos_Personal!AN$146*(Produccion_Ventas!AN$27*p_WG+Produccion_Ventas!AN$48*p_WC)/(Produccion_Ventas!AN$26*p_WG+Produccion_Ventas!AN$47*p_WC),0)</f>
        <v>147332.674234134</v>
      </c>
      <c r="AO55" s="13" t="n">
        <f aca="false">Produccion_Ventas!AO$27*Costos_Personal!AO$118+Produccion_Ventas!AO$48*Costos_Personal!AO$119+IF(Produccion_Ventas!AO$26*p_WG+Produccion_Ventas!AO$47*p_WC&gt;0,Costos_Personal!AO$146*(Produccion_Ventas!AO$27*p_WG+Produccion_Ventas!AO$48*p_WC)/(Produccion_Ventas!AO$26*p_WG+Produccion_Ventas!AO$47*p_WC),0)</f>
        <v>147332.674234134</v>
      </c>
      <c r="AP55" s="13" t="n">
        <f aca="false">Produccion_Ventas!AP$27*Costos_Personal!AP$118+Produccion_Ventas!AP$48*Costos_Personal!AP$119+IF(Produccion_Ventas!AP$26*p_WG+Produccion_Ventas!AP$47*p_WC&gt;0,Costos_Personal!AP$146*(Produccion_Ventas!AP$27*p_WG+Produccion_Ventas!AP$48*p_WC)/(Produccion_Ventas!AP$26*p_WG+Produccion_Ventas!AP$47*p_WC),0)</f>
        <v>166793.811726733</v>
      </c>
      <c r="AQ55" s="13" t="n">
        <f aca="false">Produccion_Ventas!AQ$27*Costos_Personal!AQ$118+Produccion_Ventas!AQ$48*Costos_Personal!AQ$119+IF(Produccion_Ventas!AQ$26*p_WG+Produccion_Ventas!AQ$47*p_WC&gt;0,Costos_Personal!AQ$146*(Produccion_Ventas!AQ$27*p_WG+Produccion_Ventas!AQ$48*p_WC)/(Produccion_Ventas!AQ$26*p_WG+Produccion_Ventas!AQ$47*p_WC),0)</f>
        <v>166477.023439485</v>
      </c>
      <c r="AR55" s="13" t="n">
        <f aca="false">Produccion_Ventas!AR$27*Costos_Personal!AR$118+Produccion_Ventas!AR$48*Costos_Personal!AR$119+IF(Produccion_Ventas!AR$26*p_WG+Produccion_Ventas!AR$47*p_WC&gt;0,Costos_Personal!AR$146*(Produccion_Ventas!AR$27*p_WG+Produccion_Ventas!AR$48*p_WC)/(Produccion_Ventas!AR$26*p_WG+Produccion_Ventas!AR$47*p_WC),0)</f>
        <v>166477.023439485</v>
      </c>
      <c r="AS55" s="13" t="n">
        <f aca="false">Produccion_Ventas!AS$27*Costos_Personal!AS$118+Produccion_Ventas!AS$48*Costos_Personal!AS$119+IF(Produccion_Ventas!AS$26*p_WG+Produccion_Ventas!AS$47*p_WC&gt;0,Costos_Personal!AS$146*(Produccion_Ventas!AS$27*p_WG+Produccion_Ventas!AS$48*p_WC)/(Produccion_Ventas!AS$26*p_WG+Produccion_Ventas!AS$47*p_WC),0)</f>
        <v>166477.023439485</v>
      </c>
      <c r="AT55" s="13" t="n">
        <f aca="false">Produccion_Ventas!AT$27*Costos_Personal!AT$118+Produccion_Ventas!AT$48*Costos_Personal!AT$119+IF(Produccion_Ventas!AT$26*p_WG+Produccion_Ventas!AT$47*p_WC&gt;0,Costos_Personal!AT$146*(Produccion_Ventas!AT$27*p_WG+Produccion_Ventas!AT$48*p_WC)/(Produccion_Ventas!AT$26*p_WG+Produccion_Ventas!AT$47*p_WC),0)</f>
        <v>166477.023439485</v>
      </c>
      <c r="AU55" s="13" t="n">
        <f aca="false">Produccion_Ventas!AU$27*Costos_Personal!AU$118+Produccion_Ventas!AU$48*Costos_Personal!AU$119+IF(Produccion_Ventas!AU$26*p_WG+Produccion_Ventas!AU$47*p_WC&gt;0,Costos_Personal!AU$146*(Produccion_Ventas!AU$27*p_WG+Produccion_Ventas!AU$48*p_WC)/(Produccion_Ventas!AU$26*p_WG+Produccion_Ventas!AU$47*p_WC),0)</f>
        <v>166477.023439485</v>
      </c>
      <c r="AV55" s="13" t="n">
        <f aca="false">Produccion_Ventas!AV$27*Costos_Personal!AV$118+Produccion_Ventas!AV$48*Costos_Personal!AV$119+IF(Produccion_Ventas!AV$26*p_WG+Produccion_Ventas!AV$47*p_WC&gt;0,Costos_Personal!AV$146*(Produccion_Ventas!AV$27*p_WG+Produccion_Ventas!AV$48*p_WC)/(Produccion_Ventas!AV$26*p_WG+Produccion_Ventas!AV$47*p_WC),0)</f>
        <v>166477.023439485</v>
      </c>
      <c r="AW55" s="13" t="n">
        <f aca="false">Produccion_Ventas!AW$27*Costos_Personal!AW$118+Produccion_Ventas!AW$48*Costos_Personal!AW$119+IF(Produccion_Ventas!AW$26*p_WG+Produccion_Ventas!AW$47*p_WC&gt;0,Costos_Personal!AW$146*(Produccion_Ventas!AW$27*p_WG+Produccion_Ventas!AW$48*p_WC)/(Produccion_Ventas!AW$26*p_WG+Produccion_Ventas!AW$47*p_WC),0)</f>
        <v>166477.023439485</v>
      </c>
      <c r="AX55" s="13" t="n">
        <f aca="false">Produccion_Ventas!AX$27*Costos_Personal!AX$118+Produccion_Ventas!AX$48*Costos_Personal!AX$119+IF(Produccion_Ventas!AX$26*p_WG+Produccion_Ventas!AX$47*p_WC&gt;0,Costos_Personal!AX$146*(Produccion_Ventas!AX$27*p_WG+Produccion_Ventas!AX$48*p_WC)/(Produccion_Ventas!AX$26*p_WG+Produccion_Ventas!AX$47*p_WC),0)</f>
        <v>166477.023439485</v>
      </c>
      <c r="AY55" s="13" t="n">
        <f aca="false">Produccion_Ventas!AY$27*Costos_Personal!AY$118+Produccion_Ventas!AY$48*Costos_Personal!AY$119+IF(Produccion_Ventas!AY$26*p_WG+Produccion_Ventas!AY$47*p_WC&gt;0,Costos_Personal!AY$146*(Produccion_Ventas!AY$27*p_WG+Produccion_Ventas!AY$48*p_WC)/(Produccion_Ventas!AY$26*p_WG+Produccion_Ventas!AY$47*p_WC),0)</f>
        <v>166477.023439485</v>
      </c>
      <c r="AZ55" s="13" t="n">
        <f aca="false">Produccion_Ventas!AZ$27*Costos_Personal!AZ$118+Produccion_Ventas!AZ$48*Costos_Personal!AZ$119+IF(Produccion_Ventas!AZ$26*p_WG+Produccion_Ventas!AZ$47*p_WC&gt;0,Costos_Personal!AZ$146*(Produccion_Ventas!AZ$27*p_WG+Produccion_Ventas!AZ$48*p_WC)/(Produccion_Ventas!AZ$26*p_WG+Produccion_Ventas!AZ$47*p_WC),0)</f>
        <v>166477.023439485</v>
      </c>
      <c r="BA55" s="13" t="n">
        <f aca="false">Produccion_Ventas!BA$27*Costos_Personal!BA$118+Produccion_Ventas!BA$48*Costos_Personal!BA$119+IF(Produccion_Ventas!BA$26*p_WG+Produccion_Ventas!BA$47*p_WC&gt;0,Costos_Personal!BA$146*(Produccion_Ventas!BA$27*p_WG+Produccion_Ventas!BA$48*p_WC)/(Produccion_Ventas!BA$26*p_WG+Produccion_Ventas!BA$47*p_WC),0)</f>
        <v>166477.023439485</v>
      </c>
      <c r="BB55" s="13" t="n">
        <f aca="false">Produccion_Ventas!BB$27*Costos_Personal!BB$118+Produccion_Ventas!BB$48*Costos_Personal!BB$119+IF(Produccion_Ventas!BB$26*p_WG+Produccion_Ventas!BB$47*p_WC&gt;0,Costos_Personal!BB$146*(Produccion_Ventas!BB$27*p_WG+Produccion_Ventas!BB$48*p_WC)/(Produccion_Ventas!BB$26*p_WG+Produccion_Ventas!BB$47*p_WC),0)</f>
        <v>166477.023439485</v>
      </c>
      <c r="BC55" s="13" t="n">
        <f aca="false">Produccion_Ventas!BC$27*Costos_Personal!BC$118+Produccion_Ventas!BC$48*Costos_Personal!BC$119+IF(Produccion_Ventas!BC$26*p_WG+Produccion_Ventas!BC$47*p_WC&gt;0,Costos_Personal!BC$146*(Produccion_Ventas!BC$27*p_WG+Produccion_Ventas!BC$48*p_WC)/(Produccion_Ventas!BC$26*p_WG+Produccion_Ventas!BC$47*p_WC),0)</f>
        <v>168121.576428446</v>
      </c>
      <c r="BD55" s="13" t="n">
        <f aca="false">Produccion_Ventas!BD$27*Costos_Personal!BD$118+Produccion_Ventas!BD$48*Costos_Personal!BD$119+IF(Produccion_Ventas!BD$26*p_WG+Produccion_Ventas!BD$47*p_WC&gt;0,Costos_Personal!BD$146*(Produccion_Ventas!BD$27*p_WG+Produccion_Ventas!BD$48*p_WC)/(Produccion_Ventas!BD$26*p_WG+Produccion_Ventas!BD$47*p_WC),0)</f>
        <v>168121.576428446</v>
      </c>
      <c r="BE55" s="13" t="n">
        <f aca="false">Produccion_Ventas!BE$27*Costos_Personal!BE$118+Produccion_Ventas!BE$48*Costos_Personal!BE$119+IF(Produccion_Ventas!BE$26*p_WG+Produccion_Ventas!BE$47*p_WC&gt;0,Costos_Personal!BE$146*(Produccion_Ventas!BE$27*p_WG+Produccion_Ventas!BE$48*p_WC)/(Produccion_Ventas!BE$26*p_WG+Produccion_Ventas!BE$47*p_WC),0)</f>
        <v>168121.576428446</v>
      </c>
      <c r="BF55" s="13" t="n">
        <f aca="false">Produccion_Ventas!BF$27*Costos_Personal!BF$118+Produccion_Ventas!BF$48*Costos_Personal!BF$119+IF(Produccion_Ventas!BF$26*p_WG+Produccion_Ventas!BF$47*p_WC&gt;0,Costos_Personal!BF$146*(Produccion_Ventas!BF$27*p_WG+Produccion_Ventas!BF$48*p_WC)/(Produccion_Ventas!BF$26*p_WG+Produccion_Ventas!BF$47*p_WC),0)</f>
        <v>168121.576428446</v>
      </c>
      <c r="BG55" s="13" t="n">
        <f aca="false">Produccion_Ventas!BG$27*Costos_Personal!BG$118+Produccion_Ventas!BG$48*Costos_Personal!BG$119+IF(Produccion_Ventas!BG$26*p_WG+Produccion_Ventas!BG$47*p_WC&gt;0,Costos_Personal!BG$146*(Produccion_Ventas!BG$27*p_WG+Produccion_Ventas!BG$48*p_WC)/(Produccion_Ventas!BG$26*p_WG+Produccion_Ventas!BG$47*p_WC),0)</f>
        <v>168121.576428446</v>
      </c>
      <c r="BH55" s="13" t="n">
        <f aca="false">Produccion_Ventas!BH$27*Costos_Personal!BH$118+Produccion_Ventas!BH$48*Costos_Personal!BH$119+IF(Produccion_Ventas!BH$26*p_WG+Produccion_Ventas!BH$47*p_WC&gt;0,Costos_Personal!BH$146*(Produccion_Ventas!BH$27*p_WG+Produccion_Ventas!BH$48*p_WC)/(Produccion_Ventas!BH$26*p_WG+Produccion_Ventas!BH$47*p_WC),0)</f>
        <v>168121.576428446</v>
      </c>
      <c r="BI55" s="13" t="n">
        <f aca="false">Produccion_Ventas!BI$27*Costos_Personal!BI$118+Produccion_Ventas!BI$48*Costos_Personal!BI$119+IF(Produccion_Ventas!BI$26*p_WG+Produccion_Ventas!BI$47*p_WC&gt;0,Costos_Personal!BI$146*(Produccion_Ventas!BI$27*p_WG+Produccion_Ventas!BI$48*p_WC)/(Produccion_Ventas!BI$26*p_WG+Produccion_Ventas!BI$47*p_WC),0)</f>
        <v>168121.576428446</v>
      </c>
      <c r="BJ55" s="13" t="n">
        <f aca="false">Produccion_Ventas!BJ$27*Costos_Personal!BJ$118+Produccion_Ventas!BJ$48*Costos_Personal!BJ$119+IF(Produccion_Ventas!BJ$26*p_WG+Produccion_Ventas!BJ$47*p_WC&gt;0,Costos_Personal!BJ$146*(Produccion_Ventas!BJ$27*p_WG+Produccion_Ventas!BJ$48*p_WC)/(Produccion_Ventas!BJ$26*p_WG+Produccion_Ventas!BJ$47*p_WC),0)</f>
        <v>168121.576428446</v>
      </c>
      <c r="BK55" s="13" t="n">
        <f aca="false">Produccion_Ventas!BK$27*Costos_Personal!BK$118+Produccion_Ventas!BK$48*Costos_Personal!BK$119+IF(Produccion_Ventas!BK$26*p_WG+Produccion_Ventas!BK$47*p_WC&gt;0,Costos_Personal!BK$146*(Produccion_Ventas!BK$27*p_WG+Produccion_Ventas!BK$48*p_WC)/(Produccion_Ventas!BK$26*p_WG+Produccion_Ventas!BK$47*p_WC),0)</f>
        <v>168121.576428446</v>
      </c>
      <c r="BL55" s="13" t="n">
        <f aca="false">Produccion_Ventas!BL$27*Costos_Personal!BL$118+Produccion_Ventas!BL$48*Costos_Personal!BL$119+IF(Produccion_Ventas!BL$26*p_WG+Produccion_Ventas!BL$47*p_WC&gt;0,Costos_Personal!BL$146*(Produccion_Ventas!BL$27*p_WG+Produccion_Ventas!BL$48*p_WC)/(Produccion_Ventas!BL$26*p_WG+Produccion_Ventas!BL$47*p_WC),0)</f>
        <v>168121.576428446</v>
      </c>
      <c r="BM55" s="13" t="n">
        <f aca="false">Produccion_Ventas!BM$27*Costos_Personal!BM$118+Produccion_Ventas!BM$48*Costos_Personal!BM$119+IF(Produccion_Ventas!BM$26*p_WG+Produccion_Ventas!BM$47*p_WC&gt;0,Costos_Personal!BM$146*(Produccion_Ventas!BM$27*p_WG+Produccion_Ventas!BM$48*p_WC)/(Produccion_Ventas!BM$26*p_WG+Produccion_Ventas!BM$47*p_WC),0)</f>
        <v>168121.576428446</v>
      </c>
      <c r="BN55" s="13" t="n">
        <f aca="false">Produccion_Ventas!BN$27*Costos_Personal!BN$118+Produccion_Ventas!BN$48*Costos_Personal!BN$119+IF(Produccion_Ventas!BN$26*p_WG+Produccion_Ventas!BN$47*p_WC&gt;0,Costos_Personal!BN$146*(Produccion_Ventas!BN$27*p_WG+Produccion_Ventas!BN$48*p_WC)/(Produccion_Ventas!BN$26*p_WG+Produccion_Ventas!BN$47*p_WC),0)</f>
        <v>168121.576428446</v>
      </c>
      <c r="BO55" s="13" t="n">
        <f aca="false">Produccion_Ventas!BO$27*Costos_Personal!BO$118+Produccion_Ventas!BO$48*Costos_Personal!BO$119+IF(Produccion_Ventas!BO$26*p_WG+Produccion_Ventas!BO$47*p_WC&gt;0,Costos_Personal!BO$146*(Produccion_Ventas!BO$27*p_WG+Produccion_Ventas!BO$48*p_WC)/(Produccion_Ventas!BO$26*p_WG+Produccion_Ventas!BO$47*p_WC),0)</f>
        <v>168916.125089563</v>
      </c>
      <c r="BP55" s="13" t="n">
        <f aca="false">Produccion_Ventas!BP$27*Costos_Personal!BP$118+Produccion_Ventas!BP$48*Costos_Personal!BP$119+IF(Produccion_Ventas!BP$26*p_WG+Produccion_Ventas!BP$47*p_WC&gt;0,Costos_Personal!BP$146*(Produccion_Ventas!BP$27*p_WG+Produccion_Ventas!BP$48*p_WC)/(Produccion_Ventas!BP$26*p_WG+Produccion_Ventas!BP$47*p_WC),0)</f>
        <v>168916.125089563</v>
      </c>
      <c r="BQ55" s="13" t="n">
        <f aca="false">Produccion_Ventas!BQ$27*Costos_Personal!BQ$118+Produccion_Ventas!BQ$48*Costos_Personal!BQ$119+IF(Produccion_Ventas!BQ$26*p_WG+Produccion_Ventas!BQ$47*p_WC&gt;0,Costos_Personal!BQ$146*(Produccion_Ventas!BQ$27*p_WG+Produccion_Ventas!BQ$48*p_WC)/(Produccion_Ventas!BQ$26*p_WG+Produccion_Ventas!BQ$47*p_WC),0)</f>
        <v>168916.125089563</v>
      </c>
      <c r="BR55" s="13" t="n">
        <f aca="false">Produccion_Ventas!BR$27*Costos_Personal!BR$118+Produccion_Ventas!BR$48*Costos_Personal!BR$119+IF(Produccion_Ventas!BR$26*p_WG+Produccion_Ventas!BR$47*p_WC&gt;0,Costos_Personal!BR$146*(Produccion_Ventas!BR$27*p_WG+Produccion_Ventas!BR$48*p_WC)/(Produccion_Ventas!BR$26*p_WG+Produccion_Ventas!BR$47*p_WC),0)</f>
        <v>168916.125089563</v>
      </c>
      <c r="BS55" s="13" t="n">
        <f aca="false">Produccion_Ventas!BS$27*Costos_Personal!BS$118+Produccion_Ventas!BS$48*Costos_Personal!BS$119+IF(Produccion_Ventas!BS$26*p_WG+Produccion_Ventas!BS$47*p_WC&gt;0,Costos_Personal!BS$146*(Produccion_Ventas!BS$27*p_WG+Produccion_Ventas!BS$48*p_WC)/(Produccion_Ventas!BS$26*p_WG+Produccion_Ventas!BS$47*p_WC),0)</f>
        <v>168916.125089563</v>
      </c>
      <c r="BT55" s="13" t="n">
        <f aca="false">Produccion_Ventas!BT$27*Costos_Personal!BT$118+Produccion_Ventas!BT$48*Costos_Personal!BT$119+IF(Produccion_Ventas!BT$26*p_WG+Produccion_Ventas!BT$47*p_WC&gt;0,Costos_Personal!BT$146*(Produccion_Ventas!BT$27*p_WG+Produccion_Ventas!BT$48*p_WC)/(Produccion_Ventas!BT$26*p_WG+Produccion_Ventas!BT$47*p_WC),0)</f>
        <v>168916.125089563</v>
      </c>
      <c r="BU55" s="13" t="n">
        <f aca="false">Produccion_Ventas!BU$27*Costos_Personal!BU$118+Produccion_Ventas!BU$48*Costos_Personal!BU$119+IF(Produccion_Ventas!BU$26*p_WG+Produccion_Ventas!BU$47*p_WC&gt;0,Costos_Personal!BU$146*(Produccion_Ventas!BU$27*p_WG+Produccion_Ventas!BU$48*p_WC)/(Produccion_Ventas!BU$26*p_WG+Produccion_Ventas!BU$47*p_WC),0)</f>
        <v>168916.125089563</v>
      </c>
      <c r="BV55" s="13" t="n">
        <f aca="false">Produccion_Ventas!BV$27*Costos_Personal!BV$118+Produccion_Ventas!BV$48*Costos_Personal!BV$119+IF(Produccion_Ventas!BV$26*p_WG+Produccion_Ventas!BV$47*p_WC&gt;0,Costos_Personal!BV$146*(Produccion_Ventas!BV$27*p_WG+Produccion_Ventas!BV$48*p_WC)/(Produccion_Ventas!BV$26*p_WG+Produccion_Ventas!BV$47*p_WC),0)</f>
        <v>168916.125089563</v>
      </c>
      <c r="BW55" s="13" t="n">
        <f aca="false">Produccion_Ventas!BW$27*Costos_Personal!BW$118+Produccion_Ventas!BW$48*Costos_Personal!BW$119+IF(Produccion_Ventas!BW$26*p_WG+Produccion_Ventas!BW$47*p_WC&gt;0,Costos_Personal!BW$146*(Produccion_Ventas!BW$27*p_WG+Produccion_Ventas!BW$48*p_WC)/(Produccion_Ventas!BW$26*p_WG+Produccion_Ventas!BW$47*p_WC),0)</f>
        <v>168916.125089563</v>
      </c>
      <c r="BX55" s="13" t="n">
        <f aca="false">Produccion_Ventas!BX$27*Costos_Personal!BX$118+Produccion_Ventas!BX$48*Costos_Personal!BX$119+IF(Produccion_Ventas!BX$26*p_WG+Produccion_Ventas!BX$47*p_WC&gt;0,Costos_Personal!BX$146*(Produccion_Ventas!BX$27*p_WG+Produccion_Ventas!BX$48*p_WC)/(Produccion_Ventas!BX$26*p_WG+Produccion_Ventas!BX$47*p_WC),0)</f>
        <v>168916.125089563</v>
      </c>
      <c r="BY55" s="13" t="n">
        <f aca="false">Produccion_Ventas!BY$27*Costos_Personal!BY$118+Produccion_Ventas!BY$48*Costos_Personal!BY$119+IF(Produccion_Ventas!BY$26*p_WG+Produccion_Ventas!BY$47*p_WC&gt;0,Costos_Personal!BY$146*(Produccion_Ventas!BY$27*p_WG+Produccion_Ventas!BY$48*p_WC)/(Produccion_Ventas!BY$26*p_WG+Produccion_Ventas!BY$47*p_WC),0)</f>
        <v>168916.125089563</v>
      </c>
      <c r="BZ55" s="13" t="n">
        <f aca="false">Produccion_Ventas!BZ$27*Costos_Personal!BZ$118+Produccion_Ventas!BZ$48*Costos_Personal!BZ$119+IF(Produccion_Ventas!BZ$26*p_WG+Produccion_Ventas!BZ$47*p_WC&gt;0,Costos_Personal!BZ$146*(Produccion_Ventas!BZ$27*p_WG+Produccion_Ventas!BZ$48*p_WC)/(Produccion_Ventas!BZ$26*p_WG+Produccion_Ventas!BZ$47*p_WC),0)</f>
        <v>168916.125089563</v>
      </c>
      <c r="CA55" s="13" t="n">
        <f aca="false">Produccion_Ventas!CA$27*Costos_Personal!CA$118+Produccion_Ventas!CA$48*Costos_Personal!CA$119+IF(Produccion_Ventas!CA$26*p_WG+Produccion_Ventas!CA$47*p_WC&gt;0,Costos_Personal!CA$146*(Produccion_Ventas!CA$27*p_WG+Produccion_Ventas!CA$48*p_WC)/(Produccion_Ventas!CA$26*p_WG+Produccion_Ventas!CA$47*p_WC),0)</f>
        <v>169718.456453729</v>
      </c>
      <c r="CB55" s="13" t="n">
        <f aca="false">Produccion_Ventas!CB$27*Costos_Personal!CB$118+Produccion_Ventas!CB$48*Costos_Personal!CB$119+IF(Produccion_Ventas!CB$26*p_WG+Produccion_Ventas!CB$47*p_WC&gt;0,Costos_Personal!CB$146*(Produccion_Ventas!CB$27*p_WG+Produccion_Ventas!CB$48*p_WC)/(Produccion_Ventas!CB$26*p_WG+Produccion_Ventas!CB$47*p_WC),0)</f>
        <v>169718.456453729</v>
      </c>
      <c r="CC55" s="13" t="n">
        <f aca="false">Produccion_Ventas!CC$27*Costos_Personal!CC$118+Produccion_Ventas!CC$48*Costos_Personal!CC$119+IF(Produccion_Ventas!CC$26*p_WG+Produccion_Ventas!CC$47*p_WC&gt;0,Costos_Personal!CC$146*(Produccion_Ventas!CC$27*p_WG+Produccion_Ventas!CC$48*p_WC)/(Produccion_Ventas!CC$26*p_WG+Produccion_Ventas!CC$47*p_WC),0)</f>
        <v>169718.456453729</v>
      </c>
      <c r="CD55" s="13" t="n">
        <f aca="false">Produccion_Ventas!CD$27*Costos_Personal!CD$118+Produccion_Ventas!CD$48*Costos_Personal!CD$119+IF(Produccion_Ventas!CD$26*p_WG+Produccion_Ventas!CD$47*p_WC&gt;0,Costos_Personal!CD$146*(Produccion_Ventas!CD$27*p_WG+Produccion_Ventas!CD$48*p_WC)/(Produccion_Ventas!CD$26*p_WG+Produccion_Ventas!CD$47*p_WC),0)</f>
        <v>169718.456453729</v>
      </c>
      <c r="CE55" s="13" t="n">
        <f aca="false">Produccion_Ventas!CE$27*Costos_Personal!CE$118+Produccion_Ventas!CE$48*Costos_Personal!CE$119+IF(Produccion_Ventas!CE$26*p_WG+Produccion_Ventas!CE$47*p_WC&gt;0,Costos_Personal!CE$146*(Produccion_Ventas!CE$27*p_WG+Produccion_Ventas!CE$48*p_WC)/(Produccion_Ventas!CE$26*p_WG+Produccion_Ventas!CE$47*p_WC),0)</f>
        <v>169718.456453729</v>
      </c>
      <c r="CF55" s="13" t="n">
        <f aca="false">Produccion_Ventas!CF$27*Costos_Personal!CF$118+Produccion_Ventas!CF$48*Costos_Personal!CF$119+IF(Produccion_Ventas!CF$26*p_WG+Produccion_Ventas!CF$47*p_WC&gt;0,Costos_Personal!CF$146*(Produccion_Ventas!CF$27*p_WG+Produccion_Ventas!CF$48*p_WC)/(Produccion_Ventas!CF$26*p_WG+Produccion_Ventas!CF$47*p_WC),0)</f>
        <v>169718.456453729</v>
      </c>
      <c r="CG55" s="13" t="n">
        <f aca="false">Produccion_Ventas!CG$27*Costos_Personal!CG$118+Produccion_Ventas!CG$48*Costos_Personal!CG$119+IF(Produccion_Ventas!CG$26*p_WG+Produccion_Ventas!CG$47*p_WC&gt;0,Costos_Personal!CG$146*(Produccion_Ventas!CG$27*p_WG+Produccion_Ventas!CG$48*p_WC)/(Produccion_Ventas!CG$26*p_WG+Produccion_Ventas!CG$47*p_WC),0)</f>
        <v>169718.456453729</v>
      </c>
      <c r="CH55" s="13" t="n">
        <f aca="false">Produccion_Ventas!CH$27*Costos_Personal!CH$118+Produccion_Ventas!CH$48*Costos_Personal!CH$119+IF(Produccion_Ventas!CH$26*p_WG+Produccion_Ventas!CH$47*p_WC&gt;0,Costos_Personal!CH$146*(Produccion_Ventas!CH$27*p_WG+Produccion_Ventas!CH$48*p_WC)/(Produccion_Ventas!CH$26*p_WG+Produccion_Ventas!CH$47*p_WC),0)</f>
        <v>169718.456453729</v>
      </c>
      <c r="CI55" s="13" t="n">
        <f aca="false">Produccion_Ventas!CI$27*Costos_Personal!CI$118+Produccion_Ventas!CI$48*Costos_Personal!CI$119+IF(Produccion_Ventas!CI$26*p_WG+Produccion_Ventas!CI$47*p_WC&gt;0,Costos_Personal!CI$146*(Produccion_Ventas!CI$27*p_WG+Produccion_Ventas!CI$48*p_WC)/(Produccion_Ventas!CI$26*p_WG+Produccion_Ventas!CI$47*p_WC),0)</f>
        <v>169718.456453729</v>
      </c>
      <c r="CJ55" s="13" t="n">
        <f aca="false">Produccion_Ventas!CJ$27*Costos_Personal!CJ$118+Produccion_Ventas!CJ$48*Costos_Personal!CJ$119+IF(Produccion_Ventas!CJ$26*p_WG+Produccion_Ventas!CJ$47*p_WC&gt;0,Costos_Personal!CJ$146*(Produccion_Ventas!CJ$27*p_WG+Produccion_Ventas!CJ$48*p_WC)/(Produccion_Ventas!CJ$26*p_WG+Produccion_Ventas!CJ$47*p_WC),0)</f>
        <v>169718.456453729</v>
      </c>
      <c r="CK55" s="13" t="n">
        <f aca="false">Produccion_Ventas!CK$27*Costos_Personal!CK$118+Produccion_Ventas!CK$48*Costos_Personal!CK$119+IF(Produccion_Ventas!CK$26*p_WG+Produccion_Ventas!CK$47*p_WC&gt;0,Costos_Personal!CK$146*(Produccion_Ventas!CK$27*p_WG+Produccion_Ventas!CK$48*p_WC)/(Produccion_Ventas!CK$26*p_WG+Produccion_Ventas!CK$47*p_WC),0)</f>
        <v>169718.456453729</v>
      </c>
      <c r="CL55" s="13" t="n">
        <f aca="false">Produccion_Ventas!CL$27*Costos_Personal!CL$118+Produccion_Ventas!CL$48*Costos_Personal!CL$119+IF(Produccion_Ventas!CL$26*p_WG+Produccion_Ventas!CL$47*p_WC&gt;0,Costos_Personal!CL$146*(Produccion_Ventas!CL$27*p_WG+Produccion_Ventas!CL$48*p_WC)/(Produccion_Ventas!CL$26*p_WG+Produccion_Ventas!CL$47*p_WC),0)</f>
        <v>169718.456453729</v>
      </c>
      <c r="CM55" s="13" t="n">
        <f aca="false">Produccion_Ventas!CM$27*Costos_Personal!CM$118+Produccion_Ventas!CM$48*Costos_Personal!CM$119+IF(Produccion_Ventas!CM$26*p_WG+Produccion_Ventas!CM$47*p_WC&gt;0,Costos_Personal!CM$146*(Produccion_Ventas!CM$27*p_WG+Produccion_Ventas!CM$48*p_WC)/(Produccion_Ventas!CM$26*p_WG+Produccion_Ventas!CM$47*p_WC),0)</f>
        <v>170528.648347974</v>
      </c>
      <c r="CN55" s="13" t="n">
        <f aca="false">Produccion_Ventas!CN$27*Costos_Personal!CN$118+Produccion_Ventas!CN$48*Costos_Personal!CN$119+IF(Produccion_Ventas!CN$26*p_WG+Produccion_Ventas!CN$47*p_WC&gt;0,Costos_Personal!CN$146*(Produccion_Ventas!CN$27*p_WG+Produccion_Ventas!CN$48*p_WC)/(Produccion_Ventas!CN$26*p_WG+Produccion_Ventas!CN$47*p_WC),0)</f>
        <v>170528.648347974</v>
      </c>
      <c r="CO55" s="13" t="n">
        <f aca="false">Produccion_Ventas!CO$27*Costos_Personal!CO$118+Produccion_Ventas!CO$48*Costos_Personal!CO$119+IF(Produccion_Ventas!CO$26*p_WG+Produccion_Ventas!CO$47*p_WC&gt;0,Costos_Personal!CO$146*(Produccion_Ventas!CO$27*p_WG+Produccion_Ventas!CO$48*p_WC)/(Produccion_Ventas!CO$26*p_WG+Produccion_Ventas!CO$47*p_WC),0)</f>
        <v>170528.648347974</v>
      </c>
      <c r="CP55" s="13" t="n">
        <f aca="false">Produccion_Ventas!CP$27*Costos_Personal!CP$118+Produccion_Ventas!CP$48*Costos_Personal!CP$119+IF(Produccion_Ventas!CP$26*p_WG+Produccion_Ventas!CP$47*p_WC&gt;0,Costos_Personal!CP$146*(Produccion_Ventas!CP$27*p_WG+Produccion_Ventas!CP$48*p_WC)/(Produccion_Ventas!CP$26*p_WG+Produccion_Ventas!CP$47*p_WC),0)</f>
        <v>170528.648347974</v>
      </c>
      <c r="CQ55" s="13" t="n">
        <f aca="false">Produccion_Ventas!CQ$27*Costos_Personal!CQ$118+Produccion_Ventas!CQ$48*Costos_Personal!CQ$119+IF(Produccion_Ventas!CQ$26*p_WG+Produccion_Ventas!CQ$47*p_WC&gt;0,Costos_Personal!CQ$146*(Produccion_Ventas!CQ$27*p_WG+Produccion_Ventas!CQ$48*p_WC)/(Produccion_Ventas!CQ$26*p_WG+Produccion_Ventas!CQ$47*p_WC),0)</f>
        <v>170528.648347974</v>
      </c>
      <c r="CR55" s="13" t="n">
        <f aca="false">Produccion_Ventas!CR$27*Costos_Personal!CR$118+Produccion_Ventas!CR$48*Costos_Personal!CR$119+IF(Produccion_Ventas!CR$26*p_WG+Produccion_Ventas!CR$47*p_WC&gt;0,Costos_Personal!CR$146*(Produccion_Ventas!CR$27*p_WG+Produccion_Ventas!CR$48*p_WC)/(Produccion_Ventas!CR$26*p_WG+Produccion_Ventas!CR$47*p_WC),0)</f>
        <v>170528.648347974</v>
      </c>
      <c r="CS55" s="13" t="n">
        <f aca="false">Produccion_Ventas!CS$27*Costos_Personal!CS$118+Produccion_Ventas!CS$48*Costos_Personal!CS$119+IF(Produccion_Ventas!CS$26*p_WG+Produccion_Ventas!CS$47*p_WC&gt;0,Costos_Personal!CS$146*(Produccion_Ventas!CS$27*p_WG+Produccion_Ventas!CS$48*p_WC)/(Produccion_Ventas!CS$26*p_WG+Produccion_Ventas!CS$47*p_WC),0)</f>
        <v>170528.648347974</v>
      </c>
      <c r="CT55" s="13" t="n">
        <f aca="false">Produccion_Ventas!CT$27*Costos_Personal!CT$118+Produccion_Ventas!CT$48*Costos_Personal!CT$119+IF(Produccion_Ventas!CT$26*p_WG+Produccion_Ventas!CT$47*p_WC&gt;0,Costos_Personal!CT$146*(Produccion_Ventas!CT$27*p_WG+Produccion_Ventas!CT$48*p_WC)/(Produccion_Ventas!CT$26*p_WG+Produccion_Ventas!CT$47*p_WC),0)</f>
        <v>170528.648347974</v>
      </c>
      <c r="CU55" s="13" t="n">
        <f aca="false">Produccion_Ventas!CU$27*Costos_Personal!CU$118+Produccion_Ventas!CU$48*Costos_Personal!CU$119+IF(Produccion_Ventas!CU$26*p_WG+Produccion_Ventas!CU$47*p_WC&gt;0,Costos_Personal!CU$146*(Produccion_Ventas!CU$27*p_WG+Produccion_Ventas!CU$48*p_WC)/(Produccion_Ventas!CU$26*p_WG+Produccion_Ventas!CU$47*p_WC),0)</f>
        <v>170528.648347974</v>
      </c>
      <c r="CV55" s="13" t="n">
        <f aca="false">Produccion_Ventas!CV$27*Costos_Personal!CV$118+Produccion_Ventas!CV$48*Costos_Personal!CV$119+IF(Produccion_Ventas!CV$26*p_WG+Produccion_Ventas!CV$47*p_WC&gt;0,Costos_Personal!CV$146*(Produccion_Ventas!CV$27*p_WG+Produccion_Ventas!CV$48*p_WC)/(Produccion_Ventas!CV$26*p_WG+Produccion_Ventas!CV$47*p_WC),0)</f>
        <v>170528.648347974</v>
      </c>
      <c r="CW55" s="13" t="n">
        <f aca="false">Produccion_Ventas!CW$27*Costos_Personal!CW$118+Produccion_Ventas!CW$48*Costos_Personal!CW$119+IF(Produccion_Ventas!CW$26*p_WG+Produccion_Ventas!CW$47*p_WC&gt;0,Costos_Personal!CW$146*(Produccion_Ventas!CW$27*p_WG+Produccion_Ventas!CW$48*p_WC)/(Produccion_Ventas!CW$26*p_WG+Produccion_Ventas!CW$47*p_WC),0)</f>
        <v>170528.648347974</v>
      </c>
      <c r="CX55" s="13" t="n">
        <f aca="false">Produccion_Ventas!CX$27*Costos_Personal!CX$118+Produccion_Ventas!CX$48*Costos_Personal!CX$119+IF(Produccion_Ventas!CX$26*p_WG+Produccion_Ventas!CX$47*p_WC&gt;0,Costos_Personal!CX$146*(Produccion_Ventas!CX$27*p_WG+Produccion_Ventas!CX$48*p_WC)/(Produccion_Ventas!CX$26*p_WG+Produccion_Ventas!CX$47*p_WC),0)</f>
        <v>170528.648347974</v>
      </c>
      <c r="CY55" s="13" t="n">
        <f aca="false">Produccion_Ventas!CY$27*Costos_Personal!CY$118+Produccion_Ventas!CY$48*Costos_Personal!CY$119+IF(Produccion_Ventas!CY$26*p_WG+Produccion_Ventas!CY$47*p_WC&gt;0,Costos_Personal!CY$146*(Produccion_Ventas!CY$27*p_WG+Produccion_Ventas!CY$48*p_WC)/(Produccion_Ventas!CY$26*p_WG+Produccion_Ventas!CY$47*p_WC),0)</f>
        <v>171346.779377601</v>
      </c>
      <c r="CZ55" s="13" t="n">
        <f aca="false">Produccion_Ventas!CZ$27*Costos_Personal!CZ$118+Produccion_Ventas!CZ$48*Costos_Personal!CZ$119+IF(Produccion_Ventas!CZ$26*p_WG+Produccion_Ventas!CZ$47*p_WC&gt;0,Costos_Personal!CZ$146*(Produccion_Ventas!CZ$27*p_WG+Produccion_Ventas!CZ$48*p_WC)/(Produccion_Ventas!CZ$26*p_WG+Produccion_Ventas!CZ$47*p_WC),0)</f>
        <v>171346.779377601</v>
      </c>
      <c r="DA55" s="13" t="n">
        <f aca="false">Produccion_Ventas!DA$27*Costos_Personal!DA$118+Produccion_Ventas!DA$48*Costos_Personal!DA$119+IF(Produccion_Ventas!DA$26*p_WG+Produccion_Ventas!DA$47*p_WC&gt;0,Costos_Personal!DA$146*(Produccion_Ventas!DA$27*p_WG+Produccion_Ventas!DA$48*p_WC)/(Produccion_Ventas!DA$26*p_WG+Produccion_Ventas!DA$47*p_WC),0)</f>
        <v>171346.779377601</v>
      </c>
      <c r="DB55" s="13" t="n">
        <f aca="false">Produccion_Ventas!DB$27*Costos_Personal!DB$118+Produccion_Ventas!DB$48*Costos_Personal!DB$119+IF(Produccion_Ventas!DB$26*p_WG+Produccion_Ventas!DB$47*p_WC&gt;0,Costos_Personal!DB$146*(Produccion_Ventas!DB$27*p_WG+Produccion_Ventas!DB$48*p_WC)/(Produccion_Ventas!DB$26*p_WG+Produccion_Ventas!DB$47*p_WC),0)</f>
        <v>171346.779377601</v>
      </c>
      <c r="DC55" s="13" t="n">
        <f aca="false">Produccion_Ventas!DC$27*Costos_Personal!DC$118+Produccion_Ventas!DC$48*Costos_Personal!DC$119+IF(Produccion_Ventas!DC$26*p_WG+Produccion_Ventas!DC$47*p_WC&gt;0,Costos_Personal!DC$146*(Produccion_Ventas!DC$27*p_WG+Produccion_Ventas!DC$48*p_WC)/(Produccion_Ventas!DC$26*p_WG+Produccion_Ventas!DC$47*p_WC),0)</f>
        <v>171346.779377601</v>
      </c>
      <c r="DD55" s="13" t="n">
        <f aca="false">Produccion_Ventas!DD$27*Costos_Personal!DD$118+Produccion_Ventas!DD$48*Costos_Personal!DD$119+IF(Produccion_Ventas!DD$26*p_WG+Produccion_Ventas!DD$47*p_WC&gt;0,Costos_Personal!DD$146*(Produccion_Ventas!DD$27*p_WG+Produccion_Ventas!DD$48*p_WC)/(Produccion_Ventas!DD$26*p_WG+Produccion_Ventas!DD$47*p_WC),0)</f>
        <v>171346.779377601</v>
      </c>
      <c r="DE55" s="13" t="n">
        <f aca="false">Produccion_Ventas!DE$27*Costos_Personal!DE$118+Produccion_Ventas!DE$48*Costos_Personal!DE$119+IF(Produccion_Ventas!DE$26*p_WG+Produccion_Ventas!DE$47*p_WC&gt;0,Costos_Personal!DE$146*(Produccion_Ventas!DE$27*p_WG+Produccion_Ventas!DE$48*p_WC)/(Produccion_Ventas!DE$26*p_WG+Produccion_Ventas!DE$47*p_WC),0)</f>
        <v>171346.779377601</v>
      </c>
      <c r="DF55" s="13" t="n">
        <f aca="false">Produccion_Ventas!DF$27*Costos_Personal!DF$118+Produccion_Ventas!DF$48*Costos_Personal!DF$119+IF(Produccion_Ventas!DF$26*p_WG+Produccion_Ventas!DF$47*p_WC&gt;0,Costos_Personal!DF$146*(Produccion_Ventas!DF$27*p_WG+Produccion_Ventas!DF$48*p_WC)/(Produccion_Ventas!DF$26*p_WG+Produccion_Ventas!DF$47*p_WC),0)</f>
        <v>171346.779377601</v>
      </c>
      <c r="DG55" s="13" t="n">
        <f aca="false">Produccion_Ventas!DG$27*Costos_Personal!DG$118+Produccion_Ventas!DG$48*Costos_Personal!DG$119+IF(Produccion_Ventas!DG$26*p_WG+Produccion_Ventas!DG$47*p_WC&gt;0,Costos_Personal!DG$146*(Produccion_Ventas!DG$27*p_WG+Produccion_Ventas!DG$48*p_WC)/(Produccion_Ventas!DG$26*p_WG+Produccion_Ventas!DG$47*p_WC),0)</f>
        <v>171346.779377601</v>
      </c>
      <c r="DH55" s="13" t="n">
        <f aca="false">Produccion_Ventas!DH$27*Costos_Personal!DH$118+Produccion_Ventas!DH$48*Costos_Personal!DH$119+IF(Produccion_Ventas!DH$26*p_WG+Produccion_Ventas!DH$47*p_WC&gt;0,Costos_Personal!DH$146*(Produccion_Ventas!DH$27*p_WG+Produccion_Ventas!DH$48*p_WC)/(Produccion_Ventas!DH$26*p_WG+Produccion_Ventas!DH$47*p_WC),0)</f>
        <v>171346.779377601</v>
      </c>
      <c r="DI55" s="13" t="n">
        <f aca="false">Produccion_Ventas!DI$27*Costos_Personal!DI$118+Produccion_Ventas!DI$48*Costos_Personal!DI$119+IF(Produccion_Ventas!DI$26*p_WG+Produccion_Ventas!DI$47*p_WC&gt;0,Costos_Personal!DI$146*(Produccion_Ventas!DI$27*p_WG+Produccion_Ventas!DI$48*p_WC)/(Produccion_Ventas!DI$26*p_WG+Produccion_Ventas!DI$47*p_WC),0)</f>
        <v>171346.779377601</v>
      </c>
      <c r="DJ55" s="13" t="n">
        <f aca="false">Produccion_Ventas!DJ$27*Costos_Personal!DJ$118+Produccion_Ventas!DJ$48*Costos_Personal!DJ$119+IF(Produccion_Ventas!DJ$26*p_WG+Produccion_Ventas!DJ$47*p_WC&gt;0,Costos_Personal!DJ$146*(Produccion_Ventas!DJ$27*p_WG+Produccion_Ventas!DJ$48*p_WC)/(Produccion_Ventas!DJ$26*p_WG+Produccion_Ventas!DJ$47*p_WC),0)</f>
        <v>171346.779377601</v>
      </c>
      <c r="DK55" s="13" t="n">
        <f aca="false">Produccion_Ventas!DK$27*Costos_Personal!DK$118+Produccion_Ventas!DK$48*Costos_Personal!DK$119+IF(Produccion_Ventas!DK$26*p_WG+Produccion_Ventas!DK$47*p_WC&gt;0,Costos_Personal!DK$146*(Produccion_Ventas!DK$27*p_WG+Produccion_Ventas!DK$48*p_WC)/(Produccion_Ventas!DK$26*p_WG+Produccion_Ventas!DK$47*p_WC),0)</f>
        <v>172172.928933962</v>
      </c>
      <c r="DL55" s="13" t="n">
        <f aca="false">Produccion_Ventas!DL$27*Costos_Personal!DL$118+Produccion_Ventas!DL$48*Costos_Personal!DL$119+IF(Produccion_Ventas!DL$26*p_WG+Produccion_Ventas!DL$47*p_WC&gt;0,Costos_Personal!DL$146*(Produccion_Ventas!DL$27*p_WG+Produccion_Ventas!DL$48*p_WC)/(Produccion_Ventas!DL$26*p_WG+Produccion_Ventas!DL$47*p_WC),0)</f>
        <v>172172.928933962</v>
      </c>
      <c r="DM55" s="13" t="n">
        <f aca="false">Produccion_Ventas!DM$27*Costos_Personal!DM$118+Produccion_Ventas!DM$48*Costos_Personal!DM$119+IF(Produccion_Ventas!DM$26*p_WG+Produccion_Ventas!DM$47*p_WC&gt;0,Costos_Personal!DM$146*(Produccion_Ventas!DM$27*p_WG+Produccion_Ventas!DM$48*p_WC)/(Produccion_Ventas!DM$26*p_WG+Produccion_Ventas!DM$47*p_WC),0)</f>
        <v>172172.928933962</v>
      </c>
      <c r="DN55" s="13" t="n">
        <f aca="false">Produccion_Ventas!DN$27*Costos_Personal!DN$118+Produccion_Ventas!DN$48*Costos_Personal!DN$119+IF(Produccion_Ventas!DN$26*p_WG+Produccion_Ventas!DN$47*p_WC&gt;0,Costos_Personal!DN$146*(Produccion_Ventas!DN$27*p_WG+Produccion_Ventas!DN$48*p_WC)/(Produccion_Ventas!DN$26*p_WG+Produccion_Ventas!DN$47*p_WC),0)</f>
        <v>172172.928933962</v>
      </c>
      <c r="DO55" s="13" t="n">
        <f aca="false">Produccion_Ventas!DO$27*Costos_Personal!DO$118+Produccion_Ventas!DO$48*Costos_Personal!DO$119+IF(Produccion_Ventas!DO$26*p_WG+Produccion_Ventas!DO$47*p_WC&gt;0,Costos_Personal!DO$146*(Produccion_Ventas!DO$27*p_WG+Produccion_Ventas!DO$48*p_WC)/(Produccion_Ventas!DO$26*p_WG+Produccion_Ventas!DO$47*p_WC),0)</f>
        <v>172172.928933962</v>
      </c>
      <c r="DP55" s="13" t="n">
        <f aca="false">Produccion_Ventas!DP$27*Costos_Personal!DP$118+Produccion_Ventas!DP$48*Costos_Personal!DP$119+IF(Produccion_Ventas!DP$26*p_WG+Produccion_Ventas!DP$47*p_WC&gt;0,Costos_Personal!DP$146*(Produccion_Ventas!DP$27*p_WG+Produccion_Ventas!DP$48*p_WC)/(Produccion_Ventas!DP$26*p_WG+Produccion_Ventas!DP$47*p_WC),0)</f>
        <v>172172.928933962</v>
      </c>
      <c r="DQ55" s="13" t="n">
        <f aca="false">Produccion_Ventas!DQ$27*Costos_Personal!DQ$118+Produccion_Ventas!DQ$48*Costos_Personal!DQ$119+IF(Produccion_Ventas!DQ$26*p_WG+Produccion_Ventas!DQ$47*p_WC&gt;0,Costos_Personal!DQ$146*(Produccion_Ventas!DQ$27*p_WG+Produccion_Ventas!DQ$48*p_WC)/(Produccion_Ventas!DQ$26*p_WG+Produccion_Ventas!DQ$47*p_WC),0)</f>
        <v>172172.928933962</v>
      </c>
      <c r="DR55" s="13" t="n">
        <f aca="false">Produccion_Ventas!DR$27*Costos_Personal!DR$118+Produccion_Ventas!DR$48*Costos_Personal!DR$119+IF(Produccion_Ventas!DR$26*p_WG+Produccion_Ventas!DR$47*p_WC&gt;0,Costos_Personal!DR$146*(Produccion_Ventas!DR$27*p_WG+Produccion_Ventas!DR$48*p_WC)/(Produccion_Ventas!DR$26*p_WG+Produccion_Ventas!DR$47*p_WC),0)</f>
        <v>172172.928933962</v>
      </c>
      <c r="DS55" s="13" t="n">
        <f aca="false">Produccion_Ventas!DS$27*Costos_Personal!DS$118+Produccion_Ventas!DS$48*Costos_Personal!DS$119+IF(Produccion_Ventas!DS$26*p_WG+Produccion_Ventas!DS$47*p_WC&gt;0,Costos_Personal!DS$146*(Produccion_Ventas!DS$27*p_WG+Produccion_Ventas!DS$48*p_WC)/(Produccion_Ventas!DS$26*p_WG+Produccion_Ventas!DS$47*p_WC),0)</f>
        <v>172172.928933962</v>
      </c>
      <c r="DT55" s="13" t="n">
        <f aca="false">Produccion_Ventas!DT$27*Costos_Personal!DT$118+Produccion_Ventas!DT$48*Costos_Personal!DT$119+IF(Produccion_Ventas!DT$26*p_WG+Produccion_Ventas!DT$47*p_WC&gt;0,Costos_Personal!DT$146*(Produccion_Ventas!DT$27*p_WG+Produccion_Ventas!DT$48*p_WC)/(Produccion_Ventas!DT$26*p_WG+Produccion_Ventas!DT$47*p_WC),0)</f>
        <v>172172.928933962</v>
      </c>
      <c r="DU55" s="13" t="n">
        <f aca="false">Produccion_Ventas!DU$27*Costos_Personal!DU$118+Produccion_Ventas!DU$48*Costos_Personal!DU$119+IF(Produccion_Ventas!DU$26*p_WG+Produccion_Ventas!DU$47*p_WC&gt;0,Costos_Personal!DU$146*(Produccion_Ventas!DU$27*p_WG+Produccion_Ventas!DU$48*p_WC)/(Produccion_Ventas!DU$26*p_WG+Produccion_Ventas!DU$47*p_WC),0)</f>
        <v>172172.928933962</v>
      </c>
      <c r="DV55" s="13" t="n">
        <f aca="false">Produccion_Ventas!DV$27*Costos_Personal!DV$118+Produccion_Ventas!DV$48*Costos_Personal!DV$119+IF(Produccion_Ventas!DV$26*p_WG+Produccion_Ventas!DV$47*p_WC&gt;0,Costos_Personal!DV$146*(Produccion_Ventas!DV$27*p_WG+Produccion_Ventas!DV$48*p_WC)/(Produccion_Ventas!DV$26*p_WG+Produccion_Ventas!DV$47*p_WC),0)</f>
        <v>0</v>
      </c>
      <c r="DW55" s="13" t="n">
        <f aca="false">Produccion_Ventas!DW$27*Costos_Personal!DW$118+Produccion_Ventas!DW$48*Costos_Personal!DW$119+IF(Produccion_Ventas!DW$26*p_WG+Produccion_Ventas!DW$47*p_WC&gt;0,Costos_Personal!DW$146*(Produccion_Ventas!DW$27*p_WG+Produccion_Ventas!DW$48*p_WC)/(Produccion_Ventas!DW$26*p_WG+Produccion_Ventas!DW$47*p_WC),0)</f>
        <v>0</v>
      </c>
      <c r="DX55" s="13" t="n">
        <f aca="false">Produccion_Ventas!DX$27*Costos_Personal!DX$118+Produccion_Ventas!DX$48*Costos_Personal!DX$119+IF(Produccion_Ventas!DX$26*p_WG+Produccion_Ventas!DX$47*p_WC&gt;0,Costos_Personal!DX$146*(Produccion_Ventas!DX$27*p_WG+Produccion_Ventas!DX$48*p_WC)/(Produccion_Ventas!DX$26*p_WG+Produccion_Ventas!DX$47*p_WC),0)</f>
        <v>0</v>
      </c>
      <c r="DY55" s="13" t="n">
        <f aca="false">Produccion_Ventas!DY$27*Costos_Personal!DY$118+Produccion_Ventas!DY$48*Costos_Personal!DY$119+IF(Produccion_Ventas!DY$26*p_WG+Produccion_Ventas!DY$47*p_WC&gt;0,Costos_Personal!DY$146*(Produccion_Ventas!DY$27*p_WG+Produccion_Ventas!DY$48*p_WC)/(Produccion_Ventas!DY$26*p_WG+Produccion_Ventas!DY$47*p_WC),0)</f>
        <v>0</v>
      </c>
      <c r="DZ55" s="13" t="n">
        <f aca="false">Produccion_Ventas!DZ$27*Costos_Personal!DZ$118+Produccion_Ventas!DZ$48*Costos_Personal!DZ$119+IF(Produccion_Ventas!DZ$26*p_WG+Produccion_Ventas!DZ$47*p_WC&gt;0,Costos_Personal!DZ$146*(Produccion_Ventas!DZ$27*p_WG+Produccion_Ventas!DZ$48*p_WC)/(Produccion_Ventas!DZ$26*p_WG+Produccion_Ventas!DZ$47*p_WC),0)</f>
        <v>0</v>
      </c>
      <c r="EA55" s="13" t="n">
        <f aca="false">Produccion_Ventas!EA$27*Costos_Personal!EA$118+Produccion_Ventas!EA$48*Costos_Personal!EA$119+IF(Produccion_Ventas!EA$26*p_WG+Produccion_Ventas!EA$47*p_WC&gt;0,Costos_Personal!EA$146*(Produccion_Ventas!EA$27*p_WG+Produccion_Ventas!EA$48*p_WC)/(Produccion_Ventas!EA$26*p_WG+Produccion_Ventas!EA$47*p_WC),0)</f>
        <v>0</v>
      </c>
      <c r="EB55" s="13" t="n">
        <f aca="false">Produccion_Ventas!EB$27*Costos_Personal!EB$118+Produccion_Ventas!EB$48*Costos_Personal!EB$119+IF(Produccion_Ventas!EB$26*p_WG+Produccion_Ventas!EB$47*p_WC&gt;0,Costos_Personal!EB$146*(Produccion_Ventas!EB$27*p_WG+Produccion_Ventas!EB$48*p_WC)/(Produccion_Ventas!EB$26*p_WG+Produccion_Ventas!EB$47*p_WC),0)</f>
        <v>0</v>
      </c>
      <c r="EC55" s="13" t="n">
        <f aca="false">Produccion_Ventas!EC$27*Costos_Personal!EC$118+Produccion_Ventas!EC$48*Costos_Personal!EC$119+IF(Produccion_Ventas!EC$26*p_WG+Produccion_Ventas!EC$47*p_WC&gt;0,Costos_Personal!EC$146*(Produccion_Ventas!EC$27*p_WG+Produccion_Ventas!EC$48*p_WC)/(Produccion_Ventas!EC$26*p_WG+Produccion_Ventas!EC$47*p_WC),0)</f>
        <v>0</v>
      </c>
      <c r="ED55" s="13" t="n">
        <f aca="false">Produccion_Ventas!ED$27*Costos_Personal!ED$118+Produccion_Ventas!ED$48*Costos_Personal!ED$119+IF(Produccion_Ventas!ED$26*p_WG+Produccion_Ventas!ED$47*p_WC&gt;0,Costos_Personal!ED$146*(Produccion_Ventas!ED$27*p_WG+Produccion_Ventas!ED$48*p_WC)/(Produccion_Ventas!ED$26*p_WG+Produccion_Ventas!ED$47*p_WC),0)</f>
        <v>0</v>
      </c>
      <c r="EE55" s="13" t="n">
        <f aca="false">Produccion_Ventas!EE$27*Costos_Personal!EE$118+Produccion_Ventas!EE$48*Costos_Personal!EE$119+IF(Produccion_Ventas!EE$26*p_WG+Produccion_Ventas!EE$47*p_WC&gt;0,Costos_Personal!EE$146*(Produccion_Ventas!EE$27*p_WG+Produccion_Ventas!EE$48*p_WC)/(Produccion_Ventas!EE$26*p_WG+Produccion_Ventas!EE$47*p_WC),0)</f>
        <v>0</v>
      </c>
      <c r="EF55" s="13" t="n">
        <f aca="false">Produccion_Ventas!EF$27*Costos_Personal!EF$118+Produccion_Ventas!EF$48*Costos_Personal!EF$119+IF(Produccion_Ventas!EF$26*p_WG+Produccion_Ventas!EF$47*p_WC&gt;0,Costos_Personal!EF$146*(Produccion_Ventas!EF$27*p_WG+Produccion_Ventas!EF$48*p_WC)/(Produccion_Ventas!EF$26*p_WG+Produccion_Ventas!EF$47*p_WC),0)</f>
        <v>0</v>
      </c>
      <c r="EG55" s="13" t="n">
        <f aca="false">Produccion_Ventas!EG$27*Costos_Personal!EG$118+Produccion_Ventas!EG$48*Costos_Personal!EG$119+IF(Produccion_Ventas!EG$26*p_WG+Produccion_Ventas!EG$47*p_WC&gt;0,Costos_Personal!EG$146*(Produccion_Ventas!EG$27*p_WG+Produccion_Ventas!EG$48*p_WC)/(Produccion_Ventas!EG$26*p_WG+Produccion_Ventas!EG$47*p_WC),0)</f>
        <v>0</v>
      </c>
      <c r="EH55" s="13" t="n">
        <f aca="false">Produccion_Ventas!EH$27*Costos_Personal!EH$118+Produccion_Ventas!EH$48*Costos_Personal!EH$119+IF(Produccion_Ventas!EH$26*p_WG+Produccion_Ventas!EH$47*p_WC&gt;0,Costos_Personal!EH$146*(Produccion_Ventas!EH$27*p_WG+Produccion_Ventas!EH$48*p_WC)/(Produccion_Ventas!EH$26*p_WG+Produccion_Ventas!EH$47*p_WC),0)</f>
        <v>0</v>
      </c>
      <c r="EI55" s="13" t="n">
        <f aca="false">Produccion_Ventas!EI$27*Costos_Personal!EI$118+Produccion_Ventas!EI$48*Costos_Personal!EI$119+IF(Produccion_Ventas!EI$26*p_WG+Produccion_Ventas!EI$47*p_WC&gt;0,Costos_Personal!EI$146*(Produccion_Ventas!EI$27*p_WG+Produccion_Ventas!EI$48*p_WC)/(Produccion_Ventas!EI$26*p_WG+Produccion_Ventas!EI$47*p_WC),0)</f>
        <v>0</v>
      </c>
      <c r="EJ55" s="13" t="n">
        <f aca="false">Produccion_Ventas!EJ$27*Costos_Personal!EJ$118+Produccion_Ventas!EJ$48*Costos_Personal!EJ$119+IF(Produccion_Ventas!EJ$26*p_WG+Produccion_Ventas!EJ$47*p_WC&gt;0,Costos_Personal!EJ$146*(Produccion_Ventas!EJ$27*p_WG+Produccion_Ventas!EJ$48*p_WC)/(Produccion_Ventas!EJ$26*p_WG+Produccion_Ventas!EJ$47*p_WC),0)</f>
        <v>0</v>
      </c>
      <c r="EK55" s="13" t="n">
        <f aca="false">Produccion_Ventas!EK$27*Costos_Personal!EK$118+Produccion_Ventas!EK$48*Costos_Personal!EK$119+IF(Produccion_Ventas!EK$26*p_WG+Produccion_Ventas!EK$47*p_WC&gt;0,Costos_Personal!EK$146*(Produccion_Ventas!EK$27*p_WG+Produccion_Ventas!EK$48*p_WC)/(Produccion_Ventas!EK$26*p_WG+Produccion_Ventas!EK$47*p_WC),0)</f>
        <v>0</v>
      </c>
      <c r="EL55" s="13" t="n">
        <f aca="false">Produccion_Ventas!EL$27*Costos_Personal!EL$118+Produccion_Ventas!EL$48*Costos_Personal!EL$119+IF(Produccion_Ventas!EL$26*p_WG+Produccion_Ventas!EL$47*p_WC&gt;0,Costos_Personal!EL$146*(Produccion_Ventas!EL$27*p_WG+Produccion_Ventas!EL$48*p_WC)/(Produccion_Ventas!EL$26*p_WG+Produccion_Ventas!EL$47*p_WC),0)</f>
        <v>0</v>
      </c>
      <c r="EM55" s="13" t="n">
        <f aca="false">Produccion_Ventas!EM$27*Costos_Personal!EM$118+Produccion_Ventas!EM$48*Costos_Personal!EM$119+IF(Produccion_Ventas!EM$26*p_WG+Produccion_Ventas!EM$47*p_WC&gt;0,Costos_Personal!EM$146*(Produccion_Ventas!EM$27*p_WG+Produccion_Ventas!EM$48*p_WC)/(Produccion_Ventas!EM$26*p_WG+Produccion_Ventas!EM$47*p_WC),0)</f>
        <v>0</v>
      </c>
      <c r="EN55" s="13" t="n">
        <f aca="false">Produccion_Ventas!EN$27*Costos_Personal!EN$118+Produccion_Ventas!EN$48*Costos_Personal!EN$119+IF(Produccion_Ventas!EN$26*p_WG+Produccion_Ventas!EN$47*p_WC&gt;0,Costos_Personal!EN$146*(Produccion_Ventas!EN$27*p_WG+Produccion_Ventas!EN$48*p_WC)/(Produccion_Ventas!EN$26*p_WG+Produccion_Ventas!EN$47*p_WC),0)</f>
        <v>0</v>
      </c>
      <c r="EO55" s="13" t="n">
        <f aca="false">Produccion_Ventas!EO$27*Costos_Personal!EO$118+Produccion_Ventas!EO$48*Costos_Personal!EO$119+IF(Produccion_Ventas!EO$26*p_WG+Produccion_Ventas!EO$47*p_WC&gt;0,Costos_Personal!EO$146*(Produccion_Ventas!EO$27*p_WG+Produccion_Ventas!EO$48*p_WC)/(Produccion_Ventas!EO$26*p_WG+Produccion_Ventas!EO$47*p_WC),0)</f>
        <v>0</v>
      </c>
      <c r="EP55" s="13" t="n">
        <f aca="false">Produccion_Ventas!EP$27*Costos_Personal!EP$118+Produccion_Ventas!EP$48*Costos_Personal!EP$119+IF(Produccion_Ventas!EP$26*p_WG+Produccion_Ventas!EP$47*p_WC&gt;0,Costos_Personal!EP$146*(Produccion_Ventas!EP$27*p_WG+Produccion_Ventas!EP$48*p_WC)/(Produccion_Ventas!EP$26*p_WG+Produccion_Ventas!EP$47*p_WC),0)</f>
        <v>0</v>
      </c>
      <c r="EQ55" s="13" t="n">
        <f aca="false">Produccion_Ventas!EQ$27*Costos_Personal!EQ$118+Produccion_Ventas!EQ$48*Costos_Personal!EQ$119+IF(Produccion_Ventas!EQ$26*p_WG+Produccion_Ventas!EQ$47*p_WC&gt;0,Costos_Personal!EQ$146*(Produccion_Ventas!EQ$27*p_WG+Produccion_Ventas!EQ$48*p_WC)/(Produccion_Ventas!EQ$26*p_WG+Produccion_Ventas!EQ$47*p_WC),0)</f>
        <v>0</v>
      </c>
      <c r="ER55" s="13" t="n">
        <f aca="false">Produccion_Ventas!ER$27*Costos_Personal!ER$118+Produccion_Ventas!ER$48*Costos_Personal!ER$119+IF(Produccion_Ventas!ER$26*p_WG+Produccion_Ventas!ER$47*p_WC&gt;0,Costos_Personal!ER$146*(Produccion_Ventas!ER$27*p_WG+Produccion_Ventas!ER$48*p_WC)/(Produccion_Ventas!ER$26*p_WG+Produccion_Ventas!ER$47*p_WC),0)</f>
        <v>0</v>
      </c>
      <c r="ES55" s="13" t="n">
        <f aca="false">Produccion_Ventas!ES$27*Costos_Personal!ES$118+Produccion_Ventas!ES$48*Costos_Personal!ES$119+IF(Produccion_Ventas!ES$26*p_WG+Produccion_Ventas!ES$47*p_WC&gt;0,Costos_Personal!ES$146*(Produccion_Ventas!ES$27*p_WG+Produccion_Ventas!ES$48*p_WC)/(Produccion_Ventas!ES$26*p_WG+Produccion_Ventas!ES$47*p_WC),0)</f>
        <v>0</v>
      </c>
      <c r="ET55" s="13" t="n">
        <f aca="false">Produccion_Ventas!ET$27*Costos_Personal!ET$118+Produccion_Ventas!ET$48*Costos_Personal!ET$119+IF(Produccion_Ventas!ET$26*p_WG+Produccion_Ventas!ET$47*p_WC&gt;0,Costos_Personal!ET$146*(Produccion_Ventas!ET$27*p_WG+Produccion_Ventas!ET$48*p_WC)/(Produccion_Ventas!ET$26*p_WG+Produccion_Ventas!ET$47*p_WC),0)</f>
        <v>0</v>
      </c>
      <c r="EU55" s="13" t="n">
        <f aca="false">Produccion_Ventas!EU$27*Costos_Personal!EU$118+Produccion_Ventas!EU$48*Costos_Personal!EU$119+IF(Produccion_Ventas!EU$26*p_WG+Produccion_Ventas!EU$47*p_WC&gt;0,Costos_Personal!EU$146*(Produccion_Ventas!EU$27*p_WG+Produccion_Ventas!EU$48*p_WC)/(Produccion_Ventas!EU$26*p_WG+Produccion_Ventas!EU$47*p_WC),0)</f>
        <v>0</v>
      </c>
      <c r="EV55" s="13" t="n">
        <f aca="false">Produccion_Ventas!EV$27*Costos_Personal!EV$118+Produccion_Ventas!EV$48*Costos_Personal!EV$119+IF(Produccion_Ventas!EV$26*p_WG+Produccion_Ventas!EV$47*p_WC&gt;0,Costos_Personal!EV$146*(Produccion_Ventas!EV$27*p_WG+Produccion_Ventas!EV$48*p_WC)/(Produccion_Ventas!EV$26*p_WG+Produccion_Ventas!EV$47*p_WC),0)</f>
        <v>0</v>
      </c>
      <c r="EW55" s="13" t="n">
        <f aca="false">Produccion_Ventas!EW$27*Costos_Personal!EW$118+Produccion_Ventas!EW$48*Costos_Personal!EW$119+IF(Produccion_Ventas!EW$26*p_WG+Produccion_Ventas!EW$47*p_WC&gt;0,Costos_Personal!EW$146*(Produccion_Ventas!EW$27*p_WG+Produccion_Ventas!EW$48*p_WC)/(Produccion_Ventas!EW$26*p_WG+Produccion_Ventas!EW$47*p_WC),0)</f>
        <v>0</v>
      </c>
      <c r="EX55" s="13" t="n">
        <f aca="false">Produccion_Ventas!EX$27*Costos_Personal!EX$118+Produccion_Ventas!EX$48*Costos_Personal!EX$119+IF(Produccion_Ventas!EX$26*p_WG+Produccion_Ventas!EX$47*p_WC&gt;0,Costos_Personal!EX$146*(Produccion_Ventas!EX$27*p_WG+Produccion_Ventas!EX$48*p_WC)/(Produccion_Ventas!EX$26*p_WG+Produccion_Ventas!EX$47*p_WC),0)</f>
        <v>0</v>
      </c>
      <c r="EY55" s="13" t="n">
        <f aca="false">Produccion_Ventas!EY$27*Costos_Personal!EY$118+Produccion_Ventas!EY$48*Costos_Personal!EY$119+IF(Produccion_Ventas!EY$26*p_WG+Produccion_Ventas!EY$47*p_WC&gt;0,Costos_Personal!EY$146*(Produccion_Ventas!EY$27*p_WG+Produccion_Ventas!EY$48*p_WC)/(Produccion_Ventas!EY$26*p_WG+Produccion_Ventas!EY$47*p_WC),0)</f>
        <v>0</v>
      </c>
      <c r="EZ55" s="13" t="n">
        <f aca="false">Produccion_Ventas!EZ$27*Costos_Personal!EZ$118+Produccion_Ventas!EZ$48*Costos_Personal!EZ$119+IF(Produccion_Ventas!EZ$26*p_WG+Produccion_Ventas!EZ$47*p_WC&gt;0,Costos_Personal!EZ$146*(Produccion_Ventas!EZ$27*p_WG+Produccion_Ventas!EZ$48*p_WC)/(Produccion_Ventas!EZ$26*p_WG+Produccion_Ventas!EZ$47*p_WC),0)</f>
        <v>0</v>
      </c>
      <c r="FA55" s="13" t="n">
        <f aca="false">Produccion_Ventas!FA$27*Costos_Personal!FA$118+Produccion_Ventas!FA$48*Costos_Personal!FA$119+IF(Produccion_Ventas!FA$26*p_WG+Produccion_Ventas!FA$47*p_WC&gt;0,Costos_Personal!FA$146*(Produccion_Ventas!FA$27*p_WG+Produccion_Ventas!FA$48*p_WC)/(Produccion_Ventas!FA$26*p_WG+Produccion_Ventas!FA$47*p_WC),0)</f>
        <v>0</v>
      </c>
      <c r="FB55" s="13" t="n">
        <f aca="false">Produccion_Ventas!FB$27*Costos_Personal!FB$118+Produccion_Ventas!FB$48*Costos_Personal!FB$119+IF(Produccion_Ventas!FB$26*p_WG+Produccion_Ventas!FB$47*p_WC&gt;0,Costos_Personal!FB$146*(Produccion_Ventas!FB$27*p_WG+Produccion_Ventas!FB$48*p_WC)/(Produccion_Ventas!FB$26*p_WG+Produccion_Ventas!FB$47*p_WC),0)</f>
        <v>0</v>
      </c>
      <c r="FC55" s="13" t="n">
        <f aca="false">Produccion_Ventas!FC$27*Costos_Personal!FC$118+Produccion_Ventas!FC$48*Costos_Personal!FC$119+IF(Produccion_Ventas!FC$26*p_WG+Produccion_Ventas!FC$47*p_WC&gt;0,Costos_Personal!FC$146*(Produccion_Ventas!FC$27*p_WG+Produccion_Ventas!FC$48*p_WC)/(Produccion_Ventas!FC$26*p_WG+Produccion_Ventas!FC$47*p_WC),0)</f>
        <v>0</v>
      </c>
      <c r="FD55" s="13" t="n">
        <f aca="false">Produccion_Ventas!FD$27*Costos_Personal!FD$118+Produccion_Ventas!FD$48*Costos_Personal!FD$119+IF(Produccion_Ventas!FD$26*p_WG+Produccion_Ventas!FD$47*p_WC&gt;0,Costos_Personal!FD$146*(Produccion_Ventas!FD$27*p_WG+Produccion_Ventas!FD$48*p_WC)/(Produccion_Ventas!FD$26*p_WG+Produccion_Ventas!FD$47*p_WC),0)</f>
        <v>0</v>
      </c>
      <c r="FE55" s="13" t="n">
        <f aca="false">Produccion_Ventas!FE$27*Costos_Personal!FE$118+Produccion_Ventas!FE$48*Costos_Personal!FE$119+IF(Produccion_Ventas!FE$26*p_WG+Produccion_Ventas!FE$47*p_WC&gt;0,Costos_Personal!FE$146*(Produccion_Ventas!FE$27*p_WG+Produccion_Ventas!FE$48*p_WC)/(Produccion_Ventas!FE$26*p_WG+Produccion_Ventas!FE$47*p_WC),0)</f>
        <v>0</v>
      </c>
      <c r="FF55" s="13" t="n">
        <f aca="false">Produccion_Ventas!FF$27*Costos_Personal!FF$118+Produccion_Ventas!FF$48*Costos_Personal!FF$119+IF(Produccion_Ventas!FF$26*p_WG+Produccion_Ventas!FF$47*p_WC&gt;0,Costos_Personal!FF$146*(Produccion_Ventas!FF$27*p_WG+Produccion_Ventas!FF$48*p_WC)/(Produccion_Ventas!FF$26*p_WG+Produccion_Ventas!FF$47*p_WC),0)</f>
        <v>0</v>
      </c>
    </row>
    <row r="56" customFormat="false" ht="15" hidden="false" customHeight="false" outlineLevel="0" collapsed="false">
      <c r="A56" s="2" t="s">
        <v>1364</v>
      </c>
      <c r="B56" s="66" t="s">
        <v>1365</v>
      </c>
      <c r="C56" s="8" t="s">
        <v>255</v>
      </c>
      <c r="E56" s="67" t="n">
        <f aca="false">INDEX($F56:$FF56,1,p_MesFin+1)</f>
        <v>0</v>
      </c>
      <c r="F56" s="12" t="n">
        <f aca="false">IF(AND(0=p_MesCorte,ISNUMBER(r_S_INVPT)),r_S_INVPT,F$55)</f>
        <v>0</v>
      </c>
      <c r="G56" s="12" t="n">
        <f aca="false">IF(AND(1=p_MesCorte,ISNUMBER(r_S_INVPT)),r_S_INVPT,G$55)</f>
        <v>96950.7265267049</v>
      </c>
      <c r="H56" s="12" t="n">
        <f aca="false">IF(AND(2=p_MesCorte,ISNUMBER(r_S_INVPT)),r_S_INVPT,H$55)</f>
        <v>101650.354358341</v>
      </c>
      <c r="I56" s="12" t="n">
        <f aca="false">IF(AND(3=p_MesCorte,ISNUMBER(r_S_INVPT)),r_S_INVPT,I$55)</f>
        <v>101650.354358341</v>
      </c>
      <c r="J56" s="12" t="n">
        <f aca="false">IF(AND(4=p_MesCorte,ISNUMBER(r_S_INVPT)),r_S_INVPT,J$55)</f>
        <v>101650.354358341</v>
      </c>
      <c r="K56" s="12" t="n">
        <f aca="false">IF(AND(5=p_MesCorte,ISNUMBER(r_S_INVPT)),r_S_INVPT,K$55)</f>
        <v>101650.354358341</v>
      </c>
      <c r="L56" s="12" t="n">
        <f aca="false">IF(AND(6=p_MesCorte,ISNUMBER(r_S_INVPT)),r_S_INVPT,L$55)</f>
        <v>101650.354358341</v>
      </c>
      <c r="M56" s="12" t="n">
        <f aca="false">IF(AND(7=p_MesCorte,ISNUMBER(r_S_INVPT)),r_S_INVPT,M$55)</f>
        <v>101650.354358341</v>
      </c>
      <c r="N56" s="12" t="n">
        <f aca="false">IF(AND(8=p_MesCorte,ISNUMBER(r_S_INVPT)),r_S_INVPT,N$55)</f>
        <v>101650.354358341</v>
      </c>
      <c r="O56" s="12" t="n">
        <f aca="false">IF(AND(9=p_MesCorte,ISNUMBER(r_S_INVPT)),r_S_INVPT,O$55)</f>
        <v>101650.354358341</v>
      </c>
      <c r="P56" s="12" t="n">
        <f aca="false">IF(AND(10=p_MesCorte,ISNUMBER(r_S_INVPT)),r_S_INVPT,P$55)</f>
        <v>101650.354358341</v>
      </c>
      <c r="Q56" s="12" t="n">
        <f aca="false">IF(AND(11=p_MesCorte,ISNUMBER(r_S_INVPT)),r_S_INVPT,Q$55)</f>
        <v>101650.354358341</v>
      </c>
      <c r="R56" s="12" t="n">
        <f aca="false">IF(AND(12=p_MesCorte,ISNUMBER(r_S_INVPT)),r_S_INVPT,R$55)</f>
        <v>126449.80891971</v>
      </c>
      <c r="S56" s="12" t="n">
        <f aca="false">IF(AND(13=p_MesCorte,ISNUMBER(r_S_INVPT)),r_S_INVPT,S$55)</f>
        <v>123936.146139163</v>
      </c>
      <c r="T56" s="12" t="n">
        <f aca="false">IF(AND(14=p_MesCorte,ISNUMBER(r_S_INVPT)),r_S_INVPT,T$55)</f>
        <v>123936.146139163</v>
      </c>
      <c r="U56" s="12" t="n">
        <f aca="false">IF(AND(15=p_MesCorte,ISNUMBER(r_S_INVPT)),r_S_INVPT,U$55)</f>
        <v>123936.146139163</v>
      </c>
      <c r="V56" s="12" t="n">
        <f aca="false">IF(AND(16=p_MesCorte,ISNUMBER(r_S_INVPT)),r_S_INVPT,V$55)</f>
        <v>123936.146139163</v>
      </c>
      <c r="W56" s="12" t="n">
        <f aca="false">IF(AND(17=p_MesCorte,ISNUMBER(r_S_INVPT)),r_S_INVPT,W$55)</f>
        <v>123936.146139163</v>
      </c>
      <c r="X56" s="12" t="n">
        <f aca="false">IF(AND(18=p_MesCorte,ISNUMBER(r_S_INVPT)),r_S_INVPT,X$55)</f>
        <v>123936.146139163</v>
      </c>
      <c r="Y56" s="12" t="n">
        <f aca="false">IF(AND(19=p_MesCorte,ISNUMBER(r_S_INVPT)),r_S_INVPT,Y$55)</f>
        <v>123936.146139163</v>
      </c>
      <c r="Z56" s="12" t="n">
        <f aca="false">IF(AND(20=p_MesCorte,ISNUMBER(r_S_INVPT)),r_S_INVPT,Z$55)</f>
        <v>123936.146139163</v>
      </c>
      <c r="AA56" s="12" t="n">
        <f aca="false">IF(AND(21=p_MesCorte,ISNUMBER(r_S_INVPT)),r_S_INVPT,AA$55)</f>
        <v>123936.146139163</v>
      </c>
      <c r="AB56" s="12" t="n">
        <f aca="false">IF(AND(22=p_MesCorte,ISNUMBER(r_S_INVPT)),r_S_INVPT,AB$55)</f>
        <v>123936.146139163</v>
      </c>
      <c r="AC56" s="12" t="n">
        <f aca="false">IF(AND(23=p_MesCorte,ISNUMBER(r_S_INVPT)),r_S_INVPT,AC$55)</f>
        <v>123936.146139163</v>
      </c>
      <c r="AD56" s="12" t="n">
        <f aca="false">IF(AND(24=p_MesCorte,ISNUMBER(r_S_INVPT)),r_S_INVPT,AD$55)</f>
        <v>148253.622528492</v>
      </c>
      <c r="AE56" s="12" t="n">
        <f aca="false">IF(AND(25=p_MesCorte,ISNUMBER(r_S_INVPT)),r_S_INVPT,AE$55)</f>
        <v>147332.674234134</v>
      </c>
      <c r="AF56" s="12" t="n">
        <f aca="false">IF(AND(26=p_MesCorte,ISNUMBER(r_S_INVPT)),r_S_INVPT,AF$55)</f>
        <v>147332.674234134</v>
      </c>
      <c r="AG56" s="12" t="n">
        <f aca="false">IF(AND(27=p_MesCorte,ISNUMBER(r_S_INVPT)),r_S_INVPT,AG$55)</f>
        <v>147332.674234134</v>
      </c>
      <c r="AH56" s="12" t="n">
        <f aca="false">IF(AND(28=p_MesCorte,ISNUMBER(r_S_INVPT)),r_S_INVPT,AH$55)</f>
        <v>147332.674234134</v>
      </c>
      <c r="AI56" s="12" t="n">
        <f aca="false">IF(AND(29=p_MesCorte,ISNUMBER(r_S_INVPT)),r_S_INVPT,AI$55)</f>
        <v>147332.674234134</v>
      </c>
      <c r="AJ56" s="12" t="n">
        <f aca="false">IF(AND(30=p_MesCorte,ISNUMBER(r_S_INVPT)),r_S_INVPT,AJ$55)</f>
        <v>147332.674234134</v>
      </c>
      <c r="AK56" s="12" t="n">
        <f aca="false">IF(AND(31=p_MesCorte,ISNUMBER(r_S_INVPT)),r_S_INVPT,AK$55)</f>
        <v>147332.674234134</v>
      </c>
      <c r="AL56" s="12" t="n">
        <f aca="false">IF(AND(32=p_MesCorte,ISNUMBER(r_S_INVPT)),r_S_INVPT,AL$55)</f>
        <v>147332.674234134</v>
      </c>
      <c r="AM56" s="12" t="n">
        <f aca="false">IF(AND(33=p_MesCorte,ISNUMBER(r_S_INVPT)),r_S_INVPT,AM$55)</f>
        <v>147332.674234134</v>
      </c>
      <c r="AN56" s="12" t="n">
        <f aca="false">IF(AND(34=p_MesCorte,ISNUMBER(r_S_INVPT)),r_S_INVPT,AN$55)</f>
        <v>147332.674234134</v>
      </c>
      <c r="AO56" s="12" t="n">
        <f aca="false">IF(AND(35=p_MesCorte,ISNUMBER(r_S_INVPT)),r_S_INVPT,AO$55)</f>
        <v>147332.674234134</v>
      </c>
      <c r="AP56" s="12" t="n">
        <f aca="false">IF(AND(36=p_MesCorte,ISNUMBER(r_S_INVPT)),r_S_INVPT,AP$55)</f>
        <v>166793.811726733</v>
      </c>
      <c r="AQ56" s="12" t="n">
        <f aca="false">IF(AND(37=p_MesCorte,ISNUMBER(r_S_INVPT)),r_S_INVPT,AQ$55)</f>
        <v>166477.023439485</v>
      </c>
      <c r="AR56" s="12" t="n">
        <f aca="false">IF(AND(38=p_MesCorte,ISNUMBER(r_S_INVPT)),r_S_INVPT,AR$55)</f>
        <v>166477.023439485</v>
      </c>
      <c r="AS56" s="12" t="n">
        <f aca="false">IF(AND(39=p_MesCorte,ISNUMBER(r_S_INVPT)),r_S_INVPT,AS$55)</f>
        <v>166477.023439485</v>
      </c>
      <c r="AT56" s="12" t="n">
        <f aca="false">IF(AND(40=p_MesCorte,ISNUMBER(r_S_INVPT)),r_S_INVPT,AT$55)</f>
        <v>166477.023439485</v>
      </c>
      <c r="AU56" s="12" t="n">
        <f aca="false">IF(AND(41=p_MesCorte,ISNUMBER(r_S_INVPT)),r_S_INVPT,AU$55)</f>
        <v>166477.023439485</v>
      </c>
      <c r="AV56" s="12" t="n">
        <f aca="false">IF(AND(42=p_MesCorte,ISNUMBER(r_S_INVPT)),r_S_INVPT,AV$55)</f>
        <v>166477.023439485</v>
      </c>
      <c r="AW56" s="12" t="n">
        <f aca="false">IF(AND(43=p_MesCorte,ISNUMBER(r_S_INVPT)),r_S_INVPT,AW$55)</f>
        <v>166477.023439485</v>
      </c>
      <c r="AX56" s="12" t="n">
        <f aca="false">IF(AND(44=p_MesCorte,ISNUMBER(r_S_INVPT)),r_S_INVPT,AX$55)</f>
        <v>166477.023439485</v>
      </c>
      <c r="AY56" s="12" t="n">
        <f aca="false">IF(AND(45=p_MesCorte,ISNUMBER(r_S_INVPT)),r_S_INVPT,AY$55)</f>
        <v>166477.023439485</v>
      </c>
      <c r="AZ56" s="12" t="n">
        <f aca="false">IF(AND(46=p_MesCorte,ISNUMBER(r_S_INVPT)),r_S_INVPT,AZ$55)</f>
        <v>166477.023439485</v>
      </c>
      <c r="BA56" s="12" t="n">
        <f aca="false">IF(AND(47=p_MesCorte,ISNUMBER(r_S_INVPT)),r_S_INVPT,BA$55)</f>
        <v>166477.023439485</v>
      </c>
      <c r="BB56" s="12" t="n">
        <f aca="false">IF(AND(48=p_MesCorte,ISNUMBER(r_S_INVPT)),r_S_INVPT,BB$55)</f>
        <v>166477.023439485</v>
      </c>
      <c r="BC56" s="12" t="n">
        <f aca="false">IF(AND(49=p_MesCorte,ISNUMBER(r_S_INVPT)),r_S_INVPT,BC$55)</f>
        <v>168121.576428446</v>
      </c>
      <c r="BD56" s="12" t="n">
        <f aca="false">IF(AND(50=p_MesCorte,ISNUMBER(r_S_INVPT)),r_S_INVPT,BD$55)</f>
        <v>168121.576428446</v>
      </c>
      <c r="BE56" s="12" t="n">
        <f aca="false">IF(AND(51=p_MesCorte,ISNUMBER(r_S_INVPT)),r_S_INVPT,BE$55)</f>
        <v>168121.576428446</v>
      </c>
      <c r="BF56" s="12" t="n">
        <f aca="false">IF(AND(52=p_MesCorte,ISNUMBER(r_S_INVPT)),r_S_INVPT,BF$55)</f>
        <v>168121.576428446</v>
      </c>
      <c r="BG56" s="12" t="n">
        <f aca="false">IF(AND(53=p_MesCorte,ISNUMBER(r_S_INVPT)),r_S_INVPT,BG$55)</f>
        <v>168121.576428446</v>
      </c>
      <c r="BH56" s="12" t="n">
        <f aca="false">IF(AND(54=p_MesCorte,ISNUMBER(r_S_INVPT)),r_S_INVPT,BH$55)</f>
        <v>168121.576428446</v>
      </c>
      <c r="BI56" s="12" t="n">
        <f aca="false">IF(AND(55=p_MesCorte,ISNUMBER(r_S_INVPT)),r_S_INVPT,BI$55)</f>
        <v>168121.576428446</v>
      </c>
      <c r="BJ56" s="12" t="n">
        <f aca="false">IF(AND(56=p_MesCorte,ISNUMBER(r_S_INVPT)),r_S_INVPT,BJ$55)</f>
        <v>168121.576428446</v>
      </c>
      <c r="BK56" s="12" t="n">
        <f aca="false">IF(AND(57=p_MesCorte,ISNUMBER(r_S_INVPT)),r_S_INVPT,BK$55)</f>
        <v>168121.576428446</v>
      </c>
      <c r="BL56" s="12" t="n">
        <f aca="false">IF(AND(58=p_MesCorte,ISNUMBER(r_S_INVPT)),r_S_INVPT,BL$55)</f>
        <v>168121.576428446</v>
      </c>
      <c r="BM56" s="12" t="n">
        <f aca="false">IF(AND(59=p_MesCorte,ISNUMBER(r_S_INVPT)),r_S_INVPT,BM$55)</f>
        <v>168121.576428446</v>
      </c>
      <c r="BN56" s="12" t="n">
        <f aca="false">IF(AND(60=p_MesCorte,ISNUMBER(r_S_INVPT)),r_S_INVPT,BN$55)</f>
        <v>168121.576428446</v>
      </c>
      <c r="BO56" s="12" t="n">
        <f aca="false">IF(AND(61=p_MesCorte,ISNUMBER(r_S_INVPT)),r_S_INVPT,BO$55)</f>
        <v>168916.125089563</v>
      </c>
      <c r="BP56" s="12" t="n">
        <f aca="false">IF(AND(62=p_MesCorte,ISNUMBER(r_S_INVPT)),r_S_INVPT,BP$55)</f>
        <v>168916.125089563</v>
      </c>
      <c r="BQ56" s="12" t="n">
        <f aca="false">IF(AND(63=p_MesCorte,ISNUMBER(r_S_INVPT)),r_S_INVPT,BQ$55)</f>
        <v>168916.125089563</v>
      </c>
      <c r="BR56" s="12" t="n">
        <f aca="false">IF(AND(64=p_MesCorte,ISNUMBER(r_S_INVPT)),r_S_INVPT,BR$55)</f>
        <v>168916.125089563</v>
      </c>
      <c r="BS56" s="12" t="n">
        <f aca="false">IF(AND(65=p_MesCorte,ISNUMBER(r_S_INVPT)),r_S_INVPT,BS$55)</f>
        <v>168916.125089563</v>
      </c>
      <c r="BT56" s="12" t="n">
        <f aca="false">IF(AND(66=p_MesCorte,ISNUMBER(r_S_INVPT)),r_S_INVPT,BT$55)</f>
        <v>168916.125089563</v>
      </c>
      <c r="BU56" s="12" t="n">
        <f aca="false">IF(AND(67=p_MesCorte,ISNUMBER(r_S_INVPT)),r_S_INVPT,BU$55)</f>
        <v>168916.125089563</v>
      </c>
      <c r="BV56" s="12" t="n">
        <f aca="false">IF(AND(68=p_MesCorte,ISNUMBER(r_S_INVPT)),r_S_INVPT,BV$55)</f>
        <v>168916.125089563</v>
      </c>
      <c r="BW56" s="12" t="n">
        <f aca="false">IF(AND(69=p_MesCorte,ISNUMBER(r_S_INVPT)),r_S_INVPT,BW$55)</f>
        <v>168916.125089563</v>
      </c>
      <c r="BX56" s="12" t="n">
        <f aca="false">IF(AND(70=p_MesCorte,ISNUMBER(r_S_INVPT)),r_S_INVPT,BX$55)</f>
        <v>168916.125089563</v>
      </c>
      <c r="BY56" s="12" t="n">
        <f aca="false">IF(AND(71=p_MesCorte,ISNUMBER(r_S_INVPT)),r_S_INVPT,BY$55)</f>
        <v>168916.125089563</v>
      </c>
      <c r="BZ56" s="12" t="n">
        <f aca="false">IF(AND(72=p_MesCorte,ISNUMBER(r_S_INVPT)),r_S_INVPT,BZ$55)</f>
        <v>168916.125089563</v>
      </c>
      <c r="CA56" s="12" t="n">
        <f aca="false">IF(AND(73=p_MesCorte,ISNUMBER(r_S_INVPT)),r_S_INVPT,CA$55)</f>
        <v>169718.456453729</v>
      </c>
      <c r="CB56" s="12" t="n">
        <f aca="false">IF(AND(74=p_MesCorte,ISNUMBER(r_S_INVPT)),r_S_INVPT,CB$55)</f>
        <v>169718.456453729</v>
      </c>
      <c r="CC56" s="12" t="n">
        <f aca="false">IF(AND(75=p_MesCorte,ISNUMBER(r_S_INVPT)),r_S_INVPT,CC$55)</f>
        <v>169718.456453729</v>
      </c>
      <c r="CD56" s="12" t="n">
        <f aca="false">IF(AND(76=p_MesCorte,ISNUMBER(r_S_INVPT)),r_S_INVPT,CD$55)</f>
        <v>169718.456453729</v>
      </c>
      <c r="CE56" s="12" t="n">
        <f aca="false">IF(AND(77=p_MesCorte,ISNUMBER(r_S_INVPT)),r_S_INVPT,CE$55)</f>
        <v>169718.456453729</v>
      </c>
      <c r="CF56" s="12" t="n">
        <f aca="false">IF(AND(78=p_MesCorte,ISNUMBER(r_S_INVPT)),r_S_INVPT,CF$55)</f>
        <v>169718.456453729</v>
      </c>
      <c r="CG56" s="12" t="n">
        <f aca="false">IF(AND(79=p_MesCorte,ISNUMBER(r_S_INVPT)),r_S_INVPT,CG$55)</f>
        <v>169718.456453729</v>
      </c>
      <c r="CH56" s="12" t="n">
        <f aca="false">IF(AND(80=p_MesCorte,ISNUMBER(r_S_INVPT)),r_S_INVPT,CH$55)</f>
        <v>169718.456453729</v>
      </c>
      <c r="CI56" s="12" t="n">
        <f aca="false">IF(AND(81=p_MesCorte,ISNUMBER(r_S_INVPT)),r_S_INVPT,CI$55)</f>
        <v>169718.456453729</v>
      </c>
      <c r="CJ56" s="12" t="n">
        <f aca="false">IF(AND(82=p_MesCorte,ISNUMBER(r_S_INVPT)),r_S_INVPT,CJ$55)</f>
        <v>169718.456453729</v>
      </c>
      <c r="CK56" s="12" t="n">
        <f aca="false">IF(AND(83=p_MesCorte,ISNUMBER(r_S_INVPT)),r_S_INVPT,CK$55)</f>
        <v>169718.456453729</v>
      </c>
      <c r="CL56" s="12" t="n">
        <f aca="false">IF(AND(84=p_MesCorte,ISNUMBER(r_S_INVPT)),r_S_INVPT,CL$55)</f>
        <v>169718.456453729</v>
      </c>
      <c r="CM56" s="12" t="n">
        <f aca="false">IF(AND(85=p_MesCorte,ISNUMBER(r_S_INVPT)),r_S_INVPT,CM$55)</f>
        <v>170528.648347974</v>
      </c>
      <c r="CN56" s="12" t="n">
        <f aca="false">IF(AND(86=p_MesCorte,ISNUMBER(r_S_INVPT)),r_S_INVPT,CN$55)</f>
        <v>170528.648347974</v>
      </c>
      <c r="CO56" s="12" t="n">
        <f aca="false">IF(AND(87=p_MesCorte,ISNUMBER(r_S_INVPT)),r_S_INVPT,CO$55)</f>
        <v>170528.648347974</v>
      </c>
      <c r="CP56" s="12" t="n">
        <f aca="false">IF(AND(88=p_MesCorte,ISNUMBER(r_S_INVPT)),r_S_INVPT,CP$55)</f>
        <v>170528.648347974</v>
      </c>
      <c r="CQ56" s="12" t="n">
        <f aca="false">IF(AND(89=p_MesCorte,ISNUMBER(r_S_INVPT)),r_S_INVPT,CQ$55)</f>
        <v>170528.648347974</v>
      </c>
      <c r="CR56" s="12" t="n">
        <f aca="false">IF(AND(90=p_MesCorte,ISNUMBER(r_S_INVPT)),r_S_INVPT,CR$55)</f>
        <v>170528.648347974</v>
      </c>
      <c r="CS56" s="12" t="n">
        <f aca="false">IF(AND(91=p_MesCorte,ISNUMBER(r_S_INVPT)),r_S_INVPT,CS$55)</f>
        <v>170528.648347974</v>
      </c>
      <c r="CT56" s="12" t="n">
        <f aca="false">IF(AND(92=p_MesCorte,ISNUMBER(r_S_INVPT)),r_S_INVPT,CT$55)</f>
        <v>170528.648347974</v>
      </c>
      <c r="CU56" s="12" t="n">
        <f aca="false">IF(AND(93=p_MesCorte,ISNUMBER(r_S_INVPT)),r_S_INVPT,CU$55)</f>
        <v>170528.648347974</v>
      </c>
      <c r="CV56" s="12" t="n">
        <f aca="false">IF(AND(94=p_MesCorte,ISNUMBER(r_S_INVPT)),r_S_INVPT,CV$55)</f>
        <v>170528.648347974</v>
      </c>
      <c r="CW56" s="12" t="n">
        <f aca="false">IF(AND(95=p_MesCorte,ISNUMBER(r_S_INVPT)),r_S_INVPT,CW$55)</f>
        <v>170528.648347974</v>
      </c>
      <c r="CX56" s="12" t="n">
        <f aca="false">IF(AND(96=p_MesCorte,ISNUMBER(r_S_INVPT)),r_S_INVPT,CX$55)</f>
        <v>170528.648347974</v>
      </c>
      <c r="CY56" s="12" t="n">
        <f aca="false">IF(AND(97=p_MesCorte,ISNUMBER(r_S_INVPT)),r_S_INVPT,CY$55)</f>
        <v>171346.779377601</v>
      </c>
      <c r="CZ56" s="12" t="n">
        <f aca="false">IF(AND(98=p_MesCorte,ISNUMBER(r_S_INVPT)),r_S_INVPT,CZ$55)</f>
        <v>171346.779377601</v>
      </c>
      <c r="DA56" s="12" t="n">
        <f aca="false">IF(AND(99=p_MesCorte,ISNUMBER(r_S_INVPT)),r_S_INVPT,DA$55)</f>
        <v>171346.779377601</v>
      </c>
      <c r="DB56" s="12" t="n">
        <f aca="false">IF(AND(100=p_MesCorte,ISNUMBER(r_S_INVPT)),r_S_INVPT,DB$55)</f>
        <v>171346.779377601</v>
      </c>
      <c r="DC56" s="12" t="n">
        <f aca="false">IF(AND(101=p_MesCorte,ISNUMBER(r_S_INVPT)),r_S_INVPT,DC$55)</f>
        <v>171346.779377601</v>
      </c>
      <c r="DD56" s="12" t="n">
        <f aca="false">IF(AND(102=p_MesCorte,ISNUMBER(r_S_INVPT)),r_S_INVPT,DD$55)</f>
        <v>171346.779377601</v>
      </c>
      <c r="DE56" s="12" t="n">
        <f aca="false">IF(AND(103=p_MesCorte,ISNUMBER(r_S_INVPT)),r_S_INVPT,DE$55)</f>
        <v>171346.779377601</v>
      </c>
      <c r="DF56" s="12" t="n">
        <f aca="false">IF(AND(104=p_MesCorte,ISNUMBER(r_S_INVPT)),r_S_INVPT,DF$55)</f>
        <v>171346.779377601</v>
      </c>
      <c r="DG56" s="12" t="n">
        <f aca="false">IF(AND(105=p_MesCorte,ISNUMBER(r_S_INVPT)),r_S_INVPT,DG$55)</f>
        <v>171346.779377601</v>
      </c>
      <c r="DH56" s="12" t="n">
        <f aca="false">IF(AND(106=p_MesCorte,ISNUMBER(r_S_INVPT)),r_S_INVPT,DH$55)</f>
        <v>171346.779377601</v>
      </c>
      <c r="DI56" s="12" t="n">
        <f aca="false">IF(AND(107=p_MesCorte,ISNUMBER(r_S_INVPT)),r_S_INVPT,DI$55)</f>
        <v>171346.779377601</v>
      </c>
      <c r="DJ56" s="12" t="n">
        <f aca="false">IF(AND(108=p_MesCorte,ISNUMBER(r_S_INVPT)),r_S_INVPT,DJ$55)</f>
        <v>171346.779377601</v>
      </c>
      <c r="DK56" s="12" t="n">
        <f aca="false">IF(AND(109=p_MesCorte,ISNUMBER(r_S_INVPT)),r_S_INVPT,DK$55)</f>
        <v>172172.928933962</v>
      </c>
      <c r="DL56" s="12" t="n">
        <f aca="false">IF(AND(110=p_MesCorte,ISNUMBER(r_S_INVPT)),r_S_INVPT,DL$55)</f>
        <v>172172.928933962</v>
      </c>
      <c r="DM56" s="12" t="n">
        <f aca="false">IF(AND(111=p_MesCorte,ISNUMBER(r_S_INVPT)),r_S_INVPT,DM$55)</f>
        <v>172172.928933962</v>
      </c>
      <c r="DN56" s="12" t="n">
        <f aca="false">IF(AND(112=p_MesCorte,ISNUMBER(r_S_INVPT)),r_S_INVPT,DN$55)</f>
        <v>172172.928933962</v>
      </c>
      <c r="DO56" s="12" t="n">
        <f aca="false">IF(AND(113=p_MesCorte,ISNUMBER(r_S_INVPT)),r_S_INVPT,DO$55)</f>
        <v>172172.928933962</v>
      </c>
      <c r="DP56" s="12" t="n">
        <f aca="false">IF(AND(114=p_MesCorte,ISNUMBER(r_S_INVPT)),r_S_INVPT,DP$55)</f>
        <v>172172.928933962</v>
      </c>
      <c r="DQ56" s="12" t="n">
        <f aca="false">IF(AND(115=p_MesCorte,ISNUMBER(r_S_INVPT)),r_S_INVPT,DQ$55)</f>
        <v>172172.928933962</v>
      </c>
      <c r="DR56" s="12" t="n">
        <f aca="false">IF(AND(116=p_MesCorte,ISNUMBER(r_S_INVPT)),r_S_INVPT,DR$55)</f>
        <v>172172.928933962</v>
      </c>
      <c r="DS56" s="12" t="n">
        <f aca="false">IF(AND(117=p_MesCorte,ISNUMBER(r_S_INVPT)),r_S_INVPT,DS$55)</f>
        <v>172172.928933962</v>
      </c>
      <c r="DT56" s="12" t="n">
        <f aca="false">IF(AND(118=p_MesCorte,ISNUMBER(r_S_INVPT)),r_S_INVPT,DT$55)</f>
        <v>172172.928933962</v>
      </c>
      <c r="DU56" s="12" t="n">
        <f aca="false">IF(AND(119=p_MesCorte,ISNUMBER(r_S_INVPT)),r_S_INVPT,DU$55)</f>
        <v>172172.928933962</v>
      </c>
      <c r="DV56" s="12" t="n">
        <f aca="false">IF(AND(120=p_MesCorte,ISNUMBER(r_S_INVPT)),r_S_INVPT,DV$55)</f>
        <v>0</v>
      </c>
      <c r="DW56" s="12" t="n">
        <f aca="false">IF(AND(121=p_MesCorte,ISNUMBER(r_S_INVPT)),r_S_INVPT,DW$55)</f>
        <v>0</v>
      </c>
      <c r="DX56" s="12" t="n">
        <f aca="false">IF(AND(122=p_MesCorte,ISNUMBER(r_S_INVPT)),r_S_INVPT,DX$55)</f>
        <v>0</v>
      </c>
      <c r="DY56" s="12" t="n">
        <f aca="false">IF(AND(123=p_MesCorte,ISNUMBER(r_S_INVPT)),r_S_INVPT,DY$55)</f>
        <v>0</v>
      </c>
      <c r="DZ56" s="12" t="n">
        <f aca="false">IF(AND(124=p_MesCorte,ISNUMBER(r_S_INVPT)),r_S_INVPT,DZ$55)</f>
        <v>0</v>
      </c>
      <c r="EA56" s="12" t="n">
        <f aca="false">IF(AND(125=p_MesCorte,ISNUMBER(r_S_INVPT)),r_S_INVPT,EA$55)</f>
        <v>0</v>
      </c>
      <c r="EB56" s="12" t="n">
        <f aca="false">IF(AND(126=p_MesCorte,ISNUMBER(r_S_INVPT)),r_S_INVPT,EB$55)</f>
        <v>0</v>
      </c>
      <c r="EC56" s="12" t="n">
        <f aca="false">IF(AND(127=p_MesCorte,ISNUMBER(r_S_INVPT)),r_S_INVPT,EC$55)</f>
        <v>0</v>
      </c>
      <c r="ED56" s="12" t="n">
        <f aca="false">IF(AND(128=p_MesCorte,ISNUMBER(r_S_INVPT)),r_S_INVPT,ED$55)</f>
        <v>0</v>
      </c>
      <c r="EE56" s="12" t="n">
        <f aca="false">IF(AND(129=p_MesCorte,ISNUMBER(r_S_INVPT)),r_S_INVPT,EE$55)</f>
        <v>0</v>
      </c>
      <c r="EF56" s="12" t="n">
        <f aca="false">IF(AND(130=p_MesCorte,ISNUMBER(r_S_INVPT)),r_S_INVPT,EF$55)</f>
        <v>0</v>
      </c>
      <c r="EG56" s="12" t="n">
        <f aca="false">IF(AND(131=p_MesCorte,ISNUMBER(r_S_INVPT)),r_S_INVPT,EG$55)</f>
        <v>0</v>
      </c>
      <c r="EH56" s="12" t="n">
        <f aca="false">IF(AND(132=p_MesCorte,ISNUMBER(r_S_INVPT)),r_S_INVPT,EH$55)</f>
        <v>0</v>
      </c>
      <c r="EI56" s="12" t="n">
        <f aca="false">IF(AND(133=p_MesCorte,ISNUMBER(r_S_INVPT)),r_S_INVPT,EI$55)</f>
        <v>0</v>
      </c>
      <c r="EJ56" s="12" t="n">
        <f aca="false">IF(AND(134=p_MesCorte,ISNUMBER(r_S_INVPT)),r_S_INVPT,EJ$55)</f>
        <v>0</v>
      </c>
      <c r="EK56" s="12" t="n">
        <f aca="false">IF(AND(135=p_MesCorte,ISNUMBER(r_S_INVPT)),r_S_INVPT,EK$55)</f>
        <v>0</v>
      </c>
      <c r="EL56" s="12" t="n">
        <f aca="false">IF(AND(136=p_MesCorte,ISNUMBER(r_S_INVPT)),r_S_INVPT,EL$55)</f>
        <v>0</v>
      </c>
      <c r="EM56" s="12" t="n">
        <f aca="false">IF(AND(137=p_MesCorte,ISNUMBER(r_S_INVPT)),r_S_INVPT,EM$55)</f>
        <v>0</v>
      </c>
      <c r="EN56" s="12" t="n">
        <f aca="false">IF(AND(138=p_MesCorte,ISNUMBER(r_S_INVPT)),r_S_INVPT,EN$55)</f>
        <v>0</v>
      </c>
      <c r="EO56" s="12" t="n">
        <f aca="false">IF(AND(139=p_MesCorte,ISNUMBER(r_S_INVPT)),r_S_INVPT,EO$55)</f>
        <v>0</v>
      </c>
      <c r="EP56" s="12" t="n">
        <f aca="false">IF(AND(140=p_MesCorte,ISNUMBER(r_S_INVPT)),r_S_INVPT,EP$55)</f>
        <v>0</v>
      </c>
      <c r="EQ56" s="12" t="n">
        <f aca="false">IF(AND(141=p_MesCorte,ISNUMBER(r_S_INVPT)),r_S_INVPT,EQ$55)</f>
        <v>0</v>
      </c>
      <c r="ER56" s="12" t="n">
        <f aca="false">IF(AND(142=p_MesCorte,ISNUMBER(r_S_INVPT)),r_S_INVPT,ER$55)</f>
        <v>0</v>
      </c>
      <c r="ES56" s="12" t="n">
        <f aca="false">IF(AND(143=p_MesCorte,ISNUMBER(r_S_INVPT)),r_S_INVPT,ES$55)</f>
        <v>0</v>
      </c>
      <c r="ET56" s="12" t="n">
        <f aca="false">IF(AND(144=p_MesCorte,ISNUMBER(r_S_INVPT)),r_S_INVPT,ET$55)</f>
        <v>0</v>
      </c>
      <c r="EU56" s="12" t="n">
        <f aca="false">IF(AND(145=p_MesCorte,ISNUMBER(r_S_INVPT)),r_S_INVPT,EU$55)</f>
        <v>0</v>
      </c>
      <c r="EV56" s="12" t="n">
        <f aca="false">IF(AND(146=p_MesCorte,ISNUMBER(r_S_INVPT)),r_S_INVPT,EV$55)</f>
        <v>0</v>
      </c>
      <c r="EW56" s="12" t="n">
        <f aca="false">IF(AND(147=p_MesCorte,ISNUMBER(r_S_INVPT)),r_S_INVPT,EW$55)</f>
        <v>0</v>
      </c>
      <c r="EX56" s="12" t="n">
        <f aca="false">IF(AND(148=p_MesCorte,ISNUMBER(r_S_INVPT)),r_S_INVPT,EX$55)</f>
        <v>0</v>
      </c>
      <c r="EY56" s="12" t="n">
        <f aca="false">IF(AND(149=p_MesCorte,ISNUMBER(r_S_INVPT)),r_S_INVPT,EY$55)</f>
        <v>0</v>
      </c>
      <c r="EZ56" s="12" t="n">
        <f aca="false">IF(AND(150=p_MesCorte,ISNUMBER(r_S_INVPT)),r_S_INVPT,EZ$55)</f>
        <v>0</v>
      </c>
      <c r="FA56" s="12" t="n">
        <f aca="false">IF(AND(151=p_MesCorte,ISNUMBER(r_S_INVPT)),r_S_INVPT,FA$55)</f>
        <v>0</v>
      </c>
      <c r="FB56" s="12" t="n">
        <f aca="false">IF(AND(152=p_MesCorte,ISNUMBER(r_S_INVPT)),r_S_INVPT,FB$55)</f>
        <v>0</v>
      </c>
      <c r="FC56" s="12" t="n">
        <f aca="false">IF(AND(153=p_MesCorte,ISNUMBER(r_S_INVPT)),r_S_INVPT,FC$55)</f>
        <v>0</v>
      </c>
      <c r="FD56" s="12" t="n">
        <f aca="false">IF(AND(154=p_MesCorte,ISNUMBER(r_S_INVPT)),r_S_INVPT,FD$55)</f>
        <v>0</v>
      </c>
      <c r="FE56" s="12" t="n">
        <f aca="false">IF(AND(155=p_MesCorte,ISNUMBER(r_S_INVPT)),r_S_INVPT,FE$55)</f>
        <v>0</v>
      </c>
      <c r="FF56" s="12" t="n">
        <f aca="false">IF(AND(156=p_MesCorte,ISNUMBER(r_S_INVPT)),r_S_INVPT,FF$55)</f>
        <v>0</v>
      </c>
    </row>
    <row r="57" customFormat="false" ht="15" hidden="false" customHeight="false" outlineLevel="0" collapsed="false">
      <c r="A57" s="2" t="s">
        <v>1366</v>
      </c>
      <c r="B57" s="8" t="s">
        <v>1367</v>
      </c>
      <c r="C57" s="8" t="s">
        <v>255</v>
      </c>
      <c r="E57" s="65" t="n">
        <f aca="false">SUM($F57:$FF57)</f>
        <v>0</v>
      </c>
      <c r="F57" s="13" t="n">
        <f aca="false">F$56-F$55</f>
        <v>0</v>
      </c>
      <c r="G57" s="13" t="n">
        <f aca="false">G$56-G$55</f>
        <v>0</v>
      </c>
      <c r="H57" s="13" t="n">
        <f aca="false">H$56-H$55</f>
        <v>0</v>
      </c>
      <c r="I57" s="13" t="n">
        <f aca="false">I$56-I$55</f>
        <v>0</v>
      </c>
      <c r="J57" s="13" t="n">
        <f aca="false">J$56-J$55</f>
        <v>0</v>
      </c>
      <c r="K57" s="13" t="n">
        <f aca="false">K$56-K$55</f>
        <v>0</v>
      </c>
      <c r="L57" s="13" t="n">
        <f aca="false">L$56-L$55</f>
        <v>0</v>
      </c>
      <c r="M57" s="13" t="n">
        <f aca="false">M$56-M$55</f>
        <v>0</v>
      </c>
      <c r="N57" s="13" t="n">
        <f aca="false">N$56-N$55</f>
        <v>0</v>
      </c>
      <c r="O57" s="13" t="n">
        <f aca="false">O$56-O$55</f>
        <v>0</v>
      </c>
      <c r="P57" s="13" t="n">
        <f aca="false">P$56-P$55</f>
        <v>0</v>
      </c>
      <c r="Q57" s="13" t="n">
        <f aca="false">Q$56-Q$55</f>
        <v>0</v>
      </c>
      <c r="R57" s="13" t="n">
        <f aca="false">R$56-R$55</f>
        <v>0</v>
      </c>
      <c r="S57" s="13" t="n">
        <f aca="false">S$56-S$55</f>
        <v>0</v>
      </c>
      <c r="T57" s="13" t="n">
        <f aca="false">T$56-T$55</f>
        <v>0</v>
      </c>
      <c r="U57" s="13" t="n">
        <f aca="false">U$56-U$55</f>
        <v>0</v>
      </c>
      <c r="V57" s="13" t="n">
        <f aca="false">V$56-V$55</f>
        <v>0</v>
      </c>
      <c r="W57" s="13" t="n">
        <f aca="false">W$56-W$55</f>
        <v>0</v>
      </c>
      <c r="X57" s="13" t="n">
        <f aca="false">X$56-X$55</f>
        <v>0</v>
      </c>
      <c r="Y57" s="13" t="n">
        <f aca="false">Y$56-Y$55</f>
        <v>0</v>
      </c>
      <c r="Z57" s="13" t="n">
        <f aca="false">Z$56-Z$55</f>
        <v>0</v>
      </c>
      <c r="AA57" s="13" t="n">
        <f aca="false">AA$56-AA$55</f>
        <v>0</v>
      </c>
      <c r="AB57" s="13" t="n">
        <f aca="false">AB$56-AB$55</f>
        <v>0</v>
      </c>
      <c r="AC57" s="13" t="n">
        <f aca="false">AC$56-AC$55</f>
        <v>0</v>
      </c>
      <c r="AD57" s="13" t="n">
        <f aca="false">AD$56-AD$55</f>
        <v>0</v>
      </c>
      <c r="AE57" s="13" t="n">
        <f aca="false">AE$56-AE$55</f>
        <v>0</v>
      </c>
      <c r="AF57" s="13" t="n">
        <f aca="false">AF$56-AF$55</f>
        <v>0</v>
      </c>
      <c r="AG57" s="13" t="n">
        <f aca="false">AG$56-AG$55</f>
        <v>0</v>
      </c>
      <c r="AH57" s="13" t="n">
        <f aca="false">AH$56-AH$55</f>
        <v>0</v>
      </c>
      <c r="AI57" s="13" t="n">
        <f aca="false">AI$56-AI$55</f>
        <v>0</v>
      </c>
      <c r="AJ57" s="13" t="n">
        <f aca="false">AJ$56-AJ$55</f>
        <v>0</v>
      </c>
      <c r="AK57" s="13" t="n">
        <f aca="false">AK$56-AK$55</f>
        <v>0</v>
      </c>
      <c r="AL57" s="13" t="n">
        <f aca="false">AL$56-AL$55</f>
        <v>0</v>
      </c>
      <c r="AM57" s="13" t="n">
        <f aca="false">AM$56-AM$55</f>
        <v>0</v>
      </c>
      <c r="AN57" s="13" t="n">
        <f aca="false">AN$56-AN$55</f>
        <v>0</v>
      </c>
      <c r="AO57" s="13" t="n">
        <f aca="false">AO$56-AO$55</f>
        <v>0</v>
      </c>
      <c r="AP57" s="13" t="n">
        <f aca="false">AP$56-AP$55</f>
        <v>0</v>
      </c>
      <c r="AQ57" s="13" t="n">
        <f aca="false">AQ$56-AQ$55</f>
        <v>0</v>
      </c>
      <c r="AR57" s="13" t="n">
        <f aca="false">AR$56-AR$55</f>
        <v>0</v>
      </c>
      <c r="AS57" s="13" t="n">
        <f aca="false">AS$56-AS$55</f>
        <v>0</v>
      </c>
      <c r="AT57" s="13" t="n">
        <f aca="false">AT$56-AT$55</f>
        <v>0</v>
      </c>
      <c r="AU57" s="13" t="n">
        <f aca="false">AU$56-AU$55</f>
        <v>0</v>
      </c>
      <c r="AV57" s="13" t="n">
        <f aca="false">AV$56-AV$55</f>
        <v>0</v>
      </c>
      <c r="AW57" s="13" t="n">
        <f aca="false">AW$56-AW$55</f>
        <v>0</v>
      </c>
      <c r="AX57" s="13" t="n">
        <f aca="false">AX$56-AX$55</f>
        <v>0</v>
      </c>
      <c r="AY57" s="13" t="n">
        <f aca="false">AY$56-AY$55</f>
        <v>0</v>
      </c>
      <c r="AZ57" s="13" t="n">
        <f aca="false">AZ$56-AZ$55</f>
        <v>0</v>
      </c>
      <c r="BA57" s="13" t="n">
        <f aca="false">BA$56-BA$55</f>
        <v>0</v>
      </c>
      <c r="BB57" s="13" t="n">
        <f aca="false">BB$56-BB$55</f>
        <v>0</v>
      </c>
      <c r="BC57" s="13" t="n">
        <f aca="false">BC$56-BC$55</f>
        <v>0</v>
      </c>
      <c r="BD57" s="13" t="n">
        <f aca="false">BD$56-BD$55</f>
        <v>0</v>
      </c>
      <c r="BE57" s="13" t="n">
        <f aca="false">BE$56-BE$55</f>
        <v>0</v>
      </c>
      <c r="BF57" s="13" t="n">
        <f aca="false">BF$56-BF$55</f>
        <v>0</v>
      </c>
      <c r="BG57" s="13" t="n">
        <f aca="false">BG$56-BG$55</f>
        <v>0</v>
      </c>
      <c r="BH57" s="13" t="n">
        <f aca="false">BH$56-BH$55</f>
        <v>0</v>
      </c>
      <c r="BI57" s="13" t="n">
        <f aca="false">BI$56-BI$55</f>
        <v>0</v>
      </c>
      <c r="BJ57" s="13" t="n">
        <f aca="false">BJ$56-BJ$55</f>
        <v>0</v>
      </c>
      <c r="BK57" s="13" t="n">
        <f aca="false">BK$56-BK$55</f>
        <v>0</v>
      </c>
      <c r="BL57" s="13" t="n">
        <f aca="false">BL$56-BL$55</f>
        <v>0</v>
      </c>
      <c r="BM57" s="13" t="n">
        <f aca="false">BM$56-BM$55</f>
        <v>0</v>
      </c>
      <c r="BN57" s="13" t="n">
        <f aca="false">BN$56-BN$55</f>
        <v>0</v>
      </c>
      <c r="BO57" s="13" t="n">
        <f aca="false">BO$56-BO$55</f>
        <v>0</v>
      </c>
      <c r="BP57" s="13" t="n">
        <f aca="false">BP$56-BP$55</f>
        <v>0</v>
      </c>
      <c r="BQ57" s="13" t="n">
        <f aca="false">BQ$56-BQ$55</f>
        <v>0</v>
      </c>
      <c r="BR57" s="13" t="n">
        <f aca="false">BR$56-BR$55</f>
        <v>0</v>
      </c>
      <c r="BS57" s="13" t="n">
        <f aca="false">BS$56-BS$55</f>
        <v>0</v>
      </c>
      <c r="BT57" s="13" t="n">
        <f aca="false">BT$56-BT$55</f>
        <v>0</v>
      </c>
      <c r="BU57" s="13" t="n">
        <f aca="false">BU$56-BU$55</f>
        <v>0</v>
      </c>
      <c r="BV57" s="13" t="n">
        <f aca="false">BV$56-BV$55</f>
        <v>0</v>
      </c>
      <c r="BW57" s="13" t="n">
        <f aca="false">BW$56-BW$55</f>
        <v>0</v>
      </c>
      <c r="BX57" s="13" t="n">
        <f aca="false">BX$56-BX$55</f>
        <v>0</v>
      </c>
      <c r="BY57" s="13" t="n">
        <f aca="false">BY$56-BY$55</f>
        <v>0</v>
      </c>
      <c r="BZ57" s="13" t="n">
        <f aca="false">BZ$56-BZ$55</f>
        <v>0</v>
      </c>
      <c r="CA57" s="13" t="n">
        <f aca="false">CA$56-CA$55</f>
        <v>0</v>
      </c>
      <c r="CB57" s="13" t="n">
        <f aca="false">CB$56-CB$55</f>
        <v>0</v>
      </c>
      <c r="CC57" s="13" t="n">
        <f aca="false">CC$56-CC$55</f>
        <v>0</v>
      </c>
      <c r="CD57" s="13" t="n">
        <f aca="false">CD$56-CD$55</f>
        <v>0</v>
      </c>
      <c r="CE57" s="13" t="n">
        <f aca="false">CE$56-CE$55</f>
        <v>0</v>
      </c>
      <c r="CF57" s="13" t="n">
        <f aca="false">CF$56-CF$55</f>
        <v>0</v>
      </c>
      <c r="CG57" s="13" t="n">
        <f aca="false">CG$56-CG$55</f>
        <v>0</v>
      </c>
      <c r="CH57" s="13" t="n">
        <f aca="false">CH$56-CH$55</f>
        <v>0</v>
      </c>
      <c r="CI57" s="13" t="n">
        <f aca="false">CI$56-CI$55</f>
        <v>0</v>
      </c>
      <c r="CJ57" s="13" t="n">
        <f aca="false">CJ$56-CJ$55</f>
        <v>0</v>
      </c>
      <c r="CK57" s="13" t="n">
        <f aca="false">CK$56-CK$55</f>
        <v>0</v>
      </c>
      <c r="CL57" s="13" t="n">
        <f aca="false">CL$56-CL$55</f>
        <v>0</v>
      </c>
      <c r="CM57" s="13" t="n">
        <f aca="false">CM$56-CM$55</f>
        <v>0</v>
      </c>
      <c r="CN57" s="13" t="n">
        <f aca="false">CN$56-CN$55</f>
        <v>0</v>
      </c>
      <c r="CO57" s="13" t="n">
        <f aca="false">CO$56-CO$55</f>
        <v>0</v>
      </c>
      <c r="CP57" s="13" t="n">
        <f aca="false">CP$56-CP$55</f>
        <v>0</v>
      </c>
      <c r="CQ57" s="13" t="n">
        <f aca="false">CQ$56-CQ$55</f>
        <v>0</v>
      </c>
      <c r="CR57" s="13" t="n">
        <f aca="false">CR$56-CR$55</f>
        <v>0</v>
      </c>
      <c r="CS57" s="13" t="n">
        <f aca="false">CS$56-CS$55</f>
        <v>0</v>
      </c>
      <c r="CT57" s="13" t="n">
        <f aca="false">CT$56-CT$55</f>
        <v>0</v>
      </c>
      <c r="CU57" s="13" t="n">
        <f aca="false">CU$56-CU$55</f>
        <v>0</v>
      </c>
      <c r="CV57" s="13" t="n">
        <f aca="false">CV$56-CV$55</f>
        <v>0</v>
      </c>
      <c r="CW57" s="13" t="n">
        <f aca="false">CW$56-CW$55</f>
        <v>0</v>
      </c>
      <c r="CX57" s="13" t="n">
        <f aca="false">CX$56-CX$55</f>
        <v>0</v>
      </c>
      <c r="CY57" s="13" t="n">
        <f aca="false">CY$56-CY$55</f>
        <v>0</v>
      </c>
      <c r="CZ57" s="13" t="n">
        <f aca="false">CZ$56-CZ$55</f>
        <v>0</v>
      </c>
      <c r="DA57" s="13" t="n">
        <f aca="false">DA$56-DA$55</f>
        <v>0</v>
      </c>
      <c r="DB57" s="13" t="n">
        <f aca="false">DB$56-DB$55</f>
        <v>0</v>
      </c>
      <c r="DC57" s="13" t="n">
        <f aca="false">DC$56-DC$55</f>
        <v>0</v>
      </c>
      <c r="DD57" s="13" t="n">
        <f aca="false">DD$56-DD$55</f>
        <v>0</v>
      </c>
      <c r="DE57" s="13" t="n">
        <f aca="false">DE$56-DE$55</f>
        <v>0</v>
      </c>
      <c r="DF57" s="13" t="n">
        <f aca="false">DF$56-DF$55</f>
        <v>0</v>
      </c>
      <c r="DG57" s="13" t="n">
        <f aca="false">DG$56-DG$55</f>
        <v>0</v>
      </c>
      <c r="DH57" s="13" t="n">
        <f aca="false">DH$56-DH$55</f>
        <v>0</v>
      </c>
      <c r="DI57" s="13" t="n">
        <f aca="false">DI$56-DI$55</f>
        <v>0</v>
      </c>
      <c r="DJ57" s="13" t="n">
        <f aca="false">DJ$56-DJ$55</f>
        <v>0</v>
      </c>
      <c r="DK57" s="13" t="n">
        <f aca="false">DK$56-DK$55</f>
        <v>0</v>
      </c>
      <c r="DL57" s="13" t="n">
        <f aca="false">DL$56-DL$55</f>
        <v>0</v>
      </c>
      <c r="DM57" s="13" t="n">
        <f aca="false">DM$56-DM$55</f>
        <v>0</v>
      </c>
      <c r="DN57" s="13" t="n">
        <f aca="false">DN$56-DN$55</f>
        <v>0</v>
      </c>
      <c r="DO57" s="13" t="n">
        <f aca="false">DO$56-DO$55</f>
        <v>0</v>
      </c>
      <c r="DP57" s="13" t="n">
        <f aca="false">DP$56-DP$55</f>
        <v>0</v>
      </c>
      <c r="DQ57" s="13" t="n">
        <f aca="false">DQ$56-DQ$55</f>
        <v>0</v>
      </c>
      <c r="DR57" s="13" t="n">
        <f aca="false">DR$56-DR$55</f>
        <v>0</v>
      </c>
      <c r="DS57" s="13" t="n">
        <f aca="false">DS$56-DS$55</f>
        <v>0</v>
      </c>
      <c r="DT57" s="13" t="n">
        <f aca="false">DT$56-DT$55</f>
        <v>0</v>
      </c>
      <c r="DU57" s="13" t="n">
        <f aca="false">DU$56-DU$55</f>
        <v>0</v>
      </c>
      <c r="DV57" s="13" t="n">
        <f aca="false">DV$56-DV$55</f>
        <v>0</v>
      </c>
      <c r="DW57" s="13" t="n">
        <f aca="false">DW$56-DW$55</f>
        <v>0</v>
      </c>
      <c r="DX57" s="13" t="n">
        <f aca="false">DX$56-DX$55</f>
        <v>0</v>
      </c>
      <c r="DY57" s="13" t="n">
        <f aca="false">DY$56-DY$55</f>
        <v>0</v>
      </c>
      <c r="DZ57" s="13" t="n">
        <f aca="false">DZ$56-DZ$55</f>
        <v>0</v>
      </c>
      <c r="EA57" s="13" t="n">
        <f aca="false">EA$56-EA$55</f>
        <v>0</v>
      </c>
      <c r="EB57" s="13" t="n">
        <f aca="false">EB$56-EB$55</f>
        <v>0</v>
      </c>
      <c r="EC57" s="13" t="n">
        <f aca="false">EC$56-EC$55</f>
        <v>0</v>
      </c>
      <c r="ED57" s="13" t="n">
        <f aca="false">ED$56-ED$55</f>
        <v>0</v>
      </c>
      <c r="EE57" s="13" t="n">
        <f aca="false">EE$56-EE$55</f>
        <v>0</v>
      </c>
      <c r="EF57" s="13" t="n">
        <f aca="false">EF$56-EF$55</f>
        <v>0</v>
      </c>
      <c r="EG57" s="13" t="n">
        <f aca="false">EG$56-EG$55</f>
        <v>0</v>
      </c>
      <c r="EH57" s="13" t="n">
        <f aca="false">EH$56-EH$55</f>
        <v>0</v>
      </c>
      <c r="EI57" s="13" t="n">
        <f aca="false">EI$56-EI$55</f>
        <v>0</v>
      </c>
      <c r="EJ57" s="13" t="n">
        <f aca="false">EJ$56-EJ$55</f>
        <v>0</v>
      </c>
      <c r="EK57" s="13" t="n">
        <f aca="false">EK$56-EK$55</f>
        <v>0</v>
      </c>
      <c r="EL57" s="13" t="n">
        <f aca="false">EL$56-EL$55</f>
        <v>0</v>
      </c>
      <c r="EM57" s="13" t="n">
        <f aca="false">EM$56-EM$55</f>
        <v>0</v>
      </c>
      <c r="EN57" s="13" t="n">
        <f aca="false">EN$56-EN$55</f>
        <v>0</v>
      </c>
      <c r="EO57" s="13" t="n">
        <f aca="false">EO$56-EO$55</f>
        <v>0</v>
      </c>
      <c r="EP57" s="13" t="n">
        <f aca="false">EP$56-EP$55</f>
        <v>0</v>
      </c>
      <c r="EQ57" s="13" t="n">
        <f aca="false">EQ$56-EQ$55</f>
        <v>0</v>
      </c>
      <c r="ER57" s="13" t="n">
        <f aca="false">ER$56-ER$55</f>
        <v>0</v>
      </c>
      <c r="ES57" s="13" t="n">
        <f aca="false">ES$56-ES$55</f>
        <v>0</v>
      </c>
      <c r="ET57" s="13" t="n">
        <f aca="false">ET$56-ET$55</f>
        <v>0</v>
      </c>
      <c r="EU57" s="13" t="n">
        <f aca="false">EU$56-EU$55</f>
        <v>0</v>
      </c>
      <c r="EV57" s="13" t="n">
        <f aca="false">EV$56-EV$55</f>
        <v>0</v>
      </c>
      <c r="EW57" s="13" t="n">
        <f aca="false">EW$56-EW$55</f>
        <v>0</v>
      </c>
      <c r="EX57" s="13" t="n">
        <f aca="false">EX$56-EX$55</f>
        <v>0</v>
      </c>
      <c r="EY57" s="13" t="n">
        <f aca="false">EY$56-EY$55</f>
        <v>0</v>
      </c>
      <c r="EZ57" s="13" t="n">
        <f aca="false">EZ$56-EZ$55</f>
        <v>0</v>
      </c>
      <c r="FA57" s="13" t="n">
        <f aca="false">FA$56-FA$55</f>
        <v>0</v>
      </c>
      <c r="FB57" s="13" t="n">
        <f aca="false">FB$56-FB$55</f>
        <v>0</v>
      </c>
      <c r="FC57" s="13" t="n">
        <f aca="false">FC$56-FC$55</f>
        <v>0</v>
      </c>
      <c r="FD57" s="13" t="n">
        <f aca="false">FD$56-FD$55</f>
        <v>0</v>
      </c>
      <c r="FE57" s="13" t="n">
        <f aca="false">FE$56-FE$55</f>
        <v>0</v>
      </c>
      <c r="FF57" s="13" t="n">
        <f aca="false">FF$56-FF$55</f>
        <v>0</v>
      </c>
    </row>
    <row r="58" customFormat="false" ht="15" hidden="false" customHeight="false" outlineLevel="0" collapsed="false">
      <c r="A58" s="2" t="s">
        <v>1368</v>
      </c>
      <c r="B58" s="8" t="s">
        <v>1369</v>
      </c>
      <c r="C58" s="8" t="s">
        <v>255</v>
      </c>
      <c r="E58" s="65" t="n">
        <f aca="false">INDEX($F58:$FF58,1,p_MesFin+1)</f>
        <v>21892.6744604992</v>
      </c>
      <c r="F58" s="13" t="n">
        <f aca="false">IF(Calendario!F$13=1,Costos_Personal!F$97*e_DiasAntPers/p_DiasMes,0)</f>
        <v>0</v>
      </c>
      <c r="G58" s="13" t="n">
        <f aca="false">IF(Calendario!G$13=1,Costos_Personal!G$97*e_DiasAntPers/p_DiasMes,F$58)</f>
        <v>19605.3818652655</v>
      </c>
      <c r="H58" s="13" t="n">
        <f aca="false">IF(Calendario!H$13=1,Costos_Personal!H$97*e_DiasAntPers/p_DiasMes,G$58)</f>
        <v>19605.3818652655</v>
      </c>
      <c r="I58" s="13" t="n">
        <f aca="false">IF(Calendario!I$13=1,Costos_Personal!I$97*e_DiasAntPers/p_DiasMes,H$58)</f>
        <v>19605.3818652655</v>
      </c>
      <c r="J58" s="13" t="n">
        <f aca="false">IF(Calendario!J$13=1,Costos_Personal!J$97*e_DiasAntPers/p_DiasMes,I$58)</f>
        <v>19605.3818652655</v>
      </c>
      <c r="K58" s="13" t="n">
        <f aca="false">IF(Calendario!K$13=1,Costos_Personal!K$97*e_DiasAntPers/p_DiasMes,J$58)</f>
        <v>19605.3818652655</v>
      </c>
      <c r="L58" s="13" t="n">
        <f aca="false">IF(Calendario!L$13=1,Costos_Personal!L$97*e_DiasAntPers/p_DiasMes,K$58)</f>
        <v>19605.3818652655</v>
      </c>
      <c r="M58" s="13" t="n">
        <f aca="false">IF(Calendario!M$13=1,Costos_Personal!M$97*e_DiasAntPers/p_DiasMes,L$58)</f>
        <v>19605.3818652655</v>
      </c>
      <c r="N58" s="13" t="n">
        <f aca="false">IF(Calendario!N$13=1,Costos_Personal!N$97*e_DiasAntPers/p_DiasMes,M$58)</f>
        <v>19605.3818652655</v>
      </c>
      <c r="O58" s="13" t="n">
        <f aca="false">IF(Calendario!O$13=1,Costos_Personal!O$97*e_DiasAntPers/p_DiasMes,N$58)</f>
        <v>19605.3818652655</v>
      </c>
      <c r="P58" s="13" t="n">
        <f aca="false">IF(Calendario!P$13=1,Costos_Personal!P$97*e_DiasAntPers/p_DiasMes,O$58)</f>
        <v>19605.3818652655</v>
      </c>
      <c r="Q58" s="13" t="n">
        <f aca="false">IF(Calendario!Q$13=1,Costos_Personal!Q$97*e_DiasAntPers/p_DiasMes,P$58)</f>
        <v>19605.3818652655</v>
      </c>
      <c r="R58" s="13" t="n">
        <f aca="false">IF(Calendario!R$13=1,Costos_Personal!R$97*e_DiasAntPers/p_DiasMes,Q$58)</f>
        <v>19605.3818652655</v>
      </c>
      <c r="S58" s="13" t="n">
        <f aca="false">IF(Calendario!S$13=1,Costos_Personal!S$97*e_DiasAntPers/p_DiasMes,R$58)</f>
        <v>19605.3818652655</v>
      </c>
      <c r="T58" s="13" t="n">
        <f aca="false">IF(Calendario!T$13=1,Costos_Personal!T$97*e_DiasAntPers/p_DiasMes,S$58)</f>
        <v>19605.3818652655</v>
      </c>
      <c r="U58" s="13" t="n">
        <f aca="false">IF(Calendario!U$13=1,Costos_Personal!U$97*e_DiasAntPers/p_DiasMes,T$58)</f>
        <v>19605.3818652655</v>
      </c>
      <c r="V58" s="13" t="n">
        <f aca="false">IF(Calendario!V$13=1,Costos_Personal!V$97*e_DiasAntPers/p_DiasMes,U$58)</f>
        <v>19605.3818652655</v>
      </c>
      <c r="W58" s="13" t="n">
        <f aca="false">IF(Calendario!W$13=1,Costos_Personal!W$97*e_DiasAntPers/p_DiasMes,V$58)</f>
        <v>19605.3818652655</v>
      </c>
      <c r="X58" s="13" t="n">
        <f aca="false">IF(Calendario!X$13=1,Costos_Personal!X$97*e_DiasAntPers/p_DiasMes,W$58)</f>
        <v>19605.3818652655</v>
      </c>
      <c r="Y58" s="13" t="n">
        <f aca="false">IF(Calendario!Y$13=1,Costos_Personal!Y$97*e_DiasAntPers/p_DiasMes,X$58)</f>
        <v>19605.3818652655</v>
      </c>
      <c r="Z58" s="13" t="n">
        <f aca="false">IF(Calendario!Z$13=1,Costos_Personal!Z$97*e_DiasAntPers/p_DiasMes,Y$58)</f>
        <v>19605.3818652655</v>
      </c>
      <c r="AA58" s="13" t="n">
        <f aca="false">IF(Calendario!AA$13=1,Costos_Personal!AA$97*e_DiasAntPers/p_DiasMes,Z$58)</f>
        <v>19605.3818652655</v>
      </c>
      <c r="AB58" s="13" t="n">
        <f aca="false">IF(Calendario!AB$13=1,Costos_Personal!AB$97*e_DiasAntPers/p_DiasMes,AA$58)</f>
        <v>19605.3818652655</v>
      </c>
      <c r="AC58" s="13" t="n">
        <f aca="false">IF(Calendario!AC$13=1,Costos_Personal!AC$97*e_DiasAntPers/p_DiasMes,AB$58)</f>
        <v>19605.3818652655</v>
      </c>
      <c r="AD58" s="13" t="n">
        <f aca="false">IF(Calendario!AD$13=1,Costos_Personal!AD$97*e_DiasAntPers/p_DiasMes,AC$58)</f>
        <v>19605.3818652655</v>
      </c>
      <c r="AE58" s="13" t="n">
        <f aca="false">IF(Calendario!AE$13=1,Costos_Personal!AE$97*e_DiasAntPers/p_DiasMes,AD$58)</f>
        <v>20435.527070745</v>
      </c>
      <c r="AF58" s="13" t="n">
        <f aca="false">IF(Calendario!AF$13=1,Costos_Personal!AF$97*e_DiasAntPers/p_DiasMes,AE$58)</f>
        <v>20435.527070745</v>
      </c>
      <c r="AG58" s="13" t="n">
        <f aca="false">IF(Calendario!AG$13=1,Costos_Personal!AG$97*e_DiasAntPers/p_DiasMes,AF$58)</f>
        <v>20435.527070745</v>
      </c>
      <c r="AH58" s="13" t="n">
        <f aca="false">IF(Calendario!AH$13=1,Costos_Personal!AH$97*e_DiasAntPers/p_DiasMes,AG$58)</f>
        <v>20435.527070745</v>
      </c>
      <c r="AI58" s="13" t="n">
        <f aca="false">IF(Calendario!AI$13=1,Costos_Personal!AI$97*e_DiasAntPers/p_DiasMes,AH$58)</f>
        <v>20435.527070745</v>
      </c>
      <c r="AJ58" s="13" t="n">
        <f aca="false">IF(Calendario!AJ$13=1,Costos_Personal!AJ$97*e_DiasAntPers/p_DiasMes,AI$58)</f>
        <v>20435.527070745</v>
      </c>
      <c r="AK58" s="13" t="n">
        <f aca="false">IF(Calendario!AK$13=1,Costos_Personal!AK$97*e_DiasAntPers/p_DiasMes,AJ$58)</f>
        <v>20435.527070745</v>
      </c>
      <c r="AL58" s="13" t="n">
        <f aca="false">IF(Calendario!AL$13=1,Costos_Personal!AL$97*e_DiasAntPers/p_DiasMes,AK$58)</f>
        <v>20435.527070745</v>
      </c>
      <c r="AM58" s="13" t="n">
        <f aca="false">IF(Calendario!AM$13=1,Costos_Personal!AM$97*e_DiasAntPers/p_DiasMes,AL$58)</f>
        <v>20435.527070745</v>
      </c>
      <c r="AN58" s="13" t="n">
        <f aca="false">IF(Calendario!AN$13=1,Costos_Personal!AN$97*e_DiasAntPers/p_DiasMes,AM$58)</f>
        <v>20435.527070745</v>
      </c>
      <c r="AO58" s="13" t="n">
        <f aca="false">IF(Calendario!AO$13=1,Costos_Personal!AO$97*e_DiasAntPers/p_DiasMes,AN$58)</f>
        <v>20435.527070745</v>
      </c>
      <c r="AP58" s="13" t="n">
        <f aca="false">IF(Calendario!AP$13=1,Costos_Personal!AP$97*e_DiasAntPers/p_DiasMes,AO$58)</f>
        <v>20435.527070745</v>
      </c>
      <c r="AQ58" s="13" t="n">
        <f aca="false">IF(Calendario!AQ$13=1,Costos_Personal!AQ$97*e_DiasAntPers/p_DiasMes,AP$58)</f>
        <v>21084.0282604616</v>
      </c>
      <c r="AR58" s="13" t="n">
        <f aca="false">IF(Calendario!AR$13=1,Costos_Personal!AR$97*e_DiasAntPers/p_DiasMes,AQ$58)</f>
        <v>21084.0282604616</v>
      </c>
      <c r="AS58" s="13" t="n">
        <f aca="false">IF(Calendario!AS$13=1,Costos_Personal!AS$97*e_DiasAntPers/p_DiasMes,AR$58)</f>
        <v>21084.0282604616</v>
      </c>
      <c r="AT58" s="13" t="n">
        <f aca="false">IF(Calendario!AT$13=1,Costos_Personal!AT$97*e_DiasAntPers/p_DiasMes,AS$58)</f>
        <v>21084.0282604616</v>
      </c>
      <c r="AU58" s="13" t="n">
        <f aca="false">IF(Calendario!AU$13=1,Costos_Personal!AU$97*e_DiasAntPers/p_DiasMes,AT$58)</f>
        <v>21084.0282604616</v>
      </c>
      <c r="AV58" s="13" t="n">
        <f aca="false">IF(Calendario!AV$13=1,Costos_Personal!AV$97*e_DiasAntPers/p_DiasMes,AU$58)</f>
        <v>21084.0282604616</v>
      </c>
      <c r="AW58" s="13" t="n">
        <f aca="false">IF(Calendario!AW$13=1,Costos_Personal!AW$97*e_DiasAntPers/p_DiasMes,AV$58)</f>
        <v>21084.0282604616</v>
      </c>
      <c r="AX58" s="13" t="n">
        <f aca="false">IF(Calendario!AX$13=1,Costos_Personal!AX$97*e_DiasAntPers/p_DiasMes,AW$58)</f>
        <v>21084.0282604616</v>
      </c>
      <c r="AY58" s="13" t="n">
        <f aca="false">IF(Calendario!AY$13=1,Costos_Personal!AY$97*e_DiasAntPers/p_DiasMes,AX$58)</f>
        <v>21084.0282604616</v>
      </c>
      <c r="AZ58" s="13" t="n">
        <f aca="false">IF(Calendario!AZ$13=1,Costos_Personal!AZ$97*e_DiasAntPers/p_DiasMes,AY$58)</f>
        <v>21084.0282604616</v>
      </c>
      <c r="BA58" s="13" t="n">
        <f aca="false">IF(Calendario!BA$13=1,Costos_Personal!BA$97*e_DiasAntPers/p_DiasMes,AZ$58)</f>
        <v>21084.0282604616</v>
      </c>
      <c r="BB58" s="13" t="n">
        <f aca="false">IF(Calendario!BB$13=1,Costos_Personal!BB$97*e_DiasAntPers/p_DiasMes,BA$58)</f>
        <v>21084.0282604616</v>
      </c>
      <c r="BC58" s="13" t="n">
        <f aca="false">IF(Calendario!BC$13=1,Costos_Personal!BC$97*e_DiasAntPers/p_DiasMes,BB$58)</f>
        <v>21892.6744604992</v>
      </c>
      <c r="BD58" s="13" t="n">
        <f aca="false">IF(Calendario!BD$13=1,Costos_Personal!BD$97*e_DiasAntPers/p_DiasMes,BC$58)</f>
        <v>21892.6744604992</v>
      </c>
      <c r="BE58" s="13" t="n">
        <f aca="false">IF(Calendario!BE$13=1,Costos_Personal!BE$97*e_DiasAntPers/p_DiasMes,BD$58)</f>
        <v>21892.6744604992</v>
      </c>
      <c r="BF58" s="13" t="n">
        <f aca="false">IF(Calendario!BF$13=1,Costos_Personal!BF$97*e_DiasAntPers/p_DiasMes,BE$58)</f>
        <v>21892.6744604992</v>
      </c>
      <c r="BG58" s="13" t="n">
        <f aca="false">IF(Calendario!BG$13=1,Costos_Personal!BG$97*e_DiasAntPers/p_DiasMes,BF$58)</f>
        <v>21892.6744604992</v>
      </c>
      <c r="BH58" s="13" t="n">
        <f aca="false">IF(Calendario!BH$13=1,Costos_Personal!BH$97*e_DiasAntPers/p_DiasMes,BG$58)</f>
        <v>21892.6744604992</v>
      </c>
      <c r="BI58" s="13" t="n">
        <f aca="false">IF(Calendario!BI$13=1,Costos_Personal!BI$97*e_DiasAntPers/p_DiasMes,BH$58)</f>
        <v>21892.6744604992</v>
      </c>
      <c r="BJ58" s="13" t="n">
        <f aca="false">IF(Calendario!BJ$13=1,Costos_Personal!BJ$97*e_DiasAntPers/p_DiasMes,BI$58)</f>
        <v>21892.6744604992</v>
      </c>
      <c r="BK58" s="13" t="n">
        <f aca="false">IF(Calendario!BK$13=1,Costos_Personal!BK$97*e_DiasAntPers/p_DiasMes,BJ$58)</f>
        <v>21892.6744604992</v>
      </c>
      <c r="BL58" s="13" t="n">
        <f aca="false">IF(Calendario!BL$13=1,Costos_Personal!BL$97*e_DiasAntPers/p_DiasMes,BK$58)</f>
        <v>21892.6744604992</v>
      </c>
      <c r="BM58" s="13" t="n">
        <f aca="false">IF(Calendario!BM$13=1,Costos_Personal!BM$97*e_DiasAntPers/p_DiasMes,BL$58)</f>
        <v>21892.6744604992</v>
      </c>
      <c r="BN58" s="13" t="n">
        <f aca="false">IF(Calendario!BN$13=1,Costos_Personal!BN$97*e_DiasAntPers/p_DiasMes,BM$58)</f>
        <v>21892.6744604992</v>
      </c>
      <c r="BO58" s="13" t="n">
        <f aca="false">IF(Calendario!BO$13=1,Costos_Personal!BO$97*e_DiasAntPers/p_DiasMes,BN$58)</f>
        <v>21892.6744604992</v>
      </c>
      <c r="BP58" s="13" t="n">
        <f aca="false">IF(Calendario!BP$13=1,Costos_Personal!BP$97*e_DiasAntPers/p_DiasMes,BO$58)</f>
        <v>21892.6744604992</v>
      </c>
      <c r="BQ58" s="13" t="n">
        <f aca="false">IF(Calendario!BQ$13=1,Costos_Personal!BQ$97*e_DiasAntPers/p_DiasMes,BP$58)</f>
        <v>21892.6744604992</v>
      </c>
      <c r="BR58" s="13" t="n">
        <f aca="false">IF(Calendario!BR$13=1,Costos_Personal!BR$97*e_DiasAntPers/p_DiasMes,BQ$58)</f>
        <v>21892.6744604992</v>
      </c>
      <c r="BS58" s="13" t="n">
        <f aca="false">IF(Calendario!BS$13=1,Costos_Personal!BS$97*e_DiasAntPers/p_DiasMes,BR$58)</f>
        <v>21892.6744604992</v>
      </c>
      <c r="BT58" s="13" t="n">
        <f aca="false">IF(Calendario!BT$13=1,Costos_Personal!BT$97*e_DiasAntPers/p_DiasMes,BS$58)</f>
        <v>21892.6744604992</v>
      </c>
      <c r="BU58" s="13" t="n">
        <f aca="false">IF(Calendario!BU$13=1,Costos_Personal!BU$97*e_DiasAntPers/p_DiasMes,BT$58)</f>
        <v>21892.6744604992</v>
      </c>
      <c r="BV58" s="13" t="n">
        <f aca="false">IF(Calendario!BV$13=1,Costos_Personal!BV$97*e_DiasAntPers/p_DiasMes,BU$58)</f>
        <v>21892.6744604992</v>
      </c>
      <c r="BW58" s="13" t="n">
        <f aca="false">IF(Calendario!BW$13=1,Costos_Personal!BW$97*e_DiasAntPers/p_DiasMes,BV$58)</f>
        <v>21892.6744604992</v>
      </c>
      <c r="BX58" s="13" t="n">
        <f aca="false">IF(Calendario!BX$13=1,Costos_Personal!BX$97*e_DiasAntPers/p_DiasMes,BW$58)</f>
        <v>21892.6744604992</v>
      </c>
      <c r="BY58" s="13" t="n">
        <f aca="false">IF(Calendario!BY$13=1,Costos_Personal!BY$97*e_DiasAntPers/p_DiasMes,BX$58)</f>
        <v>21892.6744604992</v>
      </c>
      <c r="BZ58" s="13" t="n">
        <f aca="false">IF(Calendario!BZ$13=1,Costos_Personal!BZ$97*e_DiasAntPers/p_DiasMes,BY$58)</f>
        <v>21892.6744604992</v>
      </c>
      <c r="CA58" s="13" t="n">
        <f aca="false">IF(Calendario!CA$13=1,Costos_Personal!CA$97*e_DiasAntPers/p_DiasMes,BZ$58)</f>
        <v>21892.6744604992</v>
      </c>
      <c r="CB58" s="13" t="n">
        <f aca="false">IF(Calendario!CB$13=1,Costos_Personal!CB$97*e_DiasAntPers/p_DiasMes,CA$58)</f>
        <v>21892.6744604992</v>
      </c>
      <c r="CC58" s="13" t="n">
        <f aca="false">IF(Calendario!CC$13=1,Costos_Personal!CC$97*e_DiasAntPers/p_DiasMes,CB$58)</f>
        <v>21892.6744604992</v>
      </c>
      <c r="CD58" s="13" t="n">
        <f aca="false">IF(Calendario!CD$13=1,Costos_Personal!CD$97*e_DiasAntPers/p_DiasMes,CC$58)</f>
        <v>21892.6744604992</v>
      </c>
      <c r="CE58" s="13" t="n">
        <f aca="false">IF(Calendario!CE$13=1,Costos_Personal!CE$97*e_DiasAntPers/p_DiasMes,CD$58)</f>
        <v>21892.6744604992</v>
      </c>
      <c r="CF58" s="13" t="n">
        <f aca="false">IF(Calendario!CF$13=1,Costos_Personal!CF$97*e_DiasAntPers/p_DiasMes,CE$58)</f>
        <v>21892.6744604992</v>
      </c>
      <c r="CG58" s="13" t="n">
        <f aca="false">IF(Calendario!CG$13=1,Costos_Personal!CG$97*e_DiasAntPers/p_DiasMes,CF$58)</f>
        <v>21892.6744604992</v>
      </c>
      <c r="CH58" s="13" t="n">
        <f aca="false">IF(Calendario!CH$13=1,Costos_Personal!CH$97*e_DiasAntPers/p_DiasMes,CG$58)</f>
        <v>21892.6744604992</v>
      </c>
      <c r="CI58" s="13" t="n">
        <f aca="false">IF(Calendario!CI$13=1,Costos_Personal!CI$97*e_DiasAntPers/p_DiasMes,CH$58)</f>
        <v>21892.6744604992</v>
      </c>
      <c r="CJ58" s="13" t="n">
        <f aca="false">IF(Calendario!CJ$13=1,Costos_Personal!CJ$97*e_DiasAntPers/p_DiasMes,CI$58)</f>
        <v>21892.6744604992</v>
      </c>
      <c r="CK58" s="13" t="n">
        <f aca="false">IF(Calendario!CK$13=1,Costos_Personal!CK$97*e_DiasAntPers/p_DiasMes,CJ$58)</f>
        <v>21892.6744604992</v>
      </c>
      <c r="CL58" s="13" t="n">
        <f aca="false">IF(Calendario!CL$13=1,Costos_Personal!CL$97*e_DiasAntPers/p_DiasMes,CK$58)</f>
        <v>21892.6744604992</v>
      </c>
      <c r="CM58" s="13" t="n">
        <f aca="false">IF(Calendario!CM$13=1,Costos_Personal!CM$97*e_DiasAntPers/p_DiasMes,CL$58)</f>
        <v>21892.6744604992</v>
      </c>
      <c r="CN58" s="13" t="n">
        <f aca="false">IF(Calendario!CN$13=1,Costos_Personal!CN$97*e_DiasAntPers/p_DiasMes,CM$58)</f>
        <v>21892.6744604992</v>
      </c>
      <c r="CO58" s="13" t="n">
        <f aca="false">IF(Calendario!CO$13=1,Costos_Personal!CO$97*e_DiasAntPers/p_DiasMes,CN$58)</f>
        <v>21892.6744604992</v>
      </c>
      <c r="CP58" s="13" t="n">
        <f aca="false">IF(Calendario!CP$13=1,Costos_Personal!CP$97*e_DiasAntPers/p_DiasMes,CO$58)</f>
        <v>21892.6744604992</v>
      </c>
      <c r="CQ58" s="13" t="n">
        <f aca="false">IF(Calendario!CQ$13=1,Costos_Personal!CQ$97*e_DiasAntPers/p_DiasMes,CP$58)</f>
        <v>21892.6744604992</v>
      </c>
      <c r="CR58" s="13" t="n">
        <f aca="false">IF(Calendario!CR$13=1,Costos_Personal!CR$97*e_DiasAntPers/p_DiasMes,CQ$58)</f>
        <v>21892.6744604992</v>
      </c>
      <c r="CS58" s="13" t="n">
        <f aca="false">IF(Calendario!CS$13=1,Costos_Personal!CS$97*e_DiasAntPers/p_DiasMes,CR$58)</f>
        <v>21892.6744604992</v>
      </c>
      <c r="CT58" s="13" t="n">
        <f aca="false">IF(Calendario!CT$13=1,Costos_Personal!CT$97*e_DiasAntPers/p_DiasMes,CS$58)</f>
        <v>21892.6744604992</v>
      </c>
      <c r="CU58" s="13" t="n">
        <f aca="false">IF(Calendario!CU$13=1,Costos_Personal!CU$97*e_DiasAntPers/p_DiasMes,CT$58)</f>
        <v>21892.6744604992</v>
      </c>
      <c r="CV58" s="13" t="n">
        <f aca="false">IF(Calendario!CV$13=1,Costos_Personal!CV$97*e_DiasAntPers/p_DiasMes,CU$58)</f>
        <v>21892.6744604992</v>
      </c>
      <c r="CW58" s="13" t="n">
        <f aca="false">IF(Calendario!CW$13=1,Costos_Personal!CW$97*e_DiasAntPers/p_DiasMes,CV$58)</f>
        <v>21892.6744604992</v>
      </c>
      <c r="CX58" s="13" t="n">
        <f aca="false">IF(Calendario!CX$13=1,Costos_Personal!CX$97*e_DiasAntPers/p_DiasMes,CW$58)</f>
        <v>21892.6744604992</v>
      </c>
      <c r="CY58" s="13" t="n">
        <f aca="false">IF(Calendario!CY$13=1,Costos_Personal!CY$97*e_DiasAntPers/p_DiasMes,CX$58)</f>
        <v>21892.6744604992</v>
      </c>
      <c r="CZ58" s="13" t="n">
        <f aca="false">IF(Calendario!CZ$13=1,Costos_Personal!CZ$97*e_DiasAntPers/p_DiasMes,CY$58)</f>
        <v>21892.6744604992</v>
      </c>
      <c r="DA58" s="13" t="n">
        <f aca="false">IF(Calendario!DA$13=1,Costos_Personal!DA$97*e_DiasAntPers/p_DiasMes,CZ$58)</f>
        <v>21892.6744604992</v>
      </c>
      <c r="DB58" s="13" t="n">
        <f aca="false">IF(Calendario!DB$13=1,Costos_Personal!DB$97*e_DiasAntPers/p_DiasMes,DA$58)</f>
        <v>21892.6744604992</v>
      </c>
      <c r="DC58" s="13" t="n">
        <f aca="false">IF(Calendario!DC$13=1,Costos_Personal!DC$97*e_DiasAntPers/p_DiasMes,DB$58)</f>
        <v>21892.6744604992</v>
      </c>
      <c r="DD58" s="13" t="n">
        <f aca="false">IF(Calendario!DD$13=1,Costos_Personal!DD$97*e_DiasAntPers/p_DiasMes,DC$58)</f>
        <v>21892.6744604992</v>
      </c>
      <c r="DE58" s="13" t="n">
        <f aca="false">IF(Calendario!DE$13=1,Costos_Personal!DE$97*e_DiasAntPers/p_DiasMes,DD$58)</f>
        <v>21892.6744604992</v>
      </c>
      <c r="DF58" s="13" t="n">
        <f aca="false">IF(Calendario!DF$13=1,Costos_Personal!DF$97*e_DiasAntPers/p_DiasMes,DE$58)</f>
        <v>21892.6744604992</v>
      </c>
      <c r="DG58" s="13" t="n">
        <f aca="false">IF(Calendario!DG$13=1,Costos_Personal!DG$97*e_DiasAntPers/p_DiasMes,DF$58)</f>
        <v>21892.6744604992</v>
      </c>
      <c r="DH58" s="13" t="n">
        <f aca="false">IF(Calendario!DH$13=1,Costos_Personal!DH$97*e_DiasAntPers/p_DiasMes,DG$58)</f>
        <v>21892.6744604992</v>
      </c>
      <c r="DI58" s="13" t="n">
        <f aca="false">IF(Calendario!DI$13=1,Costos_Personal!DI$97*e_DiasAntPers/p_DiasMes,DH$58)</f>
        <v>21892.6744604992</v>
      </c>
      <c r="DJ58" s="13" t="n">
        <f aca="false">IF(Calendario!DJ$13=1,Costos_Personal!DJ$97*e_DiasAntPers/p_DiasMes,DI$58)</f>
        <v>21892.6744604992</v>
      </c>
      <c r="DK58" s="13" t="n">
        <f aca="false">IF(Calendario!DK$13=1,Costos_Personal!DK$97*e_DiasAntPers/p_DiasMes,DJ$58)</f>
        <v>21892.6744604992</v>
      </c>
      <c r="DL58" s="13" t="n">
        <f aca="false">IF(Calendario!DL$13=1,Costos_Personal!DL$97*e_DiasAntPers/p_DiasMes,DK$58)</f>
        <v>21892.6744604992</v>
      </c>
      <c r="DM58" s="13" t="n">
        <f aca="false">IF(Calendario!DM$13=1,Costos_Personal!DM$97*e_DiasAntPers/p_DiasMes,DL$58)</f>
        <v>21892.6744604992</v>
      </c>
      <c r="DN58" s="13" t="n">
        <f aca="false">IF(Calendario!DN$13=1,Costos_Personal!DN$97*e_DiasAntPers/p_DiasMes,DM$58)</f>
        <v>21892.6744604992</v>
      </c>
      <c r="DO58" s="13" t="n">
        <f aca="false">IF(Calendario!DO$13=1,Costos_Personal!DO$97*e_DiasAntPers/p_DiasMes,DN$58)</f>
        <v>21892.6744604992</v>
      </c>
      <c r="DP58" s="13" t="n">
        <f aca="false">IF(Calendario!DP$13=1,Costos_Personal!DP$97*e_DiasAntPers/p_DiasMes,DO$58)</f>
        <v>21892.6744604992</v>
      </c>
      <c r="DQ58" s="13" t="n">
        <f aca="false">IF(Calendario!DQ$13=1,Costos_Personal!DQ$97*e_DiasAntPers/p_DiasMes,DP$58)</f>
        <v>21892.6744604992</v>
      </c>
      <c r="DR58" s="13" t="n">
        <f aca="false">IF(Calendario!DR$13=1,Costos_Personal!DR$97*e_DiasAntPers/p_DiasMes,DQ$58)</f>
        <v>21892.6744604992</v>
      </c>
      <c r="DS58" s="13" t="n">
        <f aca="false">IF(Calendario!DS$13=1,Costos_Personal!DS$97*e_DiasAntPers/p_DiasMes,DR$58)</f>
        <v>21892.6744604992</v>
      </c>
      <c r="DT58" s="13" t="n">
        <f aca="false">IF(Calendario!DT$13=1,Costos_Personal!DT$97*e_DiasAntPers/p_DiasMes,DS$58)</f>
        <v>21892.6744604992</v>
      </c>
      <c r="DU58" s="13" t="n">
        <f aca="false">IF(Calendario!DU$13=1,Costos_Personal!DU$97*e_DiasAntPers/p_DiasMes,DT$58)</f>
        <v>21892.6744604992</v>
      </c>
      <c r="DV58" s="13" t="n">
        <f aca="false">IF(Calendario!DV$13=1,Costos_Personal!DV$97*e_DiasAntPers/p_DiasMes,DU$58)</f>
        <v>21892.6744604992</v>
      </c>
      <c r="DW58" s="13" t="n">
        <f aca="false">IF(Calendario!DW$13=1,Costos_Personal!DW$97*e_DiasAntPers/p_DiasMes,DV$58)</f>
        <v>21892.6744604992</v>
      </c>
      <c r="DX58" s="13" t="n">
        <f aca="false">IF(Calendario!DX$13=1,Costos_Personal!DX$97*e_DiasAntPers/p_DiasMes,DW$58)</f>
        <v>21892.6744604992</v>
      </c>
      <c r="DY58" s="13" t="n">
        <f aca="false">IF(Calendario!DY$13=1,Costos_Personal!DY$97*e_DiasAntPers/p_DiasMes,DX$58)</f>
        <v>21892.6744604992</v>
      </c>
      <c r="DZ58" s="13" t="n">
        <f aca="false">IF(Calendario!DZ$13=1,Costos_Personal!DZ$97*e_DiasAntPers/p_DiasMes,DY$58)</f>
        <v>21892.6744604992</v>
      </c>
      <c r="EA58" s="13" t="n">
        <f aca="false">IF(Calendario!EA$13=1,Costos_Personal!EA$97*e_DiasAntPers/p_DiasMes,DZ$58)</f>
        <v>21892.6744604992</v>
      </c>
      <c r="EB58" s="13" t="n">
        <f aca="false">IF(Calendario!EB$13=1,Costos_Personal!EB$97*e_DiasAntPers/p_DiasMes,EA$58)</f>
        <v>21892.6744604992</v>
      </c>
      <c r="EC58" s="13" t="n">
        <f aca="false">IF(Calendario!EC$13=1,Costos_Personal!EC$97*e_DiasAntPers/p_DiasMes,EB$58)</f>
        <v>21892.6744604992</v>
      </c>
      <c r="ED58" s="13" t="n">
        <f aca="false">IF(Calendario!ED$13=1,Costos_Personal!ED$97*e_DiasAntPers/p_DiasMes,EC$58)</f>
        <v>21892.6744604992</v>
      </c>
      <c r="EE58" s="13" t="n">
        <f aca="false">IF(Calendario!EE$13=1,Costos_Personal!EE$97*e_DiasAntPers/p_DiasMes,ED$58)</f>
        <v>21892.6744604992</v>
      </c>
      <c r="EF58" s="13" t="n">
        <f aca="false">IF(Calendario!EF$13=1,Costos_Personal!EF$97*e_DiasAntPers/p_DiasMes,EE$58)</f>
        <v>21892.6744604992</v>
      </c>
      <c r="EG58" s="13" t="n">
        <f aca="false">IF(Calendario!EG$13=1,Costos_Personal!EG$97*e_DiasAntPers/p_DiasMes,EF$58)</f>
        <v>21892.6744604992</v>
      </c>
      <c r="EH58" s="13" t="n">
        <f aca="false">IF(Calendario!EH$13=1,Costos_Personal!EH$97*e_DiasAntPers/p_DiasMes,EG$58)</f>
        <v>21892.6744604992</v>
      </c>
      <c r="EI58" s="13" t="n">
        <f aca="false">IF(Calendario!EI$13=1,Costos_Personal!EI$97*e_DiasAntPers/p_DiasMes,EH$58)</f>
        <v>21892.6744604992</v>
      </c>
      <c r="EJ58" s="13" t="n">
        <f aca="false">IF(Calendario!EJ$13=1,Costos_Personal!EJ$97*e_DiasAntPers/p_DiasMes,EI$58)</f>
        <v>21892.6744604992</v>
      </c>
      <c r="EK58" s="13" t="n">
        <f aca="false">IF(Calendario!EK$13=1,Costos_Personal!EK$97*e_DiasAntPers/p_DiasMes,EJ$58)</f>
        <v>21892.6744604992</v>
      </c>
      <c r="EL58" s="13" t="n">
        <f aca="false">IF(Calendario!EL$13=1,Costos_Personal!EL$97*e_DiasAntPers/p_DiasMes,EK$58)</f>
        <v>21892.6744604992</v>
      </c>
      <c r="EM58" s="13" t="n">
        <f aca="false">IF(Calendario!EM$13=1,Costos_Personal!EM$97*e_DiasAntPers/p_DiasMes,EL$58)</f>
        <v>21892.6744604992</v>
      </c>
      <c r="EN58" s="13" t="n">
        <f aca="false">IF(Calendario!EN$13=1,Costos_Personal!EN$97*e_DiasAntPers/p_DiasMes,EM$58)</f>
        <v>21892.6744604992</v>
      </c>
      <c r="EO58" s="13" t="n">
        <f aca="false">IF(Calendario!EO$13=1,Costos_Personal!EO$97*e_DiasAntPers/p_DiasMes,EN$58)</f>
        <v>21892.6744604992</v>
      </c>
      <c r="EP58" s="13" t="n">
        <f aca="false">IF(Calendario!EP$13=1,Costos_Personal!EP$97*e_DiasAntPers/p_DiasMes,EO$58)</f>
        <v>21892.6744604992</v>
      </c>
      <c r="EQ58" s="13" t="n">
        <f aca="false">IF(Calendario!EQ$13=1,Costos_Personal!EQ$97*e_DiasAntPers/p_DiasMes,EP$58)</f>
        <v>21892.6744604992</v>
      </c>
      <c r="ER58" s="13" t="n">
        <f aca="false">IF(Calendario!ER$13=1,Costos_Personal!ER$97*e_DiasAntPers/p_DiasMes,EQ$58)</f>
        <v>21892.6744604992</v>
      </c>
      <c r="ES58" s="13" t="n">
        <f aca="false">IF(Calendario!ES$13=1,Costos_Personal!ES$97*e_DiasAntPers/p_DiasMes,ER$58)</f>
        <v>21892.6744604992</v>
      </c>
      <c r="ET58" s="13" t="n">
        <f aca="false">IF(Calendario!ET$13=1,Costos_Personal!ET$97*e_DiasAntPers/p_DiasMes,ES$58)</f>
        <v>21892.6744604992</v>
      </c>
      <c r="EU58" s="13" t="n">
        <f aca="false">IF(Calendario!EU$13=1,Costos_Personal!EU$97*e_DiasAntPers/p_DiasMes,ET$58)</f>
        <v>21892.6744604992</v>
      </c>
      <c r="EV58" s="13" t="n">
        <f aca="false">IF(Calendario!EV$13=1,Costos_Personal!EV$97*e_DiasAntPers/p_DiasMes,EU$58)</f>
        <v>21892.6744604992</v>
      </c>
      <c r="EW58" s="13" t="n">
        <f aca="false">IF(Calendario!EW$13=1,Costos_Personal!EW$97*e_DiasAntPers/p_DiasMes,EV$58)</f>
        <v>21892.6744604992</v>
      </c>
      <c r="EX58" s="13" t="n">
        <f aca="false">IF(Calendario!EX$13=1,Costos_Personal!EX$97*e_DiasAntPers/p_DiasMes,EW$58)</f>
        <v>21892.6744604992</v>
      </c>
      <c r="EY58" s="13" t="n">
        <f aca="false">IF(Calendario!EY$13=1,Costos_Personal!EY$97*e_DiasAntPers/p_DiasMes,EX$58)</f>
        <v>21892.6744604992</v>
      </c>
      <c r="EZ58" s="13" t="n">
        <f aca="false">IF(Calendario!EZ$13=1,Costos_Personal!EZ$97*e_DiasAntPers/p_DiasMes,EY$58)</f>
        <v>21892.6744604992</v>
      </c>
      <c r="FA58" s="13" t="n">
        <f aca="false">IF(Calendario!FA$13=1,Costos_Personal!FA$97*e_DiasAntPers/p_DiasMes,EZ$58)</f>
        <v>21892.6744604992</v>
      </c>
      <c r="FB58" s="13" t="n">
        <f aca="false">IF(Calendario!FB$13=1,Costos_Personal!FB$97*e_DiasAntPers/p_DiasMes,FA$58)</f>
        <v>21892.6744604992</v>
      </c>
      <c r="FC58" s="13" t="n">
        <f aca="false">IF(Calendario!FC$13=1,Costos_Personal!FC$97*e_DiasAntPers/p_DiasMes,FB$58)</f>
        <v>21892.6744604992</v>
      </c>
      <c r="FD58" s="13" t="n">
        <f aca="false">IF(Calendario!FD$13=1,Costos_Personal!FD$97*e_DiasAntPers/p_DiasMes,FC$58)</f>
        <v>21892.6744604992</v>
      </c>
      <c r="FE58" s="13" t="n">
        <f aca="false">IF(Calendario!FE$13=1,Costos_Personal!FE$97*e_DiasAntPers/p_DiasMes,FD$58)</f>
        <v>21892.6744604992</v>
      </c>
      <c r="FF58" s="13" t="n">
        <f aca="false">IF(Calendario!FF$13=1,Costos_Personal!FF$97*e_DiasAntPers/p_DiasMes,FE$58)</f>
        <v>21892.6744604992</v>
      </c>
    </row>
    <row r="59" customFormat="false" ht="15" hidden="false" customHeight="false" outlineLevel="0" collapsed="false">
      <c r="A59" s="4"/>
      <c r="B59" s="3" t="s">
        <v>1370</v>
      </c>
      <c r="C59" s="4"/>
      <c r="D59" s="4"/>
      <c r="E59" s="4"/>
    </row>
    <row r="60" customFormat="false" ht="15" hidden="false" customHeight="false" outlineLevel="0" collapsed="false">
      <c r="A60" s="2" t="s">
        <v>1371</v>
      </c>
      <c r="B60" s="8" t="s">
        <v>1372</v>
      </c>
      <c r="C60" s="8" t="s">
        <v>255</v>
      </c>
      <c r="E60" s="65" t="n">
        <f aca="false">INDEX($F60:$FF60,1,p_MesFin+1)</f>
        <v>3053048.89870023</v>
      </c>
      <c r="F60" s="13" t="n">
        <f aca="false">F$22+F$31+F$56+F$36+F$58+Deuda_Tributos!F$17</f>
        <v>1064142.28219178</v>
      </c>
      <c r="G60" s="13" t="n">
        <f aca="false">G$22+G$31+G$56+G$36+G$58+Deuda_Tributos!G$17</f>
        <v>1503007.95862028</v>
      </c>
      <c r="H60" s="13" t="n">
        <f aca="false">H$22+H$31+H$56+H$36+H$58+Deuda_Tributos!H$17</f>
        <v>1911874.25311858</v>
      </c>
      <c r="I60" s="13" t="n">
        <f aca="false">I$22+I$31+I$56+I$36+I$58+Deuda_Tributos!I$17</f>
        <v>2316040.91978525</v>
      </c>
      <c r="J60" s="13" t="n">
        <f aca="false">J$22+J$31+J$56+J$36+J$58+Deuda_Tributos!J$17</f>
        <v>2698061.46773045</v>
      </c>
      <c r="K60" s="13" t="n">
        <f aca="false">K$22+K$31+K$56+K$36+K$58+Deuda_Tributos!K$17</f>
        <v>2698061.46773045</v>
      </c>
      <c r="L60" s="13" t="n">
        <f aca="false">L$22+L$31+L$56+L$36+L$58+Deuda_Tributos!L$17</f>
        <v>2698061.46773045</v>
      </c>
      <c r="M60" s="13" t="n">
        <f aca="false">M$22+M$31+M$56+M$36+M$58+Deuda_Tributos!M$17</f>
        <v>2698061.46773045</v>
      </c>
      <c r="N60" s="13" t="n">
        <f aca="false">N$22+N$31+N$56+N$36+N$58+Deuda_Tributos!N$17</f>
        <v>2718398.74448031</v>
      </c>
      <c r="O60" s="13" t="n">
        <f aca="false">O$22+O$31+O$56+O$36+O$58+Deuda_Tributos!O$17</f>
        <v>2782983.80158319</v>
      </c>
      <c r="P60" s="13" t="n">
        <f aca="false">P$22+P$31+P$56+P$36+P$58+Deuda_Tributos!P$17</f>
        <v>2850065.60116653</v>
      </c>
      <c r="Q60" s="13" t="n">
        <f aca="false">Q$22+Q$31+Q$56+Q$36+Q$58+Deuda_Tributos!Q$17</f>
        <v>2917147.40074986</v>
      </c>
      <c r="R60" s="13" t="n">
        <f aca="false">R$22+R$31+R$56+R$36+R$58+Deuda_Tributos!R$17</f>
        <v>2987512.4055795</v>
      </c>
      <c r="S60" s="13" t="n">
        <f aca="false">S$22+S$31+S$56+S$36+S$58+Deuda_Tributos!S$17</f>
        <v>3095932.07613228</v>
      </c>
      <c r="T60" s="13" t="n">
        <f aca="false">T$22+T$31+T$56+T$36+T$58+Deuda_Tributos!T$17</f>
        <v>3206865.40946562</v>
      </c>
      <c r="U60" s="13" t="n">
        <f aca="false">U$22+U$31+U$56+U$36+U$58+Deuda_Tributos!U$17</f>
        <v>3317798.74279895</v>
      </c>
      <c r="V60" s="13" t="n">
        <f aca="false">V$22+V$31+V$56+V$36+V$58+Deuda_Tributos!V$17</f>
        <v>3422653.5373195</v>
      </c>
      <c r="W60" s="13" t="n">
        <f aca="false">W$22+W$31+W$56+W$36+W$58+Deuda_Tributos!W$17</f>
        <v>3422653.5373195</v>
      </c>
      <c r="X60" s="13" t="n">
        <f aca="false">X$22+X$31+X$56+X$36+X$58+Deuda_Tributos!X$17</f>
        <v>3422653.5373195</v>
      </c>
      <c r="Y60" s="13" t="n">
        <f aca="false">Y$22+Y$31+Y$56+Y$36+Y$58+Deuda_Tributos!Y$17</f>
        <v>3422653.5373195</v>
      </c>
      <c r="Z60" s="13" t="n">
        <f aca="false">Z$22+Z$31+Z$56+Z$36+Z$58+Deuda_Tributos!Z$17</f>
        <v>3443096.47884886</v>
      </c>
      <c r="AA60" s="13" t="n">
        <f aca="false">AA$22+AA$31+AA$56+AA$36+AA$58+Deuda_Tributos!AA$17</f>
        <v>3508349.1381695</v>
      </c>
      <c r="AB60" s="13" t="n">
        <f aca="false">AB$22+AB$31+AB$56+AB$36+AB$58+Deuda_Tributos!AB$17</f>
        <v>3576130.76095283</v>
      </c>
      <c r="AC60" s="13" t="n">
        <f aca="false">AC$22+AC$31+AC$56+AC$36+AC$58+Deuda_Tributos!AC$17</f>
        <v>3643912.38373616</v>
      </c>
      <c r="AD60" s="13" t="n">
        <f aca="false">AD$22+AD$31+AD$56+AD$36+AD$58+Deuda_Tributos!AD$17</f>
        <v>3714383.44331979</v>
      </c>
      <c r="AE60" s="13" t="n">
        <f aca="false">AE$22+AE$31+AE$56+AE$36+AE$58+Deuda_Tributos!AE$17</f>
        <v>3827404.22356424</v>
      </c>
      <c r="AF60" s="13" t="n">
        <f aca="false">AF$22+AF$31+AF$56+AF$36+AF$58+Deuda_Tributos!AF$17</f>
        <v>3940515.80689757</v>
      </c>
      <c r="AG60" s="13" t="n">
        <f aca="false">AG$22+AG$31+AG$56+AG$36+AG$58+Deuda_Tributos!AG$17</f>
        <v>4053627.39023091</v>
      </c>
      <c r="AH60" s="13" t="n">
        <f aca="false">AH$22+AH$31+AH$56+AH$36+AH$58+Deuda_Tributos!AH$17</f>
        <v>4160541.07858707</v>
      </c>
      <c r="AI60" s="13" t="n">
        <f aca="false">AI$22+AI$31+AI$56+AI$36+AI$58+Deuda_Tributos!AI$17</f>
        <v>4160541.07858707</v>
      </c>
      <c r="AJ60" s="13" t="n">
        <f aca="false">AJ$22+AJ$31+AJ$56+AJ$36+AJ$58+Deuda_Tributos!AJ$17</f>
        <v>4160541.07858707</v>
      </c>
      <c r="AK60" s="13" t="n">
        <f aca="false">AK$22+AK$31+AK$56+AK$36+AK$58+Deuda_Tributos!AK$17</f>
        <v>4160541.07858707</v>
      </c>
      <c r="AL60" s="13" t="n">
        <f aca="false">AL$22+AL$31+AL$56+AL$36+AL$58+Deuda_Tributos!AL$17</f>
        <v>4177073.68578518</v>
      </c>
      <c r="AM60" s="13" t="n">
        <f aca="false">AM$22+AM$31+AM$56+AM$36+AM$58+Deuda_Tributos!AM$17</f>
        <v>4230491.12626737</v>
      </c>
      <c r="AN60" s="13" t="n">
        <f aca="false">AN$22+AN$31+AN$56+AN$36+AN$58+Deuda_Tributos!AN$17</f>
        <v>4285991.25783783</v>
      </c>
      <c r="AO60" s="13" t="n">
        <f aca="false">AO$22+AO$31+AO$56+AO$36+AO$58+Deuda_Tributos!AO$17</f>
        <v>4341491.38940829</v>
      </c>
      <c r="AP60" s="13" t="n">
        <f aca="false">AP$22+AP$31+AP$56+AP$36+AP$58+Deuda_Tributos!AP$17</f>
        <v>4398961.63926175</v>
      </c>
      <c r="AQ60" s="13" t="n">
        <f aca="false">AQ$22+AQ$31+AQ$56+AQ$36+AQ$58+Deuda_Tributos!AQ$17</f>
        <v>4494868.22133089</v>
      </c>
      <c r="AR60" s="13" t="n">
        <f aca="false">AR$22+AR$31+AR$56+AR$36+AR$58+Deuda_Tributos!AR$17</f>
        <v>4590443.09049755</v>
      </c>
      <c r="AS60" s="13" t="n">
        <f aca="false">AS$22+AS$31+AS$56+AS$36+AS$58+Deuda_Tributos!AS$17</f>
        <v>4686017.95966422</v>
      </c>
      <c r="AT60" s="13" t="n">
        <f aca="false">AT$22+AT$31+AT$56+AT$36+AT$58+Deuda_Tributos!AT$17</f>
        <v>4776355.84969847</v>
      </c>
      <c r="AU60" s="13" t="n">
        <f aca="false">AU$22+AU$31+AU$56+AU$36+AU$58+Deuda_Tributos!AU$17</f>
        <v>4776355.84969847</v>
      </c>
      <c r="AV60" s="13" t="n">
        <f aca="false">AV$22+AV$31+AV$56+AV$36+AV$58+Deuda_Tributos!AV$17</f>
        <v>4776355.84969847</v>
      </c>
      <c r="AW60" s="13" t="n">
        <f aca="false">AW$22+AW$31+AW$56+AW$36+AW$58+Deuda_Tributos!AW$17</f>
        <v>4776355.84969847</v>
      </c>
      <c r="AX60" s="13" t="n">
        <f aca="false">AX$22+AX$31+AX$56+AX$36+AX$58+Deuda_Tributos!AX$17</f>
        <v>4776355.84969847</v>
      </c>
      <c r="AY60" s="13" t="n">
        <f aca="false">AY$22+AY$31+AY$56+AY$36+AY$58+Deuda_Tributos!AY$17</f>
        <v>4778549.92142404</v>
      </c>
      <c r="AZ60" s="13" t="n">
        <f aca="false">AZ$22+AZ$31+AZ$56+AZ$36+AZ$58+Deuda_Tributos!AZ$17</f>
        <v>4780871.18571341</v>
      </c>
      <c r="BA60" s="13" t="n">
        <f aca="false">BA$22+BA$31+BA$56+BA$36+BA$58+Deuda_Tributos!BA$17</f>
        <v>4783192.45000278</v>
      </c>
      <c r="BB60" s="13" t="n">
        <f aca="false">BB$22+BB$31+BB$56+BB$36+BB$58+Deuda_Tributos!BB$17</f>
        <v>4785513.71429215</v>
      </c>
      <c r="BC60" s="13" t="n">
        <f aca="false">BC$22+BC$31+BC$56+BC$36+BC$58+Deuda_Tributos!BC$17</f>
        <v>4795204.77800615</v>
      </c>
      <c r="BD60" s="13" t="n">
        <f aca="false">BD$22+BD$31+BD$56+BD$36+BD$58+Deuda_Tributos!BD$17</f>
        <v>4802442.64253115</v>
      </c>
      <c r="BE60" s="13" t="n">
        <f aca="false">BE$22+BE$31+BE$56+BE$36+BE$58+Deuda_Tributos!BE$17</f>
        <v>4809680.50705615</v>
      </c>
      <c r="BF60" s="13" t="n">
        <f aca="false">BF$22+BF$31+BF$56+BF$36+BF$58+Deuda_Tributos!BF$17</f>
        <v>4816521.77626471</v>
      </c>
      <c r="BG60" s="13" t="n">
        <f aca="false">BG$22+BG$31+BG$56+BG$36+BG$58+Deuda_Tributos!BG$17</f>
        <v>4816521.77626471</v>
      </c>
      <c r="BH60" s="13" t="n">
        <f aca="false">BH$22+BH$31+BH$56+BH$36+BH$58+Deuda_Tributos!BH$17</f>
        <v>4816521.77626471</v>
      </c>
      <c r="BI60" s="13" t="n">
        <f aca="false">BI$22+BI$31+BI$56+BI$36+BI$58+Deuda_Tributos!BI$17</f>
        <v>4816521.77626471</v>
      </c>
      <c r="BJ60" s="13" t="n">
        <f aca="false">BJ$22+BJ$31+BJ$56+BJ$36+BJ$58+Deuda_Tributos!BJ$17</f>
        <v>4816521.77626471</v>
      </c>
      <c r="BK60" s="13" t="n">
        <f aca="false">BK$22+BK$31+BK$56+BK$36+BK$58+Deuda_Tributos!BK$17</f>
        <v>4818737.78870754</v>
      </c>
      <c r="BL60" s="13" t="n">
        <f aca="false">BL$22+BL$31+BL$56+BL$36+BL$58+Deuda_Tributos!BL$17</f>
        <v>4821082.2656398</v>
      </c>
      <c r="BM60" s="13" t="n">
        <f aca="false">BM$22+BM$31+BM$56+BM$36+BM$58+Deuda_Tributos!BM$17</f>
        <v>4823426.74257207</v>
      </c>
      <c r="BN60" s="13" t="n">
        <f aca="false">BN$22+BN$31+BN$56+BN$36+BN$58+Deuda_Tributos!BN$17</f>
        <v>4825771.21950433</v>
      </c>
      <c r="BO60" s="13" t="n">
        <f aca="false">BO$22+BO$31+BO$56+BO$36+BO$58+Deuda_Tributos!BO$17</f>
        <v>4833876.0113357</v>
      </c>
      <c r="BP60" s="13" t="n">
        <f aca="false">BP$22+BP$31+BP$56+BP$36+BP$58+Deuda_Tributos!BP$17</f>
        <v>4841186.25450595</v>
      </c>
      <c r="BQ60" s="13" t="n">
        <f aca="false">BQ$22+BQ$31+BQ$56+BQ$36+BQ$58+Deuda_Tributos!BQ$17</f>
        <v>4848496.4976762</v>
      </c>
      <c r="BR60" s="13" t="n">
        <f aca="false">BR$22+BR$31+BR$56+BR$36+BR$58+Deuda_Tributos!BR$17</f>
        <v>4855406.17957685</v>
      </c>
      <c r="BS60" s="13" t="n">
        <f aca="false">BS$22+BS$31+BS$56+BS$36+BS$58+Deuda_Tributos!BS$17</f>
        <v>4855406.17957685</v>
      </c>
      <c r="BT60" s="13" t="n">
        <f aca="false">BT$22+BT$31+BT$56+BT$36+BT$58+Deuda_Tributos!BT$17</f>
        <v>4855406.17957685</v>
      </c>
      <c r="BU60" s="13" t="n">
        <f aca="false">BU$22+BU$31+BU$56+BU$36+BU$58+Deuda_Tributos!BU$17</f>
        <v>4855406.17957685</v>
      </c>
      <c r="BV60" s="13" t="n">
        <f aca="false">BV$22+BV$31+BV$56+BV$36+BV$58+Deuda_Tributos!BV$17</f>
        <v>4855406.17957685</v>
      </c>
      <c r="BW60" s="13" t="n">
        <f aca="false">BW$22+BW$31+BW$56+BW$36+BW$58+Deuda_Tributos!BW$17</f>
        <v>4857644.3521441</v>
      </c>
      <c r="BX60" s="13" t="n">
        <f aca="false">BX$22+BX$31+BX$56+BX$36+BX$58+Deuda_Tributos!BX$17</f>
        <v>4860012.27384569</v>
      </c>
      <c r="BY60" s="13" t="n">
        <f aca="false">BY$22+BY$31+BY$56+BY$36+BY$58+Deuda_Tributos!BY$17</f>
        <v>4862380.19554728</v>
      </c>
      <c r="BZ60" s="13" t="n">
        <f aca="false">BZ$22+BZ$31+BZ$56+BZ$36+BZ$58+Deuda_Tributos!BZ$17</f>
        <v>4864748.11724887</v>
      </c>
      <c r="CA60" s="13" t="n">
        <f aca="false">CA$22+CA$31+CA$56+CA$36+CA$58+Deuda_Tributos!CA$17</f>
        <v>4872933.79421498</v>
      </c>
      <c r="CB60" s="13" t="n">
        <f aca="false">CB$22+CB$31+CB$56+CB$36+CB$58+Deuda_Tributos!CB$17</f>
        <v>4880317.13981694</v>
      </c>
      <c r="CC60" s="13" t="n">
        <f aca="false">CC$22+CC$31+CC$56+CC$36+CC$58+Deuda_Tributos!CC$17</f>
        <v>4887700.48541889</v>
      </c>
      <c r="CD60" s="13" t="n">
        <f aca="false">CD$22+CD$31+CD$56+CD$36+CD$58+Deuda_Tributos!CD$17</f>
        <v>4894679.26413854</v>
      </c>
      <c r="CE60" s="13" t="n">
        <f aca="false">CE$22+CE$31+CE$56+CE$36+CE$58+Deuda_Tributos!CE$17</f>
        <v>4894679.26413854</v>
      </c>
      <c r="CF60" s="13" t="n">
        <f aca="false">CF$22+CF$31+CF$56+CF$36+CF$58+Deuda_Tributos!CF$17</f>
        <v>4894679.26413854</v>
      </c>
      <c r="CG60" s="13" t="n">
        <f aca="false">CG$22+CG$31+CG$56+CG$36+CG$58+Deuda_Tributos!CG$17</f>
        <v>4894679.26413854</v>
      </c>
      <c r="CH60" s="13" t="n">
        <f aca="false">CH$22+CH$31+CH$56+CH$36+CH$58+Deuda_Tributos!CH$17</f>
        <v>4894679.26413854</v>
      </c>
      <c r="CI60" s="13" t="n">
        <f aca="false">CI$22+CI$31+CI$56+CI$36+CI$58+Deuda_Tributos!CI$17</f>
        <v>4896939.81843147</v>
      </c>
      <c r="CJ60" s="13" t="n">
        <f aca="false">CJ$22+CJ$31+CJ$56+CJ$36+CJ$58+Deuda_Tributos!CJ$17</f>
        <v>4899331.41935007</v>
      </c>
      <c r="CK60" s="13" t="n">
        <f aca="false">CK$22+CK$31+CK$56+CK$36+CK$58+Deuda_Tributos!CK$17</f>
        <v>4901723.02026868</v>
      </c>
      <c r="CL60" s="13" t="n">
        <f aca="false">CL$22+CL$31+CL$56+CL$36+CL$58+Deuda_Tributos!CL$17</f>
        <v>4904114.62118728</v>
      </c>
      <c r="CM60" s="13" t="n">
        <f aca="false">CM$22+CM$31+CM$56+CM$36+CM$58+Deuda_Tributos!CM$17</f>
        <v>4912381.9921395</v>
      </c>
      <c r="CN60" s="13" t="n">
        <f aca="false">CN$22+CN$31+CN$56+CN$36+CN$58+Deuda_Tributos!CN$17</f>
        <v>4919839.17119747</v>
      </c>
      <c r="CO60" s="13" t="n">
        <f aca="false">CO$22+CO$31+CO$56+CO$36+CO$58+Deuda_Tributos!CO$17</f>
        <v>4927296.35025544</v>
      </c>
      <c r="CP60" s="13" t="n">
        <f aca="false">CP$22+CP$31+CP$56+CP$36+CP$58+Deuda_Tributos!CP$17</f>
        <v>4934344.91676229</v>
      </c>
      <c r="CQ60" s="13" t="n">
        <f aca="false">CQ$22+CQ$31+CQ$56+CQ$36+CQ$58+Deuda_Tributos!CQ$17</f>
        <v>4934344.91676229</v>
      </c>
      <c r="CR60" s="13" t="n">
        <f aca="false">CR$22+CR$31+CR$56+CR$36+CR$58+Deuda_Tributos!CR$17</f>
        <v>4934344.91676229</v>
      </c>
      <c r="CS60" s="13" t="n">
        <f aca="false">CS$22+CS$31+CS$56+CS$36+CS$58+Deuda_Tributos!CS$17</f>
        <v>4934344.91676229</v>
      </c>
      <c r="CT60" s="13" t="n">
        <f aca="false">CT$22+CT$31+CT$56+CT$36+CT$58+Deuda_Tributos!CT$17</f>
        <v>4934344.91676229</v>
      </c>
      <c r="CU60" s="13" t="n">
        <f aca="false">CU$22+CU$31+CU$56+CU$36+CU$58+Deuda_Tributos!CU$17</f>
        <v>4936628.07659815</v>
      </c>
      <c r="CV60" s="13" t="n">
        <f aca="false">CV$22+CV$31+CV$56+CV$36+CV$58+Deuda_Tributos!CV$17</f>
        <v>4939043.59352594</v>
      </c>
      <c r="CW60" s="13" t="n">
        <f aca="false">CW$22+CW$31+CW$56+CW$36+CW$58+Deuda_Tributos!CW$17</f>
        <v>4941459.11045373</v>
      </c>
      <c r="CX60" s="13" t="n">
        <f aca="false">CX$22+CX$31+CX$56+CX$36+CX$58+Deuda_Tributos!CX$17</f>
        <v>4943874.62738152</v>
      </c>
      <c r="CY60" s="13" t="n">
        <f aca="false">CY$22+CY$31+CY$56+CY$36+CY$58+Deuda_Tributos!CY$17</f>
        <v>4952224.50925969</v>
      </c>
      <c r="CZ60" s="13" t="n">
        <f aca="false">CZ$22+CZ$31+CZ$56+CZ$36+CZ$58+Deuda_Tributos!CZ$17</f>
        <v>4959756.26010825</v>
      </c>
      <c r="DA60" s="13" t="n">
        <f aca="false">DA$22+DA$31+DA$56+DA$36+DA$58+Deuda_Tributos!DA$17</f>
        <v>4967288.0109568</v>
      </c>
      <c r="DB60" s="13" t="n">
        <f aca="false">DB$22+DB$31+DB$56+DB$36+DB$58+Deuda_Tributos!DB$17</f>
        <v>4974407.06312872</v>
      </c>
      <c r="DC60" s="13" t="n">
        <f aca="false">DC$22+DC$31+DC$56+DC$36+DC$58+Deuda_Tributos!DC$17</f>
        <v>4974407.06312872</v>
      </c>
      <c r="DD60" s="13" t="n">
        <f aca="false">DD$22+DD$31+DD$56+DD$36+DD$58+Deuda_Tributos!DD$17</f>
        <v>4974407.06312872</v>
      </c>
      <c r="DE60" s="13" t="n">
        <f aca="false">DE$22+DE$31+DE$56+DE$36+DE$58+Deuda_Tributos!DE$17</f>
        <v>4974407.06312872</v>
      </c>
      <c r="DF60" s="13" t="n">
        <f aca="false">DF$22+DF$31+DF$56+DF$36+DF$58+Deuda_Tributos!DF$17</f>
        <v>4974407.06312872</v>
      </c>
      <c r="DG60" s="13" t="n">
        <f aca="false">DG$22+DG$31+DG$56+DG$36+DG$58+Deuda_Tributos!DG$17</f>
        <v>4976713.05456293</v>
      </c>
      <c r="DH60" s="13" t="n">
        <f aca="false">DH$22+DH$31+DH$56+DH$36+DH$58+Deuda_Tributos!DH$17</f>
        <v>4979152.72666</v>
      </c>
      <c r="DI60" s="13" t="n">
        <f aca="false">DI$22+DI$31+DI$56+DI$36+DI$58+Deuda_Tributos!DI$17</f>
        <v>4981592.39875707</v>
      </c>
      <c r="DJ60" s="13" t="n">
        <f aca="false">DJ$22+DJ$31+DJ$56+DJ$36+DJ$58+Deuda_Tributos!DJ$17</f>
        <v>4984032.07085413</v>
      </c>
      <c r="DK60" s="13" t="n">
        <f aca="false">DK$22+DK$31+DK$56+DK$36+DK$58+Deuda_Tributos!DK$17</f>
        <v>4992465.28876753</v>
      </c>
      <c r="DL60" s="13" t="n">
        <f aca="false">DL$22+DL$31+DL$56+DL$36+DL$58+Deuda_Tributos!DL$17</f>
        <v>5000072.35712457</v>
      </c>
      <c r="DM60" s="13" t="n">
        <f aca="false">DM$22+DM$31+DM$56+DM$36+DM$58+Deuda_Tributos!DM$17</f>
        <v>5007679.42548161</v>
      </c>
      <c r="DN60" s="13" t="n">
        <f aca="false">DN$22+DN$31+DN$56+DN$36+DN$58+Deuda_Tributos!DN$17</f>
        <v>5014869.66817525</v>
      </c>
      <c r="DO60" s="13" t="n">
        <f aca="false">DO$22+DO$31+DO$56+DO$36+DO$58+Deuda_Tributos!DO$17</f>
        <v>5014869.66817525</v>
      </c>
      <c r="DP60" s="13" t="n">
        <f aca="false">DP$22+DP$31+DP$56+DP$36+DP$58+Deuda_Tributos!DP$17</f>
        <v>5014869.66817525</v>
      </c>
      <c r="DQ60" s="13" t="n">
        <f aca="false">DQ$22+DQ$31+DQ$56+DQ$36+DQ$58+Deuda_Tributos!DQ$17</f>
        <v>5014869.66817525</v>
      </c>
      <c r="DR60" s="13" t="n">
        <f aca="false">DR$22+DR$31+DR$56+DR$36+DR$58+Deuda_Tributos!DR$17</f>
        <v>4873904.25607783</v>
      </c>
      <c r="DS60" s="13" t="n">
        <f aca="false">DS$22+DS$31+DS$56+DS$36+DS$58+Deuda_Tributos!DS$17</f>
        <v>4436962.55300053</v>
      </c>
      <c r="DT60" s="13" t="n">
        <f aca="false">DT$22+DT$31+DT$56+DT$36+DT$58+Deuda_Tributos!DT$17</f>
        <v>3983336.53786339</v>
      </c>
      <c r="DU60" s="13" t="n">
        <f aca="false">DU$22+DU$31+DU$56+DU$36+DU$58+Deuda_Tributos!DU$17</f>
        <v>3529710.52272624</v>
      </c>
      <c r="DV60" s="13" t="n">
        <f aca="false">DV$22+DV$31+DV$56+DV$36+DV$58+Deuda_Tributos!DV$17</f>
        <v>3053048.89870023</v>
      </c>
      <c r="DW60" s="13" t="n">
        <f aca="false">DW$22+DW$31+DW$56+DW$36+DW$58+Deuda_Tributos!DW$17</f>
        <v>3053048.89870023</v>
      </c>
      <c r="DX60" s="13" t="n">
        <f aca="false">DX$22+DX$31+DX$56+DX$36+DX$58+Deuda_Tributos!DX$17</f>
        <v>3053048.89870023</v>
      </c>
      <c r="DY60" s="13" t="n">
        <f aca="false">DY$22+DY$31+DY$56+DY$36+DY$58+Deuda_Tributos!DY$17</f>
        <v>3053048.89870023</v>
      </c>
      <c r="DZ60" s="13" t="n">
        <f aca="false">DZ$22+DZ$31+DZ$56+DZ$36+DZ$58+Deuda_Tributos!DZ$17</f>
        <v>3053048.89870023</v>
      </c>
      <c r="EA60" s="13" t="n">
        <f aca="false">EA$22+EA$31+EA$56+EA$36+EA$58+Deuda_Tributos!EA$17</f>
        <v>3053048.89870023</v>
      </c>
      <c r="EB60" s="13" t="n">
        <f aca="false">EB$22+EB$31+EB$56+EB$36+EB$58+Deuda_Tributos!EB$17</f>
        <v>3053048.89870023</v>
      </c>
      <c r="EC60" s="13" t="n">
        <f aca="false">EC$22+EC$31+EC$56+EC$36+EC$58+Deuda_Tributos!EC$17</f>
        <v>3053048.89870023</v>
      </c>
      <c r="ED60" s="13" t="n">
        <f aca="false">ED$22+ED$31+ED$56+ED$36+ED$58+Deuda_Tributos!ED$17</f>
        <v>3053048.89870023</v>
      </c>
      <c r="EE60" s="13" t="n">
        <f aca="false">EE$22+EE$31+EE$56+EE$36+EE$58+Deuda_Tributos!EE$17</f>
        <v>3053048.89870023</v>
      </c>
      <c r="EF60" s="13" t="n">
        <f aca="false">EF$22+EF$31+EF$56+EF$36+EF$58+Deuda_Tributos!EF$17</f>
        <v>3053048.89870023</v>
      </c>
      <c r="EG60" s="13" t="n">
        <f aca="false">EG$22+EG$31+EG$56+EG$36+EG$58+Deuda_Tributos!EG$17</f>
        <v>3053048.89870023</v>
      </c>
      <c r="EH60" s="13" t="n">
        <f aca="false">EH$22+EH$31+EH$56+EH$36+EH$58+Deuda_Tributos!EH$17</f>
        <v>3053048.89870023</v>
      </c>
      <c r="EI60" s="13" t="n">
        <f aca="false">EI$22+EI$31+EI$56+EI$36+EI$58+Deuda_Tributos!EI$17</f>
        <v>3053048.89870023</v>
      </c>
      <c r="EJ60" s="13" t="n">
        <f aca="false">EJ$22+EJ$31+EJ$56+EJ$36+EJ$58+Deuda_Tributos!EJ$17</f>
        <v>3053048.89870023</v>
      </c>
      <c r="EK60" s="13" t="n">
        <f aca="false">EK$22+EK$31+EK$56+EK$36+EK$58+Deuda_Tributos!EK$17</f>
        <v>3053048.89870023</v>
      </c>
      <c r="EL60" s="13" t="n">
        <f aca="false">EL$22+EL$31+EL$56+EL$36+EL$58+Deuda_Tributos!EL$17</f>
        <v>3053048.89870023</v>
      </c>
      <c r="EM60" s="13" t="n">
        <f aca="false">EM$22+EM$31+EM$56+EM$36+EM$58+Deuda_Tributos!EM$17</f>
        <v>3053048.89870023</v>
      </c>
      <c r="EN60" s="13" t="n">
        <f aca="false">EN$22+EN$31+EN$56+EN$36+EN$58+Deuda_Tributos!EN$17</f>
        <v>3053048.89870023</v>
      </c>
      <c r="EO60" s="13" t="n">
        <f aca="false">EO$22+EO$31+EO$56+EO$36+EO$58+Deuda_Tributos!EO$17</f>
        <v>3053048.89870023</v>
      </c>
      <c r="EP60" s="13" t="n">
        <f aca="false">EP$22+EP$31+EP$56+EP$36+EP$58+Deuda_Tributos!EP$17</f>
        <v>3053048.89870023</v>
      </c>
      <c r="EQ60" s="13" t="n">
        <f aca="false">EQ$22+EQ$31+EQ$56+EQ$36+EQ$58+Deuda_Tributos!EQ$17</f>
        <v>3053048.89870023</v>
      </c>
      <c r="ER60" s="13" t="n">
        <f aca="false">ER$22+ER$31+ER$56+ER$36+ER$58+Deuda_Tributos!ER$17</f>
        <v>3053048.89870023</v>
      </c>
      <c r="ES60" s="13" t="n">
        <f aca="false">ES$22+ES$31+ES$56+ES$36+ES$58+Deuda_Tributos!ES$17</f>
        <v>3053048.89870023</v>
      </c>
      <c r="ET60" s="13" t="n">
        <f aca="false">ET$22+ET$31+ET$56+ET$36+ET$58+Deuda_Tributos!ET$17</f>
        <v>3053048.89870023</v>
      </c>
      <c r="EU60" s="13" t="n">
        <f aca="false">EU$22+EU$31+EU$56+EU$36+EU$58+Deuda_Tributos!EU$17</f>
        <v>3053048.89870023</v>
      </c>
      <c r="EV60" s="13" t="n">
        <f aca="false">EV$22+EV$31+EV$56+EV$36+EV$58+Deuda_Tributos!EV$17</f>
        <v>3053048.89870023</v>
      </c>
      <c r="EW60" s="13" t="n">
        <f aca="false">EW$22+EW$31+EW$56+EW$36+EW$58+Deuda_Tributos!EW$17</f>
        <v>3053048.89870023</v>
      </c>
      <c r="EX60" s="13" t="n">
        <f aca="false">EX$22+EX$31+EX$56+EX$36+EX$58+Deuda_Tributos!EX$17</f>
        <v>3053048.89870023</v>
      </c>
      <c r="EY60" s="13" t="n">
        <f aca="false">EY$22+EY$31+EY$56+EY$36+EY$58+Deuda_Tributos!EY$17</f>
        <v>3053048.89870023</v>
      </c>
      <c r="EZ60" s="13" t="n">
        <f aca="false">EZ$22+EZ$31+EZ$56+EZ$36+EZ$58+Deuda_Tributos!EZ$17</f>
        <v>3053048.89870023</v>
      </c>
      <c r="FA60" s="13" t="n">
        <f aca="false">FA$22+FA$31+FA$56+FA$36+FA$58+Deuda_Tributos!FA$17</f>
        <v>3053048.89870023</v>
      </c>
      <c r="FB60" s="13" t="n">
        <f aca="false">FB$22+FB$31+FB$56+FB$36+FB$58+Deuda_Tributos!FB$17</f>
        <v>3053048.89870023</v>
      </c>
      <c r="FC60" s="13" t="n">
        <f aca="false">FC$22+FC$31+FC$56+FC$36+FC$58+Deuda_Tributos!FC$17</f>
        <v>3053048.89870023</v>
      </c>
      <c r="FD60" s="13" t="n">
        <f aca="false">FD$22+FD$31+FD$56+FD$36+FD$58+Deuda_Tributos!FD$17</f>
        <v>3053048.89870023</v>
      </c>
      <c r="FE60" s="13" t="n">
        <f aca="false">FE$22+FE$31+FE$56+FE$36+FE$58+Deuda_Tributos!FE$17</f>
        <v>3053048.89870023</v>
      </c>
      <c r="FF60" s="13" t="n">
        <f aca="false">FF$22+FF$31+FF$56+FF$36+FF$58+Deuda_Tributos!FF$17</f>
        <v>3053048.89870023</v>
      </c>
    </row>
    <row r="61" customFormat="false" ht="15" hidden="false" customHeight="false" outlineLevel="0" collapsed="false">
      <c r="A61" s="2" t="s">
        <v>1373</v>
      </c>
      <c r="B61" s="8" t="s">
        <v>1374</v>
      </c>
      <c r="C61" s="8" t="s">
        <v>255</v>
      </c>
      <c r="E61" s="65" t="n">
        <f aca="false">INDEX($F61:$FF61,1,p_MesFin+1)</f>
        <v>63488.8374743457</v>
      </c>
      <c r="F61" s="13" t="n">
        <f aca="false">F$42+F$51+F$25</f>
        <v>0</v>
      </c>
      <c r="G61" s="13" t="n">
        <f aca="false">G$42+G$51+G$25</f>
        <v>54842.4765210674</v>
      </c>
      <c r="H61" s="13" t="n">
        <f aca="false">H$42+H$51+H$25</f>
        <v>49978.3066010073</v>
      </c>
      <c r="I61" s="13" t="n">
        <f aca="false">I$42+I$51+I$25</f>
        <v>49978.3066010073</v>
      </c>
      <c r="J61" s="13" t="n">
        <f aca="false">J$42+J$51+J$25</f>
        <v>49978.3066010073</v>
      </c>
      <c r="K61" s="13" t="n">
        <f aca="false">K$42+K$51+K$25</f>
        <v>49978.3066010073</v>
      </c>
      <c r="L61" s="13" t="n">
        <f aca="false">L$42+L$51+L$25</f>
        <v>49978.3066010073</v>
      </c>
      <c r="M61" s="13" t="n">
        <f aca="false">M$42+M$51+M$25</f>
        <v>49978.3066010073</v>
      </c>
      <c r="N61" s="13" t="n">
        <f aca="false">N$42+N$51+N$25</f>
        <v>49978.3066010073</v>
      </c>
      <c r="O61" s="13" t="n">
        <f aca="false">O$42+O$51+O$25</f>
        <v>49978.3066010073</v>
      </c>
      <c r="P61" s="13" t="n">
        <f aca="false">P$42+P$51+P$25</f>
        <v>49978.3066010073</v>
      </c>
      <c r="Q61" s="13" t="n">
        <f aca="false">Q$42+Q$51+Q$25</f>
        <v>49978.3066010073</v>
      </c>
      <c r="R61" s="13" t="n">
        <f aca="false">R$42+R$51+R$25</f>
        <v>51256.8607942894</v>
      </c>
      <c r="S61" s="13" t="n">
        <f aca="false">S$42+S$51+S$25</f>
        <v>55750.7648201854</v>
      </c>
      <c r="T61" s="13" t="n">
        <f aca="false">T$42+T$51+T$25</f>
        <v>55750.7648201854</v>
      </c>
      <c r="U61" s="13" t="n">
        <f aca="false">U$42+U$51+U$25</f>
        <v>55750.7648201854</v>
      </c>
      <c r="V61" s="13" t="n">
        <f aca="false">V$42+V$51+V$25</f>
        <v>55750.7648201854</v>
      </c>
      <c r="W61" s="13" t="n">
        <f aca="false">W$42+W$51+W$25</f>
        <v>55750.7648201854</v>
      </c>
      <c r="X61" s="13" t="n">
        <f aca="false">X$42+X$51+X$25</f>
        <v>55750.7648201854</v>
      </c>
      <c r="Y61" s="13" t="n">
        <f aca="false">Y$42+Y$51+Y$25</f>
        <v>55750.7648201854</v>
      </c>
      <c r="Z61" s="13" t="n">
        <f aca="false">Z$42+Z$51+Z$25</f>
        <v>55750.7648201854</v>
      </c>
      <c r="AA61" s="13" t="n">
        <f aca="false">AA$42+AA$51+AA$25</f>
        <v>55750.7648201854</v>
      </c>
      <c r="AB61" s="13" t="n">
        <f aca="false">AB$42+AB$51+AB$25</f>
        <v>55750.7648201854</v>
      </c>
      <c r="AC61" s="13" t="n">
        <f aca="false">AC$42+AC$51+AC$25</f>
        <v>55750.7648201854</v>
      </c>
      <c r="AD61" s="13" t="n">
        <f aca="false">AD$42+AD$51+AD$25</f>
        <v>57035.9559569841</v>
      </c>
      <c r="AE61" s="13" t="n">
        <f aca="false">AE$42+AE$51+AE$25</f>
        <v>61762.1484528902</v>
      </c>
      <c r="AF61" s="13" t="n">
        <f aca="false">AF$42+AF$51+AF$25</f>
        <v>61762.1484528902</v>
      </c>
      <c r="AG61" s="13" t="n">
        <f aca="false">AG$42+AG$51+AG$25</f>
        <v>61762.1484528902</v>
      </c>
      <c r="AH61" s="13" t="n">
        <f aca="false">AH$42+AH$51+AH$25</f>
        <v>61762.1484528902</v>
      </c>
      <c r="AI61" s="13" t="n">
        <f aca="false">AI$42+AI$51+AI$25</f>
        <v>61762.1484528902</v>
      </c>
      <c r="AJ61" s="13" t="n">
        <f aca="false">AJ$42+AJ$51+AJ$25</f>
        <v>61762.1484528902</v>
      </c>
      <c r="AK61" s="13" t="n">
        <f aca="false">AK$42+AK$51+AK$25</f>
        <v>61762.1484528902</v>
      </c>
      <c r="AL61" s="13" t="n">
        <f aca="false">AL$42+AL$51+AL$25</f>
        <v>61762.1484528902</v>
      </c>
      <c r="AM61" s="13" t="n">
        <f aca="false">AM$42+AM$51+AM$25</f>
        <v>61762.1484528902</v>
      </c>
      <c r="AN61" s="13" t="n">
        <f aca="false">AN$42+AN$51+AN$25</f>
        <v>61762.1484528902</v>
      </c>
      <c r="AO61" s="13" t="n">
        <f aca="false">AO$42+AO$51+AO$25</f>
        <v>61762.1484528902</v>
      </c>
      <c r="AP61" s="13" t="n">
        <f aca="false">AP$42+AP$51+AP$25</f>
        <v>62801.5007498015</v>
      </c>
      <c r="AQ61" s="13" t="n">
        <f aca="false">AQ$42+AQ$51+AQ$25</f>
        <v>66837.3782373526</v>
      </c>
      <c r="AR61" s="13" t="n">
        <f aca="false">AR$42+AR$51+AR$25</f>
        <v>66837.3782373526</v>
      </c>
      <c r="AS61" s="13" t="n">
        <f aca="false">AS$42+AS$51+AS$25</f>
        <v>66837.3782373526</v>
      </c>
      <c r="AT61" s="13" t="n">
        <f aca="false">AT$42+AT$51+AT$25</f>
        <v>66837.3782373526</v>
      </c>
      <c r="AU61" s="13" t="n">
        <f aca="false">AU$42+AU$51+AU$25</f>
        <v>66837.3782373526</v>
      </c>
      <c r="AV61" s="13" t="n">
        <f aca="false">AV$42+AV$51+AV$25</f>
        <v>66837.3782373526</v>
      </c>
      <c r="AW61" s="13" t="n">
        <f aca="false">AW$42+AW$51+AW$25</f>
        <v>66837.3782373526</v>
      </c>
      <c r="AX61" s="13" t="n">
        <f aca="false">AX$42+AX$51+AX$25</f>
        <v>66837.3782373526</v>
      </c>
      <c r="AY61" s="13" t="n">
        <f aca="false">AY$42+AY$51+AY$25</f>
        <v>66837.3782373526</v>
      </c>
      <c r="AZ61" s="13" t="n">
        <f aca="false">AZ$42+AZ$51+AZ$25</f>
        <v>66837.3782373526</v>
      </c>
      <c r="BA61" s="13" t="n">
        <f aca="false">BA$42+BA$51+BA$25</f>
        <v>66837.3782373526</v>
      </c>
      <c r="BB61" s="13" t="n">
        <f aca="false">BB$42+BB$51+BB$25</f>
        <v>66837.3782373526</v>
      </c>
      <c r="BC61" s="13" t="n">
        <f aca="false">BC$42+BC$51+BC$25</f>
        <v>67834.3272807317</v>
      </c>
      <c r="BD61" s="13" t="n">
        <f aca="false">BD$42+BD$51+BD$25</f>
        <v>67834.3272807317</v>
      </c>
      <c r="BE61" s="13" t="n">
        <f aca="false">BE$42+BE$51+BE$25</f>
        <v>67834.3272807317</v>
      </c>
      <c r="BF61" s="13" t="n">
        <f aca="false">BF$42+BF$51+BF$25</f>
        <v>67834.3272807317</v>
      </c>
      <c r="BG61" s="13" t="n">
        <f aca="false">BG$42+BG$51+BG$25</f>
        <v>67834.3272807317</v>
      </c>
      <c r="BH61" s="13" t="n">
        <f aca="false">BH$42+BH$51+BH$25</f>
        <v>67834.3272807317</v>
      </c>
      <c r="BI61" s="13" t="n">
        <f aca="false">BI$42+BI$51+BI$25</f>
        <v>67834.3272807317</v>
      </c>
      <c r="BJ61" s="13" t="n">
        <f aca="false">BJ$42+BJ$51+BJ$25</f>
        <v>67834.3272807317</v>
      </c>
      <c r="BK61" s="13" t="n">
        <f aca="false">BK$42+BK$51+BK$25</f>
        <v>67834.3272807317</v>
      </c>
      <c r="BL61" s="13" t="n">
        <f aca="false">BL$42+BL$51+BL$25</f>
        <v>67834.3272807317</v>
      </c>
      <c r="BM61" s="13" t="n">
        <f aca="false">BM$42+BM$51+BM$25</f>
        <v>67834.3272807317</v>
      </c>
      <c r="BN61" s="13" t="n">
        <f aca="false">BN$42+BN$51+BN$25</f>
        <v>67834.3272807317</v>
      </c>
      <c r="BO61" s="13" t="n">
        <f aca="false">BO$42+BO$51+BO$25</f>
        <v>68696.5555631169</v>
      </c>
      <c r="BP61" s="13" t="n">
        <f aca="false">BP$42+BP$51+BP$25</f>
        <v>68696.5555631169</v>
      </c>
      <c r="BQ61" s="13" t="n">
        <f aca="false">BQ$42+BQ$51+BQ$25</f>
        <v>68696.5555631169</v>
      </c>
      <c r="BR61" s="13" t="n">
        <f aca="false">BR$42+BR$51+BR$25</f>
        <v>68696.5555631169</v>
      </c>
      <c r="BS61" s="13" t="n">
        <f aca="false">BS$42+BS$51+BS$25</f>
        <v>68696.5555631169</v>
      </c>
      <c r="BT61" s="13" t="n">
        <f aca="false">BT$42+BT$51+BT$25</f>
        <v>68696.5555631169</v>
      </c>
      <c r="BU61" s="13" t="n">
        <f aca="false">BU$42+BU$51+BU$25</f>
        <v>68696.5555631169</v>
      </c>
      <c r="BV61" s="13" t="n">
        <f aca="false">BV$42+BV$51+BV$25</f>
        <v>68696.5555631169</v>
      </c>
      <c r="BW61" s="13" t="n">
        <f aca="false">BW$42+BW$51+BW$25</f>
        <v>68696.5555631169</v>
      </c>
      <c r="BX61" s="13" t="n">
        <f aca="false">BX$42+BX$51+BX$25</f>
        <v>68696.5555631169</v>
      </c>
      <c r="BY61" s="13" t="n">
        <f aca="false">BY$42+BY$51+BY$25</f>
        <v>68696.5555631169</v>
      </c>
      <c r="BZ61" s="13" t="n">
        <f aca="false">BZ$42+BZ$51+BZ$25</f>
        <v>68696.5555631169</v>
      </c>
      <c r="CA61" s="13" t="n">
        <f aca="false">CA$42+CA$51+CA$25</f>
        <v>69578.7351435718</v>
      </c>
      <c r="CB61" s="13" t="n">
        <f aca="false">CB$42+CB$51+CB$25</f>
        <v>69578.7351435718</v>
      </c>
      <c r="CC61" s="13" t="n">
        <f aca="false">CC$42+CC$51+CC$25</f>
        <v>69578.7351435718</v>
      </c>
      <c r="CD61" s="13" t="n">
        <f aca="false">CD$42+CD$51+CD$25</f>
        <v>69578.7351435718</v>
      </c>
      <c r="CE61" s="13" t="n">
        <f aca="false">CE$42+CE$51+CE$25</f>
        <v>69578.7351435718</v>
      </c>
      <c r="CF61" s="13" t="n">
        <f aca="false">CF$42+CF$51+CF$25</f>
        <v>69578.7351435718</v>
      </c>
      <c r="CG61" s="13" t="n">
        <f aca="false">CG$42+CG$51+CG$25</f>
        <v>69578.7351435718</v>
      </c>
      <c r="CH61" s="13" t="n">
        <f aca="false">CH$42+CH$51+CH$25</f>
        <v>69578.7351435718</v>
      </c>
      <c r="CI61" s="13" t="n">
        <f aca="false">CI$42+CI$51+CI$25</f>
        <v>69578.7351435718</v>
      </c>
      <c r="CJ61" s="13" t="n">
        <f aca="false">CJ$42+CJ$51+CJ$25</f>
        <v>69578.7351435718</v>
      </c>
      <c r="CK61" s="13" t="n">
        <f aca="false">CK$42+CK$51+CK$25</f>
        <v>69578.7351435718</v>
      </c>
      <c r="CL61" s="13" t="n">
        <f aca="false">CL$42+CL$51+CL$25</f>
        <v>69578.7351435718</v>
      </c>
      <c r="CM61" s="13" t="n">
        <f aca="false">CM$42+CM$51+CM$25</f>
        <v>70481.4207885811</v>
      </c>
      <c r="CN61" s="13" t="n">
        <f aca="false">CN$42+CN$51+CN$25</f>
        <v>70481.4207885811</v>
      </c>
      <c r="CO61" s="13" t="n">
        <f aca="false">CO$42+CO$51+CO$25</f>
        <v>70481.4207885811</v>
      </c>
      <c r="CP61" s="13" t="n">
        <f aca="false">CP$42+CP$51+CP$25</f>
        <v>70481.4207885811</v>
      </c>
      <c r="CQ61" s="13" t="n">
        <f aca="false">CQ$42+CQ$51+CQ$25</f>
        <v>70481.4207885811</v>
      </c>
      <c r="CR61" s="13" t="n">
        <f aca="false">CR$42+CR$51+CR$25</f>
        <v>70481.4207885811</v>
      </c>
      <c r="CS61" s="13" t="n">
        <f aca="false">CS$42+CS$51+CS$25</f>
        <v>70481.4207885811</v>
      </c>
      <c r="CT61" s="13" t="n">
        <f aca="false">CT$42+CT$51+CT$25</f>
        <v>70481.4207885811</v>
      </c>
      <c r="CU61" s="13" t="n">
        <f aca="false">CU$42+CU$51+CU$25</f>
        <v>70481.4207885811</v>
      </c>
      <c r="CV61" s="13" t="n">
        <f aca="false">CV$42+CV$51+CV$25</f>
        <v>70481.4207885811</v>
      </c>
      <c r="CW61" s="13" t="n">
        <f aca="false">CW$42+CW$51+CW$25</f>
        <v>70481.4207885811</v>
      </c>
      <c r="CX61" s="13" t="n">
        <f aca="false">CX$42+CX$51+CX$25</f>
        <v>70481.4207885811</v>
      </c>
      <c r="CY61" s="13" t="n">
        <f aca="false">CY$42+CY$51+CY$25</f>
        <v>71405.1834698992</v>
      </c>
      <c r="CZ61" s="13" t="n">
        <f aca="false">CZ$42+CZ$51+CZ$25</f>
        <v>71405.1834698992</v>
      </c>
      <c r="DA61" s="13" t="n">
        <f aca="false">DA$42+DA$51+DA$25</f>
        <v>71405.1834698992</v>
      </c>
      <c r="DB61" s="13" t="n">
        <f aca="false">DB$42+DB$51+DB$25</f>
        <v>71405.1834698992</v>
      </c>
      <c r="DC61" s="13" t="n">
        <f aca="false">DC$42+DC$51+DC$25</f>
        <v>71405.1834698992</v>
      </c>
      <c r="DD61" s="13" t="n">
        <f aca="false">DD$42+DD$51+DD$25</f>
        <v>71405.1834698992</v>
      </c>
      <c r="DE61" s="13" t="n">
        <f aca="false">DE$42+DE$51+DE$25</f>
        <v>71405.1834698992</v>
      </c>
      <c r="DF61" s="13" t="n">
        <f aca="false">DF$42+DF$51+DF$25</f>
        <v>71405.1834698992</v>
      </c>
      <c r="DG61" s="13" t="n">
        <f aca="false">DG$42+DG$51+DG$25</f>
        <v>71405.1834698992</v>
      </c>
      <c r="DH61" s="13" t="n">
        <f aca="false">DH$42+DH$51+DH$25</f>
        <v>71405.1834698992</v>
      </c>
      <c r="DI61" s="13" t="n">
        <f aca="false">DI$42+DI$51+DI$25</f>
        <v>71405.1834698992</v>
      </c>
      <c r="DJ61" s="13" t="n">
        <f aca="false">DJ$42+DJ$51+DJ$25</f>
        <v>71405.1834698992</v>
      </c>
      <c r="DK61" s="13" t="n">
        <f aca="false">DK$42+DK$51+DK$25</f>
        <v>72350.6108463317</v>
      </c>
      <c r="DL61" s="13" t="n">
        <f aca="false">DL$42+DL$51+DL$25</f>
        <v>72350.6108463317</v>
      </c>
      <c r="DM61" s="13" t="n">
        <f aca="false">DM$42+DM$51+DM$25</f>
        <v>72350.6108463317</v>
      </c>
      <c r="DN61" s="13" t="n">
        <f aca="false">DN$42+DN$51+DN$25</f>
        <v>72350.6108463317</v>
      </c>
      <c r="DO61" s="13" t="n">
        <f aca="false">DO$42+DO$51+DO$25</f>
        <v>72350.6108463317</v>
      </c>
      <c r="DP61" s="13" t="n">
        <f aca="false">DP$42+DP$51+DP$25</f>
        <v>72350.6108463317</v>
      </c>
      <c r="DQ61" s="13" t="n">
        <f aca="false">DQ$42+DQ$51+DQ$25</f>
        <v>72350.6108463317</v>
      </c>
      <c r="DR61" s="13" t="n">
        <f aca="false">DR$42+DR$51+DR$25</f>
        <v>72350.6108463317</v>
      </c>
      <c r="DS61" s="13" t="n">
        <f aca="false">DS$42+DS$51+DS$25</f>
        <v>72350.6108463317</v>
      </c>
      <c r="DT61" s="13" t="n">
        <f aca="false">DT$42+DT$51+DT$25</f>
        <v>72350.6108463317</v>
      </c>
      <c r="DU61" s="13" t="n">
        <f aca="false">DU$42+DU$51+DU$25</f>
        <v>72350.6108463317</v>
      </c>
      <c r="DV61" s="13" t="n">
        <f aca="false">DV$42+DV$51+DV$25</f>
        <v>63488.8374743457</v>
      </c>
      <c r="DW61" s="13" t="n">
        <f aca="false">DW$42+DW$51+DW$25</f>
        <v>63488.8374743457</v>
      </c>
      <c r="DX61" s="13" t="n">
        <f aca="false">DX$42+DX$51+DX$25</f>
        <v>63488.8374743457</v>
      </c>
      <c r="DY61" s="13" t="n">
        <f aca="false">DY$42+DY$51+DY$25</f>
        <v>63488.8374743457</v>
      </c>
      <c r="DZ61" s="13" t="n">
        <f aca="false">DZ$42+DZ$51+DZ$25</f>
        <v>63488.8374743457</v>
      </c>
      <c r="EA61" s="13" t="n">
        <f aca="false">EA$42+EA$51+EA$25</f>
        <v>63488.8374743457</v>
      </c>
      <c r="EB61" s="13" t="n">
        <f aca="false">EB$42+EB$51+EB$25</f>
        <v>63488.8374743457</v>
      </c>
      <c r="EC61" s="13" t="n">
        <f aca="false">EC$42+EC$51+EC$25</f>
        <v>63488.8374743457</v>
      </c>
      <c r="ED61" s="13" t="n">
        <f aca="false">ED$42+ED$51+ED$25</f>
        <v>63488.8374743457</v>
      </c>
      <c r="EE61" s="13" t="n">
        <f aca="false">EE$42+EE$51+EE$25</f>
        <v>63488.8374743457</v>
      </c>
      <c r="EF61" s="13" t="n">
        <f aca="false">EF$42+EF$51+EF$25</f>
        <v>63488.8374743457</v>
      </c>
      <c r="EG61" s="13" t="n">
        <f aca="false">EG$42+EG$51+EG$25</f>
        <v>63488.8374743457</v>
      </c>
      <c r="EH61" s="13" t="n">
        <f aca="false">EH$42+EH$51+EH$25</f>
        <v>63488.8374743457</v>
      </c>
      <c r="EI61" s="13" t="n">
        <f aca="false">EI$42+EI$51+EI$25</f>
        <v>63488.8374743457</v>
      </c>
      <c r="EJ61" s="13" t="n">
        <f aca="false">EJ$42+EJ$51+EJ$25</f>
        <v>63488.8374743457</v>
      </c>
      <c r="EK61" s="13" t="n">
        <f aca="false">EK$42+EK$51+EK$25</f>
        <v>63488.8374743457</v>
      </c>
      <c r="EL61" s="13" t="n">
        <f aca="false">EL$42+EL$51+EL$25</f>
        <v>63488.8374743457</v>
      </c>
      <c r="EM61" s="13" t="n">
        <f aca="false">EM$42+EM$51+EM$25</f>
        <v>63488.8374743457</v>
      </c>
      <c r="EN61" s="13" t="n">
        <f aca="false">EN$42+EN$51+EN$25</f>
        <v>63488.8374743457</v>
      </c>
      <c r="EO61" s="13" t="n">
        <f aca="false">EO$42+EO$51+EO$25</f>
        <v>63488.8374743457</v>
      </c>
      <c r="EP61" s="13" t="n">
        <f aca="false">EP$42+EP$51+EP$25</f>
        <v>63488.8374743457</v>
      </c>
      <c r="EQ61" s="13" t="n">
        <f aca="false">EQ$42+EQ$51+EQ$25</f>
        <v>63488.8374743457</v>
      </c>
      <c r="ER61" s="13" t="n">
        <f aca="false">ER$42+ER$51+ER$25</f>
        <v>63488.8374743457</v>
      </c>
      <c r="ES61" s="13" t="n">
        <f aca="false">ES$42+ES$51+ES$25</f>
        <v>63488.8374743457</v>
      </c>
      <c r="ET61" s="13" t="n">
        <f aca="false">ET$42+ET$51+ET$25</f>
        <v>63488.8374743457</v>
      </c>
      <c r="EU61" s="13" t="n">
        <f aca="false">EU$42+EU$51+EU$25</f>
        <v>63488.8374743457</v>
      </c>
      <c r="EV61" s="13" t="n">
        <f aca="false">EV$42+EV$51+EV$25</f>
        <v>63488.8374743457</v>
      </c>
      <c r="EW61" s="13" t="n">
        <f aca="false">EW$42+EW$51+EW$25</f>
        <v>63488.8374743457</v>
      </c>
      <c r="EX61" s="13" t="n">
        <f aca="false">EX$42+EX$51+EX$25</f>
        <v>63488.8374743457</v>
      </c>
      <c r="EY61" s="13" t="n">
        <f aca="false">EY$42+EY$51+EY$25</f>
        <v>63488.8374743457</v>
      </c>
      <c r="EZ61" s="13" t="n">
        <f aca="false">EZ$42+EZ$51+EZ$25</f>
        <v>63488.8374743457</v>
      </c>
      <c r="FA61" s="13" t="n">
        <f aca="false">FA$42+FA$51+FA$25</f>
        <v>63488.8374743457</v>
      </c>
      <c r="FB61" s="13" t="n">
        <f aca="false">FB$42+FB$51+FB$25</f>
        <v>63488.8374743457</v>
      </c>
      <c r="FC61" s="13" t="n">
        <f aca="false">FC$42+FC$51+FC$25</f>
        <v>63488.8374743457</v>
      </c>
      <c r="FD61" s="13" t="n">
        <f aca="false">FD$42+FD$51+FD$25</f>
        <v>63488.8374743457</v>
      </c>
      <c r="FE61" s="13" t="n">
        <f aca="false">FE$42+FE$51+FE$25</f>
        <v>63488.8374743457</v>
      </c>
      <c r="FF61" s="13" t="n">
        <f aca="false">FF$42+FF$51+FF$25</f>
        <v>63488.8374743457</v>
      </c>
    </row>
    <row r="62" customFormat="false" ht="15" hidden="false" customHeight="false" outlineLevel="0" collapsed="false">
      <c r="A62" s="2" t="s">
        <v>1375</v>
      </c>
      <c r="B62" s="66" t="s">
        <v>1376</v>
      </c>
      <c r="C62" s="8" t="s">
        <v>255</v>
      </c>
      <c r="E62" s="67" t="n">
        <f aca="false">MAX($F62:$FF62)</f>
        <v>4942519.05732891</v>
      </c>
      <c r="F62" s="12" t="n">
        <f aca="false">F$60-F$61</f>
        <v>1064142.28219178</v>
      </c>
      <c r="G62" s="12" t="n">
        <f aca="false">G$60-G$61</f>
        <v>1448165.48209921</v>
      </c>
      <c r="H62" s="12" t="n">
        <f aca="false">H$60-H$61</f>
        <v>1861895.94651758</v>
      </c>
      <c r="I62" s="12" t="n">
        <f aca="false">I$60-I$61</f>
        <v>2266062.61318424</v>
      </c>
      <c r="J62" s="12" t="n">
        <f aca="false">J$60-J$61</f>
        <v>2648083.16112945</v>
      </c>
      <c r="K62" s="12" t="n">
        <f aca="false">K$60-K$61</f>
        <v>2648083.16112945</v>
      </c>
      <c r="L62" s="12" t="n">
        <f aca="false">L$60-L$61</f>
        <v>2648083.16112945</v>
      </c>
      <c r="M62" s="12" t="n">
        <f aca="false">M$60-M$61</f>
        <v>2648083.16112945</v>
      </c>
      <c r="N62" s="12" t="n">
        <f aca="false">N$60-N$61</f>
        <v>2668420.43787931</v>
      </c>
      <c r="O62" s="12" t="n">
        <f aca="false">O$60-O$61</f>
        <v>2733005.49498219</v>
      </c>
      <c r="P62" s="12" t="n">
        <f aca="false">P$60-P$61</f>
        <v>2800087.29456552</v>
      </c>
      <c r="Q62" s="12" t="n">
        <f aca="false">Q$60-Q$61</f>
        <v>2867169.09414885</v>
      </c>
      <c r="R62" s="12" t="n">
        <f aca="false">R$60-R$61</f>
        <v>2936255.54478521</v>
      </c>
      <c r="S62" s="12" t="n">
        <f aca="false">S$60-S$61</f>
        <v>3040181.3113121</v>
      </c>
      <c r="T62" s="12" t="n">
        <f aca="false">T$60-T$61</f>
        <v>3151114.64464543</v>
      </c>
      <c r="U62" s="12" t="n">
        <f aca="false">U$60-U$61</f>
        <v>3262047.97797876</v>
      </c>
      <c r="V62" s="12" t="n">
        <f aca="false">V$60-V$61</f>
        <v>3366902.77249931</v>
      </c>
      <c r="W62" s="12" t="n">
        <f aca="false">W$60-W$61</f>
        <v>3366902.77249931</v>
      </c>
      <c r="X62" s="12" t="n">
        <f aca="false">X$60-X$61</f>
        <v>3366902.77249931</v>
      </c>
      <c r="Y62" s="12" t="n">
        <f aca="false">Y$60-Y$61</f>
        <v>3366902.77249931</v>
      </c>
      <c r="Z62" s="12" t="n">
        <f aca="false">Z$60-Z$61</f>
        <v>3387345.71402868</v>
      </c>
      <c r="AA62" s="12" t="n">
        <f aca="false">AA$60-AA$61</f>
        <v>3452598.37334931</v>
      </c>
      <c r="AB62" s="12" t="n">
        <f aca="false">AB$60-AB$61</f>
        <v>3520379.99613264</v>
      </c>
      <c r="AC62" s="12" t="n">
        <f aca="false">AC$60-AC$61</f>
        <v>3588161.61891598</v>
      </c>
      <c r="AD62" s="12" t="n">
        <f aca="false">AD$60-AD$61</f>
        <v>3657347.4873628</v>
      </c>
      <c r="AE62" s="12" t="n">
        <f aca="false">AE$60-AE$61</f>
        <v>3765642.07511135</v>
      </c>
      <c r="AF62" s="12" t="n">
        <f aca="false">AF$60-AF$61</f>
        <v>3878753.65844468</v>
      </c>
      <c r="AG62" s="12" t="n">
        <f aca="false">AG$60-AG$61</f>
        <v>3991865.24177802</v>
      </c>
      <c r="AH62" s="12" t="n">
        <f aca="false">AH$60-AH$61</f>
        <v>4098778.93013418</v>
      </c>
      <c r="AI62" s="12" t="n">
        <f aca="false">AI$60-AI$61</f>
        <v>4098778.93013418</v>
      </c>
      <c r="AJ62" s="12" t="n">
        <f aca="false">AJ$60-AJ$61</f>
        <v>4098778.93013418</v>
      </c>
      <c r="AK62" s="12" t="n">
        <f aca="false">AK$60-AK$61</f>
        <v>4098778.93013418</v>
      </c>
      <c r="AL62" s="12" t="n">
        <f aca="false">AL$60-AL$61</f>
        <v>4115311.53733229</v>
      </c>
      <c r="AM62" s="12" t="n">
        <f aca="false">AM$60-AM$61</f>
        <v>4168728.97781448</v>
      </c>
      <c r="AN62" s="12" t="n">
        <f aca="false">AN$60-AN$61</f>
        <v>4224229.10938494</v>
      </c>
      <c r="AO62" s="12" t="n">
        <f aca="false">AO$60-AO$61</f>
        <v>4279729.2409554</v>
      </c>
      <c r="AP62" s="12" t="n">
        <f aca="false">AP$60-AP$61</f>
        <v>4336160.13851195</v>
      </c>
      <c r="AQ62" s="12" t="n">
        <f aca="false">AQ$60-AQ$61</f>
        <v>4428030.84309354</v>
      </c>
      <c r="AR62" s="12" t="n">
        <f aca="false">AR$60-AR$61</f>
        <v>4523605.7122602</v>
      </c>
      <c r="AS62" s="12" t="n">
        <f aca="false">AS$60-AS$61</f>
        <v>4619180.58142687</v>
      </c>
      <c r="AT62" s="12" t="n">
        <f aca="false">AT$60-AT$61</f>
        <v>4709518.47146112</v>
      </c>
      <c r="AU62" s="12" t="n">
        <f aca="false">AU$60-AU$61</f>
        <v>4709518.47146112</v>
      </c>
      <c r="AV62" s="12" t="n">
        <f aca="false">AV$60-AV$61</f>
        <v>4709518.47146112</v>
      </c>
      <c r="AW62" s="12" t="n">
        <f aca="false">AW$60-AW$61</f>
        <v>4709518.47146112</v>
      </c>
      <c r="AX62" s="12" t="n">
        <f aca="false">AX$60-AX$61</f>
        <v>4709518.47146112</v>
      </c>
      <c r="AY62" s="12" t="n">
        <f aca="false">AY$60-AY$61</f>
        <v>4711712.54318669</v>
      </c>
      <c r="AZ62" s="12" t="n">
        <f aca="false">AZ$60-AZ$61</f>
        <v>4714033.80747606</v>
      </c>
      <c r="BA62" s="12" t="n">
        <f aca="false">BA$60-BA$61</f>
        <v>4716355.07176543</v>
      </c>
      <c r="BB62" s="12" t="n">
        <f aca="false">BB$60-BB$61</f>
        <v>4718676.3360548</v>
      </c>
      <c r="BC62" s="12" t="n">
        <f aca="false">BC$60-BC$61</f>
        <v>4727370.45072542</v>
      </c>
      <c r="BD62" s="12" t="n">
        <f aca="false">BD$60-BD$61</f>
        <v>4734608.31525042</v>
      </c>
      <c r="BE62" s="12" t="n">
        <f aca="false">BE$60-BE$61</f>
        <v>4741846.17977542</v>
      </c>
      <c r="BF62" s="12" t="n">
        <f aca="false">BF$60-BF$61</f>
        <v>4748687.44898398</v>
      </c>
      <c r="BG62" s="12" t="n">
        <f aca="false">BG$60-BG$61</f>
        <v>4748687.44898398</v>
      </c>
      <c r="BH62" s="12" t="n">
        <f aca="false">BH$60-BH$61</f>
        <v>4748687.44898398</v>
      </c>
      <c r="BI62" s="12" t="n">
        <f aca="false">BI$60-BI$61</f>
        <v>4748687.44898398</v>
      </c>
      <c r="BJ62" s="12" t="n">
        <f aca="false">BJ$60-BJ$61</f>
        <v>4748687.44898398</v>
      </c>
      <c r="BK62" s="12" t="n">
        <f aca="false">BK$60-BK$61</f>
        <v>4750903.46142681</v>
      </c>
      <c r="BL62" s="12" t="n">
        <f aca="false">BL$60-BL$61</f>
        <v>4753247.93835907</v>
      </c>
      <c r="BM62" s="12" t="n">
        <f aca="false">BM$60-BM$61</f>
        <v>4755592.41529134</v>
      </c>
      <c r="BN62" s="12" t="n">
        <f aca="false">BN$60-BN$61</f>
        <v>4757936.8922236</v>
      </c>
      <c r="BO62" s="12" t="n">
        <f aca="false">BO$60-BO$61</f>
        <v>4765179.45577258</v>
      </c>
      <c r="BP62" s="12" t="n">
        <f aca="false">BP$60-BP$61</f>
        <v>4772489.69894283</v>
      </c>
      <c r="BQ62" s="12" t="n">
        <f aca="false">BQ$60-BQ$61</f>
        <v>4779799.94211308</v>
      </c>
      <c r="BR62" s="12" t="n">
        <f aca="false">BR$60-BR$61</f>
        <v>4786709.62401373</v>
      </c>
      <c r="BS62" s="12" t="n">
        <f aca="false">BS$60-BS$61</f>
        <v>4786709.62401373</v>
      </c>
      <c r="BT62" s="12" t="n">
        <f aca="false">BT$60-BT$61</f>
        <v>4786709.62401373</v>
      </c>
      <c r="BU62" s="12" t="n">
        <f aca="false">BU$60-BU$61</f>
        <v>4786709.62401373</v>
      </c>
      <c r="BV62" s="12" t="n">
        <f aca="false">BV$60-BV$61</f>
        <v>4786709.62401373</v>
      </c>
      <c r="BW62" s="12" t="n">
        <f aca="false">BW$60-BW$61</f>
        <v>4788947.79658098</v>
      </c>
      <c r="BX62" s="12" t="n">
        <f aca="false">BX$60-BX$61</f>
        <v>4791315.71828257</v>
      </c>
      <c r="BY62" s="12" t="n">
        <f aca="false">BY$60-BY$61</f>
        <v>4793683.63998416</v>
      </c>
      <c r="BZ62" s="12" t="n">
        <f aca="false">BZ$60-BZ$61</f>
        <v>4796051.56168575</v>
      </c>
      <c r="CA62" s="12" t="n">
        <f aca="false">CA$60-CA$61</f>
        <v>4803355.05907141</v>
      </c>
      <c r="CB62" s="12" t="n">
        <f aca="false">CB$60-CB$61</f>
        <v>4810738.40467336</v>
      </c>
      <c r="CC62" s="12" t="n">
        <f aca="false">CC$60-CC$61</f>
        <v>4818121.75027532</v>
      </c>
      <c r="CD62" s="12" t="n">
        <f aca="false">CD$60-CD$61</f>
        <v>4825100.52899497</v>
      </c>
      <c r="CE62" s="12" t="n">
        <f aca="false">CE$60-CE$61</f>
        <v>4825100.52899497</v>
      </c>
      <c r="CF62" s="12" t="n">
        <f aca="false">CF$60-CF$61</f>
        <v>4825100.52899497</v>
      </c>
      <c r="CG62" s="12" t="n">
        <f aca="false">CG$60-CG$61</f>
        <v>4825100.52899497</v>
      </c>
      <c r="CH62" s="12" t="n">
        <f aca="false">CH$60-CH$61</f>
        <v>4825100.52899497</v>
      </c>
      <c r="CI62" s="12" t="n">
        <f aca="false">CI$60-CI$61</f>
        <v>4827361.0832879</v>
      </c>
      <c r="CJ62" s="12" t="n">
        <f aca="false">CJ$60-CJ$61</f>
        <v>4829752.6842065</v>
      </c>
      <c r="CK62" s="12" t="n">
        <f aca="false">CK$60-CK$61</f>
        <v>4832144.2851251</v>
      </c>
      <c r="CL62" s="12" t="n">
        <f aca="false">CL$60-CL$61</f>
        <v>4834535.88604371</v>
      </c>
      <c r="CM62" s="12" t="n">
        <f aca="false">CM$60-CM$61</f>
        <v>4841900.57135092</v>
      </c>
      <c r="CN62" s="12" t="n">
        <f aca="false">CN$60-CN$61</f>
        <v>4849357.75040889</v>
      </c>
      <c r="CO62" s="12" t="n">
        <f aca="false">CO$60-CO$61</f>
        <v>4856814.92946686</v>
      </c>
      <c r="CP62" s="12" t="n">
        <f aca="false">CP$60-CP$61</f>
        <v>4863863.49597371</v>
      </c>
      <c r="CQ62" s="12" t="n">
        <f aca="false">CQ$60-CQ$61</f>
        <v>4863863.49597371</v>
      </c>
      <c r="CR62" s="12" t="n">
        <f aca="false">CR$60-CR$61</f>
        <v>4863863.49597371</v>
      </c>
      <c r="CS62" s="12" t="n">
        <f aca="false">CS$60-CS$61</f>
        <v>4863863.49597371</v>
      </c>
      <c r="CT62" s="12" t="n">
        <f aca="false">CT$60-CT$61</f>
        <v>4863863.49597371</v>
      </c>
      <c r="CU62" s="12" t="n">
        <f aca="false">CU$60-CU$61</f>
        <v>4866146.65580957</v>
      </c>
      <c r="CV62" s="12" t="n">
        <f aca="false">CV$60-CV$61</f>
        <v>4868562.17273736</v>
      </c>
      <c r="CW62" s="12" t="n">
        <f aca="false">CW$60-CW$61</f>
        <v>4870977.68966515</v>
      </c>
      <c r="CX62" s="12" t="n">
        <f aca="false">CX$60-CX$61</f>
        <v>4873393.20659294</v>
      </c>
      <c r="CY62" s="12" t="n">
        <f aca="false">CY$60-CY$61</f>
        <v>4880819.3257898</v>
      </c>
      <c r="CZ62" s="12" t="n">
        <f aca="false">CZ$60-CZ$61</f>
        <v>4888351.07663835</v>
      </c>
      <c r="DA62" s="12" t="n">
        <f aca="false">DA$60-DA$61</f>
        <v>4895882.8274869</v>
      </c>
      <c r="DB62" s="12" t="n">
        <f aca="false">DB$60-DB$61</f>
        <v>4903001.87965882</v>
      </c>
      <c r="DC62" s="12" t="n">
        <f aca="false">DC$60-DC$61</f>
        <v>4903001.87965882</v>
      </c>
      <c r="DD62" s="12" t="n">
        <f aca="false">DD$60-DD$61</f>
        <v>4903001.87965882</v>
      </c>
      <c r="DE62" s="12" t="n">
        <f aca="false">DE$60-DE$61</f>
        <v>4903001.87965882</v>
      </c>
      <c r="DF62" s="12" t="n">
        <f aca="false">DF$60-DF$61</f>
        <v>4903001.87965882</v>
      </c>
      <c r="DG62" s="12" t="n">
        <f aca="false">DG$60-DG$61</f>
        <v>4905307.87109303</v>
      </c>
      <c r="DH62" s="12" t="n">
        <f aca="false">DH$60-DH$61</f>
        <v>4907747.5431901</v>
      </c>
      <c r="DI62" s="12" t="n">
        <f aca="false">DI$60-DI$61</f>
        <v>4910187.21528717</v>
      </c>
      <c r="DJ62" s="12" t="n">
        <f aca="false">DJ$60-DJ$61</f>
        <v>4912626.88738423</v>
      </c>
      <c r="DK62" s="12" t="n">
        <f aca="false">DK$60-DK$61</f>
        <v>4920114.6779212</v>
      </c>
      <c r="DL62" s="12" t="n">
        <f aca="false">DL$60-DL$61</f>
        <v>4927721.74627824</v>
      </c>
      <c r="DM62" s="12" t="n">
        <f aca="false">DM$60-DM$61</f>
        <v>4935328.81463528</v>
      </c>
      <c r="DN62" s="12" t="n">
        <f aca="false">DN$60-DN$61</f>
        <v>4942519.05732891</v>
      </c>
      <c r="DO62" s="12" t="n">
        <f aca="false">DO$60-DO$61</f>
        <v>4942519.05732891</v>
      </c>
      <c r="DP62" s="12" t="n">
        <f aca="false">DP$60-DP$61</f>
        <v>4942519.05732891</v>
      </c>
      <c r="DQ62" s="12" t="n">
        <f aca="false">DQ$60-DQ$61</f>
        <v>4942519.05732891</v>
      </c>
      <c r="DR62" s="12" t="n">
        <f aca="false">DR$60-DR$61</f>
        <v>4801553.6452315</v>
      </c>
      <c r="DS62" s="12" t="n">
        <f aca="false">DS$60-DS$61</f>
        <v>4364611.9421542</v>
      </c>
      <c r="DT62" s="12" t="n">
        <f aca="false">DT$60-DT$61</f>
        <v>3910985.92701705</v>
      </c>
      <c r="DU62" s="12" t="n">
        <f aca="false">DU$60-DU$61</f>
        <v>3457359.91187991</v>
      </c>
      <c r="DV62" s="12" t="n">
        <f aca="false">DV$60-DV$61</f>
        <v>2989560.06122588</v>
      </c>
      <c r="DW62" s="12" t="n">
        <f aca="false">DW$60-DW$61</f>
        <v>2989560.06122588</v>
      </c>
      <c r="DX62" s="12" t="n">
        <f aca="false">DX$60-DX$61</f>
        <v>2989560.06122588</v>
      </c>
      <c r="DY62" s="12" t="n">
        <f aca="false">DY$60-DY$61</f>
        <v>2989560.06122588</v>
      </c>
      <c r="DZ62" s="12" t="n">
        <f aca="false">DZ$60-DZ$61</f>
        <v>2989560.06122588</v>
      </c>
      <c r="EA62" s="12" t="n">
        <f aca="false">EA$60-EA$61</f>
        <v>2989560.06122588</v>
      </c>
      <c r="EB62" s="12" t="n">
        <f aca="false">EB$60-EB$61</f>
        <v>2989560.06122588</v>
      </c>
      <c r="EC62" s="12" t="n">
        <f aca="false">EC$60-EC$61</f>
        <v>2989560.06122588</v>
      </c>
      <c r="ED62" s="12" t="n">
        <f aca="false">ED$60-ED$61</f>
        <v>2989560.06122588</v>
      </c>
      <c r="EE62" s="12" t="n">
        <f aca="false">EE$60-EE$61</f>
        <v>2989560.06122588</v>
      </c>
      <c r="EF62" s="12" t="n">
        <f aca="false">EF$60-EF$61</f>
        <v>2989560.06122588</v>
      </c>
      <c r="EG62" s="12" t="n">
        <f aca="false">EG$60-EG$61</f>
        <v>2989560.06122588</v>
      </c>
      <c r="EH62" s="12" t="n">
        <f aca="false">EH$60-EH$61</f>
        <v>2989560.06122588</v>
      </c>
      <c r="EI62" s="12" t="n">
        <f aca="false">EI$60-EI$61</f>
        <v>2989560.06122588</v>
      </c>
      <c r="EJ62" s="12" t="n">
        <f aca="false">EJ$60-EJ$61</f>
        <v>2989560.06122588</v>
      </c>
      <c r="EK62" s="12" t="n">
        <f aca="false">EK$60-EK$61</f>
        <v>2989560.06122588</v>
      </c>
      <c r="EL62" s="12" t="n">
        <f aca="false">EL$60-EL$61</f>
        <v>2989560.06122588</v>
      </c>
      <c r="EM62" s="12" t="n">
        <f aca="false">EM$60-EM$61</f>
        <v>2989560.06122588</v>
      </c>
      <c r="EN62" s="12" t="n">
        <f aca="false">EN$60-EN$61</f>
        <v>2989560.06122588</v>
      </c>
      <c r="EO62" s="12" t="n">
        <f aca="false">EO$60-EO$61</f>
        <v>2989560.06122588</v>
      </c>
      <c r="EP62" s="12" t="n">
        <f aca="false">EP$60-EP$61</f>
        <v>2989560.06122588</v>
      </c>
      <c r="EQ62" s="12" t="n">
        <f aca="false">EQ$60-EQ$61</f>
        <v>2989560.06122588</v>
      </c>
      <c r="ER62" s="12" t="n">
        <f aca="false">ER$60-ER$61</f>
        <v>2989560.06122588</v>
      </c>
      <c r="ES62" s="12" t="n">
        <f aca="false">ES$60-ES$61</f>
        <v>2989560.06122588</v>
      </c>
      <c r="ET62" s="12" t="n">
        <f aca="false">ET$60-ET$61</f>
        <v>2989560.06122588</v>
      </c>
      <c r="EU62" s="12" t="n">
        <f aca="false">EU$60-EU$61</f>
        <v>2989560.06122588</v>
      </c>
      <c r="EV62" s="12" t="n">
        <f aca="false">EV$60-EV$61</f>
        <v>2989560.06122588</v>
      </c>
      <c r="EW62" s="12" t="n">
        <f aca="false">EW$60-EW$61</f>
        <v>2989560.06122588</v>
      </c>
      <c r="EX62" s="12" t="n">
        <f aca="false">EX$60-EX$61</f>
        <v>2989560.06122588</v>
      </c>
      <c r="EY62" s="12" t="n">
        <f aca="false">EY$60-EY$61</f>
        <v>2989560.06122588</v>
      </c>
      <c r="EZ62" s="12" t="n">
        <f aca="false">EZ$60-EZ$61</f>
        <v>2989560.06122588</v>
      </c>
      <c r="FA62" s="12" t="n">
        <f aca="false">FA$60-FA$61</f>
        <v>2989560.06122588</v>
      </c>
      <c r="FB62" s="12" t="n">
        <f aca="false">FB$60-FB$61</f>
        <v>2989560.06122588</v>
      </c>
      <c r="FC62" s="12" t="n">
        <f aca="false">FC$60-FC$61</f>
        <v>2989560.06122588</v>
      </c>
      <c r="FD62" s="12" t="n">
        <f aca="false">FD$60-FD$61</f>
        <v>2989560.06122588</v>
      </c>
      <c r="FE62" s="12" t="n">
        <f aca="false">FE$60-FE$61</f>
        <v>2989560.06122588</v>
      </c>
      <c r="FF62" s="12" t="n">
        <f aca="false">FF$60-FF$61</f>
        <v>2989560.06122588</v>
      </c>
    </row>
    <row r="63" customFormat="false" ht="15" hidden="false" customHeight="false" outlineLevel="0" collapsed="false">
      <c r="A63" s="2" t="s">
        <v>1377</v>
      </c>
      <c r="B63" s="8" t="s">
        <v>1378</v>
      </c>
      <c r="C63" s="8" t="s">
        <v>255</v>
      </c>
      <c r="E63" s="65" t="n">
        <f aca="false">SUM($F63:$FF63)</f>
        <v>2989560.06122588</v>
      </c>
      <c r="F63" s="13" t="n">
        <f aca="false">F$62-0</f>
        <v>1064142.28219178</v>
      </c>
      <c r="G63" s="13" t="n">
        <f aca="false">G$62-F$62</f>
        <v>384023.199907433</v>
      </c>
      <c r="H63" s="13" t="n">
        <f aca="false">H$62-G$62</f>
        <v>413730.464418362</v>
      </c>
      <c r="I63" s="13" t="n">
        <f aca="false">I$62-H$62</f>
        <v>404166.666666666</v>
      </c>
      <c r="J63" s="13" t="n">
        <f aca="false">J$62-I$62</f>
        <v>382020.547945205</v>
      </c>
      <c r="K63" s="13" t="n">
        <f aca="false">K$62-J$62</f>
        <v>0</v>
      </c>
      <c r="L63" s="13" t="n">
        <f aca="false">L$62-K$62</f>
        <v>0</v>
      </c>
      <c r="M63" s="13" t="n">
        <f aca="false">M$62-L$62</f>
        <v>0</v>
      </c>
      <c r="N63" s="13" t="n">
        <f aca="false">N$62-M$62</f>
        <v>20337.2767498596</v>
      </c>
      <c r="O63" s="13" t="n">
        <f aca="false">O$62-N$62</f>
        <v>64585.0571028804</v>
      </c>
      <c r="P63" s="13" t="n">
        <f aca="false">P$62-O$62</f>
        <v>67081.7995833331</v>
      </c>
      <c r="Q63" s="13" t="n">
        <f aca="false">Q$62-P$62</f>
        <v>67081.7995833335</v>
      </c>
      <c r="R63" s="13" t="n">
        <f aca="false">R$62-Q$62</f>
        <v>69086.4506363529</v>
      </c>
      <c r="S63" s="13" t="n">
        <f aca="false">S$62-R$62</f>
        <v>103925.76652689</v>
      </c>
      <c r="T63" s="13" t="n">
        <f aca="false">T$62-S$62</f>
        <v>110933.333333333</v>
      </c>
      <c r="U63" s="13" t="n">
        <f aca="false">U$62-T$62</f>
        <v>110933.333333333</v>
      </c>
      <c r="V63" s="13" t="n">
        <f aca="false">V$62-U$62</f>
        <v>104854.794520548</v>
      </c>
      <c r="W63" s="13" t="n">
        <f aca="false">W$62-V$62</f>
        <v>0</v>
      </c>
      <c r="X63" s="13" t="n">
        <f aca="false">X$62-W$62</f>
        <v>0</v>
      </c>
      <c r="Y63" s="13" t="n">
        <f aca="false">Y$62-X$62</f>
        <v>0</v>
      </c>
      <c r="Z63" s="13" t="n">
        <f aca="false">Z$62-Y$62</f>
        <v>20442.9415293676</v>
      </c>
      <c r="AA63" s="13" t="n">
        <f aca="false">AA$62-Z$62</f>
        <v>65252.6593206325</v>
      </c>
      <c r="AB63" s="13" t="n">
        <f aca="false">AB$62-AA$62</f>
        <v>67781.6227833331</v>
      </c>
      <c r="AC63" s="13" t="n">
        <f aca="false">AC$62-AB$62</f>
        <v>67781.6227833331</v>
      </c>
      <c r="AD63" s="13" t="n">
        <f aca="false">AD$62-AC$62</f>
        <v>69185.8684468237</v>
      </c>
      <c r="AE63" s="13" t="n">
        <f aca="false">AE$62-AD$62</f>
        <v>108294.587748549</v>
      </c>
      <c r="AF63" s="13" t="n">
        <f aca="false">AF$62-AE$62</f>
        <v>113111.583333333</v>
      </c>
      <c r="AG63" s="13" t="n">
        <f aca="false">AG$62-AF$62</f>
        <v>113111.583333333</v>
      </c>
      <c r="AH63" s="13" t="n">
        <f aca="false">AH$62-AG$62</f>
        <v>106913.688356164</v>
      </c>
      <c r="AI63" s="13" t="n">
        <f aca="false">AI$62-AH$62</f>
        <v>0</v>
      </c>
      <c r="AJ63" s="13" t="n">
        <f aca="false">AJ$62-AI$62</f>
        <v>0</v>
      </c>
      <c r="AK63" s="13" t="n">
        <f aca="false">AK$62-AJ$62</f>
        <v>0</v>
      </c>
      <c r="AL63" s="13" t="n">
        <f aca="false">AL$62-AK$62</f>
        <v>16532.6071981047</v>
      </c>
      <c r="AM63" s="13" t="n">
        <f aca="false">AM$62-AL$62</f>
        <v>53417.4404821917</v>
      </c>
      <c r="AN63" s="13" t="n">
        <f aca="false">AN$62-AM$62</f>
        <v>55500.1315704584</v>
      </c>
      <c r="AO63" s="13" t="n">
        <f aca="false">AO$62-AN$62</f>
        <v>55500.1315704584</v>
      </c>
      <c r="AP63" s="13" t="n">
        <f aca="false">AP$62-AO$62</f>
        <v>56430.8975565564</v>
      </c>
      <c r="AQ63" s="13" t="n">
        <f aca="false">AQ$62-AP$62</f>
        <v>91870.7045815839</v>
      </c>
      <c r="AR63" s="13" t="n">
        <f aca="false">AR$62-AQ$62</f>
        <v>95574.8691666666</v>
      </c>
      <c r="AS63" s="13" t="n">
        <f aca="false">AS$62-AR$62</f>
        <v>95574.8691666666</v>
      </c>
      <c r="AT63" s="13" t="n">
        <f aca="false">AT$62-AS$62</f>
        <v>90337.8900342472</v>
      </c>
      <c r="AU63" s="13" t="n">
        <f aca="false">AU$62-AT$62</f>
        <v>0</v>
      </c>
      <c r="AV63" s="13" t="n">
        <f aca="false">AV$62-AU$62</f>
        <v>0</v>
      </c>
      <c r="AW63" s="13" t="n">
        <f aca="false">AW$62-AV$62</f>
        <v>0</v>
      </c>
      <c r="AX63" s="13" t="n">
        <f aca="false">AX$62-AW$62</f>
        <v>0</v>
      </c>
      <c r="AY63" s="13" t="n">
        <f aca="false">AY$62-AX$62</f>
        <v>2194.07172556967</v>
      </c>
      <c r="AZ63" s="13" t="n">
        <f aca="false">AZ$62-AY$62</f>
        <v>2321.26428937167</v>
      </c>
      <c r="BA63" s="13" t="n">
        <f aca="false">BA$62-AZ$62</f>
        <v>2321.26428937074</v>
      </c>
      <c r="BB63" s="13" t="n">
        <f aca="false">BB$62-BA$62</f>
        <v>2321.26428937074</v>
      </c>
      <c r="BC63" s="13" t="n">
        <f aca="false">BC$62-BB$62</f>
        <v>8694.11467062123</v>
      </c>
      <c r="BD63" s="13" t="n">
        <f aca="false">BD$62-BC$62</f>
        <v>7237.86452500057</v>
      </c>
      <c r="BE63" s="13" t="n">
        <f aca="false">BE$62-BD$62</f>
        <v>7237.86452499963</v>
      </c>
      <c r="BF63" s="13" t="n">
        <f aca="false">BF$62-BE$62</f>
        <v>6841.26920856163</v>
      </c>
      <c r="BG63" s="13" t="n">
        <f aca="false">BG$62-BF$62</f>
        <v>0</v>
      </c>
      <c r="BH63" s="13" t="n">
        <f aca="false">BH$62-BG$62</f>
        <v>0</v>
      </c>
      <c r="BI63" s="13" t="n">
        <f aca="false">BI$62-BH$62</f>
        <v>0</v>
      </c>
      <c r="BJ63" s="13" t="n">
        <f aca="false">BJ$62-BI$62</f>
        <v>0</v>
      </c>
      <c r="BK63" s="13" t="n">
        <f aca="false">BK$62-BJ$62</f>
        <v>2216.01244282536</v>
      </c>
      <c r="BL63" s="13" t="n">
        <f aca="false">BL$62-BK$62</f>
        <v>2344.4769322658</v>
      </c>
      <c r="BM63" s="13" t="n">
        <f aca="false">BM$62-BL$62</f>
        <v>2344.47693226486</v>
      </c>
      <c r="BN63" s="13" t="n">
        <f aca="false">BN$62-BM$62</f>
        <v>2344.47693226486</v>
      </c>
      <c r="BO63" s="13" t="n">
        <f aca="false">BO$62-BN$62</f>
        <v>7242.56354898028</v>
      </c>
      <c r="BP63" s="13" t="n">
        <f aca="false">BP$62-BO$62</f>
        <v>7310.24317025021</v>
      </c>
      <c r="BQ63" s="13" t="n">
        <f aca="false">BQ$62-BP$62</f>
        <v>7310.24317025021</v>
      </c>
      <c r="BR63" s="13" t="n">
        <f aca="false">BR$62-BQ$62</f>
        <v>6909.68190064747</v>
      </c>
      <c r="BS63" s="13" t="n">
        <f aca="false">BS$62-BR$62</f>
        <v>0</v>
      </c>
      <c r="BT63" s="13" t="n">
        <f aca="false">BT$62-BS$62</f>
        <v>0</v>
      </c>
      <c r="BU63" s="13" t="n">
        <f aca="false">BU$62-BT$62</f>
        <v>0</v>
      </c>
      <c r="BV63" s="13" t="n">
        <f aca="false">BV$62-BU$62</f>
        <v>0</v>
      </c>
      <c r="BW63" s="13" t="n">
        <f aca="false">BW$62-BV$62</f>
        <v>2238.17256725393</v>
      </c>
      <c r="BX63" s="13" t="n">
        <f aca="false">BX$62-BW$62</f>
        <v>2367.92170158774</v>
      </c>
      <c r="BY63" s="13" t="n">
        <f aca="false">BY$62-BX$62</f>
        <v>2367.92170158774</v>
      </c>
      <c r="BZ63" s="13" t="n">
        <f aca="false">BZ$62-BY$62</f>
        <v>2367.92170158774</v>
      </c>
      <c r="CA63" s="13" t="n">
        <f aca="false">CA$62-BZ$62</f>
        <v>7303.49738566391</v>
      </c>
      <c r="CB63" s="13" t="n">
        <f aca="false">CB$62-CA$62</f>
        <v>7383.34560195264</v>
      </c>
      <c r="CC63" s="13" t="n">
        <f aca="false">CC$62-CB$62</f>
        <v>7383.34560195264</v>
      </c>
      <c r="CD63" s="13" t="n">
        <f aca="false">CD$62-CC$62</f>
        <v>6978.77871965338</v>
      </c>
      <c r="CE63" s="13" t="n">
        <f aca="false">CE$62-CD$62</f>
        <v>0</v>
      </c>
      <c r="CF63" s="13" t="n">
        <f aca="false">CF$62-CE$62</f>
        <v>0</v>
      </c>
      <c r="CG63" s="13" t="n">
        <f aca="false">CG$62-CF$62</f>
        <v>0</v>
      </c>
      <c r="CH63" s="13" t="n">
        <f aca="false">CH$62-CG$62</f>
        <v>0</v>
      </c>
      <c r="CI63" s="13" t="n">
        <f aca="false">CI$62-CH$62</f>
        <v>2260.55429292657</v>
      </c>
      <c r="CJ63" s="13" t="n">
        <f aca="false">CJ$62-CI$62</f>
        <v>2391.60091860406</v>
      </c>
      <c r="CK63" s="13" t="n">
        <f aca="false">CK$62-CJ$62</f>
        <v>2391.60091860313</v>
      </c>
      <c r="CL63" s="13" t="n">
        <f aca="false">CL$62-CK$62</f>
        <v>2391.60091860313</v>
      </c>
      <c r="CM63" s="13" t="n">
        <f aca="false">CM$62-CL$62</f>
        <v>7364.68530720938</v>
      </c>
      <c r="CN63" s="13" t="n">
        <f aca="false">CN$62-CM$62</f>
        <v>7457.17905797157</v>
      </c>
      <c r="CO63" s="13" t="n">
        <f aca="false">CO$62-CN$62</f>
        <v>7457.17905797157</v>
      </c>
      <c r="CP63" s="13" t="n">
        <f aca="false">CP$62-CO$62</f>
        <v>7048.56650685053</v>
      </c>
      <c r="CQ63" s="13" t="n">
        <f aca="false">CQ$62-CP$62</f>
        <v>0</v>
      </c>
      <c r="CR63" s="13" t="n">
        <f aca="false">CR$62-CQ$62</f>
        <v>0</v>
      </c>
      <c r="CS63" s="13" t="n">
        <f aca="false">CS$62-CR$62</f>
        <v>0</v>
      </c>
      <c r="CT63" s="13" t="n">
        <f aca="false">CT$62-CS$62</f>
        <v>0</v>
      </c>
      <c r="CU63" s="13" t="n">
        <f aca="false">CU$62-CT$62</f>
        <v>2283.15983585548</v>
      </c>
      <c r="CV63" s="13" t="n">
        <f aca="false">CV$62-CU$62</f>
        <v>2415.5169277899</v>
      </c>
      <c r="CW63" s="13" t="n">
        <f aca="false">CW$62-CV$62</f>
        <v>2415.5169277899</v>
      </c>
      <c r="CX63" s="13" t="n">
        <f aca="false">CX$62-CW$62</f>
        <v>2415.5169277899</v>
      </c>
      <c r="CY63" s="13" t="n">
        <f aca="false">CY$62-CX$62</f>
        <v>7426.11919686012</v>
      </c>
      <c r="CZ63" s="13" t="n">
        <f aca="false">CZ$62-CY$62</f>
        <v>7531.75084855128</v>
      </c>
      <c r="DA63" s="13" t="n">
        <f aca="false">DA$62-CZ$62</f>
        <v>7531.75084855221</v>
      </c>
      <c r="DB63" s="13" t="n">
        <f aca="false">DB$62-DA$62</f>
        <v>7119.0521719195</v>
      </c>
      <c r="DC63" s="13" t="n">
        <f aca="false">DC$62-DB$62</f>
        <v>0</v>
      </c>
      <c r="DD63" s="13" t="n">
        <f aca="false">DD$62-DC$62</f>
        <v>0</v>
      </c>
      <c r="DE63" s="13" t="n">
        <f aca="false">DE$62-DD$62</f>
        <v>0</v>
      </c>
      <c r="DF63" s="13" t="n">
        <f aca="false">DF$62-DE$62</f>
        <v>0</v>
      </c>
      <c r="DG63" s="13" t="n">
        <f aca="false">DG$62-DF$62</f>
        <v>2305.99143421464</v>
      </c>
      <c r="DH63" s="13" t="n">
        <f aca="false">DH$62-DG$62</f>
        <v>2439.67209706642</v>
      </c>
      <c r="DI63" s="13" t="n">
        <f aca="false">DI$62-DH$62</f>
        <v>2439.67209706828</v>
      </c>
      <c r="DJ63" s="13" t="n">
        <f aca="false">DJ$62-DI$62</f>
        <v>2439.67209706642</v>
      </c>
      <c r="DK63" s="13" t="n">
        <f aca="false">DK$62-DJ$62</f>
        <v>7487.79053696618</v>
      </c>
      <c r="DL63" s="13" t="n">
        <f aca="false">DL$62-DK$62</f>
        <v>7607.06835703738</v>
      </c>
      <c r="DM63" s="13" t="n">
        <f aca="false">DM$62-DL$62</f>
        <v>7607.06835703738</v>
      </c>
      <c r="DN63" s="13" t="n">
        <f aca="false">DN$62-DM$62</f>
        <v>7190.24269363843</v>
      </c>
      <c r="DO63" s="13" t="n">
        <f aca="false">DO$62-DN$62</f>
        <v>0</v>
      </c>
      <c r="DP63" s="13" t="n">
        <f aca="false">DP$62-DO$62</f>
        <v>0</v>
      </c>
      <c r="DQ63" s="13" t="n">
        <f aca="false">DQ$62-DP$62</f>
        <v>0</v>
      </c>
      <c r="DR63" s="13" t="n">
        <f aca="false">DR$62-DQ$62</f>
        <v>-140965.412097411</v>
      </c>
      <c r="DS63" s="13" t="n">
        <f aca="false">DS$62-DR$62</f>
        <v>-436941.703077304</v>
      </c>
      <c r="DT63" s="13" t="n">
        <f aca="false">DT$62-DS$62</f>
        <v>-453626.015137143</v>
      </c>
      <c r="DU63" s="13" t="n">
        <f aca="false">DU$62-DT$62</f>
        <v>-453626.015137143</v>
      </c>
      <c r="DV63" s="13" t="n">
        <f aca="false">DV$62-DU$62</f>
        <v>-467799.850654031</v>
      </c>
      <c r="DW63" s="13" t="n">
        <f aca="false">DW$62-DV$62</f>
        <v>0</v>
      </c>
      <c r="DX63" s="13" t="n">
        <f aca="false">DX$62-DW$62</f>
        <v>0</v>
      </c>
      <c r="DY63" s="13" t="n">
        <f aca="false">DY$62-DX$62</f>
        <v>0</v>
      </c>
      <c r="DZ63" s="13" t="n">
        <f aca="false">DZ$62-DY$62</f>
        <v>0</v>
      </c>
      <c r="EA63" s="13" t="n">
        <f aca="false">EA$62-DZ$62</f>
        <v>0</v>
      </c>
      <c r="EB63" s="13" t="n">
        <f aca="false">EB$62-EA$62</f>
        <v>0</v>
      </c>
      <c r="EC63" s="13" t="n">
        <f aca="false">EC$62-EB$62</f>
        <v>0</v>
      </c>
      <c r="ED63" s="13" t="n">
        <f aca="false">ED$62-EC$62</f>
        <v>0</v>
      </c>
      <c r="EE63" s="13" t="n">
        <f aca="false">EE$62-ED$62</f>
        <v>0</v>
      </c>
      <c r="EF63" s="13" t="n">
        <f aca="false">EF$62-EE$62</f>
        <v>0</v>
      </c>
      <c r="EG63" s="13" t="n">
        <f aca="false">EG$62-EF$62</f>
        <v>0</v>
      </c>
      <c r="EH63" s="13" t="n">
        <f aca="false">EH$62-EG$62</f>
        <v>0</v>
      </c>
      <c r="EI63" s="13" t="n">
        <f aca="false">EI$62-EH$62</f>
        <v>0</v>
      </c>
      <c r="EJ63" s="13" t="n">
        <f aca="false">EJ$62-EI$62</f>
        <v>0</v>
      </c>
      <c r="EK63" s="13" t="n">
        <f aca="false">EK$62-EJ$62</f>
        <v>0</v>
      </c>
      <c r="EL63" s="13" t="n">
        <f aca="false">EL$62-EK$62</f>
        <v>0</v>
      </c>
      <c r="EM63" s="13" t="n">
        <f aca="false">EM$62-EL$62</f>
        <v>0</v>
      </c>
      <c r="EN63" s="13" t="n">
        <f aca="false">EN$62-EM$62</f>
        <v>0</v>
      </c>
      <c r="EO63" s="13" t="n">
        <f aca="false">EO$62-EN$62</f>
        <v>0</v>
      </c>
      <c r="EP63" s="13" t="n">
        <f aca="false">EP$62-EO$62</f>
        <v>0</v>
      </c>
      <c r="EQ63" s="13" t="n">
        <f aca="false">EQ$62-EP$62</f>
        <v>0</v>
      </c>
      <c r="ER63" s="13" t="n">
        <f aca="false">ER$62-EQ$62</f>
        <v>0</v>
      </c>
      <c r="ES63" s="13" t="n">
        <f aca="false">ES$62-ER$62</f>
        <v>0</v>
      </c>
      <c r="ET63" s="13" t="n">
        <f aca="false">ET$62-ES$62</f>
        <v>0</v>
      </c>
      <c r="EU63" s="13" t="n">
        <f aca="false">EU$62-ET$62</f>
        <v>0</v>
      </c>
      <c r="EV63" s="13" t="n">
        <f aca="false">EV$62-EU$62</f>
        <v>0</v>
      </c>
      <c r="EW63" s="13" t="n">
        <f aca="false">EW$62-EV$62</f>
        <v>0</v>
      </c>
      <c r="EX63" s="13" t="n">
        <f aca="false">EX$62-EW$62</f>
        <v>0</v>
      </c>
      <c r="EY63" s="13" t="n">
        <f aca="false">EY$62-EX$62</f>
        <v>0</v>
      </c>
      <c r="EZ63" s="13" t="n">
        <f aca="false">EZ$62-EY$62</f>
        <v>0</v>
      </c>
      <c r="FA63" s="13" t="n">
        <f aca="false">FA$62-EZ$62</f>
        <v>0</v>
      </c>
      <c r="FB63" s="13" t="n">
        <f aca="false">FB$62-FA$62</f>
        <v>0</v>
      </c>
      <c r="FC63" s="13" t="n">
        <f aca="false">FC$62-FB$62</f>
        <v>0</v>
      </c>
      <c r="FD63" s="13" t="n">
        <f aca="false">FD$62-FC$62</f>
        <v>0</v>
      </c>
      <c r="FE63" s="13" t="n">
        <f aca="false">FE$62-FD$62</f>
        <v>0</v>
      </c>
      <c r="FF63" s="13" t="n">
        <f aca="false">FF$62-FE$62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F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9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162" min="6" style="0" width="11.5"/>
  </cols>
  <sheetData>
    <row r="1" customFormat="false" ht="16.15" hidden="false" customHeight="false" outlineLevel="0" collapsed="false">
      <c r="A1" s="1" t="s">
        <v>1379</v>
      </c>
    </row>
    <row r="2" customFormat="false" ht="15" hidden="false" customHeight="false" outlineLevel="0" collapsed="false">
      <c r="A2" s="2" t="s">
        <v>767</v>
      </c>
    </row>
    <row r="4" customFormat="false" ht="15" hidden="false" customHeight="false" outlineLevel="0" collapsed="false">
      <c r="A4" s="62" t="s">
        <v>807</v>
      </c>
      <c r="B4" s="58" t="s">
        <v>808</v>
      </c>
      <c r="C4" s="63"/>
      <c r="D4" s="63"/>
      <c r="E4" s="58" t="s">
        <v>809</v>
      </c>
      <c r="F4" s="59" t="n">
        <f aca="false">Calendario!F$5</f>
        <v>0</v>
      </c>
      <c r="G4" s="59" t="n">
        <f aca="false">Calendario!G$5</f>
        <v>1</v>
      </c>
      <c r="H4" s="59" t="n">
        <f aca="false">Calendario!H$5</f>
        <v>2</v>
      </c>
      <c r="I4" s="59" t="n">
        <f aca="false">Calendario!I$5</f>
        <v>3</v>
      </c>
      <c r="J4" s="59" t="n">
        <f aca="false">Calendario!J$5</f>
        <v>4</v>
      </c>
      <c r="K4" s="59" t="n">
        <f aca="false">Calendario!K$5</f>
        <v>5</v>
      </c>
      <c r="L4" s="59" t="n">
        <f aca="false">Calendario!L$5</f>
        <v>6</v>
      </c>
      <c r="M4" s="59" t="n">
        <f aca="false">Calendario!M$5</f>
        <v>7</v>
      </c>
      <c r="N4" s="59" t="n">
        <f aca="false">Calendario!N$5</f>
        <v>8</v>
      </c>
      <c r="O4" s="59" t="n">
        <f aca="false">Calendario!O$5</f>
        <v>9</v>
      </c>
      <c r="P4" s="59" t="n">
        <f aca="false">Calendario!P$5</f>
        <v>10</v>
      </c>
      <c r="Q4" s="59" t="n">
        <f aca="false">Calendario!Q$5</f>
        <v>11</v>
      </c>
      <c r="R4" s="59" t="n">
        <f aca="false">Calendario!R$5</f>
        <v>12</v>
      </c>
      <c r="S4" s="59" t="n">
        <f aca="false">Calendario!S$5</f>
        <v>13</v>
      </c>
      <c r="T4" s="59" t="n">
        <f aca="false">Calendario!T$5</f>
        <v>14</v>
      </c>
      <c r="U4" s="59" t="n">
        <f aca="false">Calendario!U$5</f>
        <v>15</v>
      </c>
      <c r="V4" s="59" t="n">
        <f aca="false">Calendario!V$5</f>
        <v>16</v>
      </c>
      <c r="W4" s="59" t="n">
        <f aca="false">Calendario!W$5</f>
        <v>17</v>
      </c>
      <c r="X4" s="59" t="n">
        <f aca="false">Calendario!X$5</f>
        <v>18</v>
      </c>
      <c r="Y4" s="59" t="n">
        <f aca="false">Calendario!Y$5</f>
        <v>19</v>
      </c>
      <c r="Z4" s="59" t="n">
        <f aca="false">Calendario!Z$5</f>
        <v>20</v>
      </c>
      <c r="AA4" s="59" t="n">
        <f aca="false">Calendario!AA$5</f>
        <v>21</v>
      </c>
      <c r="AB4" s="59" t="n">
        <f aca="false">Calendario!AB$5</f>
        <v>22</v>
      </c>
      <c r="AC4" s="59" t="n">
        <f aca="false">Calendario!AC$5</f>
        <v>23</v>
      </c>
      <c r="AD4" s="59" t="n">
        <f aca="false">Calendario!AD$5</f>
        <v>24</v>
      </c>
      <c r="AE4" s="59" t="n">
        <f aca="false">Calendario!AE$5</f>
        <v>25</v>
      </c>
      <c r="AF4" s="59" t="n">
        <f aca="false">Calendario!AF$5</f>
        <v>26</v>
      </c>
      <c r="AG4" s="59" t="n">
        <f aca="false">Calendario!AG$5</f>
        <v>27</v>
      </c>
      <c r="AH4" s="59" t="n">
        <f aca="false">Calendario!AH$5</f>
        <v>28</v>
      </c>
      <c r="AI4" s="59" t="n">
        <f aca="false">Calendario!AI$5</f>
        <v>29</v>
      </c>
      <c r="AJ4" s="59" t="n">
        <f aca="false">Calendario!AJ$5</f>
        <v>30</v>
      </c>
      <c r="AK4" s="59" t="n">
        <f aca="false">Calendario!AK$5</f>
        <v>31</v>
      </c>
      <c r="AL4" s="59" t="n">
        <f aca="false">Calendario!AL$5</f>
        <v>32</v>
      </c>
      <c r="AM4" s="59" t="n">
        <f aca="false">Calendario!AM$5</f>
        <v>33</v>
      </c>
      <c r="AN4" s="59" t="n">
        <f aca="false">Calendario!AN$5</f>
        <v>34</v>
      </c>
      <c r="AO4" s="59" t="n">
        <f aca="false">Calendario!AO$5</f>
        <v>35</v>
      </c>
      <c r="AP4" s="59" t="n">
        <f aca="false">Calendario!AP$5</f>
        <v>36</v>
      </c>
      <c r="AQ4" s="59" t="n">
        <f aca="false">Calendario!AQ$5</f>
        <v>37</v>
      </c>
      <c r="AR4" s="59" t="n">
        <f aca="false">Calendario!AR$5</f>
        <v>38</v>
      </c>
      <c r="AS4" s="59" t="n">
        <f aca="false">Calendario!AS$5</f>
        <v>39</v>
      </c>
      <c r="AT4" s="59" t="n">
        <f aca="false">Calendario!AT$5</f>
        <v>40</v>
      </c>
      <c r="AU4" s="59" t="n">
        <f aca="false">Calendario!AU$5</f>
        <v>41</v>
      </c>
      <c r="AV4" s="59" t="n">
        <f aca="false">Calendario!AV$5</f>
        <v>42</v>
      </c>
      <c r="AW4" s="59" t="n">
        <f aca="false">Calendario!AW$5</f>
        <v>43</v>
      </c>
      <c r="AX4" s="59" t="n">
        <f aca="false">Calendario!AX$5</f>
        <v>44</v>
      </c>
      <c r="AY4" s="59" t="n">
        <f aca="false">Calendario!AY$5</f>
        <v>45</v>
      </c>
      <c r="AZ4" s="59" t="n">
        <f aca="false">Calendario!AZ$5</f>
        <v>46</v>
      </c>
      <c r="BA4" s="59" t="n">
        <f aca="false">Calendario!BA$5</f>
        <v>47</v>
      </c>
      <c r="BB4" s="59" t="n">
        <f aca="false">Calendario!BB$5</f>
        <v>48</v>
      </c>
      <c r="BC4" s="59" t="n">
        <f aca="false">Calendario!BC$5</f>
        <v>49</v>
      </c>
      <c r="BD4" s="59" t="n">
        <f aca="false">Calendario!BD$5</f>
        <v>50</v>
      </c>
      <c r="BE4" s="59" t="n">
        <f aca="false">Calendario!BE$5</f>
        <v>51</v>
      </c>
      <c r="BF4" s="59" t="n">
        <f aca="false">Calendario!BF$5</f>
        <v>52</v>
      </c>
      <c r="BG4" s="59" t="n">
        <f aca="false">Calendario!BG$5</f>
        <v>53</v>
      </c>
      <c r="BH4" s="59" t="n">
        <f aca="false">Calendario!BH$5</f>
        <v>54</v>
      </c>
      <c r="BI4" s="59" t="n">
        <f aca="false">Calendario!BI$5</f>
        <v>55</v>
      </c>
      <c r="BJ4" s="59" t="n">
        <f aca="false">Calendario!BJ$5</f>
        <v>56</v>
      </c>
      <c r="BK4" s="59" t="n">
        <f aca="false">Calendario!BK$5</f>
        <v>57</v>
      </c>
      <c r="BL4" s="59" t="n">
        <f aca="false">Calendario!BL$5</f>
        <v>58</v>
      </c>
      <c r="BM4" s="59" t="n">
        <f aca="false">Calendario!BM$5</f>
        <v>59</v>
      </c>
      <c r="BN4" s="59" t="n">
        <f aca="false">Calendario!BN$5</f>
        <v>60</v>
      </c>
      <c r="BO4" s="59" t="n">
        <f aca="false">Calendario!BO$5</f>
        <v>61</v>
      </c>
      <c r="BP4" s="59" t="n">
        <f aca="false">Calendario!BP$5</f>
        <v>62</v>
      </c>
      <c r="BQ4" s="59" t="n">
        <f aca="false">Calendario!BQ$5</f>
        <v>63</v>
      </c>
      <c r="BR4" s="59" t="n">
        <f aca="false">Calendario!BR$5</f>
        <v>64</v>
      </c>
      <c r="BS4" s="59" t="n">
        <f aca="false">Calendario!BS$5</f>
        <v>65</v>
      </c>
      <c r="BT4" s="59" t="n">
        <f aca="false">Calendario!BT$5</f>
        <v>66</v>
      </c>
      <c r="BU4" s="59" t="n">
        <f aca="false">Calendario!BU$5</f>
        <v>67</v>
      </c>
      <c r="BV4" s="59" t="n">
        <f aca="false">Calendario!BV$5</f>
        <v>68</v>
      </c>
      <c r="BW4" s="59" t="n">
        <f aca="false">Calendario!BW$5</f>
        <v>69</v>
      </c>
      <c r="BX4" s="59" t="n">
        <f aca="false">Calendario!BX$5</f>
        <v>70</v>
      </c>
      <c r="BY4" s="59" t="n">
        <f aca="false">Calendario!BY$5</f>
        <v>71</v>
      </c>
      <c r="BZ4" s="59" t="n">
        <f aca="false">Calendario!BZ$5</f>
        <v>72</v>
      </c>
      <c r="CA4" s="59" t="n">
        <f aca="false">Calendario!CA$5</f>
        <v>73</v>
      </c>
      <c r="CB4" s="59" t="n">
        <f aca="false">Calendario!CB$5</f>
        <v>74</v>
      </c>
      <c r="CC4" s="59" t="n">
        <f aca="false">Calendario!CC$5</f>
        <v>75</v>
      </c>
      <c r="CD4" s="59" t="n">
        <f aca="false">Calendario!CD$5</f>
        <v>76</v>
      </c>
      <c r="CE4" s="59" t="n">
        <f aca="false">Calendario!CE$5</f>
        <v>77</v>
      </c>
      <c r="CF4" s="59" t="n">
        <f aca="false">Calendario!CF$5</f>
        <v>78</v>
      </c>
      <c r="CG4" s="59" t="n">
        <f aca="false">Calendario!CG$5</f>
        <v>79</v>
      </c>
      <c r="CH4" s="59" t="n">
        <f aca="false">Calendario!CH$5</f>
        <v>80</v>
      </c>
      <c r="CI4" s="59" t="n">
        <f aca="false">Calendario!CI$5</f>
        <v>81</v>
      </c>
      <c r="CJ4" s="59" t="n">
        <f aca="false">Calendario!CJ$5</f>
        <v>82</v>
      </c>
      <c r="CK4" s="59" t="n">
        <f aca="false">Calendario!CK$5</f>
        <v>83</v>
      </c>
      <c r="CL4" s="59" t="n">
        <f aca="false">Calendario!CL$5</f>
        <v>84</v>
      </c>
      <c r="CM4" s="59" t="n">
        <f aca="false">Calendario!CM$5</f>
        <v>85</v>
      </c>
      <c r="CN4" s="59" t="n">
        <f aca="false">Calendario!CN$5</f>
        <v>86</v>
      </c>
      <c r="CO4" s="59" t="n">
        <f aca="false">Calendario!CO$5</f>
        <v>87</v>
      </c>
      <c r="CP4" s="59" t="n">
        <f aca="false">Calendario!CP$5</f>
        <v>88</v>
      </c>
      <c r="CQ4" s="59" t="n">
        <f aca="false">Calendario!CQ$5</f>
        <v>89</v>
      </c>
      <c r="CR4" s="59" t="n">
        <f aca="false">Calendario!CR$5</f>
        <v>90</v>
      </c>
      <c r="CS4" s="59" t="n">
        <f aca="false">Calendario!CS$5</f>
        <v>91</v>
      </c>
      <c r="CT4" s="59" t="n">
        <f aca="false">Calendario!CT$5</f>
        <v>92</v>
      </c>
      <c r="CU4" s="59" t="n">
        <f aca="false">Calendario!CU$5</f>
        <v>93</v>
      </c>
      <c r="CV4" s="59" t="n">
        <f aca="false">Calendario!CV$5</f>
        <v>94</v>
      </c>
      <c r="CW4" s="59" t="n">
        <f aca="false">Calendario!CW$5</f>
        <v>95</v>
      </c>
      <c r="CX4" s="59" t="n">
        <f aca="false">Calendario!CX$5</f>
        <v>96</v>
      </c>
      <c r="CY4" s="59" t="n">
        <f aca="false">Calendario!CY$5</f>
        <v>97</v>
      </c>
      <c r="CZ4" s="59" t="n">
        <f aca="false">Calendario!CZ$5</f>
        <v>98</v>
      </c>
      <c r="DA4" s="59" t="n">
        <f aca="false">Calendario!DA$5</f>
        <v>99</v>
      </c>
      <c r="DB4" s="59" t="n">
        <f aca="false">Calendario!DB$5</f>
        <v>100</v>
      </c>
      <c r="DC4" s="59" t="n">
        <f aca="false">Calendario!DC$5</f>
        <v>101</v>
      </c>
      <c r="DD4" s="59" t="n">
        <f aca="false">Calendario!DD$5</f>
        <v>102</v>
      </c>
      <c r="DE4" s="59" t="n">
        <f aca="false">Calendario!DE$5</f>
        <v>103</v>
      </c>
      <c r="DF4" s="59" t="n">
        <f aca="false">Calendario!DF$5</f>
        <v>104</v>
      </c>
      <c r="DG4" s="59" t="n">
        <f aca="false">Calendario!DG$5</f>
        <v>105</v>
      </c>
      <c r="DH4" s="59" t="n">
        <f aca="false">Calendario!DH$5</f>
        <v>106</v>
      </c>
      <c r="DI4" s="59" t="n">
        <f aca="false">Calendario!DI$5</f>
        <v>107</v>
      </c>
      <c r="DJ4" s="59" t="n">
        <f aca="false">Calendario!DJ$5</f>
        <v>108</v>
      </c>
      <c r="DK4" s="59" t="n">
        <f aca="false">Calendario!DK$5</f>
        <v>109</v>
      </c>
      <c r="DL4" s="59" t="n">
        <f aca="false">Calendario!DL$5</f>
        <v>110</v>
      </c>
      <c r="DM4" s="59" t="n">
        <f aca="false">Calendario!DM$5</f>
        <v>111</v>
      </c>
      <c r="DN4" s="59" t="n">
        <f aca="false">Calendario!DN$5</f>
        <v>112</v>
      </c>
      <c r="DO4" s="59" t="n">
        <f aca="false">Calendario!DO$5</f>
        <v>113</v>
      </c>
      <c r="DP4" s="59" t="n">
        <f aca="false">Calendario!DP$5</f>
        <v>114</v>
      </c>
      <c r="DQ4" s="59" t="n">
        <f aca="false">Calendario!DQ$5</f>
        <v>115</v>
      </c>
      <c r="DR4" s="59" t="n">
        <f aca="false">Calendario!DR$5</f>
        <v>116</v>
      </c>
      <c r="DS4" s="59" t="n">
        <f aca="false">Calendario!DS$5</f>
        <v>117</v>
      </c>
      <c r="DT4" s="59" t="n">
        <f aca="false">Calendario!DT$5</f>
        <v>118</v>
      </c>
      <c r="DU4" s="59" t="n">
        <f aca="false">Calendario!DU$5</f>
        <v>119</v>
      </c>
      <c r="DV4" s="59" t="n">
        <f aca="false">Calendario!DV$5</f>
        <v>120</v>
      </c>
      <c r="DW4" s="59" t="n">
        <f aca="false">Calendario!DW$5</f>
        <v>121</v>
      </c>
      <c r="DX4" s="59" t="n">
        <f aca="false">Calendario!DX$5</f>
        <v>122</v>
      </c>
      <c r="DY4" s="59" t="n">
        <f aca="false">Calendario!DY$5</f>
        <v>123</v>
      </c>
      <c r="DZ4" s="59" t="n">
        <f aca="false">Calendario!DZ$5</f>
        <v>124</v>
      </c>
      <c r="EA4" s="59" t="n">
        <f aca="false">Calendario!EA$5</f>
        <v>125</v>
      </c>
      <c r="EB4" s="59" t="n">
        <f aca="false">Calendario!EB$5</f>
        <v>126</v>
      </c>
      <c r="EC4" s="59" t="n">
        <f aca="false">Calendario!EC$5</f>
        <v>127</v>
      </c>
      <c r="ED4" s="59" t="n">
        <f aca="false">Calendario!ED$5</f>
        <v>128</v>
      </c>
      <c r="EE4" s="59" t="n">
        <f aca="false">Calendario!EE$5</f>
        <v>129</v>
      </c>
      <c r="EF4" s="59" t="n">
        <f aca="false">Calendario!EF$5</f>
        <v>130</v>
      </c>
      <c r="EG4" s="59" t="n">
        <f aca="false">Calendario!EG$5</f>
        <v>131</v>
      </c>
      <c r="EH4" s="59" t="n">
        <f aca="false">Calendario!EH$5</f>
        <v>132</v>
      </c>
      <c r="EI4" s="59" t="n">
        <f aca="false">Calendario!EI$5</f>
        <v>133</v>
      </c>
      <c r="EJ4" s="59" t="n">
        <f aca="false">Calendario!EJ$5</f>
        <v>134</v>
      </c>
      <c r="EK4" s="59" t="n">
        <f aca="false">Calendario!EK$5</f>
        <v>135</v>
      </c>
      <c r="EL4" s="59" t="n">
        <f aca="false">Calendario!EL$5</f>
        <v>136</v>
      </c>
      <c r="EM4" s="59" t="n">
        <f aca="false">Calendario!EM$5</f>
        <v>137</v>
      </c>
      <c r="EN4" s="59" t="n">
        <f aca="false">Calendario!EN$5</f>
        <v>138</v>
      </c>
      <c r="EO4" s="59" t="n">
        <f aca="false">Calendario!EO$5</f>
        <v>139</v>
      </c>
      <c r="EP4" s="59" t="n">
        <f aca="false">Calendario!EP$5</f>
        <v>140</v>
      </c>
      <c r="EQ4" s="59" t="n">
        <f aca="false">Calendario!EQ$5</f>
        <v>141</v>
      </c>
      <c r="ER4" s="59" t="n">
        <f aca="false">Calendario!ER$5</f>
        <v>142</v>
      </c>
      <c r="ES4" s="59" t="n">
        <f aca="false">Calendario!ES$5</f>
        <v>143</v>
      </c>
      <c r="ET4" s="59" t="n">
        <f aca="false">Calendario!ET$5</f>
        <v>144</v>
      </c>
      <c r="EU4" s="59" t="n">
        <f aca="false">Calendario!EU$5</f>
        <v>145</v>
      </c>
      <c r="EV4" s="59" t="n">
        <f aca="false">Calendario!EV$5</f>
        <v>146</v>
      </c>
      <c r="EW4" s="59" t="n">
        <f aca="false">Calendario!EW$5</f>
        <v>147</v>
      </c>
      <c r="EX4" s="59" t="n">
        <f aca="false">Calendario!EX$5</f>
        <v>148</v>
      </c>
      <c r="EY4" s="59" t="n">
        <f aca="false">Calendario!EY$5</f>
        <v>149</v>
      </c>
      <c r="EZ4" s="59" t="n">
        <f aca="false">Calendario!EZ$5</f>
        <v>150</v>
      </c>
      <c r="FA4" s="59" t="n">
        <f aca="false">Calendario!FA$5</f>
        <v>151</v>
      </c>
      <c r="FB4" s="59" t="n">
        <f aca="false">Calendario!FB$5</f>
        <v>152</v>
      </c>
      <c r="FC4" s="59" t="n">
        <f aca="false">Calendario!FC$5</f>
        <v>153</v>
      </c>
      <c r="FD4" s="59" t="n">
        <f aca="false">Calendario!FD$5</f>
        <v>154</v>
      </c>
      <c r="FE4" s="59" t="n">
        <f aca="false">Calendario!FE$5</f>
        <v>155</v>
      </c>
      <c r="FF4" s="59" t="n">
        <f aca="false">Calendario!FF$5</f>
        <v>156</v>
      </c>
    </row>
    <row r="5" customFormat="false" ht="15" hidden="false" customHeight="false" outlineLevel="0" collapsed="false">
      <c r="A5" s="8" t="s">
        <v>810</v>
      </c>
      <c r="B5" s="5" t="s">
        <v>811</v>
      </c>
      <c r="F5" s="64" t="str">
        <f aca="false">Calendario!F$6</f>
        <v>s/f</v>
      </c>
      <c r="G5" s="64" t="str">
        <f aca="false">Calendario!G$6</f>
        <v>s/f</v>
      </c>
      <c r="H5" s="64" t="str">
        <f aca="false">Calendario!H$6</f>
        <v>s/f</v>
      </c>
      <c r="I5" s="64" t="str">
        <f aca="false">Calendario!I$6</f>
        <v>s/f</v>
      </c>
      <c r="J5" s="64" t="str">
        <f aca="false">Calendario!J$6</f>
        <v>s/f</v>
      </c>
      <c r="K5" s="64" t="str">
        <f aca="false">Calendario!K$6</f>
        <v>s/f</v>
      </c>
      <c r="L5" s="64" t="str">
        <f aca="false">Calendario!L$6</f>
        <v>s/f</v>
      </c>
      <c r="M5" s="64" t="str">
        <f aca="false">Calendario!M$6</f>
        <v>s/f</v>
      </c>
      <c r="N5" s="64" t="str">
        <f aca="false">Calendario!N$6</f>
        <v>s/f</v>
      </c>
      <c r="O5" s="64" t="str">
        <f aca="false">Calendario!O$6</f>
        <v>s/f</v>
      </c>
      <c r="P5" s="64" t="str">
        <f aca="false">Calendario!P$6</f>
        <v>s/f</v>
      </c>
      <c r="Q5" s="64" t="str">
        <f aca="false">Calendario!Q$6</f>
        <v>s/f</v>
      </c>
      <c r="R5" s="64" t="str">
        <f aca="false">Calendario!R$6</f>
        <v>s/f</v>
      </c>
      <c r="S5" s="64" t="str">
        <f aca="false">Calendario!S$6</f>
        <v>s/f</v>
      </c>
      <c r="T5" s="64" t="str">
        <f aca="false">Calendario!T$6</f>
        <v>s/f</v>
      </c>
      <c r="U5" s="64" t="str">
        <f aca="false">Calendario!U$6</f>
        <v>s/f</v>
      </c>
      <c r="V5" s="64" t="str">
        <f aca="false">Calendario!V$6</f>
        <v>s/f</v>
      </c>
      <c r="W5" s="64" t="str">
        <f aca="false">Calendario!W$6</f>
        <v>s/f</v>
      </c>
      <c r="X5" s="64" t="str">
        <f aca="false">Calendario!X$6</f>
        <v>s/f</v>
      </c>
      <c r="Y5" s="64" t="str">
        <f aca="false">Calendario!Y$6</f>
        <v>s/f</v>
      </c>
      <c r="Z5" s="64" t="str">
        <f aca="false">Calendario!Z$6</f>
        <v>s/f</v>
      </c>
      <c r="AA5" s="64" t="str">
        <f aca="false">Calendario!AA$6</f>
        <v>s/f</v>
      </c>
      <c r="AB5" s="64" t="str">
        <f aca="false">Calendario!AB$6</f>
        <v>s/f</v>
      </c>
      <c r="AC5" s="64" t="str">
        <f aca="false">Calendario!AC$6</f>
        <v>s/f</v>
      </c>
      <c r="AD5" s="64" t="str">
        <f aca="false">Calendario!AD$6</f>
        <v>s/f</v>
      </c>
      <c r="AE5" s="64" t="str">
        <f aca="false">Calendario!AE$6</f>
        <v>s/f</v>
      </c>
      <c r="AF5" s="64" t="str">
        <f aca="false">Calendario!AF$6</f>
        <v>s/f</v>
      </c>
      <c r="AG5" s="64" t="str">
        <f aca="false">Calendario!AG$6</f>
        <v>s/f</v>
      </c>
      <c r="AH5" s="64" t="str">
        <f aca="false">Calendario!AH$6</f>
        <v>s/f</v>
      </c>
      <c r="AI5" s="64" t="str">
        <f aca="false">Calendario!AI$6</f>
        <v>s/f</v>
      </c>
      <c r="AJ5" s="64" t="str">
        <f aca="false">Calendario!AJ$6</f>
        <v>s/f</v>
      </c>
      <c r="AK5" s="64" t="str">
        <f aca="false">Calendario!AK$6</f>
        <v>s/f</v>
      </c>
      <c r="AL5" s="64" t="str">
        <f aca="false">Calendario!AL$6</f>
        <v>s/f</v>
      </c>
      <c r="AM5" s="64" t="str">
        <f aca="false">Calendario!AM$6</f>
        <v>s/f</v>
      </c>
      <c r="AN5" s="64" t="str">
        <f aca="false">Calendario!AN$6</f>
        <v>s/f</v>
      </c>
      <c r="AO5" s="64" t="str">
        <f aca="false">Calendario!AO$6</f>
        <v>s/f</v>
      </c>
      <c r="AP5" s="64" t="str">
        <f aca="false">Calendario!AP$6</f>
        <v>s/f</v>
      </c>
      <c r="AQ5" s="64" t="str">
        <f aca="false">Calendario!AQ$6</f>
        <v>s/f</v>
      </c>
      <c r="AR5" s="64" t="str">
        <f aca="false">Calendario!AR$6</f>
        <v>s/f</v>
      </c>
      <c r="AS5" s="64" t="str">
        <f aca="false">Calendario!AS$6</f>
        <v>s/f</v>
      </c>
      <c r="AT5" s="64" t="str">
        <f aca="false">Calendario!AT$6</f>
        <v>s/f</v>
      </c>
      <c r="AU5" s="64" t="str">
        <f aca="false">Calendario!AU$6</f>
        <v>s/f</v>
      </c>
      <c r="AV5" s="64" t="str">
        <f aca="false">Calendario!AV$6</f>
        <v>s/f</v>
      </c>
      <c r="AW5" s="64" t="str">
        <f aca="false">Calendario!AW$6</f>
        <v>s/f</v>
      </c>
      <c r="AX5" s="64" t="str">
        <f aca="false">Calendario!AX$6</f>
        <v>s/f</v>
      </c>
      <c r="AY5" s="64" t="str">
        <f aca="false">Calendario!AY$6</f>
        <v>s/f</v>
      </c>
      <c r="AZ5" s="64" t="str">
        <f aca="false">Calendario!AZ$6</f>
        <v>s/f</v>
      </c>
      <c r="BA5" s="64" t="str">
        <f aca="false">Calendario!BA$6</f>
        <v>s/f</v>
      </c>
      <c r="BB5" s="64" t="str">
        <f aca="false">Calendario!BB$6</f>
        <v>s/f</v>
      </c>
      <c r="BC5" s="64" t="str">
        <f aca="false">Calendario!BC$6</f>
        <v>s/f</v>
      </c>
      <c r="BD5" s="64" t="str">
        <f aca="false">Calendario!BD$6</f>
        <v>s/f</v>
      </c>
      <c r="BE5" s="64" t="str">
        <f aca="false">Calendario!BE$6</f>
        <v>s/f</v>
      </c>
      <c r="BF5" s="64" t="str">
        <f aca="false">Calendario!BF$6</f>
        <v>s/f</v>
      </c>
      <c r="BG5" s="64" t="str">
        <f aca="false">Calendario!BG$6</f>
        <v>s/f</v>
      </c>
      <c r="BH5" s="64" t="str">
        <f aca="false">Calendario!BH$6</f>
        <v>s/f</v>
      </c>
      <c r="BI5" s="64" t="str">
        <f aca="false">Calendario!BI$6</f>
        <v>s/f</v>
      </c>
      <c r="BJ5" s="64" t="str">
        <f aca="false">Calendario!BJ$6</f>
        <v>s/f</v>
      </c>
      <c r="BK5" s="64" t="str">
        <f aca="false">Calendario!BK$6</f>
        <v>s/f</v>
      </c>
      <c r="BL5" s="64" t="str">
        <f aca="false">Calendario!BL$6</f>
        <v>s/f</v>
      </c>
      <c r="BM5" s="64" t="str">
        <f aca="false">Calendario!BM$6</f>
        <v>s/f</v>
      </c>
      <c r="BN5" s="64" t="str">
        <f aca="false">Calendario!BN$6</f>
        <v>s/f</v>
      </c>
      <c r="BO5" s="64" t="str">
        <f aca="false">Calendario!BO$6</f>
        <v>s/f</v>
      </c>
      <c r="BP5" s="64" t="str">
        <f aca="false">Calendario!BP$6</f>
        <v>s/f</v>
      </c>
      <c r="BQ5" s="64" t="str">
        <f aca="false">Calendario!BQ$6</f>
        <v>s/f</v>
      </c>
      <c r="BR5" s="64" t="str">
        <f aca="false">Calendario!BR$6</f>
        <v>s/f</v>
      </c>
      <c r="BS5" s="64" t="str">
        <f aca="false">Calendario!BS$6</f>
        <v>s/f</v>
      </c>
      <c r="BT5" s="64" t="str">
        <f aca="false">Calendario!BT$6</f>
        <v>s/f</v>
      </c>
      <c r="BU5" s="64" t="str">
        <f aca="false">Calendario!BU$6</f>
        <v>s/f</v>
      </c>
      <c r="BV5" s="64" t="str">
        <f aca="false">Calendario!BV$6</f>
        <v>s/f</v>
      </c>
      <c r="BW5" s="64" t="str">
        <f aca="false">Calendario!BW$6</f>
        <v>s/f</v>
      </c>
      <c r="BX5" s="64" t="str">
        <f aca="false">Calendario!BX$6</f>
        <v>s/f</v>
      </c>
      <c r="BY5" s="64" t="str">
        <f aca="false">Calendario!BY$6</f>
        <v>s/f</v>
      </c>
      <c r="BZ5" s="64" t="str">
        <f aca="false">Calendario!BZ$6</f>
        <v>s/f</v>
      </c>
      <c r="CA5" s="64" t="str">
        <f aca="false">Calendario!CA$6</f>
        <v>s/f</v>
      </c>
      <c r="CB5" s="64" t="str">
        <f aca="false">Calendario!CB$6</f>
        <v>s/f</v>
      </c>
      <c r="CC5" s="64" t="str">
        <f aca="false">Calendario!CC$6</f>
        <v>s/f</v>
      </c>
      <c r="CD5" s="64" t="str">
        <f aca="false">Calendario!CD$6</f>
        <v>s/f</v>
      </c>
      <c r="CE5" s="64" t="str">
        <f aca="false">Calendario!CE$6</f>
        <v>s/f</v>
      </c>
      <c r="CF5" s="64" t="str">
        <f aca="false">Calendario!CF$6</f>
        <v>s/f</v>
      </c>
      <c r="CG5" s="64" t="str">
        <f aca="false">Calendario!CG$6</f>
        <v>s/f</v>
      </c>
      <c r="CH5" s="64" t="str">
        <f aca="false">Calendario!CH$6</f>
        <v>s/f</v>
      </c>
      <c r="CI5" s="64" t="str">
        <f aca="false">Calendario!CI$6</f>
        <v>s/f</v>
      </c>
      <c r="CJ5" s="64" t="str">
        <f aca="false">Calendario!CJ$6</f>
        <v>s/f</v>
      </c>
      <c r="CK5" s="64" t="str">
        <f aca="false">Calendario!CK$6</f>
        <v>s/f</v>
      </c>
      <c r="CL5" s="64" t="str">
        <f aca="false">Calendario!CL$6</f>
        <v>s/f</v>
      </c>
      <c r="CM5" s="64" t="str">
        <f aca="false">Calendario!CM$6</f>
        <v>s/f</v>
      </c>
      <c r="CN5" s="64" t="str">
        <f aca="false">Calendario!CN$6</f>
        <v>s/f</v>
      </c>
      <c r="CO5" s="64" t="str">
        <f aca="false">Calendario!CO$6</f>
        <v>s/f</v>
      </c>
      <c r="CP5" s="64" t="str">
        <f aca="false">Calendario!CP$6</f>
        <v>s/f</v>
      </c>
      <c r="CQ5" s="64" t="str">
        <f aca="false">Calendario!CQ$6</f>
        <v>s/f</v>
      </c>
      <c r="CR5" s="64" t="str">
        <f aca="false">Calendario!CR$6</f>
        <v>s/f</v>
      </c>
      <c r="CS5" s="64" t="str">
        <f aca="false">Calendario!CS$6</f>
        <v>s/f</v>
      </c>
      <c r="CT5" s="64" t="str">
        <f aca="false">Calendario!CT$6</f>
        <v>s/f</v>
      </c>
      <c r="CU5" s="64" t="str">
        <f aca="false">Calendario!CU$6</f>
        <v>s/f</v>
      </c>
      <c r="CV5" s="64" t="str">
        <f aca="false">Calendario!CV$6</f>
        <v>s/f</v>
      </c>
      <c r="CW5" s="64" t="str">
        <f aca="false">Calendario!CW$6</f>
        <v>s/f</v>
      </c>
      <c r="CX5" s="64" t="str">
        <f aca="false">Calendario!CX$6</f>
        <v>s/f</v>
      </c>
      <c r="CY5" s="64" t="str">
        <f aca="false">Calendario!CY$6</f>
        <v>s/f</v>
      </c>
      <c r="CZ5" s="64" t="str">
        <f aca="false">Calendario!CZ$6</f>
        <v>s/f</v>
      </c>
      <c r="DA5" s="64" t="str">
        <f aca="false">Calendario!DA$6</f>
        <v>s/f</v>
      </c>
      <c r="DB5" s="64" t="str">
        <f aca="false">Calendario!DB$6</f>
        <v>s/f</v>
      </c>
      <c r="DC5" s="64" t="str">
        <f aca="false">Calendario!DC$6</f>
        <v>s/f</v>
      </c>
      <c r="DD5" s="64" t="str">
        <f aca="false">Calendario!DD$6</f>
        <v>s/f</v>
      </c>
      <c r="DE5" s="64" t="str">
        <f aca="false">Calendario!DE$6</f>
        <v>s/f</v>
      </c>
      <c r="DF5" s="64" t="str">
        <f aca="false">Calendario!DF$6</f>
        <v>s/f</v>
      </c>
      <c r="DG5" s="64" t="str">
        <f aca="false">Calendario!DG$6</f>
        <v>s/f</v>
      </c>
      <c r="DH5" s="64" t="str">
        <f aca="false">Calendario!DH$6</f>
        <v>s/f</v>
      </c>
      <c r="DI5" s="64" t="str">
        <f aca="false">Calendario!DI$6</f>
        <v>s/f</v>
      </c>
      <c r="DJ5" s="64" t="str">
        <f aca="false">Calendario!DJ$6</f>
        <v>s/f</v>
      </c>
      <c r="DK5" s="64" t="str">
        <f aca="false">Calendario!DK$6</f>
        <v>s/f</v>
      </c>
      <c r="DL5" s="64" t="str">
        <f aca="false">Calendario!DL$6</f>
        <v>s/f</v>
      </c>
      <c r="DM5" s="64" t="str">
        <f aca="false">Calendario!DM$6</f>
        <v>s/f</v>
      </c>
      <c r="DN5" s="64" t="str">
        <f aca="false">Calendario!DN$6</f>
        <v>s/f</v>
      </c>
      <c r="DO5" s="64" t="str">
        <f aca="false">Calendario!DO$6</f>
        <v>s/f</v>
      </c>
      <c r="DP5" s="64" t="str">
        <f aca="false">Calendario!DP$6</f>
        <v>s/f</v>
      </c>
      <c r="DQ5" s="64" t="str">
        <f aca="false">Calendario!DQ$6</f>
        <v>s/f</v>
      </c>
      <c r="DR5" s="64" t="str">
        <f aca="false">Calendario!DR$6</f>
        <v>s/f</v>
      </c>
      <c r="DS5" s="64" t="str">
        <f aca="false">Calendario!DS$6</f>
        <v>s/f</v>
      </c>
      <c r="DT5" s="64" t="str">
        <f aca="false">Calendario!DT$6</f>
        <v>s/f</v>
      </c>
      <c r="DU5" s="64" t="str">
        <f aca="false">Calendario!DU$6</f>
        <v>s/f</v>
      </c>
      <c r="DV5" s="64" t="str">
        <f aca="false">Calendario!DV$6</f>
        <v>s/f</v>
      </c>
      <c r="DW5" s="64" t="str">
        <f aca="false">Calendario!DW$6</f>
        <v>s/f</v>
      </c>
      <c r="DX5" s="64" t="str">
        <f aca="false">Calendario!DX$6</f>
        <v>s/f</v>
      </c>
      <c r="DY5" s="64" t="str">
        <f aca="false">Calendario!DY$6</f>
        <v>s/f</v>
      </c>
      <c r="DZ5" s="64" t="str">
        <f aca="false">Calendario!DZ$6</f>
        <v>s/f</v>
      </c>
      <c r="EA5" s="64" t="str">
        <f aca="false">Calendario!EA$6</f>
        <v>s/f</v>
      </c>
      <c r="EB5" s="64" t="str">
        <f aca="false">Calendario!EB$6</f>
        <v>s/f</v>
      </c>
      <c r="EC5" s="64" t="str">
        <f aca="false">Calendario!EC$6</f>
        <v>s/f</v>
      </c>
      <c r="ED5" s="64" t="str">
        <f aca="false">Calendario!ED$6</f>
        <v>s/f</v>
      </c>
      <c r="EE5" s="64" t="str">
        <f aca="false">Calendario!EE$6</f>
        <v>s/f</v>
      </c>
      <c r="EF5" s="64" t="str">
        <f aca="false">Calendario!EF$6</f>
        <v>s/f</v>
      </c>
      <c r="EG5" s="64" t="str">
        <f aca="false">Calendario!EG$6</f>
        <v>s/f</v>
      </c>
      <c r="EH5" s="64" t="str">
        <f aca="false">Calendario!EH$6</f>
        <v>s/f</v>
      </c>
      <c r="EI5" s="64" t="str">
        <f aca="false">Calendario!EI$6</f>
        <v>s/f</v>
      </c>
      <c r="EJ5" s="64" t="str">
        <f aca="false">Calendario!EJ$6</f>
        <v>s/f</v>
      </c>
      <c r="EK5" s="64" t="str">
        <f aca="false">Calendario!EK$6</f>
        <v>s/f</v>
      </c>
      <c r="EL5" s="64" t="str">
        <f aca="false">Calendario!EL$6</f>
        <v>s/f</v>
      </c>
      <c r="EM5" s="64" t="str">
        <f aca="false">Calendario!EM$6</f>
        <v>s/f</v>
      </c>
      <c r="EN5" s="64" t="str">
        <f aca="false">Calendario!EN$6</f>
        <v>s/f</v>
      </c>
      <c r="EO5" s="64" t="str">
        <f aca="false">Calendario!EO$6</f>
        <v>s/f</v>
      </c>
      <c r="EP5" s="64" t="str">
        <f aca="false">Calendario!EP$6</f>
        <v>s/f</v>
      </c>
      <c r="EQ5" s="64" t="str">
        <f aca="false">Calendario!EQ$6</f>
        <v>s/f</v>
      </c>
      <c r="ER5" s="64" t="str">
        <f aca="false">Calendario!ER$6</f>
        <v>s/f</v>
      </c>
      <c r="ES5" s="64" t="str">
        <f aca="false">Calendario!ES$6</f>
        <v>s/f</v>
      </c>
      <c r="ET5" s="64" t="str">
        <f aca="false">Calendario!ET$6</f>
        <v>s/f</v>
      </c>
      <c r="EU5" s="64" t="str">
        <f aca="false">Calendario!EU$6</f>
        <v>s/f</v>
      </c>
      <c r="EV5" s="64" t="str">
        <f aca="false">Calendario!EV$6</f>
        <v>s/f</v>
      </c>
      <c r="EW5" s="64" t="str">
        <f aca="false">Calendario!EW$6</f>
        <v>s/f</v>
      </c>
      <c r="EX5" s="64" t="str">
        <f aca="false">Calendario!EX$6</f>
        <v>s/f</v>
      </c>
      <c r="EY5" s="64" t="str">
        <f aca="false">Calendario!EY$6</f>
        <v>s/f</v>
      </c>
      <c r="EZ5" s="64" t="str">
        <f aca="false">Calendario!EZ$6</f>
        <v>s/f</v>
      </c>
      <c r="FA5" s="64" t="str">
        <f aca="false">Calendario!FA$6</f>
        <v>s/f</v>
      </c>
      <c r="FB5" s="64" t="str">
        <f aca="false">Calendario!FB$6</f>
        <v>s/f</v>
      </c>
      <c r="FC5" s="64" t="str">
        <f aca="false">Calendario!FC$6</f>
        <v>s/f</v>
      </c>
      <c r="FD5" s="64" t="str">
        <f aca="false">Calendario!FD$6</f>
        <v>s/f</v>
      </c>
      <c r="FE5" s="64" t="str">
        <f aca="false">Calendario!FE$6</f>
        <v>s/f</v>
      </c>
      <c r="FF5" s="64" t="str">
        <f aca="false">Calendario!FF$6</f>
        <v>s/f</v>
      </c>
    </row>
    <row r="6" customFormat="false" ht="15" hidden="false" customHeight="false" outlineLevel="0" collapsed="false">
      <c r="A6" s="8" t="s">
        <v>812</v>
      </c>
      <c r="B6" s="5" t="s">
        <v>813</v>
      </c>
      <c r="F6" s="43" t="n">
        <f aca="false">Calendario!F$7</f>
        <v>0</v>
      </c>
      <c r="G6" s="43" t="n">
        <f aca="false">Calendario!G$7</f>
        <v>1</v>
      </c>
      <c r="H6" s="43" t="n">
        <f aca="false">Calendario!H$7</f>
        <v>1</v>
      </c>
      <c r="I6" s="43" t="n">
        <f aca="false">Calendario!I$7</f>
        <v>1</v>
      </c>
      <c r="J6" s="43" t="n">
        <f aca="false">Calendario!J$7</f>
        <v>1</v>
      </c>
      <c r="K6" s="43" t="n">
        <f aca="false">Calendario!K$7</f>
        <v>1</v>
      </c>
      <c r="L6" s="43" t="n">
        <f aca="false">Calendario!L$7</f>
        <v>1</v>
      </c>
      <c r="M6" s="43" t="n">
        <f aca="false">Calendario!M$7</f>
        <v>1</v>
      </c>
      <c r="N6" s="43" t="n">
        <f aca="false">Calendario!N$7</f>
        <v>1</v>
      </c>
      <c r="O6" s="43" t="n">
        <f aca="false">Calendario!O$7</f>
        <v>1</v>
      </c>
      <c r="P6" s="43" t="n">
        <f aca="false">Calendario!P$7</f>
        <v>1</v>
      </c>
      <c r="Q6" s="43" t="n">
        <f aca="false">Calendario!Q$7</f>
        <v>1</v>
      </c>
      <c r="R6" s="43" t="n">
        <f aca="false">Calendario!R$7</f>
        <v>1</v>
      </c>
      <c r="S6" s="43" t="n">
        <f aca="false">Calendario!S$7</f>
        <v>2</v>
      </c>
      <c r="T6" s="43" t="n">
        <f aca="false">Calendario!T$7</f>
        <v>2</v>
      </c>
      <c r="U6" s="43" t="n">
        <f aca="false">Calendario!U$7</f>
        <v>2</v>
      </c>
      <c r="V6" s="43" t="n">
        <f aca="false">Calendario!V$7</f>
        <v>2</v>
      </c>
      <c r="W6" s="43" t="n">
        <f aca="false">Calendario!W$7</f>
        <v>2</v>
      </c>
      <c r="X6" s="43" t="n">
        <f aca="false">Calendario!X$7</f>
        <v>2</v>
      </c>
      <c r="Y6" s="43" t="n">
        <f aca="false">Calendario!Y$7</f>
        <v>2</v>
      </c>
      <c r="Z6" s="43" t="n">
        <f aca="false">Calendario!Z$7</f>
        <v>2</v>
      </c>
      <c r="AA6" s="43" t="n">
        <f aca="false">Calendario!AA$7</f>
        <v>2</v>
      </c>
      <c r="AB6" s="43" t="n">
        <f aca="false">Calendario!AB$7</f>
        <v>2</v>
      </c>
      <c r="AC6" s="43" t="n">
        <f aca="false">Calendario!AC$7</f>
        <v>2</v>
      </c>
      <c r="AD6" s="43" t="n">
        <f aca="false">Calendario!AD$7</f>
        <v>2</v>
      </c>
      <c r="AE6" s="43" t="n">
        <f aca="false">Calendario!AE$7</f>
        <v>3</v>
      </c>
      <c r="AF6" s="43" t="n">
        <f aca="false">Calendario!AF$7</f>
        <v>3</v>
      </c>
      <c r="AG6" s="43" t="n">
        <f aca="false">Calendario!AG$7</f>
        <v>3</v>
      </c>
      <c r="AH6" s="43" t="n">
        <f aca="false">Calendario!AH$7</f>
        <v>3</v>
      </c>
      <c r="AI6" s="43" t="n">
        <f aca="false">Calendario!AI$7</f>
        <v>3</v>
      </c>
      <c r="AJ6" s="43" t="n">
        <f aca="false">Calendario!AJ$7</f>
        <v>3</v>
      </c>
      <c r="AK6" s="43" t="n">
        <f aca="false">Calendario!AK$7</f>
        <v>3</v>
      </c>
      <c r="AL6" s="43" t="n">
        <f aca="false">Calendario!AL$7</f>
        <v>3</v>
      </c>
      <c r="AM6" s="43" t="n">
        <f aca="false">Calendario!AM$7</f>
        <v>3</v>
      </c>
      <c r="AN6" s="43" t="n">
        <f aca="false">Calendario!AN$7</f>
        <v>3</v>
      </c>
      <c r="AO6" s="43" t="n">
        <f aca="false">Calendario!AO$7</f>
        <v>3</v>
      </c>
      <c r="AP6" s="43" t="n">
        <f aca="false">Calendario!AP$7</f>
        <v>3</v>
      </c>
      <c r="AQ6" s="43" t="n">
        <f aca="false">Calendario!AQ$7</f>
        <v>4</v>
      </c>
      <c r="AR6" s="43" t="n">
        <f aca="false">Calendario!AR$7</f>
        <v>4</v>
      </c>
      <c r="AS6" s="43" t="n">
        <f aca="false">Calendario!AS$7</f>
        <v>4</v>
      </c>
      <c r="AT6" s="43" t="n">
        <f aca="false">Calendario!AT$7</f>
        <v>4</v>
      </c>
      <c r="AU6" s="43" t="n">
        <f aca="false">Calendario!AU$7</f>
        <v>4</v>
      </c>
      <c r="AV6" s="43" t="n">
        <f aca="false">Calendario!AV$7</f>
        <v>4</v>
      </c>
      <c r="AW6" s="43" t="n">
        <f aca="false">Calendario!AW$7</f>
        <v>4</v>
      </c>
      <c r="AX6" s="43" t="n">
        <f aca="false">Calendario!AX$7</f>
        <v>4</v>
      </c>
      <c r="AY6" s="43" t="n">
        <f aca="false">Calendario!AY$7</f>
        <v>4</v>
      </c>
      <c r="AZ6" s="43" t="n">
        <f aca="false">Calendario!AZ$7</f>
        <v>4</v>
      </c>
      <c r="BA6" s="43" t="n">
        <f aca="false">Calendario!BA$7</f>
        <v>4</v>
      </c>
      <c r="BB6" s="43" t="n">
        <f aca="false">Calendario!BB$7</f>
        <v>4</v>
      </c>
      <c r="BC6" s="43" t="n">
        <f aca="false">Calendario!BC$7</f>
        <v>5</v>
      </c>
      <c r="BD6" s="43" t="n">
        <f aca="false">Calendario!BD$7</f>
        <v>5</v>
      </c>
      <c r="BE6" s="43" t="n">
        <f aca="false">Calendario!BE$7</f>
        <v>5</v>
      </c>
      <c r="BF6" s="43" t="n">
        <f aca="false">Calendario!BF$7</f>
        <v>5</v>
      </c>
      <c r="BG6" s="43" t="n">
        <f aca="false">Calendario!BG$7</f>
        <v>5</v>
      </c>
      <c r="BH6" s="43" t="n">
        <f aca="false">Calendario!BH$7</f>
        <v>5</v>
      </c>
      <c r="BI6" s="43" t="n">
        <f aca="false">Calendario!BI$7</f>
        <v>5</v>
      </c>
      <c r="BJ6" s="43" t="n">
        <f aca="false">Calendario!BJ$7</f>
        <v>5</v>
      </c>
      <c r="BK6" s="43" t="n">
        <f aca="false">Calendario!BK$7</f>
        <v>5</v>
      </c>
      <c r="BL6" s="43" t="n">
        <f aca="false">Calendario!BL$7</f>
        <v>5</v>
      </c>
      <c r="BM6" s="43" t="n">
        <f aca="false">Calendario!BM$7</f>
        <v>5</v>
      </c>
      <c r="BN6" s="43" t="n">
        <f aca="false">Calendario!BN$7</f>
        <v>5</v>
      </c>
      <c r="BO6" s="43" t="n">
        <f aca="false">Calendario!BO$7</f>
        <v>6</v>
      </c>
      <c r="BP6" s="43" t="n">
        <f aca="false">Calendario!BP$7</f>
        <v>6</v>
      </c>
      <c r="BQ6" s="43" t="n">
        <f aca="false">Calendario!BQ$7</f>
        <v>6</v>
      </c>
      <c r="BR6" s="43" t="n">
        <f aca="false">Calendario!BR$7</f>
        <v>6</v>
      </c>
      <c r="BS6" s="43" t="n">
        <f aca="false">Calendario!BS$7</f>
        <v>6</v>
      </c>
      <c r="BT6" s="43" t="n">
        <f aca="false">Calendario!BT$7</f>
        <v>6</v>
      </c>
      <c r="BU6" s="43" t="n">
        <f aca="false">Calendario!BU$7</f>
        <v>6</v>
      </c>
      <c r="BV6" s="43" t="n">
        <f aca="false">Calendario!BV$7</f>
        <v>6</v>
      </c>
      <c r="BW6" s="43" t="n">
        <f aca="false">Calendario!BW$7</f>
        <v>6</v>
      </c>
      <c r="BX6" s="43" t="n">
        <f aca="false">Calendario!BX$7</f>
        <v>6</v>
      </c>
      <c r="BY6" s="43" t="n">
        <f aca="false">Calendario!BY$7</f>
        <v>6</v>
      </c>
      <c r="BZ6" s="43" t="n">
        <f aca="false">Calendario!BZ$7</f>
        <v>6</v>
      </c>
      <c r="CA6" s="43" t="n">
        <f aca="false">Calendario!CA$7</f>
        <v>7</v>
      </c>
      <c r="CB6" s="43" t="n">
        <f aca="false">Calendario!CB$7</f>
        <v>7</v>
      </c>
      <c r="CC6" s="43" t="n">
        <f aca="false">Calendario!CC$7</f>
        <v>7</v>
      </c>
      <c r="CD6" s="43" t="n">
        <f aca="false">Calendario!CD$7</f>
        <v>7</v>
      </c>
      <c r="CE6" s="43" t="n">
        <f aca="false">Calendario!CE$7</f>
        <v>7</v>
      </c>
      <c r="CF6" s="43" t="n">
        <f aca="false">Calendario!CF$7</f>
        <v>7</v>
      </c>
      <c r="CG6" s="43" t="n">
        <f aca="false">Calendario!CG$7</f>
        <v>7</v>
      </c>
      <c r="CH6" s="43" t="n">
        <f aca="false">Calendario!CH$7</f>
        <v>7</v>
      </c>
      <c r="CI6" s="43" t="n">
        <f aca="false">Calendario!CI$7</f>
        <v>7</v>
      </c>
      <c r="CJ6" s="43" t="n">
        <f aca="false">Calendario!CJ$7</f>
        <v>7</v>
      </c>
      <c r="CK6" s="43" t="n">
        <f aca="false">Calendario!CK$7</f>
        <v>7</v>
      </c>
      <c r="CL6" s="43" t="n">
        <f aca="false">Calendario!CL$7</f>
        <v>7</v>
      </c>
      <c r="CM6" s="43" t="n">
        <f aca="false">Calendario!CM$7</f>
        <v>8</v>
      </c>
      <c r="CN6" s="43" t="n">
        <f aca="false">Calendario!CN$7</f>
        <v>8</v>
      </c>
      <c r="CO6" s="43" t="n">
        <f aca="false">Calendario!CO$7</f>
        <v>8</v>
      </c>
      <c r="CP6" s="43" t="n">
        <f aca="false">Calendario!CP$7</f>
        <v>8</v>
      </c>
      <c r="CQ6" s="43" t="n">
        <f aca="false">Calendario!CQ$7</f>
        <v>8</v>
      </c>
      <c r="CR6" s="43" t="n">
        <f aca="false">Calendario!CR$7</f>
        <v>8</v>
      </c>
      <c r="CS6" s="43" t="n">
        <f aca="false">Calendario!CS$7</f>
        <v>8</v>
      </c>
      <c r="CT6" s="43" t="n">
        <f aca="false">Calendario!CT$7</f>
        <v>8</v>
      </c>
      <c r="CU6" s="43" t="n">
        <f aca="false">Calendario!CU$7</f>
        <v>8</v>
      </c>
      <c r="CV6" s="43" t="n">
        <f aca="false">Calendario!CV$7</f>
        <v>8</v>
      </c>
      <c r="CW6" s="43" t="n">
        <f aca="false">Calendario!CW$7</f>
        <v>8</v>
      </c>
      <c r="CX6" s="43" t="n">
        <f aca="false">Calendario!CX$7</f>
        <v>8</v>
      </c>
      <c r="CY6" s="43" t="n">
        <f aca="false">Calendario!CY$7</f>
        <v>9</v>
      </c>
      <c r="CZ6" s="43" t="n">
        <f aca="false">Calendario!CZ$7</f>
        <v>9</v>
      </c>
      <c r="DA6" s="43" t="n">
        <f aca="false">Calendario!DA$7</f>
        <v>9</v>
      </c>
      <c r="DB6" s="43" t="n">
        <f aca="false">Calendario!DB$7</f>
        <v>9</v>
      </c>
      <c r="DC6" s="43" t="n">
        <f aca="false">Calendario!DC$7</f>
        <v>9</v>
      </c>
      <c r="DD6" s="43" t="n">
        <f aca="false">Calendario!DD$7</f>
        <v>9</v>
      </c>
      <c r="DE6" s="43" t="n">
        <f aca="false">Calendario!DE$7</f>
        <v>9</v>
      </c>
      <c r="DF6" s="43" t="n">
        <f aca="false">Calendario!DF$7</f>
        <v>9</v>
      </c>
      <c r="DG6" s="43" t="n">
        <f aca="false">Calendario!DG$7</f>
        <v>9</v>
      </c>
      <c r="DH6" s="43" t="n">
        <f aca="false">Calendario!DH$7</f>
        <v>9</v>
      </c>
      <c r="DI6" s="43" t="n">
        <f aca="false">Calendario!DI$7</f>
        <v>9</v>
      </c>
      <c r="DJ6" s="43" t="n">
        <f aca="false">Calendario!DJ$7</f>
        <v>9</v>
      </c>
      <c r="DK6" s="43" t="n">
        <f aca="false">Calendario!DK$7</f>
        <v>10</v>
      </c>
      <c r="DL6" s="43" t="n">
        <f aca="false">Calendario!DL$7</f>
        <v>10</v>
      </c>
      <c r="DM6" s="43" t="n">
        <f aca="false">Calendario!DM$7</f>
        <v>10</v>
      </c>
      <c r="DN6" s="43" t="n">
        <f aca="false">Calendario!DN$7</f>
        <v>10</v>
      </c>
      <c r="DO6" s="43" t="n">
        <f aca="false">Calendario!DO$7</f>
        <v>10</v>
      </c>
      <c r="DP6" s="43" t="n">
        <f aca="false">Calendario!DP$7</f>
        <v>10</v>
      </c>
      <c r="DQ6" s="43" t="n">
        <f aca="false">Calendario!DQ$7</f>
        <v>10</v>
      </c>
      <c r="DR6" s="43" t="n">
        <f aca="false">Calendario!DR$7</f>
        <v>10</v>
      </c>
      <c r="DS6" s="43" t="n">
        <f aca="false">Calendario!DS$7</f>
        <v>10</v>
      </c>
      <c r="DT6" s="43" t="n">
        <f aca="false">Calendario!DT$7</f>
        <v>10</v>
      </c>
      <c r="DU6" s="43" t="n">
        <f aca="false">Calendario!DU$7</f>
        <v>10</v>
      </c>
      <c r="DV6" s="43" t="n">
        <f aca="false">Calendario!DV$7</f>
        <v>10</v>
      </c>
      <c r="DW6" s="43" t="n">
        <f aca="false">Calendario!DW$7</f>
        <v>11</v>
      </c>
      <c r="DX6" s="43" t="n">
        <f aca="false">Calendario!DX$7</f>
        <v>11</v>
      </c>
      <c r="DY6" s="43" t="n">
        <f aca="false">Calendario!DY$7</f>
        <v>11</v>
      </c>
      <c r="DZ6" s="43" t="n">
        <f aca="false">Calendario!DZ$7</f>
        <v>11</v>
      </c>
      <c r="EA6" s="43" t="n">
        <f aca="false">Calendario!EA$7</f>
        <v>11</v>
      </c>
      <c r="EB6" s="43" t="n">
        <f aca="false">Calendario!EB$7</f>
        <v>11</v>
      </c>
      <c r="EC6" s="43" t="n">
        <f aca="false">Calendario!EC$7</f>
        <v>11</v>
      </c>
      <c r="ED6" s="43" t="n">
        <f aca="false">Calendario!ED$7</f>
        <v>11</v>
      </c>
      <c r="EE6" s="43" t="n">
        <f aca="false">Calendario!EE$7</f>
        <v>11</v>
      </c>
      <c r="EF6" s="43" t="n">
        <f aca="false">Calendario!EF$7</f>
        <v>11</v>
      </c>
      <c r="EG6" s="43" t="n">
        <f aca="false">Calendario!EG$7</f>
        <v>11</v>
      </c>
      <c r="EH6" s="43" t="n">
        <f aca="false">Calendario!EH$7</f>
        <v>11</v>
      </c>
      <c r="EI6" s="43" t="n">
        <f aca="false">Calendario!EI$7</f>
        <v>12</v>
      </c>
      <c r="EJ6" s="43" t="n">
        <f aca="false">Calendario!EJ$7</f>
        <v>12</v>
      </c>
      <c r="EK6" s="43" t="n">
        <f aca="false">Calendario!EK$7</f>
        <v>12</v>
      </c>
      <c r="EL6" s="43" t="n">
        <f aca="false">Calendario!EL$7</f>
        <v>12</v>
      </c>
      <c r="EM6" s="43" t="n">
        <f aca="false">Calendario!EM$7</f>
        <v>12</v>
      </c>
      <c r="EN6" s="43" t="n">
        <f aca="false">Calendario!EN$7</f>
        <v>12</v>
      </c>
      <c r="EO6" s="43" t="n">
        <f aca="false">Calendario!EO$7</f>
        <v>12</v>
      </c>
      <c r="EP6" s="43" t="n">
        <f aca="false">Calendario!EP$7</f>
        <v>12</v>
      </c>
      <c r="EQ6" s="43" t="n">
        <f aca="false">Calendario!EQ$7</f>
        <v>12</v>
      </c>
      <c r="ER6" s="43" t="n">
        <f aca="false">Calendario!ER$7</f>
        <v>12</v>
      </c>
      <c r="ES6" s="43" t="n">
        <f aca="false">Calendario!ES$7</f>
        <v>12</v>
      </c>
      <c r="ET6" s="43" t="n">
        <f aca="false">Calendario!ET$7</f>
        <v>12</v>
      </c>
      <c r="EU6" s="43" t="n">
        <f aca="false">Calendario!EU$7</f>
        <v>13</v>
      </c>
      <c r="EV6" s="43" t="n">
        <f aca="false">Calendario!EV$7</f>
        <v>13</v>
      </c>
      <c r="EW6" s="43" t="n">
        <f aca="false">Calendario!EW$7</f>
        <v>13</v>
      </c>
      <c r="EX6" s="43" t="n">
        <f aca="false">Calendario!EX$7</f>
        <v>13</v>
      </c>
      <c r="EY6" s="43" t="n">
        <f aca="false">Calendario!EY$7</f>
        <v>13</v>
      </c>
      <c r="EZ6" s="43" t="n">
        <f aca="false">Calendario!EZ$7</f>
        <v>13</v>
      </c>
      <c r="FA6" s="43" t="n">
        <f aca="false">Calendario!FA$7</f>
        <v>13</v>
      </c>
      <c r="FB6" s="43" t="n">
        <f aca="false">Calendario!FB$7</f>
        <v>13</v>
      </c>
      <c r="FC6" s="43" t="n">
        <f aca="false">Calendario!FC$7</f>
        <v>13</v>
      </c>
      <c r="FD6" s="43" t="n">
        <f aca="false">Calendario!FD$7</f>
        <v>13</v>
      </c>
      <c r="FE6" s="43" t="n">
        <f aca="false">Calendario!FE$7</f>
        <v>13</v>
      </c>
      <c r="FF6" s="43" t="n">
        <f aca="false">Calendario!FF$7</f>
        <v>13</v>
      </c>
    </row>
    <row r="7" customFormat="false" ht="15" hidden="false" customHeight="false" outlineLevel="0" collapsed="false">
      <c r="A7" s="8" t="s">
        <v>814</v>
      </c>
      <c r="B7" s="5" t="s">
        <v>815</v>
      </c>
      <c r="F7" s="43" t="n">
        <f aca="false">Calendario!F$11</f>
        <v>0</v>
      </c>
      <c r="G7" s="43" t="n">
        <f aca="false">Calendario!G$11</f>
        <v>1</v>
      </c>
      <c r="H7" s="43" t="n">
        <f aca="false">Calendario!H$11</f>
        <v>1</v>
      </c>
      <c r="I7" s="43" t="n">
        <f aca="false">Calendario!I$11</f>
        <v>1</v>
      </c>
      <c r="J7" s="43" t="n">
        <f aca="false">Calendario!J$11</f>
        <v>1</v>
      </c>
      <c r="K7" s="43" t="n">
        <f aca="false">Calendario!K$11</f>
        <v>1</v>
      </c>
      <c r="L7" s="43" t="n">
        <f aca="false">Calendario!L$11</f>
        <v>1</v>
      </c>
      <c r="M7" s="43" t="n">
        <f aca="false">Calendario!M$11</f>
        <v>1</v>
      </c>
      <c r="N7" s="43" t="n">
        <f aca="false">Calendario!N$11</f>
        <v>1</v>
      </c>
      <c r="O7" s="43" t="n">
        <f aca="false">Calendario!O$11</f>
        <v>1</v>
      </c>
      <c r="P7" s="43" t="n">
        <f aca="false">Calendario!P$11</f>
        <v>1</v>
      </c>
      <c r="Q7" s="43" t="n">
        <f aca="false">Calendario!Q$11</f>
        <v>1</v>
      </c>
      <c r="R7" s="43" t="n">
        <f aca="false">Calendario!R$11</f>
        <v>1</v>
      </c>
      <c r="S7" s="43" t="n">
        <f aca="false">Calendario!S$11</f>
        <v>2</v>
      </c>
      <c r="T7" s="43" t="n">
        <f aca="false">Calendario!T$11</f>
        <v>2</v>
      </c>
      <c r="U7" s="43" t="n">
        <f aca="false">Calendario!U$11</f>
        <v>2</v>
      </c>
      <c r="V7" s="43" t="n">
        <f aca="false">Calendario!V$11</f>
        <v>2</v>
      </c>
      <c r="W7" s="43" t="n">
        <f aca="false">Calendario!W$11</f>
        <v>2</v>
      </c>
      <c r="X7" s="43" t="n">
        <f aca="false">Calendario!X$11</f>
        <v>2</v>
      </c>
      <c r="Y7" s="43" t="n">
        <f aca="false">Calendario!Y$11</f>
        <v>2</v>
      </c>
      <c r="Z7" s="43" t="n">
        <f aca="false">Calendario!Z$11</f>
        <v>2</v>
      </c>
      <c r="AA7" s="43" t="n">
        <f aca="false">Calendario!AA$11</f>
        <v>2</v>
      </c>
      <c r="AB7" s="43" t="n">
        <f aca="false">Calendario!AB$11</f>
        <v>2</v>
      </c>
      <c r="AC7" s="43" t="n">
        <f aca="false">Calendario!AC$11</f>
        <v>2</v>
      </c>
      <c r="AD7" s="43" t="n">
        <f aca="false">Calendario!AD$11</f>
        <v>2</v>
      </c>
      <c r="AE7" s="43" t="n">
        <f aca="false">Calendario!AE$11</f>
        <v>3</v>
      </c>
      <c r="AF7" s="43" t="n">
        <f aca="false">Calendario!AF$11</f>
        <v>3</v>
      </c>
      <c r="AG7" s="43" t="n">
        <f aca="false">Calendario!AG$11</f>
        <v>3</v>
      </c>
      <c r="AH7" s="43" t="n">
        <f aca="false">Calendario!AH$11</f>
        <v>3</v>
      </c>
      <c r="AI7" s="43" t="n">
        <f aca="false">Calendario!AI$11</f>
        <v>3</v>
      </c>
      <c r="AJ7" s="43" t="n">
        <f aca="false">Calendario!AJ$11</f>
        <v>3</v>
      </c>
      <c r="AK7" s="43" t="n">
        <f aca="false">Calendario!AK$11</f>
        <v>3</v>
      </c>
      <c r="AL7" s="43" t="n">
        <f aca="false">Calendario!AL$11</f>
        <v>3</v>
      </c>
      <c r="AM7" s="43" t="n">
        <f aca="false">Calendario!AM$11</f>
        <v>3</v>
      </c>
      <c r="AN7" s="43" t="n">
        <f aca="false">Calendario!AN$11</f>
        <v>3</v>
      </c>
      <c r="AO7" s="43" t="n">
        <f aca="false">Calendario!AO$11</f>
        <v>3</v>
      </c>
      <c r="AP7" s="43" t="n">
        <f aca="false">Calendario!AP$11</f>
        <v>3</v>
      </c>
      <c r="AQ7" s="43" t="n">
        <f aca="false">Calendario!AQ$11</f>
        <v>4</v>
      </c>
      <c r="AR7" s="43" t="n">
        <f aca="false">Calendario!AR$11</f>
        <v>4</v>
      </c>
      <c r="AS7" s="43" t="n">
        <f aca="false">Calendario!AS$11</f>
        <v>4</v>
      </c>
      <c r="AT7" s="43" t="n">
        <f aca="false">Calendario!AT$11</f>
        <v>4</v>
      </c>
      <c r="AU7" s="43" t="n">
        <f aca="false">Calendario!AU$11</f>
        <v>4</v>
      </c>
      <c r="AV7" s="43" t="n">
        <f aca="false">Calendario!AV$11</f>
        <v>4</v>
      </c>
      <c r="AW7" s="43" t="n">
        <f aca="false">Calendario!AW$11</f>
        <v>4</v>
      </c>
      <c r="AX7" s="43" t="n">
        <f aca="false">Calendario!AX$11</f>
        <v>4</v>
      </c>
      <c r="AY7" s="43" t="n">
        <f aca="false">Calendario!AY$11</f>
        <v>4</v>
      </c>
      <c r="AZ7" s="43" t="n">
        <f aca="false">Calendario!AZ$11</f>
        <v>4</v>
      </c>
      <c r="BA7" s="43" t="n">
        <f aca="false">Calendario!BA$11</f>
        <v>4</v>
      </c>
      <c r="BB7" s="43" t="n">
        <f aca="false">Calendario!BB$11</f>
        <v>4</v>
      </c>
      <c r="BC7" s="43" t="n">
        <f aca="false">Calendario!BC$11</f>
        <v>5</v>
      </c>
      <c r="BD7" s="43" t="n">
        <f aca="false">Calendario!BD$11</f>
        <v>5</v>
      </c>
      <c r="BE7" s="43" t="n">
        <f aca="false">Calendario!BE$11</f>
        <v>5</v>
      </c>
      <c r="BF7" s="43" t="n">
        <f aca="false">Calendario!BF$11</f>
        <v>5</v>
      </c>
      <c r="BG7" s="43" t="n">
        <f aca="false">Calendario!BG$11</f>
        <v>5</v>
      </c>
      <c r="BH7" s="43" t="n">
        <f aca="false">Calendario!BH$11</f>
        <v>5</v>
      </c>
      <c r="BI7" s="43" t="n">
        <f aca="false">Calendario!BI$11</f>
        <v>5</v>
      </c>
      <c r="BJ7" s="43" t="n">
        <f aca="false">Calendario!BJ$11</f>
        <v>5</v>
      </c>
      <c r="BK7" s="43" t="n">
        <f aca="false">Calendario!BK$11</f>
        <v>5</v>
      </c>
      <c r="BL7" s="43" t="n">
        <f aca="false">Calendario!BL$11</f>
        <v>5</v>
      </c>
      <c r="BM7" s="43" t="n">
        <f aca="false">Calendario!BM$11</f>
        <v>5</v>
      </c>
      <c r="BN7" s="43" t="n">
        <f aca="false">Calendario!BN$11</f>
        <v>5</v>
      </c>
      <c r="BO7" s="43" t="n">
        <f aca="false">Calendario!BO$11</f>
        <v>6</v>
      </c>
      <c r="BP7" s="43" t="n">
        <f aca="false">Calendario!BP$11</f>
        <v>6</v>
      </c>
      <c r="BQ7" s="43" t="n">
        <f aca="false">Calendario!BQ$11</f>
        <v>6</v>
      </c>
      <c r="BR7" s="43" t="n">
        <f aca="false">Calendario!BR$11</f>
        <v>6</v>
      </c>
      <c r="BS7" s="43" t="n">
        <f aca="false">Calendario!BS$11</f>
        <v>6</v>
      </c>
      <c r="BT7" s="43" t="n">
        <f aca="false">Calendario!BT$11</f>
        <v>6</v>
      </c>
      <c r="BU7" s="43" t="n">
        <f aca="false">Calendario!BU$11</f>
        <v>6</v>
      </c>
      <c r="BV7" s="43" t="n">
        <f aca="false">Calendario!BV$11</f>
        <v>6</v>
      </c>
      <c r="BW7" s="43" t="n">
        <f aca="false">Calendario!BW$11</f>
        <v>6</v>
      </c>
      <c r="BX7" s="43" t="n">
        <f aca="false">Calendario!BX$11</f>
        <v>6</v>
      </c>
      <c r="BY7" s="43" t="n">
        <f aca="false">Calendario!BY$11</f>
        <v>6</v>
      </c>
      <c r="BZ7" s="43" t="n">
        <f aca="false">Calendario!BZ$11</f>
        <v>6</v>
      </c>
      <c r="CA7" s="43" t="n">
        <f aca="false">Calendario!CA$11</f>
        <v>7</v>
      </c>
      <c r="CB7" s="43" t="n">
        <f aca="false">Calendario!CB$11</f>
        <v>7</v>
      </c>
      <c r="CC7" s="43" t="n">
        <f aca="false">Calendario!CC$11</f>
        <v>7</v>
      </c>
      <c r="CD7" s="43" t="n">
        <f aca="false">Calendario!CD$11</f>
        <v>7</v>
      </c>
      <c r="CE7" s="43" t="n">
        <f aca="false">Calendario!CE$11</f>
        <v>7</v>
      </c>
      <c r="CF7" s="43" t="n">
        <f aca="false">Calendario!CF$11</f>
        <v>7</v>
      </c>
      <c r="CG7" s="43" t="n">
        <f aca="false">Calendario!CG$11</f>
        <v>7</v>
      </c>
      <c r="CH7" s="43" t="n">
        <f aca="false">Calendario!CH$11</f>
        <v>7</v>
      </c>
      <c r="CI7" s="43" t="n">
        <f aca="false">Calendario!CI$11</f>
        <v>7</v>
      </c>
      <c r="CJ7" s="43" t="n">
        <f aca="false">Calendario!CJ$11</f>
        <v>7</v>
      </c>
      <c r="CK7" s="43" t="n">
        <f aca="false">Calendario!CK$11</f>
        <v>7</v>
      </c>
      <c r="CL7" s="43" t="n">
        <f aca="false">Calendario!CL$11</f>
        <v>7</v>
      </c>
      <c r="CM7" s="43" t="n">
        <f aca="false">Calendario!CM$11</f>
        <v>8</v>
      </c>
      <c r="CN7" s="43" t="n">
        <f aca="false">Calendario!CN$11</f>
        <v>8</v>
      </c>
      <c r="CO7" s="43" t="n">
        <f aca="false">Calendario!CO$11</f>
        <v>8</v>
      </c>
      <c r="CP7" s="43" t="n">
        <f aca="false">Calendario!CP$11</f>
        <v>8</v>
      </c>
      <c r="CQ7" s="43" t="n">
        <f aca="false">Calendario!CQ$11</f>
        <v>8</v>
      </c>
      <c r="CR7" s="43" t="n">
        <f aca="false">Calendario!CR$11</f>
        <v>8</v>
      </c>
      <c r="CS7" s="43" t="n">
        <f aca="false">Calendario!CS$11</f>
        <v>8</v>
      </c>
      <c r="CT7" s="43" t="n">
        <f aca="false">Calendario!CT$11</f>
        <v>8</v>
      </c>
      <c r="CU7" s="43" t="n">
        <f aca="false">Calendario!CU$11</f>
        <v>8</v>
      </c>
      <c r="CV7" s="43" t="n">
        <f aca="false">Calendario!CV$11</f>
        <v>8</v>
      </c>
      <c r="CW7" s="43" t="n">
        <f aca="false">Calendario!CW$11</f>
        <v>8</v>
      </c>
      <c r="CX7" s="43" t="n">
        <f aca="false">Calendario!CX$11</f>
        <v>8</v>
      </c>
      <c r="CY7" s="43" t="n">
        <f aca="false">Calendario!CY$11</f>
        <v>9</v>
      </c>
      <c r="CZ7" s="43" t="n">
        <f aca="false">Calendario!CZ$11</f>
        <v>9</v>
      </c>
      <c r="DA7" s="43" t="n">
        <f aca="false">Calendario!DA$11</f>
        <v>9</v>
      </c>
      <c r="DB7" s="43" t="n">
        <f aca="false">Calendario!DB$11</f>
        <v>9</v>
      </c>
      <c r="DC7" s="43" t="n">
        <f aca="false">Calendario!DC$11</f>
        <v>9</v>
      </c>
      <c r="DD7" s="43" t="n">
        <f aca="false">Calendario!DD$11</f>
        <v>9</v>
      </c>
      <c r="DE7" s="43" t="n">
        <f aca="false">Calendario!DE$11</f>
        <v>9</v>
      </c>
      <c r="DF7" s="43" t="n">
        <f aca="false">Calendario!DF$11</f>
        <v>9</v>
      </c>
      <c r="DG7" s="43" t="n">
        <f aca="false">Calendario!DG$11</f>
        <v>9</v>
      </c>
      <c r="DH7" s="43" t="n">
        <f aca="false">Calendario!DH$11</f>
        <v>9</v>
      </c>
      <c r="DI7" s="43" t="n">
        <f aca="false">Calendario!DI$11</f>
        <v>9</v>
      </c>
      <c r="DJ7" s="43" t="n">
        <f aca="false">Calendario!DJ$11</f>
        <v>9</v>
      </c>
      <c r="DK7" s="43" t="n">
        <f aca="false">Calendario!DK$11</f>
        <v>10</v>
      </c>
      <c r="DL7" s="43" t="n">
        <f aca="false">Calendario!DL$11</f>
        <v>10</v>
      </c>
      <c r="DM7" s="43" t="n">
        <f aca="false">Calendario!DM$11</f>
        <v>10</v>
      </c>
      <c r="DN7" s="43" t="n">
        <f aca="false">Calendario!DN$11</f>
        <v>10</v>
      </c>
      <c r="DO7" s="43" t="n">
        <f aca="false">Calendario!DO$11</f>
        <v>10</v>
      </c>
      <c r="DP7" s="43" t="n">
        <f aca="false">Calendario!DP$11</f>
        <v>10</v>
      </c>
      <c r="DQ7" s="43" t="n">
        <f aca="false">Calendario!DQ$11</f>
        <v>10</v>
      </c>
      <c r="DR7" s="43" t="n">
        <f aca="false">Calendario!DR$11</f>
        <v>10</v>
      </c>
      <c r="DS7" s="43" t="n">
        <f aca="false">Calendario!DS$11</f>
        <v>10</v>
      </c>
      <c r="DT7" s="43" t="n">
        <f aca="false">Calendario!DT$11</f>
        <v>10</v>
      </c>
      <c r="DU7" s="43" t="n">
        <f aca="false">Calendario!DU$11</f>
        <v>10</v>
      </c>
      <c r="DV7" s="43" t="n">
        <f aca="false">Calendario!DV$11</f>
        <v>10</v>
      </c>
      <c r="DW7" s="43" t="n">
        <f aca="false">Calendario!DW$11</f>
        <v>0</v>
      </c>
      <c r="DX7" s="43" t="n">
        <f aca="false">Calendario!DX$11</f>
        <v>0</v>
      </c>
      <c r="DY7" s="43" t="n">
        <f aca="false">Calendario!DY$11</f>
        <v>0</v>
      </c>
      <c r="DZ7" s="43" t="n">
        <f aca="false">Calendario!DZ$11</f>
        <v>0</v>
      </c>
      <c r="EA7" s="43" t="n">
        <f aca="false">Calendario!EA$11</f>
        <v>0</v>
      </c>
      <c r="EB7" s="43" t="n">
        <f aca="false">Calendario!EB$11</f>
        <v>0</v>
      </c>
      <c r="EC7" s="43" t="n">
        <f aca="false">Calendario!EC$11</f>
        <v>0</v>
      </c>
      <c r="ED7" s="43" t="n">
        <f aca="false">Calendario!ED$11</f>
        <v>0</v>
      </c>
      <c r="EE7" s="43" t="n">
        <f aca="false">Calendario!EE$11</f>
        <v>0</v>
      </c>
      <c r="EF7" s="43" t="n">
        <f aca="false">Calendario!EF$11</f>
        <v>0</v>
      </c>
      <c r="EG7" s="43" t="n">
        <f aca="false">Calendario!EG$11</f>
        <v>0</v>
      </c>
      <c r="EH7" s="43" t="n">
        <f aca="false">Calendario!EH$11</f>
        <v>0</v>
      </c>
      <c r="EI7" s="43" t="n">
        <f aca="false">Calendario!EI$11</f>
        <v>0</v>
      </c>
      <c r="EJ7" s="43" t="n">
        <f aca="false">Calendario!EJ$11</f>
        <v>0</v>
      </c>
      <c r="EK7" s="43" t="n">
        <f aca="false">Calendario!EK$11</f>
        <v>0</v>
      </c>
      <c r="EL7" s="43" t="n">
        <f aca="false">Calendario!EL$11</f>
        <v>0</v>
      </c>
      <c r="EM7" s="43" t="n">
        <f aca="false">Calendario!EM$11</f>
        <v>0</v>
      </c>
      <c r="EN7" s="43" t="n">
        <f aca="false">Calendario!EN$11</f>
        <v>0</v>
      </c>
      <c r="EO7" s="43" t="n">
        <f aca="false">Calendario!EO$11</f>
        <v>0</v>
      </c>
      <c r="EP7" s="43" t="n">
        <f aca="false">Calendario!EP$11</f>
        <v>0</v>
      </c>
      <c r="EQ7" s="43" t="n">
        <f aca="false">Calendario!EQ$11</f>
        <v>0</v>
      </c>
      <c r="ER7" s="43" t="n">
        <f aca="false">Calendario!ER$11</f>
        <v>0</v>
      </c>
      <c r="ES7" s="43" t="n">
        <f aca="false">Calendario!ES$11</f>
        <v>0</v>
      </c>
      <c r="ET7" s="43" t="n">
        <f aca="false">Calendario!ET$11</f>
        <v>0</v>
      </c>
      <c r="EU7" s="43" t="n">
        <f aca="false">Calendario!EU$11</f>
        <v>0</v>
      </c>
      <c r="EV7" s="43" t="n">
        <f aca="false">Calendario!EV$11</f>
        <v>0</v>
      </c>
      <c r="EW7" s="43" t="n">
        <f aca="false">Calendario!EW$11</f>
        <v>0</v>
      </c>
      <c r="EX7" s="43" t="n">
        <f aca="false">Calendario!EX$11</f>
        <v>0</v>
      </c>
      <c r="EY7" s="43" t="n">
        <f aca="false">Calendario!EY$11</f>
        <v>0</v>
      </c>
      <c r="EZ7" s="43" t="n">
        <f aca="false">Calendario!EZ$11</f>
        <v>0</v>
      </c>
      <c r="FA7" s="43" t="n">
        <f aca="false">Calendario!FA$11</f>
        <v>0</v>
      </c>
      <c r="FB7" s="43" t="n">
        <f aca="false">Calendario!FB$11</f>
        <v>0</v>
      </c>
      <c r="FC7" s="43" t="n">
        <f aca="false">Calendario!FC$11</f>
        <v>0</v>
      </c>
      <c r="FD7" s="43" t="n">
        <f aca="false">Calendario!FD$11</f>
        <v>0</v>
      </c>
      <c r="FE7" s="43" t="n">
        <f aca="false">Calendario!FE$11</f>
        <v>0</v>
      </c>
      <c r="FF7" s="43" t="n">
        <f aca="false">Calendario!FF$11</f>
        <v>0</v>
      </c>
    </row>
    <row r="8" customFormat="false" ht="15" hidden="false" customHeight="false" outlineLevel="0" collapsed="false">
      <c r="A8" s="8" t="s">
        <v>816</v>
      </c>
      <c r="B8" s="5" t="s">
        <v>784</v>
      </c>
      <c r="F8" s="43" t="n">
        <f aca="false">Calendario!F$12</f>
        <v>0</v>
      </c>
      <c r="G8" s="43" t="n">
        <f aca="false">Calendario!G$12</f>
        <v>1</v>
      </c>
      <c r="H8" s="43" t="n">
        <f aca="false">Calendario!H$12</f>
        <v>1</v>
      </c>
      <c r="I8" s="43" t="n">
        <f aca="false">Calendario!I$12</f>
        <v>1</v>
      </c>
      <c r="J8" s="43" t="n">
        <f aca="false">Calendario!J$12</f>
        <v>1</v>
      </c>
      <c r="K8" s="43" t="n">
        <f aca="false">Calendario!K$12</f>
        <v>1</v>
      </c>
      <c r="L8" s="43" t="n">
        <f aca="false">Calendario!L$12</f>
        <v>1</v>
      </c>
      <c r="M8" s="43" t="n">
        <f aca="false">Calendario!M$12</f>
        <v>1</v>
      </c>
      <c r="N8" s="43" t="n">
        <f aca="false">Calendario!N$12</f>
        <v>1</v>
      </c>
      <c r="O8" s="43" t="n">
        <f aca="false">Calendario!O$12</f>
        <v>1</v>
      </c>
      <c r="P8" s="43" t="n">
        <f aca="false">Calendario!P$12</f>
        <v>1</v>
      </c>
      <c r="Q8" s="43" t="n">
        <f aca="false">Calendario!Q$12</f>
        <v>1</v>
      </c>
      <c r="R8" s="43" t="n">
        <f aca="false">Calendario!R$12</f>
        <v>1</v>
      </c>
      <c r="S8" s="43" t="n">
        <f aca="false">Calendario!S$12</f>
        <v>1</v>
      </c>
      <c r="T8" s="43" t="n">
        <f aca="false">Calendario!T$12</f>
        <v>1</v>
      </c>
      <c r="U8" s="43" t="n">
        <f aca="false">Calendario!U$12</f>
        <v>1</v>
      </c>
      <c r="V8" s="43" t="n">
        <f aca="false">Calendario!V$12</f>
        <v>1</v>
      </c>
      <c r="W8" s="43" t="n">
        <f aca="false">Calendario!W$12</f>
        <v>1</v>
      </c>
      <c r="X8" s="43" t="n">
        <f aca="false">Calendario!X$12</f>
        <v>1</v>
      </c>
      <c r="Y8" s="43" t="n">
        <f aca="false">Calendario!Y$12</f>
        <v>1</v>
      </c>
      <c r="Z8" s="43" t="n">
        <f aca="false">Calendario!Z$12</f>
        <v>1</v>
      </c>
      <c r="AA8" s="43" t="n">
        <f aca="false">Calendario!AA$12</f>
        <v>1</v>
      </c>
      <c r="AB8" s="43" t="n">
        <f aca="false">Calendario!AB$12</f>
        <v>1</v>
      </c>
      <c r="AC8" s="43" t="n">
        <f aca="false">Calendario!AC$12</f>
        <v>1</v>
      </c>
      <c r="AD8" s="43" t="n">
        <f aca="false">Calendario!AD$12</f>
        <v>1</v>
      </c>
      <c r="AE8" s="43" t="n">
        <f aca="false">Calendario!AE$12</f>
        <v>1</v>
      </c>
      <c r="AF8" s="43" t="n">
        <f aca="false">Calendario!AF$12</f>
        <v>1</v>
      </c>
      <c r="AG8" s="43" t="n">
        <f aca="false">Calendario!AG$12</f>
        <v>1</v>
      </c>
      <c r="AH8" s="43" t="n">
        <f aca="false">Calendario!AH$12</f>
        <v>1</v>
      </c>
      <c r="AI8" s="43" t="n">
        <f aca="false">Calendario!AI$12</f>
        <v>1</v>
      </c>
      <c r="AJ8" s="43" t="n">
        <f aca="false">Calendario!AJ$12</f>
        <v>1</v>
      </c>
      <c r="AK8" s="43" t="n">
        <f aca="false">Calendario!AK$12</f>
        <v>1</v>
      </c>
      <c r="AL8" s="43" t="n">
        <f aca="false">Calendario!AL$12</f>
        <v>1</v>
      </c>
      <c r="AM8" s="43" t="n">
        <f aca="false">Calendario!AM$12</f>
        <v>1</v>
      </c>
      <c r="AN8" s="43" t="n">
        <f aca="false">Calendario!AN$12</f>
        <v>1</v>
      </c>
      <c r="AO8" s="43" t="n">
        <f aca="false">Calendario!AO$12</f>
        <v>1</v>
      </c>
      <c r="AP8" s="43" t="n">
        <f aca="false">Calendario!AP$12</f>
        <v>1</v>
      </c>
      <c r="AQ8" s="43" t="n">
        <f aca="false">Calendario!AQ$12</f>
        <v>1</v>
      </c>
      <c r="AR8" s="43" t="n">
        <f aca="false">Calendario!AR$12</f>
        <v>1</v>
      </c>
      <c r="AS8" s="43" t="n">
        <f aca="false">Calendario!AS$12</f>
        <v>1</v>
      </c>
      <c r="AT8" s="43" t="n">
        <f aca="false">Calendario!AT$12</f>
        <v>1</v>
      </c>
      <c r="AU8" s="43" t="n">
        <f aca="false">Calendario!AU$12</f>
        <v>1</v>
      </c>
      <c r="AV8" s="43" t="n">
        <f aca="false">Calendario!AV$12</f>
        <v>1</v>
      </c>
      <c r="AW8" s="43" t="n">
        <f aca="false">Calendario!AW$12</f>
        <v>1</v>
      </c>
      <c r="AX8" s="43" t="n">
        <f aca="false">Calendario!AX$12</f>
        <v>1</v>
      </c>
      <c r="AY8" s="43" t="n">
        <f aca="false">Calendario!AY$12</f>
        <v>1</v>
      </c>
      <c r="AZ8" s="43" t="n">
        <f aca="false">Calendario!AZ$12</f>
        <v>1</v>
      </c>
      <c r="BA8" s="43" t="n">
        <f aca="false">Calendario!BA$12</f>
        <v>1</v>
      </c>
      <c r="BB8" s="43" t="n">
        <f aca="false">Calendario!BB$12</f>
        <v>1</v>
      </c>
      <c r="BC8" s="43" t="n">
        <f aca="false">Calendario!BC$12</f>
        <v>1</v>
      </c>
      <c r="BD8" s="43" t="n">
        <f aca="false">Calendario!BD$12</f>
        <v>1</v>
      </c>
      <c r="BE8" s="43" t="n">
        <f aca="false">Calendario!BE$12</f>
        <v>1</v>
      </c>
      <c r="BF8" s="43" t="n">
        <f aca="false">Calendario!BF$12</f>
        <v>1</v>
      </c>
      <c r="BG8" s="43" t="n">
        <f aca="false">Calendario!BG$12</f>
        <v>1</v>
      </c>
      <c r="BH8" s="43" t="n">
        <f aca="false">Calendario!BH$12</f>
        <v>1</v>
      </c>
      <c r="BI8" s="43" t="n">
        <f aca="false">Calendario!BI$12</f>
        <v>1</v>
      </c>
      <c r="BJ8" s="43" t="n">
        <f aca="false">Calendario!BJ$12</f>
        <v>1</v>
      </c>
      <c r="BK8" s="43" t="n">
        <f aca="false">Calendario!BK$12</f>
        <v>1</v>
      </c>
      <c r="BL8" s="43" t="n">
        <f aca="false">Calendario!BL$12</f>
        <v>1</v>
      </c>
      <c r="BM8" s="43" t="n">
        <f aca="false">Calendario!BM$12</f>
        <v>1</v>
      </c>
      <c r="BN8" s="43" t="n">
        <f aca="false">Calendario!BN$12</f>
        <v>1</v>
      </c>
      <c r="BO8" s="43" t="n">
        <f aca="false">Calendario!BO$12</f>
        <v>1</v>
      </c>
      <c r="BP8" s="43" t="n">
        <f aca="false">Calendario!BP$12</f>
        <v>1</v>
      </c>
      <c r="BQ8" s="43" t="n">
        <f aca="false">Calendario!BQ$12</f>
        <v>1</v>
      </c>
      <c r="BR8" s="43" t="n">
        <f aca="false">Calendario!BR$12</f>
        <v>1</v>
      </c>
      <c r="BS8" s="43" t="n">
        <f aca="false">Calendario!BS$12</f>
        <v>1</v>
      </c>
      <c r="BT8" s="43" t="n">
        <f aca="false">Calendario!BT$12</f>
        <v>1</v>
      </c>
      <c r="BU8" s="43" t="n">
        <f aca="false">Calendario!BU$12</f>
        <v>1</v>
      </c>
      <c r="BV8" s="43" t="n">
        <f aca="false">Calendario!BV$12</f>
        <v>1</v>
      </c>
      <c r="BW8" s="43" t="n">
        <f aca="false">Calendario!BW$12</f>
        <v>1</v>
      </c>
      <c r="BX8" s="43" t="n">
        <f aca="false">Calendario!BX$12</f>
        <v>1</v>
      </c>
      <c r="BY8" s="43" t="n">
        <f aca="false">Calendario!BY$12</f>
        <v>1</v>
      </c>
      <c r="BZ8" s="43" t="n">
        <f aca="false">Calendario!BZ$12</f>
        <v>1</v>
      </c>
      <c r="CA8" s="43" t="n">
        <f aca="false">Calendario!CA$12</f>
        <v>1</v>
      </c>
      <c r="CB8" s="43" t="n">
        <f aca="false">Calendario!CB$12</f>
        <v>1</v>
      </c>
      <c r="CC8" s="43" t="n">
        <f aca="false">Calendario!CC$12</f>
        <v>1</v>
      </c>
      <c r="CD8" s="43" t="n">
        <f aca="false">Calendario!CD$12</f>
        <v>1</v>
      </c>
      <c r="CE8" s="43" t="n">
        <f aca="false">Calendario!CE$12</f>
        <v>1</v>
      </c>
      <c r="CF8" s="43" t="n">
        <f aca="false">Calendario!CF$12</f>
        <v>1</v>
      </c>
      <c r="CG8" s="43" t="n">
        <f aca="false">Calendario!CG$12</f>
        <v>1</v>
      </c>
      <c r="CH8" s="43" t="n">
        <f aca="false">Calendario!CH$12</f>
        <v>1</v>
      </c>
      <c r="CI8" s="43" t="n">
        <f aca="false">Calendario!CI$12</f>
        <v>1</v>
      </c>
      <c r="CJ8" s="43" t="n">
        <f aca="false">Calendario!CJ$12</f>
        <v>1</v>
      </c>
      <c r="CK8" s="43" t="n">
        <f aca="false">Calendario!CK$12</f>
        <v>1</v>
      </c>
      <c r="CL8" s="43" t="n">
        <f aca="false">Calendario!CL$12</f>
        <v>1</v>
      </c>
      <c r="CM8" s="43" t="n">
        <f aca="false">Calendario!CM$12</f>
        <v>1</v>
      </c>
      <c r="CN8" s="43" t="n">
        <f aca="false">Calendario!CN$12</f>
        <v>1</v>
      </c>
      <c r="CO8" s="43" t="n">
        <f aca="false">Calendario!CO$12</f>
        <v>1</v>
      </c>
      <c r="CP8" s="43" t="n">
        <f aca="false">Calendario!CP$12</f>
        <v>1</v>
      </c>
      <c r="CQ8" s="43" t="n">
        <f aca="false">Calendario!CQ$12</f>
        <v>1</v>
      </c>
      <c r="CR8" s="43" t="n">
        <f aca="false">Calendario!CR$12</f>
        <v>1</v>
      </c>
      <c r="CS8" s="43" t="n">
        <f aca="false">Calendario!CS$12</f>
        <v>1</v>
      </c>
      <c r="CT8" s="43" t="n">
        <f aca="false">Calendario!CT$12</f>
        <v>1</v>
      </c>
      <c r="CU8" s="43" t="n">
        <f aca="false">Calendario!CU$12</f>
        <v>1</v>
      </c>
      <c r="CV8" s="43" t="n">
        <f aca="false">Calendario!CV$12</f>
        <v>1</v>
      </c>
      <c r="CW8" s="43" t="n">
        <f aca="false">Calendario!CW$12</f>
        <v>1</v>
      </c>
      <c r="CX8" s="43" t="n">
        <f aca="false">Calendario!CX$12</f>
        <v>1</v>
      </c>
      <c r="CY8" s="43" t="n">
        <f aca="false">Calendario!CY$12</f>
        <v>1</v>
      </c>
      <c r="CZ8" s="43" t="n">
        <f aca="false">Calendario!CZ$12</f>
        <v>1</v>
      </c>
      <c r="DA8" s="43" t="n">
        <f aca="false">Calendario!DA$12</f>
        <v>1</v>
      </c>
      <c r="DB8" s="43" t="n">
        <f aca="false">Calendario!DB$12</f>
        <v>1</v>
      </c>
      <c r="DC8" s="43" t="n">
        <f aca="false">Calendario!DC$12</f>
        <v>1</v>
      </c>
      <c r="DD8" s="43" t="n">
        <f aca="false">Calendario!DD$12</f>
        <v>1</v>
      </c>
      <c r="DE8" s="43" t="n">
        <f aca="false">Calendario!DE$12</f>
        <v>1</v>
      </c>
      <c r="DF8" s="43" t="n">
        <f aca="false">Calendario!DF$12</f>
        <v>1</v>
      </c>
      <c r="DG8" s="43" t="n">
        <f aca="false">Calendario!DG$12</f>
        <v>1</v>
      </c>
      <c r="DH8" s="43" t="n">
        <f aca="false">Calendario!DH$12</f>
        <v>1</v>
      </c>
      <c r="DI8" s="43" t="n">
        <f aca="false">Calendario!DI$12</f>
        <v>1</v>
      </c>
      <c r="DJ8" s="43" t="n">
        <f aca="false">Calendario!DJ$12</f>
        <v>1</v>
      </c>
      <c r="DK8" s="43" t="n">
        <f aca="false">Calendario!DK$12</f>
        <v>1</v>
      </c>
      <c r="DL8" s="43" t="n">
        <f aca="false">Calendario!DL$12</f>
        <v>1</v>
      </c>
      <c r="DM8" s="43" t="n">
        <f aca="false">Calendario!DM$12</f>
        <v>1</v>
      </c>
      <c r="DN8" s="43" t="n">
        <f aca="false">Calendario!DN$12</f>
        <v>1</v>
      </c>
      <c r="DO8" s="43" t="n">
        <f aca="false">Calendario!DO$12</f>
        <v>1</v>
      </c>
      <c r="DP8" s="43" t="n">
        <f aca="false">Calendario!DP$12</f>
        <v>1</v>
      </c>
      <c r="DQ8" s="43" t="n">
        <f aca="false">Calendario!DQ$12</f>
        <v>1</v>
      </c>
      <c r="DR8" s="43" t="n">
        <f aca="false">Calendario!DR$12</f>
        <v>1</v>
      </c>
      <c r="DS8" s="43" t="n">
        <f aca="false">Calendario!DS$12</f>
        <v>1</v>
      </c>
      <c r="DT8" s="43" t="n">
        <f aca="false">Calendario!DT$12</f>
        <v>1</v>
      </c>
      <c r="DU8" s="43" t="n">
        <f aca="false">Calendario!DU$12</f>
        <v>1</v>
      </c>
      <c r="DV8" s="43" t="n">
        <f aca="false">Calendario!DV$12</f>
        <v>1</v>
      </c>
      <c r="DW8" s="43" t="n">
        <f aca="false">Calendario!DW$12</f>
        <v>0</v>
      </c>
      <c r="DX8" s="43" t="n">
        <f aca="false">Calendario!DX$12</f>
        <v>0</v>
      </c>
      <c r="DY8" s="43" t="n">
        <f aca="false">Calendario!DY$12</f>
        <v>0</v>
      </c>
      <c r="DZ8" s="43" t="n">
        <f aca="false">Calendario!DZ$12</f>
        <v>0</v>
      </c>
      <c r="EA8" s="43" t="n">
        <f aca="false">Calendario!EA$12</f>
        <v>0</v>
      </c>
      <c r="EB8" s="43" t="n">
        <f aca="false">Calendario!EB$12</f>
        <v>0</v>
      </c>
      <c r="EC8" s="43" t="n">
        <f aca="false">Calendario!EC$12</f>
        <v>0</v>
      </c>
      <c r="ED8" s="43" t="n">
        <f aca="false">Calendario!ED$12</f>
        <v>0</v>
      </c>
      <c r="EE8" s="43" t="n">
        <f aca="false">Calendario!EE$12</f>
        <v>0</v>
      </c>
      <c r="EF8" s="43" t="n">
        <f aca="false">Calendario!EF$12</f>
        <v>0</v>
      </c>
      <c r="EG8" s="43" t="n">
        <f aca="false">Calendario!EG$12</f>
        <v>0</v>
      </c>
      <c r="EH8" s="43" t="n">
        <f aca="false">Calendario!EH$12</f>
        <v>0</v>
      </c>
      <c r="EI8" s="43" t="n">
        <f aca="false">Calendario!EI$12</f>
        <v>0</v>
      </c>
      <c r="EJ8" s="43" t="n">
        <f aca="false">Calendario!EJ$12</f>
        <v>0</v>
      </c>
      <c r="EK8" s="43" t="n">
        <f aca="false">Calendario!EK$12</f>
        <v>0</v>
      </c>
      <c r="EL8" s="43" t="n">
        <f aca="false">Calendario!EL$12</f>
        <v>0</v>
      </c>
      <c r="EM8" s="43" t="n">
        <f aca="false">Calendario!EM$12</f>
        <v>0</v>
      </c>
      <c r="EN8" s="43" t="n">
        <f aca="false">Calendario!EN$12</f>
        <v>0</v>
      </c>
      <c r="EO8" s="43" t="n">
        <f aca="false">Calendario!EO$12</f>
        <v>0</v>
      </c>
      <c r="EP8" s="43" t="n">
        <f aca="false">Calendario!EP$12</f>
        <v>0</v>
      </c>
      <c r="EQ8" s="43" t="n">
        <f aca="false">Calendario!EQ$12</f>
        <v>0</v>
      </c>
      <c r="ER8" s="43" t="n">
        <f aca="false">Calendario!ER$12</f>
        <v>0</v>
      </c>
      <c r="ES8" s="43" t="n">
        <f aca="false">Calendario!ES$12</f>
        <v>0</v>
      </c>
      <c r="ET8" s="43" t="n">
        <f aca="false">Calendario!ET$12</f>
        <v>0</v>
      </c>
      <c r="EU8" s="43" t="n">
        <f aca="false">Calendario!EU$12</f>
        <v>0</v>
      </c>
      <c r="EV8" s="43" t="n">
        <f aca="false">Calendario!EV$12</f>
        <v>0</v>
      </c>
      <c r="EW8" s="43" t="n">
        <f aca="false">Calendario!EW$12</f>
        <v>0</v>
      </c>
      <c r="EX8" s="43" t="n">
        <f aca="false">Calendario!EX$12</f>
        <v>0</v>
      </c>
      <c r="EY8" s="43" t="n">
        <f aca="false">Calendario!EY$12</f>
        <v>0</v>
      </c>
      <c r="EZ8" s="43" t="n">
        <f aca="false">Calendario!EZ$12</f>
        <v>0</v>
      </c>
      <c r="FA8" s="43" t="n">
        <f aca="false">Calendario!FA$12</f>
        <v>0</v>
      </c>
      <c r="FB8" s="43" t="n">
        <f aca="false">Calendario!FB$12</f>
        <v>0</v>
      </c>
      <c r="FC8" s="43" t="n">
        <f aca="false">Calendario!FC$12</f>
        <v>0</v>
      </c>
      <c r="FD8" s="43" t="n">
        <f aca="false">Calendario!FD$12</f>
        <v>0</v>
      </c>
      <c r="FE8" s="43" t="n">
        <f aca="false">Calendario!FE$12</f>
        <v>0</v>
      </c>
      <c r="FF8" s="43" t="n">
        <f aca="false">Calendario!FF$12</f>
        <v>0</v>
      </c>
    </row>
    <row r="9" customFormat="false" ht="15" hidden="false" customHeight="false" outlineLevel="0" collapsed="false">
      <c r="A9" s="8" t="s">
        <v>817</v>
      </c>
      <c r="B9" s="5" t="s">
        <v>818</v>
      </c>
      <c r="F9" s="43" t="n">
        <f aca="false">Calendario!F$18</f>
        <v>0</v>
      </c>
      <c r="G9" s="43" t="n">
        <f aca="false">Calendario!G$18</f>
        <v>0</v>
      </c>
      <c r="H9" s="43" t="n">
        <f aca="false">Calendario!H$18</f>
        <v>0</v>
      </c>
      <c r="I9" s="43" t="n">
        <f aca="false">Calendario!I$18</f>
        <v>0</v>
      </c>
      <c r="J9" s="43" t="n">
        <f aca="false">Calendario!J$18</f>
        <v>0</v>
      </c>
      <c r="K9" s="43" t="n">
        <f aca="false">Calendario!K$18</f>
        <v>0</v>
      </c>
      <c r="L9" s="43" t="n">
        <f aca="false">Calendario!L$18</f>
        <v>0</v>
      </c>
      <c r="M9" s="43" t="n">
        <f aca="false">Calendario!M$18</f>
        <v>0</v>
      </c>
      <c r="N9" s="43" t="n">
        <f aca="false">Calendario!N$18</f>
        <v>0</v>
      </c>
      <c r="O9" s="43" t="n">
        <f aca="false">Calendario!O$18</f>
        <v>0</v>
      </c>
      <c r="P9" s="43" t="n">
        <f aca="false">Calendario!P$18</f>
        <v>0</v>
      </c>
      <c r="Q9" s="43" t="n">
        <f aca="false">Calendario!Q$18</f>
        <v>0</v>
      </c>
      <c r="R9" s="43" t="n">
        <f aca="false">Calendario!R$18</f>
        <v>0</v>
      </c>
      <c r="S9" s="43" t="n">
        <f aca="false">Calendario!S$18</f>
        <v>0</v>
      </c>
      <c r="T9" s="43" t="n">
        <f aca="false">Calendario!T$18</f>
        <v>0</v>
      </c>
      <c r="U9" s="43" t="n">
        <f aca="false">Calendario!U$18</f>
        <v>0</v>
      </c>
      <c r="V9" s="43" t="n">
        <f aca="false">Calendario!V$18</f>
        <v>0</v>
      </c>
      <c r="W9" s="43" t="n">
        <f aca="false">Calendario!W$18</f>
        <v>0</v>
      </c>
      <c r="X9" s="43" t="n">
        <f aca="false">Calendario!X$18</f>
        <v>0</v>
      </c>
      <c r="Y9" s="43" t="n">
        <f aca="false">Calendario!Y$18</f>
        <v>0</v>
      </c>
      <c r="Z9" s="43" t="n">
        <f aca="false">Calendario!Z$18</f>
        <v>0</v>
      </c>
      <c r="AA9" s="43" t="n">
        <f aca="false">Calendario!AA$18</f>
        <v>0</v>
      </c>
      <c r="AB9" s="43" t="n">
        <f aca="false">Calendario!AB$18</f>
        <v>0</v>
      </c>
      <c r="AC9" s="43" t="n">
        <f aca="false">Calendario!AC$18</f>
        <v>0</v>
      </c>
      <c r="AD9" s="43" t="n">
        <f aca="false">Calendario!AD$18</f>
        <v>0</v>
      </c>
      <c r="AE9" s="43" t="n">
        <f aca="false">Calendario!AE$18</f>
        <v>0</v>
      </c>
      <c r="AF9" s="43" t="n">
        <f aca="false">Calendario!AF$18</f>
        <v>0</v>
      </c>
      <c r="AG9" s="43" t="n">
        <f aca="false">Calendario!AG$18</f>
        <v>0</v>
      </c>
      <c r="AH9" s="43" t="n">
        <f aca="false">Calendario!AH$18</f>
        <v>0</v>
      </c>
      <c r="AI9" s="43" t="n">
        <f aca="false">Calendario!AI$18</f>
        <v>0</v>
      </c>
      <c r="AJ9" s="43" t="n">
        <f aca="false">Calendario!AJ$18</f>
        <v>0</v>
      </c>
      <c r="AK9" s="43" t="n">
        <f aca="false">Calendario!AK$18</f>
        <v>0</v>
      </c>
      <c r="AL9" s="43" t="n">
        <f aca="false">Calendario!AL$18</f>
        <v>0</v>
      </c>
      <c r="AM9" s="43" t="n">
        <f aca="false">Calendario!AM$18</f>
        <v>0</v>
      </c>
      <c r="AN9" s="43" t="n">
        <f aca="false">Calendario!AN$18</f>
        <v>0</v>
      </c>
      <c r="AO9" s="43" t="n">
        <f aca="false">Calendario!AO$18</f>
        <v>0</v>
      </c>
      <c r="AP9" s="43" t="n">
        <f aca="false">Calendario!AP$18</f>
        <v>0</v>
      </c>
      <c r="AQ9" s="43" t="n">
        <f aca="false">Calendario!AQ$18</f>
        <v>0</v>
      </c>
      <c r="AR9" s="43" t="n">
        <f aca="false">Calendario!AR$18</f>
        <v>0</v>
      </c>
      <c r="AS9" s="43" t="n">
        <f aca="false">Calendario!AS$18</f>
        <v>0</v>
      </c>
      <c r="AT9" s="43" t="n">
        <f aca="false">Calendario!AT$18</f>
        <v>0</v>
      </c>
      <c r="AU9" s="43" t="n">
        <f aca="false">Calendario!AU$18</f>
        <v>0</v>
      </c>
      <c r="AV9" s="43" t="n">
        <f aca="false">Calendario!AV$18</f>
        <v>0</v>
      </c>
      <c r="AW9" s="43" t="n">
        <f aca="false">Calendario!AW$18</f>
        <v>0</v>
      </c>
      <c r="AX9" s="43" t="n">
        <f aca="false">Calendario!AX$18</f>
        <v>0</v>
      </c>
      <c r="AY9" s="43" t="n">
        <f aca="false">Calendario!AY$18</f>
        <v>0</v>
      </c>
      <c r="AZ9" s="43" t="n">
        <f aca="false">Calendario!AZ$18</f>
        <v>0</v>
      </c>
      <c r="BA9" s="43" t="n">
        <f aca="false">Calendario!BA$18</f>
        <v>0</v>
      </c>
      <c r="BB9" s="43" t="n">
        <f aca="false">Calendario!BB$18</f>
        <v>0</v>
      </c>
      <c r="BC9" s="43" t="n">
        <f aca="false">Calendario!BC$18</f>
        <v>0</v>
      </c>
      <c r="BD9" s="43" t="n">
        <f aca="false">Calendario!BD$18</f>
        <v>0</v>
      </c>
      <c r="BE9" s="43" t="n">
        <f aca="false">Calendario!BE$18</f>
        <v>0</v>
      </c>
      <c r="BF9" s="43" t="n">
        <f aca="false">Calendario!BF$18</f>
        <v>0</v>
      </c>
      <c r="BG9" s="43" t="n">
        <f aca="false">Calendario!BG$18</f>
        <v>0</v>
      </c>
      <c r="BH9" s="43" t="n">
        <f aca="false">Calendario!BH$18</f>
        <v>0</v>
      </c>
      <c r="BI9" s="43" t="n">
        <f aca="false">Calendario!BI$18</f>
        <v>0</v>
      </c>
      <c r="BJ9" s="43" t="n">
        <f aca="false">Calendario!BJ$18</f>
        <v>0</v>
      </c>
      <c r="BK9" s="43" t="n">
        <f aca="false">Calendario!BK$18</f>
        <v>0</v>
      </c>
      <c r="BL9" s="43" t="n">
        <f aca="false">Calendario!BL$18</f>
        <v>0</v>
      </c>
      <c r="BM9" s="43" t="n">
        <f aca="false">Calendario!BM$18</f>
        <v>0</v>
      </c>
      <c r="BN9" s="43" t="n">
        <f aca="false">Calendario!BN$18</f>
        <v>0</v>
      </c>
      <c r="BO9" s="43" t="n">
        <f aca="false">Calendario!BO$18</f>
        <v>0</v>
      </c>
      <c r="BP9" s="43" t="n">
        <f aca="false">Calendario!BP$18</f>
        <v>0</v>
      </c>
      <c r="BQ9" s="43" t="n">
        <f aca="false">Calendario!BQ$18</f>
        <v>0</v>
      </c>
      <c r="BR9" s="43" t="n">
        <f aca="false">Calendario!BR$18</f>
        <v>0</v>
      </c>
      <c r="BS9" s="43" t="n">
        <f aca="false">Calendario!BS$18</f>
        <v>0</v>
      </c>
      <c r="BT9" s="43" t="n">
        <f aca="false">Calendario!BT$18</f>
        <v>0</v>
      </c>
      <c r="BU9" s="43" t="n">
        <f aca="false">Calendario!BU$18</f>
        <v>0</v>
      </c>
      <c r="BV9" s="43" t="n">
        <f aca="false">Calendario!BV$18</f>
        <v>0</v>
      </c>
      <c r="BW9" s="43" t="n">
        <f aca="false">Calendario!BW$18</f>
        <v>0</v>
      </c>
      <c r="BX9" s="43" t="n">
        <f aca="false">Calendario!BX$18</f>
        <v>0</v>
      </c>
      <c r="BY9" s="43" t="n">
        <f aca="false">Calendario!BY$18</f>
        <v>0</v>
      </c>
      <c r="BZ9" s="43" t="n">
        <f aca="false">Calendario!BZ$18</f>
        <v>0</v>
      </c>
      <c r="CA9" s="43" t="n">
        <f aca="false">Calendario!CA$18</f>
        <v>0</v>
      </c>
      <c r="CB9" s="43" t="n">
        <f aca="false">Calendario!CB$18</f>
        <v>0</v>
      </c>
      <c r="CC9" s="43" t="n">
        <f aca="false">Calendario!CC$18</f>
        <v>0</v>
      </c>
      <c r="CD9" s="43" t="n">
        <f aca="false">Calendario!CD$18</f>
        <v>0</v>
      </c>
      <c r="CE9" s="43" t="n">
        <f aca="false">Calendario!CE$18</f>
        <v>0</v>
      </c>
      <c r="CF9" s="43" t="n">
        <f aca="false">Calendario!CF$18</f>
        <v>0</v>
      </c>
      <c r="CG9" s="43" t="n">
        <f aca="false">Calendario!CG$18</f>
        <v>0</v>
      </c>
      <c r="CH9" s="43" t="n">
        <f aca="false">Calendario!CH$18</f>
        <v>0</v>
      </c>
      <c r="CI9" s="43" t="n">
        <f aca="false">Calendario!CI$18</f>
        <v>0</v>
      </c>
      <c r="CJ9" s="43" t="n">
        <f aca="false">Calendario!CJ$18</f>
        <v>0</v>
      </c>
      <c r="CK9" s="43" t="n">
        <f aca="false">Calendario!CK$18</f>
        <v>0</v>
      </c>
      <c r="CL9" s="43" t="n">
        <f aca="false">Calendario!CL$18</f>
        <v>0</v>
      </c>
      <c r="CM9" s="43" t="n">
        <f aca="false">Calendario!CM$18</f>
        <v>0</v>
      </c>
      <c r="CN9" s="43" t="n">
        <f aca="false">Calendario!CN$18</f>
        <v>0</v>
      </c>
      <c r="CO9" s="43" t="n">
        <f aca="false">Calendario!CO$18</f>
        <v>0</v>
      </c>
      <c r="CP9" s="43" t="n">
        <f aca="false">Calendario!CP$18</f>
        <v>0</v>
      </c>
      <c r="CQ9" s="43" t="n">
        <f aca="false">Calendario!CQ$18</f>
        <v>0</v>
      </c>
      <c r="CR9" s="43" t="n">
        <f aca="false">Calendario!CR$18</f>
        <v>0</v>
      </c>
      <c r="CS9" s="43" t="n">
        <f aca="false">Calendario!CS$18</f>
        <v>0</v>
      </c>
      <c r="CT9" s="43" t="n">
        <f aca="false">Calendario!CT$18</f>
        <v>0</v>
      </c>
      <c r="CU9" s="43" t="n">
        <f aca="false">Calendario!CU$18</f>
        <v>0</v>
      </c>
      <c r="CV9" s="43" t="n">
        <f aca="false">Calendario!CV$18</f>
        <v>0</v>
      </c>
      <c r="CW9" s="43" t="n">
        <f aca="false">Calendario!CW$18</f>
        <v>0</v>
      </c>
      <c r="CX9" s="43" t="n">
        <f aca="false">Calendario!CX$18</f>
        <v>0</v>
      </c>
      <c r="CY9" s="43" t="n">
        <f aca="false">Calendario!CY$18</f>
        <v>0</v>
      </c>
      <c r="CZ9" s="43" t="n">
        <f aca="false">Calendario!CZ$18</f>
        <v>0</v>
      </c>
      <c r="DA9" s="43" t="n">
        <f aca="false">Calendario!DA$18</f>
        <v>0</v>
      </c>
      <c r="DB9" s="43" t="n">
        <f aca="false">Calendario!DB$18</f>
        <v>0</v>
      </c>
      <c r="DC9" s="43" t="n">
        <f aca="false">Calendario!DC$18</f>
        <v>0</v>
      </c>
      <c r="DD9" s="43" t="n">
        <f aca="false">Calendario!DD$18</f>
        <v>0</v>
      </c>
      <c r="DE9" s="43" t="n">
        <f aca="false">Calendario!DE$18</f>
        <v>0</v>
      </c>
      <c r="DF9" s="43" t="n">
        <f aca="false">Calendario!DF$18</f>
        <v>0</v>
      </c>
      <c r="DG9" s="43" t="n">
        <f aca="false">Calendario!DG$18</f>
        <v>0</v>
      </c>
      <c r="DH9" s="43" t="n">
        <f aca="false">Calendario!DH$18</f>
        <v>0</v>
      </c>
      <c r="DI9" s="43" t="n">
        <f aca="false">Calendario!DI$18</f>
        <v>0</v>
      </c>
      <c r="DJ9" s="43" t="n">
        <f aca="false">Calendario!DJ$18</f>
        <v>0</v>
      </c>
      <c r="DK9" s="43" t="n">
        <f aca="false">Calendario!DK$18</f>
        <v>0</v>
      </c>
      <c r="DL9" s="43" t="n">
        <f aca="false">Calendario!DL$18</f>
        <v>0</v>
      </c>
      <c r="DM9" s="43" t="n">
        <f aca="false">Calendario!DM$18</f>
        <v>0</v>
      </c>
      <c r="DN9" s="43" t="n">
        <f aca="false">Calendario!DN$18</f>
        <v>0</v>
      </c>
      <c r="DO9" s="43" t="n">
        <f aca="false">Calendario!DO$18</f>
        <v>0</v>
      </c>
      <c r="DP9" s="43" t="n">
        <f aca="false">Calendario!DP$18</f>
        <v>0</v>
      </c>
      <c r="DQ9" s="43" t="n">
        <f aca="false">Calendario!DQ$18</f>
        <v>0</v>
      </c>
      <c r="DR9" s="43" t="n">
        <f aca="false">Calendario!DR$18</f>
        <v>0</v>
      </c>
      <c r="DS9" s="43" t="n">
        <f aca="false">Calendario!DS$18</f>
        <v>0</v>
      </c>
      <c r="DT9" s="43" t="n">
        <f aca="false">Calendario!DT$18</f>
        <v>0</v>
      </c>
      <c r="DU9" s="43" t="n">
        <f aca="false">Calendario!DU$18</f>
        <v>0</v>
      </c>
      <c r="DV9" s="43" t="n">
        <f aca="false">Calendario!DV$18</f>
        <v>0</v>
      </c>
      <c r="DW9" s="43" t="n">
        <f aca="false">Calendario!DW$18</f>
        <v>0</v>
      </c>
      <c r="DX9" s="43" t="n">
        <f aca="false">Calendario!DX$18</f>
        <v>0</v>
      </c>
      <c r="DY9" s="43" t="n">
        <f aca="false">Calendario!DY$18</f>
        <v>0</v>
      </c>
      <c r="DZ9" s="43" t="n">
        <f aca="false">Calendario!DZ$18</f>
        <v>0</v>
      </c>
      <c r="EA9" s="43" t="n">
        <f aca="false">Calendario!EA$18</f>
        <v>0</v>
      </c>
      <c r="EB9" s="43" t="n">
        <f aca="false">Calendario!EB$18</f>
        <v>0</v>
      </c>
      <c r="EC9" s="43" t="n">
        <f aca="false">Calendario!EC$18</f>
        <v>0</v>
      </c>
      <c r="ED9" s="43" t="n">
        <f aca="false">Calendario!ED$18</f>
        <v>0</v>
      </c>
      <c r="EE9" s="43" t="n">
        <f aca="false">Calendario!EE$18</f>
        <v>0</v>
      </c>
      <c r="EF9" s="43" t="n">
        <f aca="false">Calendario!EF$18</f>
        <v>0</v>
      </c>
      <c r="EG9" s="43" t="n">
        <f aca="false">Calendario!EG$18</f>
        <v>0</v>
      </c>
      <c r="EH9" s="43" t="n">
        <f aca="false">Calendario!EH$18</f>
        <v>0</v>
      </c>
      <c r="EI9" s="43" t="n">
        <f aca="false">Calendario!EI$18</f>
        <v>0</v>
      </c>
      <c r="EJ9" s="43" t="n">
        <f aca="false">Calendario!EJ$18</f>
        <v>0</v>
      </c>
      <c r="EK9" s="43" t="n">
        <f aca="false">Calendario!EK$18</f>
        <v>0</v>
      </c>
      <c r="EL9" s="43" t="n">
        <f aca="false">Calendario!EL$18</f>
        <v>0</v>
      </c>
      <c r="EM9" s="43" t="n">
        <f aca="false">Calendario!EM$18</f>
        <v>0</v>
      </c>
      <c r="EN9" s="43" t="n">
        <f aca="false">Calendario!EN$18</f>
        <v>0</v>
      </c>
      <c r="EO9" s="43" t="n">
        <f aca="false">Calendario!EO$18</f>
        <v>0</v>
      </c>
      <c r="EP9" s="43" t="n">
        <f aca="false">Calendario!EP$18</f>
        <v>0</v>
      </c>
      <c r="EQ9" s="43" t="n">
        <f aca="false">Calendario!EQ$18</f>
        <v>0</v>
      </c>
      <c r="ER9" s="43" t="n">
        <f aca="false">Calendario!ER$18</f>
        <v>0</v>
      </c>
      <c r="ES9" s="43" t="n">
        <f aca="false">Calendario!ES$18</f>
        <v>0</v>
      </c>
      <c r="ET9" s="43" t="n">
        <f aca="false">Calendario!ET$18</f>
        <v>0</v>
      </c>
      <c r="EU9" s="43" t="n">
        <f aca="false">Calendario!EU$18</f>
        <v>0</v>
      </c>
      <c r="EV9" s="43" t="n">
        <f aca="false">Calendario!EV$18</f>
        <v>0</v>
      </c>
      <c r="EW9" s="43" t="n">
        <f aca="false">Calendario!EW$18</f>
        <v>0</v>
      </c>
      <c r="EX9" s="43" t="n">
        <f aca="false">Calendario!EX$18</f>
        <v>0</v>
      </c>
      <c r="EY9" s="43" t="n">
        <f aca="false">Calendario!EY$18</f>
        <v>0</v>
      </c>
      <c r="EZ9" s="43" t="n">
        <f aca="false">Calendario!EZ$18</f>
        <v>0</v>
      </c>
      <c r="FA9" s="43" t="n">
        <f aca="false">Calendario!FA$18</f>
        <v>0</v>
      </c>
      <c r="FB9" s="43" t="n">
        <f aca="false">Calendario!FB$18</f>
        <v>0</v>
      </c>
      <c r="FC9" s="43" t="n">
        <f aca="false">Calendario!FC$18</f>
        <v>0</v>
      </c>
      <c r="FD9" s="43" t="n">
        <f aca="false">Calendario!FD$18</f>
        <v>0</v>
      </c>
      <c r="FE9" s="43" t="n">
        <f aca="false">Calendario!FE$18</f>
        <v>0</v>
      </c>
      <c r="FF9" s="43" t="n">
        <f aca="false">Calendario!FF$18</f>
        <v>0</v>
      </c>
    </row>
    <row r="10" customFormat="false" ht="15" hidden="false" customHeight="false" outlineLevel="0" collapsed="false">
      <c r="A10" s="4"/>
      <c r="B10" s="3" t="s">
        <v>1380</v>
      </c>
      <c r="C10" s="4"/>
      <c r="D10" s="4"/>
      <c r="E10" s="4"/>
    </row>
    <row r="11" customFormat="false" ht="15" hidden="false" customHeight="false" outlineLevel="0" collapsed="false">
      <c r="A11" s="2" t="s">
        <v>1381</v>
      </c>
      <c r="B11" s="8" t="s">
        <v>1122</v>
      </c>
      <c r="C11" s="8" t="s">
        <v>255</v>
      </c>
      <c r="E11" s="65" t="n">
        <f aca="false">SUM($F11:$FF11)</f>
        <v>212677.888986405</v>
      </c>
      <c r="F11" s="28" t="n">
        <f aca="false">Costos_Personal!F$142</f>
        <v>0</v>
      </c>
      <c r="G11" s="28" t="n">
        <f aca="false">Costos_Personal!G$142</f>
        <v>1546</v>
      </c>
      <c r="H11" s="28" t="n">
        <f aca="false">Costos_Personal!H$142</f>
        <v>1546</v>
      </c>
      <c r="I11" s="28" t="n">
        <f aca="false">Costos_Personal!I$142</f>
        <v>1546</v>
      </c>
      <c r="J11" s="28" t="n">
        <f aca="false">Costos_Personal!J$142</f>
        <v>1546</v>
      </c>
      <c r="K11" s="28" t="n">
        <f aca="false">Costos_Personal!K$142</f>
        <v>1546</v>
      </c>
      <c r="L11" s="28" t="n">
        <f aca="false">Costos_Personal!L$142</f>
        <v>1546</v>
      </c>
      <c r="M11" s="28" t="n">
        <f aca="false">Costos_Personal!M$142</f>
        <v>1546</v>
      </c>
      <c r="N11" s="28" t="n">
        <f aca="false">Costos_Personal!N$142</f>
        <v>1546</v>
      </c>
      <c r="O11" s="28" t="n">
        <f aca="false">Costos_Personal!O$142</f>
        <v>1546</v>
      </c>
      <c r="P11" s="28" t="n">
        <f aca="false">Costos_Personal!P$142</f>
        <v>1546</v>
      </c>
      <c r="Q11" s="28" t="n">
        <f aca="false">Costos_Personal!Q$142</f>
        <v>1546</v>
      </c>
      <c r="R11" s="28" t="n">
        <f aca="false">Costos_Personal!R$142</f>
        <v>1546</v>
      </c>
      <c r="S11" s="28" t="n">
        <f aca="false">Costos_Personal!S$142</f>
        <v>1592.38</v>
      </c>
      <c r="T11" s="28" t="n">
        <f aca="false">Costos_Personal!T$142</f>
        <v>1592.38</v>
      </c>
      <c r="U11" s="28" t="n">
        <f aca="false">Costos_Personal!U$142</f>
        <v>1592.38</v>
      </c>
      <c r="V11" s="28" t="n">
        <f aca="false">Costos_Personal!V$142</f>
        <v>1592.38</v>
      </c>
      <c r="W11" s="28" t="n">
        <f aca="false">Costos_Personal!W$142</f>
        <v>1592.38</v>
      </c>
      <c r="X11" s="28" t="n">
        <f aca="false">Costos_Personal!X$142</f>
        <v>1592.38</v>
      </c>
      <c r="Y11" s="28" t="n">
        <f aca="false">Costos_Personal!Y$142</f>
        <v>1592.38</v>
      </c>
      <c r="Z11" s="28" t="n">
        <f aca="false">Costos_Personal!Z$142</f>
        <v>1592.38</v>
      </c>
      <c r="AA11" s="28" t="n">
        <f aca="false">Costos_Personal!AA$142</f>
        <v>1592.38</v>
      </c>
      <c r="AB11" s="28" t="n">
        <f aca="false">Costos_Personal!AB$142</f>
        <v>1592.38</v>
      </c>
      <c r="AC11" s="28" t="n">
        <f aca="false">Costos_Personal!AC$142</f>
        <v>1592.38</v>
      </c>
      <c r="AD11" s="28" t="n">
        <f aca="false">Costos_Personal!AD$142</f>
        <v>1592.38</v>
      </c>
      <c r="AE11" s="28" t="n">
        <f aca="false">Costos_Personal!AE$142</f>
        <v>1640.1514</v>
      </c>
      <c r="AF11" s="28" t="n">
        <f aca="false">Costos_Personal!AF$142</f>
        <v>1640.1514</v>
      </c>
      <c r="AG11" s="28" t="n">
        <f aca="false">Costos_Personal!AG$142</f>
        <v>1640.1514</v>
      </c>
      <c r="AH11" s="28" t="n">
        <f aca="false">Costos_Personal!AH$142</f>
        <v>1640.1514</v>
      </c>
      <c r="AI11" s="28" t="n">
        <f aca="false">Costos_Personal!AI$142</f>
        <v>1640.1514</v>
      </c>
      <c r="AJ11" s="28" t="n">
        <f aca="false">Costos_Personal!AJ$142</f>
        <v>1640.1514</v>
      </c>
      <c r="AK11" s="28" t="n">
        <f aca="false">Costos_Personal!AK$142</f>
        <v>1640.1514</v>
      </c>
      <c r="AL11" s="28" t="n">
        <f aca="false">Costos_Personal!AL$142</f>
        <v>1640.1514</v>
      </c>
      <c r="AM11" s="28" t="n">
        <f aca="false">Costos_Personal!AM$142</f>
        <v>1640.1514</v>
      </c>
      <c r="AN11" s="28" t="n">
        <f aca="false">Costos_Personal!AN$142</f>
        <v>1640.1514</v>
      </c>
      <c r="AO11" s="28" t="n">
        <f aca="false">Costos_Personal!AO$142</f>
        <v>1640.1514</v>
      </c>
      <c r="AP11" s="28" t="n">
        <f aca="false">Costos_Personal!AP$142</f>
        <v>1640.1514</v>
      </c>
      <c r="AQ11" s="28" t="n">
        <f aca="false">Costos_Personal!AQ$142</f>
        <v>1689.355942</v>
      </c>
      <c r="AR11" s="28" t="n">
        <f aca="false">Costos_Personal!AR$142</f>
        <v>1689.355942</v>
      </c>
      <c r="AS11" s="28" t="n">
        <f aca="false">Costos_Personal!AS$142</f>
        <v>1689.355942</v>
      </c>
      <c r="AT11" s="28" t="n">
        <f aca="false">Costos_Personal!AT$142</f>
        <v>1689.355942</v>
      </c>
      <c r="AU11" s="28" t="n">
        <f aca="false">Costos_Personal!AU$142</f>
        <v>1689.355942</v>
      </c>
      <c r="AV11" s="28" t="n">
        <f aca="false">Costos_Personal!AV$142</f>
        <v>1689.355942</v>
      </c>
      <c r="AW11" s="28" t="n">
        <f aca="false">Costos_Personal!AW$142</f>
        <v>1689.355942</v>
      </c>
      <c r="AX11" s="28" t="n">
        <f aca="false">Costos_Personal!AX$142</f>
        <v>1689.355942</v>
      </c>
      <c r="AY11" s="28" t="n">
        <f aca="false">Costos_Personal!AY$142</f>
        <v>1689.355942</v>
      </c>
      <c r="AZ11" s="28" t="n">
        <f aca="false">Costos_Personal!AZ$142</f>
        <v>1689.355942</v>
      </c>
      <c r="BA11" s="28" t="n">
        <f aca="false">Costos_Personal!BA$142</f>
        <v>1689.355942</v>
      </c>
      <c r="BB11" s="28" t="n">
        <f aca="false">Costos_Personal!BB$142</f>
        <v>1689.355942</v>
      </c>
      <c r="BC11" s="28" t="n">
        <f aca="false">Costos_Personal!BC$142</f>
        <v>1740.03662026</v>
      </c>
      <c r="BD11" s="28" t="n">
        <f aca="false">Costos_Personal!BD$142</f>
        <v>1740.03662026</v>
      </c>
      <c r="BE11" s="28" t="n">
        <f aca="false">Costos_Personal!BE$142</f>
        <v>1740.03662026</v>
      </c>
      <c r="BF11" s="28" t="n">
        <f aca="false">Costos_Personal!BF$142</f>
        <v>1740.03662026</v>
      </c>
      <c r="BG11" s="28" t="n">
        <f aca="false">Costos_Personal!BG$142</f>
        <v>1740.03662026</v>
      </c>
      <c r="BH11" s="28" t="n">
        <f aca="false">Costos_Personal!BH$142</f>
        <v>1740.03662026</v>
      </c>
      <c r="BI11" s="28" t="n">
        <f aca="false">Costos_Personal!BI$142</f>
        <v>1740.03662026</v>
      </c>
      <c r="BJ11" s="28" t="n">
        <f aca="false">Costos_Personal!BJ$142</f>
        <v>1740.03662026</v>
      </c>
      <c r="BK11" s="28" t="n">
        <f aca="false">Costos_Personal!BK$142</f>
        <v>1740.03662026</v>
      </c>
      <c r="BL11" s="28" t="n">
        <f aca="false">Costos_Personal!BL$142</f>
        <v>1740.03662026</v>
      </c>
      <c r="BM11" s="28" t="n">
        <f aca="false">Costos_Personal!BM$142</f>
        <v>1740.03662026</v>
      </c>
      <c r="BN11" s="28" t="n">
        <f aca="false">Costos_Personal!BN$142</f>
        <v>1740.03662026</v>
      </c>
      <c r="BO11" s="28" t="n">
        <f aca="false">Costos_Personal!BO$142</f>
        <v>1792.2377188678</v>
      </c>
      <c r="BP11" s="28" t="n">
        <f aca="false">Costos_Personal!BP$142</f>
        <v>1792.2377188678</v>
      </c>
      <c r="BQ11" s="28" t="n">
        <f aca="false">Costos_Personal!BQ$142</f>
        <v>1792.2377188678</v>
      </c>
      <c r="BR11" s="28" t="n">
        <f aca="false">Costos_Personal!BR$142</f>
        <v>1792.2377188678</v>
      </c>
      <c r="BS11" s="28" t="n">
        <f aca="false">Costos_Personal!BS$142</f>
        <v>1792.2377188678</v>
      </c>
      <c r="BT11" s="28" t="n">
        <f aca="false">Costos_Personal!BT$142</f>
        <v>1792.2377188678</v>
      </c>
      <c r="BU11" s="28" t="n">
        <f aca="false">Costos_Personal!BU$142</f>
        <v>1792.2377188678</v>
      </c>
      <c r="BV11" s="28" t="n">
        <f aca="false">Costos_Personal!BV$142</f>
        <v>1792.2377188678</v>
      </c>
      <c r="BW11" s="28" t="n">
        <f aca="false">Costos_Personal!BW$142</f>
        <v>1792.2377188678</v>
      </c>
      <c r="BX11" s="28" t="n">
        <f aca="false">Costos_Personal!BX$142</f>
        <v>1792.2377188678</v>
      </c>
      <c r="BY11" s="28" t="n">
        <f aca="false">Costos_Personal!BY$142</f>
        <v>1792.2377188678</v>
      </c>
      <c r="BZ11" s="28" t="n">
        <f aca="false">Costos_Personal!BZ$142</f>
        <v>1792.2377188678</v>
      </c>
      <c r="CA11" s="28" t="n">
        <f aca="false">Costos_Personal!CA$142</f>
        <v>1846.00485043383</v>
      </c>
      <c r="CB11" s="28" t="n">
        <f aca="false">Costos_Personal!CB$142</f>
        <v>1846.00485043383</v>
      </c>
      <c r="CC11" s="28" t="n">
        <f aca="false">Costos_Personal!CC$142</f>
        <v>1846.00485043383</v>
      </c>
      <c r="CD11" s="28" t="n">
        <f aca="false">Costos_Personal!CD$142</f>
        <v>1846.00485043383</v>
      </c>
      <c r="CE11" s="28" t="n">
        <f aca="false">Costos_Personal!CE$142</f>
        <v>1846.00485043383</v>
      </c>
      <c r="CF11" s="28" t="n">
        <f aca="false">Costos_Personal!CF$142</f>
        <v>1846.00485043383</v>
      </c>
      <c r="CG11" s="28" t="n">
        <f aca="false">Costos_Personal!CG$142</f>
        <v>1846.00485043383</v>
      </c>
      <c r="CH11" s="28" t="n">
        <f aca="false">Costos_Personal!CH$142</f>
        <v>1846.00485043383</v>
      </c>
      <c r="CI11" s="28" t="n">
        <f aca="false">Costos_Personal!CI$142</f>
        <v>1846.00485043383</v>
      </c>
      <c r="CJ11" s="28" t="n">
        <f aca="false">Costos_Personal!CJ$142</f>
        <v>1846.00485043383</v>
      </c>
      <c r="CK11" s="28" t="n">
        <f aca="false">Costos_Personal!CK$142</f>
        <v>1846.00485043383</v>
      </c>
      <c r="CL11" s="28" t="n">
        <f aca="false">Costos_Personal!CL$142</f>
        <v>1846.00485043383</v>
      </c>
      <c r="CM11" s="28" t="n">
        <f aca="false">Costos_Personal!CM$142</f>
        <v>1901.38499594685</v>
      </c>
      <c r="CN11" s="28" t="n">
        <f aca="false">Costos_Personal!CN$142</f>
        <v>1901.38499594685</v>
      </c>
      <c r="CO11" s="28" t="n">
        <f aca="false">Costos_Personal!CO$142</f>
        <v>1901.38499594685</v>
      </c>
      <c r="CP11" s="28" t="n">
        <f aca="false">Costos_Personal!CP$142</f>
        <v>1901.38499594685</v>
      </c>
      <c r="CQ11" s="28" t="n">
        <f aca="false">Costos_Personal!CQ$142</f>
        <v>1901.38499594685</v>
      </c>
      <c r="CR11" s="28" t="n">
        <f aca="false">Costos_Personal!CR$142</f>
        <v>1901.38499594685</v>
      </c>
      <c r="CS11" s="28" t="n">
        <f aca="false">Costos_Personal!CS$142</f>
        <v>1901.38499594685</v>
      </c>
      <c r="CT11" s="28" t="n">
        <f aca="false">Costos_Personal!CT$142</f>
        <v>1901.38499594685</v>
      </c>
      <c r="CU11" s="28" t="n">
        <f aca="false">Costos_Personal!CU$142</f>
        <v>1901.38499594685</v>
      </c>
      <c r="CV11" s="28" t="n">
        <f aca="false">Costos_Personal!CV$142</f>
        <v>1901.38499594685</v>
      </c>
      <c r="CW11" s="28" t="n">
        <f aca="false">Costos_Personal!CW$142</f>
        <v>1901.38499594685</v>
      </c>
      <c r="CX11" s="28" t="n">
        <f aca="false">Costos_Personal!CX$142</f>
        <v>1901.38499594685</v>
      </c>
      <c r="CY11" s="28" t="n">
        <f aca="false">Costos_Personal!CY$142</f>
        <v>1958.42654582525</v>
      </c>
      <c r="CZ11" s="28" t="n">
        <f aca="false">Costos_Personal!CZ$142</f>
        <v>1958.42654582525</v>
      </c>
      <c r="DA11" s="28" t="n">
        <f aca="false">Costos_Personal!DA$142</f>
        <v>1958.42654582525</v>
      </c>
      <c r="DB11" s="28" t="n">
        <f aca="false">Costos_Personal!DB$142</f>
        <v>1958.42654582525</v>
      </c>
      <c r="DC11" s="28" t="n">
        <f aca="false">Costos_Personal!DC$142</f>
        <v>1958.42654582525</v>
      </c>
      <c r="DD11" s="28" t="n">
        <f aca="false">Costos_Personal!DD$142</f>
        <v>1958.42654582525</v>
      </c>
      <c r="DE11" s="28" t="n">
        <f aca="false">Costos_Personal!DE$142</f>
        <v>1958.42654582525</v>
      </c>
      <c r="DF11" s="28" t="n">
        <f aca="false">Costos_Personal!DF$142</f>
        <v>1958.42654582525</v>
      </c>
      <c r="DG11" s="28" t="n">
        <f aca="false">Costos_Personal!DG$142</f>
        <v>1958.42654582525</v>
      </c>
      <c r="DH11" s="28" t="n">
        <f aca="false">Costos_Personal!DH$142</f>
        <v>1958.42654582525</v>
      </c>
      <c r="DI11" s="28" t="n">
        <f aca="false">Costos_Personal!DI$142</f>
        <v>1958.42654582525</v>
      </c>
      <c r="DJ11" s="28" t="n">
        <f aca="false">Costos_Personal!DJ$142</f>
        <v>1958.42654582525</v>
      </c>
      <c r="DK11" s="28" t="n">
        <f aca="false">Costos_Personal!DK$142</f>
        <v>2017.17934220001</v>
      </c>
      <c r="DL11" s="28" t="n">
        <f aca="false">Costos_Personal!DL$142</f>
        <v>2017.17934220001</v>
      </c>
      <c r="DM11" s="28" t="n">
        <f aca="false">Costos_Personal!DM$142</f>
        <v>2017.17934220001</v>
      </c>
      <c r="DN11" s="28" t="n">
        <f aca="false">Costos_Personal!DN$142</f>
        <v>2017.17934220001</v>
      </c>
      <c r="DO11" s="28" t="n">
        <f aca="false">Costos_Personal!DO$142</f>
        <v>2017.17934220001</v>
      </c>
      <c r="DP11" s="28" t="n">
        <f aca="false">Costos_Personal!DP$142</f>
        <v>2017.17934220001</v>
      </c>
      <c r="DQ11" s="28" t="n">
        <f aca="false">Costos_Personal!DQ$142</f>
        <v>2017.17934220001</v>
      </c>
      <c r="DR11" s="28" t="n">
        <f aca="false">Costos_Personal!DR$142</f>
        <v>2017.17934220001</v>
      </c>
      <c r="DS11" s="28" t="n">
        <f aca="false">Costos_Personal!DS$142</f>
        <v>2017.17934220001</v>
      </c>
      <c r="DT11" s="28" t="n">
        <f aca="false">Costos_Personal!DT$142</f>
        <v>2017.17934220001</v>
      </c>
      <c r="DU11" s="28" t="n">
        <f aca="false">Costos_Personal!DU$142</f>
        <v>2017.17934220001</v>
      </c>
      <c r="DV11" s="28" t="n">
        <f aca="false">Costos_Personal!DV$142</f>
        <v>2017.17934220001</v>
      </c>
      <c r="DW11" s="28" t="n">
        <f aca="false">Costos_Personal!DW$142</f>
        <v>0</v>
      </c>
      <c r="DX11" s="28" t="n">
        <f aca="false">Costos_Personal!DX$142</f>
        <v>0</v>
      </c>
      <c r="DY11" s="28" t="n">
        <f aca="false">Costos_Personal!DY$142</f>
        <v>0</v>
      </c>
      <c r="DZ11" s="28" t="n">
        <f aca="false">Costos_Personal!DZ$142</f>
        <v>0</v>
      </c>
      <c r="EA11" s="28" t="n">
        <f aca="false">Costos_Personal!EA$142</f>
        <v>0</v>
      </c>
      <c r="EB11" s="28" t="n">
        <f aca="false">Costos_Personal!EB$142</f>
        <v>0</v>
      </c>
      <c r="EC11" s="28" t="n">
        <f aca="false">Costos_Personal!EC$142</f>
        <v>0</v>
      </c>
      <c r="ED11" s="28" t="n">
        <f aca="false">Costos_Personal!ED$142</f>
        <v>0</v>
      </c>
      <c r="EE11" s="28" t="n">
        <f aca="false">Costos_Personal!EE$142</f>
        <v>0</v>
      </c>
      <c r="EF11" s="28" t="n">
        <f aca="false">Costos_Personal!EF$142</f>
        <v>0</v>
      </c>
      <c r="EG11" s="28" t="n">
        <f aca="false">Costos_Personal!EG$142</f>
        <v>0</v>
      </c>
      <c r="EH11" s="28" t="n">
        <f aca="false">Costos_Personal!EH$142</f>
        <v>0</v>
      </c>
      <c r="EI11" s="28" t="n">
        <f aca="false">Costos_Personal!EI$142</f>
        <v>0</v>
      </c>
      <c r="EJ11" s="28" t="n">
        <f aca="false">Costos_Personal!EJ$142</f>
        <v>0</v>
      </c>
      <c r="EK11" s="28" t="n">
        <f aca="false">Costos_Personal!EK$142</f>
        <v>0</v>
      </c>
      <c r="EL11" s="28" t="n">
        <f aca="false">Costos_Personal!EL$142</f>
        <v>0</v>
      </c>
      <c r="EM11" s="28" t="n">
        <f aca="false">Costos_Personal!EM$142</f>
        <v>0</v>
      </c>
      <c r="EN11" s="28" t="n">
        <f aca="false">Costos_Personal!EN$142</f>
        <v>0</v>
      </c>
      <c r="EO11" s="28" t="n">
        <f aca="false">Costos_Personal!EO$142</f>
        <v>0</v>
      </c>
      <c r="EP11" s="28" t="n">
        <f aca="false">Costos_Personal!EP$142</f>
        <v>0</v>
      </c>
      <c r="EQ11" s="28" t="n">
        <f aca="false">Costos_Personal!EQ$142</f>
        <v>0</v>
      </c>
      <c r="ER11" s="28" t="n">
        <f aca="false">Costos_Personal!ER$142</f>
        <v>0</v>
      </c>
      <c r="ES11" s="28" t="n">
        <f aca="false">Costos_Personal!ES$142</f>
        <v>0</v>
      </c>
      <c r="ET11" s="28" t="n">
        <f aca="false">Costos_Personal!ET$142</f>
        <v>0</v>
      </c>
      <c r="EU11" s="28" t="n">
        <f aca="false">Costos_Personal!EU$142</f>
        <v>0</v>
      </c>
      <c r="EV11" s="28" t="n">
        <f aca="false">Costos_Personal!EV$142</f>
        <v>0</v>
      </c>
      <c r="EW11" s="28" t="n">
        <f aca="false">Costos_Personal!EW$142</f>
        <v>0</v>
      </c>
      <c r="EX11" s="28" t="n">
        <f aca="false">Costos_Personal!EX$142</f>
        <v>0</v>
      </c>
      <c r="EY11" s="28" t="n">
        <f aca="false">Costos_Personal!EY$142</f>
        <v>0</v>
      </c>
      <c r="EZ11" s="28" t="n">
        <f aca="false">Costos_Personal!EZ$142</f>
        <v>0</v>
      </c>
      <c r="FA11" s="28" t="n">
        <f aca="false">Costos_Personal!FA$142</f>
        <v>0</v>
      </c>
      <c r="FB11" s="28" t="n">
        <f aca="false">Costos_Personal!FB$142</f>
        <v>0</v>
      </c>
      <c r="FC11" s="28" t="n">
        <f aca="false">Costos_Personal!FC$142</f>
        <v>0</v>
      </c>
      <c r="FD11" s="28" t="n">
        <f aca="false">Costos_Personal!FD$142</f>
        <v>0</v>
      </c>
      <c r="FE11" s="28" t="n">
        <f aca="false">Costos_Personal!FE$142</f>
        <v>0</v>
      </c>
      <c r="FF11" s="28" t="n">
        <f aca="false">Costos_Personal!FF$142</f>
        <v>0</v>
      </c>
    </row>
    <row r="12" customFormat="false" ht="15" hidden="false" customHeight="false" outlineLevel="0" collapsed="false">
      <c r="A12" s="2" t="s">
        <v>1382</v>
      </c>
      <c r="B12" s="8" t="s">
        <v>1383</v>
      </c>
      <c r="C12" s="8" t="s">
        <v>255</v>
      </c>
      <c r="E12" s="65" t="n">
        <f aca="false">SUM($F12:$FF12)</f>
        <v>0</v>
      </c>
      <c r="F12" s="13" t="n">
        <f aca="false">IF(p_Modalidad=2,MIN(F$11*e_IVArec,p_TopeIVAServ*Produccion_Ventas!F$55),F$11*e_IVArec)</f>
        <v>0</v>
      </c>
      <c r="G12" s="13" t="n">
        <f aca="false">IF(p_Modalidad=2,MIN(G$11*e_IVArec,p_TopeIVAServ*Produccion_Ventas!G$55),G$11*e_IVArec)</f>
        <v>0</v>
      </c>
      <c r="H12" s="13" t="n">
        <f aca="false">IF(p_Modalidad=2,MIN(H$11*e_IVArec,p_TopeIVAServ*Produccion_Ventas!H$55),H$11*e_IVArec)</f>
        <v>0</v>
      </c>
      <c r="I12" s="13" t="n">
        <f aca="false">IF(p_Modalidad=2,MIN(I$11*e_IVArec,p_TopeIVAServ*Produccion_Ventas!I$55),I$11*e_IVArec)</f>
        <v>0</v>
      </c>
      <c r="J12" s="13" t="n">
        <f aca="false">IF(p_Modalidad=2,MIN(J$11*e_IVArec,p_TopeIVAServ*Produccion_Ventas!J$55),J$11*e_IVArec)</f>
        <v>0</v>
      </c>
      <c r="K12" s="13" t="n">
        <f aca="false">IF(p_Modalidad=2,MIN(K$11*e_IVArec,p_TopeIVAServ*Produccion_Ventas!K$55),K$11*e_IVArec)</f>
        <v>0</v>
      </c>
      <c r="L12" s="13" t="n">
        <f aca="false">IF(p_Modalidad=2,MIN(L$11*e_IVArec,p_TopeIVAServ*Produccion_Ventas!L$55),L$11*e_IVArec)</f>
        <v>0</v>
      </c>
      <c r="M12" s="13" t="n">
        <f aca="false">IF(p_Modalidad=2,MIN(M$11*e_IVArec,p_TopeIVAServ*Produccion_Ventas!M$55),M$11*e_IVArec)</f>
        <v>0</v>
      </c>
      <c r="N12" s="13" t="n">
        <f aca="false">IF(p_Modalidad=2,MIN(N$11*e_IVArec,p_TopeIVAServ*Produccion_Ventas!N$55),N$11*e_IVArec)</f>
        <v>0</v>
      </c>
      <c r="O12" s="13" t="n">
        <f aca="false">IF(p_Modalidad=2,MIN(O$11*e_IVArec,p_TopeIVAServ*Produccion_Ventas!O$55),O$11*e_IVArec)</f>
        <v>0</v>
      </c>
      <c r="P12" s="13" t="n">
        <f aca="false">IF(p_Modalidad=2,MIN(P$11*e_IVArec,p_TopeIVAServ*Produccion_Ventas!P$55),P$11*e_IVArec)</f>
        <v>0</v>
      </c>
      <c r="Q12" s="13" t="n">
        <f aca="false">IF(p_Modalidad=2,MIN(Q$11*e_IVArec,p_TopeIVAServ*Produccion_Ventas!Q$55),Q$11*e_IVArec)</f>
        <v>0</v>
      </c>
      <c r="R12" s="13" t="n">
        <f aca="false">IF(p_Modalidad=2,MIN(R$11*e_IVArec,p_TopeIVAServ*Produccion_Ventas!R$55),R$11*e_IVArec)</f>
        <v>0</v>
      </c>
      <c r="S12" s="13" t="n">
        <f aca="false">IF(p_Modalidad=2,MIN(S$11*e_IVArec,p_TopeIVAServ*Produccion_Ventas!S$55),S$11*e_IVArec)</f>
        <v>0</v>
      </c>
      <c r="T12" s="13" t="n">
        <f aca="false">IF(p_Modalidad=2,MIN(T$11*e_IVArec,p_TopeIVAServ*Produccion_Ventas!T$55),T$11*e_IVArec)</f>
        <v>0</v>
      </c>
      <c r="U12" s="13" t="n">
        <f aca="false">IF(p_Modalidad=2,MIN(U$11*e_IVArec,p_TopeIVAServ*Produccion_Ventas!U$55),U$11*e_IVArec)</f>
        <v>0</v>
      </c>
      <c r="V12" s="13" t="n">
        <f aca="false">IF(p_Modalidad=2,MIN(V$11*e_IVArec,p_TopeIVAServ*Produccion_Ventas!V$55),V$11*e_IVArec)</f>
        <v>0</v>
      </c>
      <c r="W12" s="13" t="n">
        <f aca="false">IF(p_Modalidad=2,MIN(W$11*e_IVArec,p_TopeIVAServ*Produccion_Ventas!W$55),W$11*e_IVArec)</f>
        <v>0</v>
      </c>
      <c r="X12" s="13" t="n">
        <f aca="false">IF(p_Modalidad=2,MIN(X$11*e_IVArec,p_TopeIVAServ*Produccion_Ventas!X$55),X$11*e_IVArec)</f>
        <v>0</v>
      </c>
      <c r="Y12" s="13" t="n">
        <f aca="false">IF(p_Modalidad=2,MIN(Y$11*e_IVArec,p_TopeIVAServ*Produccion_Ventas!Y$55),Y$11*e_IVArec)</f>
        <v>0</v>
      </c>
      <c r="Z12" s="13" t="n">
        <f aca="false">IF(p_Modalidad=2,MIN(Z$11*e_IVArec,p_TopeIVAServ*Produccion_Ventas!Z$55),Z$11*e_IVArec)</f>
        <v>0</v>
      </c>
      <c r="AA12" s="13" t="n">
        <f aca="false">IF(p_Modalidad=2,MIN(AA$11*e_IVArec,p_TopeIVAServ*Produccion_Ventas!AA$55),AA$11*e_IVArec)</f>
        <v>0</v>
      </c>
      <c r="AB12" s="13" t="n">
        <f aca="false">IF(p_Modalidad=2,MIN(AB$11*e_IVArec,p_TopeIVAServ*Produccion_Ventas!AB$55),AB$11*e_IVArec)</f>
        <v>0</v>
      </c>
      <c r="AC12" s="13" t="n">
        <f aca="false">IF(p_Modalidad=2,MIN(AC$11*e_IVArec,p_TopeIVAServ*Produccion_Ventas!AC$55),AC$11*e_IVArec)</f>
        <v>0</v>
      </c>
      <c r="AD12" s="13" t="n">
        <f aca="false">IF(p_Modalidad=2,MIN(AD$11*e_IVArec,p_TopeIVAServ*Produccion_Ventas!AD$55),AD$11*e_IVArec)</f>
        <v>0</v>
      </c>
      <c r="AE12" s="13" t="n">
        <f aca="false">IF(p_Modalidad=2,MIN(AE$11*e_IVArec,p_TopeIVAServ*Produccion_Ventas!AE$55),AE$11*e_IVArec)</f>
        <v>0</v>
      </c>
      <c r="AF12" s="13" t="n">
        <f aca="false">IF(p_Modalidad=2,MIN(AF$11*e_IVArec,p_TopeIVAServ*Produccion_Ventas!AF$55),AF$11*e_IVArec)</f>
        <v>0</v>
      </c>
      <c r="AG12" s="13" t="n">
        <f aca="false">IF(p_Modalidad=2,MIN(AG$11*e_IVArec,p_TopeIVAServ*Produccion_Ventas!AG$55),AG$11*e_IVArec)</f>
        <v>0</v>
      </c>
      <c r="AH12" s="13" t="n">
        <f aca="false">IF(p_Modalidad=2,MIN(AH$11*e_IVArec,p_TopeIVAServ*Produccion_Ventas!AH$55),AH$11*e_IVArec)</f>
        <v>0</v>
      </c>
      <c r="AI12" s="13" t="n">
        <f aca="false">IF(p_Modalidad=2,MIN(AI$11*e_IVArec,p_TopeIVAServ*Produccion_Ventas!AI$55),AI$11*e_IVArec)</f>
        <v>0</v>
      </c>
      <c r="AJ12" s="13" t="n">
        <f aca="false">IF(p_Modalidad=2,MIN(AJ$11*e_IVArec,p_TopeIVAServ*Produccion_Ventas!AJ$55),AJ$11*e_IVArec)</f>
        <v>0</v>
      </c>
      <c r="AK12" s="13" t="n">
        <f aca="false">IF(p_Modalidad=2,MIN(AK$11*e_IVArec,p_TopeIVAServ*Produccion_Ventas!AK$55),AK$11*e_IVArec)</f>
        <v>0</v>
      </c>
      <c r="AL12" s="13" t="n">
        <f aca="false">IF(p_Modalidad=2,MIN(AL$11*e_IVArec,p_TopeIVAServ*Produccion_Ventas!AL$55),AL$11*e_IVArec)</f>
        <v>0</v>
      </c>
      <c r="AM12" s="13" t="n">
        <f aca="false">IF(p_Modalidad=2,MIN(AM$11*e_IVArec,p_TopeIVAServ*Produccion_Ventas!AM$55),AM$11*e_IVArec)</f>
        <v>0</v>
      </c>
      <c r="AN12" s="13" t="n">
        <f aca="false">IF(p_Modalidad=2,MIN(AN$11*e_IVArec,p_TopeIVAServ*Produccion_Ventas!AN$55),AN$11*e_IVArec)</f>
        <v>0</v>
      </c>
      <c r="AO12" s="13" t="n">
        <f aca="false">IF(p_Modalidad=2,MIN(AO$11*e_IVArec,p_TopeIVAServ*Produccion_Ventas!AO$55),AO$11*e_IVArec)</f>
        <v>0</v>
      </c>
      <c r="AP12" s="13" t="n">
        <f aca="false">IF(p_Modalidad=2,MIN(AP$11*e_IVArec,p_TopeIVAServ*Produccion_Ventas!AP$55),AP$11*e_IVArec)</f>
        <v>0</v>
      </c>
      <c r="AQ12" s="13" t="n">
        <f aca="false">IF(p_Modalidad=2,MIN(AQ$11*e_IVArec,p_TopeIVAServ*Produccion_Ventas!AQ$55),AQ$11*e_IVArec)</f>
        <v>0</v>
      </c>
      <c r="AR12" s="13" t="n">
        <f aca="false">IF(p_Modalidad=2,MIN(AR$11*e_IVArec,p_TopeIVAServ*Produccion_Ventas!AR$55),AR$11*e_IVArec)</f>
        <v>0</v>
      </c>
      <c r="AS12" s="13" t="n">
        <f aca="false">IF(p_Modalidad=2,MIN(AS$11*e_IVArec,p_TopeIVAServ*Produccion_Ventas!AS$55),AS$11*e_IVArec)</f>
        <v>0</v>
      </c>
      <c r="AT12" s="13" t="n">
        <f aca="false">IF(p_Modalidad=2,MIN(AT$11*e_IVArec,p_TopeIVAServ*Produccion_Ventas!AT$55),AT$11*e_IVArec)</f>
        <v>0</v>
      </c>
      <c r="AU12" s="13" t="n">
        <f aca="false">IF(p_Modalidad=2,MIN(AU$11*e_IVArec,p_TopeIVAServ*Produccion_Ventas!AU$55),AU$11*e_IVArec)</f>
        <v>0</v>
      </c>
      <c r="AV12" s="13" t="n">
        <f aca="false">IF(p_Modalidad=2,MIN(AV$11*e_IVArec,p_TopeIVAServ*Produccion_Ventas!AV$55),AV$11*e_IVArec)</f>
        <v>0</v>
      </c>
      <c r="AW12" s="13" t="n">
        <f aca="false">IF(p_Modalidad=2,MIN(AW$11*e_IVArec,p_TopeIVAServ*Produccion_Ventas!AW$55),AW$11*e_IVArec)</f>
        <v>0</v>
      </c>
      <c r="AX12" s="13" t="n">
        <f aca="false">IF(p_Modalidad=2,MIN(AX$11*e_IVArec,p_TopeIVAServ*Produccion_Ventas!AX$55),AX$11*e_IVArec)</f>
        <v>0</v>
      </c>
      <c r="AY12" s="13" t="n">
        <f aca="false">IF(p_Modalidad=2,MIN(AY$11*e_IVArec,p_TopeIVAServ*Produccion_Ventas!AY$55),AY$11*e_IVArec)</f>
        <v>0</v>
      </c>
      <c r="AZ12" s="13" t="n">
        <f aca="false">IF(p_Modalidad=2,MIN(AZ$11*e_IVArec,p_TopeIVAServ*Produccion_Ventas!AZ$55),AZ$11*e_IVArec)</f>
        <v>0</v>
      </c>
      <c r="BA12" s="13" t="n">
        <f aca="false">IF(p_Modalidad=2,MIN(BA$11*e_IVArec,p_TopeIVAServ*Produccion_Ventas!BA$55),BA$11*e_IVArec)</f>
        <v>0</v>
      </c>
      <c r="BB12" s="13" t="n">
        <f aca="false">IF(p_Modalidad=2,MIN(BB$11*e_IVArec,p_TopeIVAServ*Produccion_Ventas!BB$55),BB$11*e_IVArec)</f>
        <v>0</v>
      </c>
      <c r="BC12" s="13" t="n">
        <f aca="false">IF(p_Modalidad=2,MIN(BC$11*e_IVArec,p_TopeIVAServ*Produccion_Ventas!BC$55),BC$11*e_IVArec)</f>
        <v>0</v>
      </c>
      <c r="BD12" s="13" t="n">
        <f aca="false">IF(p_Modalidad=2,MIN(BD$11*e_IVArec,p_TopeIVAServ*Produccion_Ventas!BD$55),BD$11*e_IVArec)</f>
        <v>0</v>
      </c>
      <c r="BE12" s="13" t="n">
        <f aca="false">IF(p_Modalidad=2,MIN(BE$11*e_IVArec,p_TopeIVAServ*Produccion_Ventas!BE$55),BE$11*e_IVArec)</f>
        <v>0</v>
      </c>
      <c r="BF12" s="13" t="n">
        <f aca="false">IF(p_Modalidad=2,MIN(BF$11*e_IVArec,p_TopeIVAServ*Produccion_Ventas!BF$55),BF$11*e_IVArec)</f>
        <v>0</v>
      </c>
      <c r="BG12" s="13" t="n">
        <f aca="false">IF(p_Modalidad=2,MIN(BG$11*e_IVArec,p_TopeIVAServ*Produccion_Ventas!BG$55),BG$11*e_IVArec)</f>
        <v>0</v>
      </c>
      <c r="BH12" s="13" t="n">
        <f aca="false">IF(p_Modalidad=2,MIN(BH$11*e_IVArec,p_TopeIVAServ*Produccion_Ventas!BH$55),BH$11*e_IVArec)</f>
        <v>0</v>
      </c>
      <c r="BI12" s="13" t="n">
        <f aca="false">IF(p_Modalidad=2,MIN(BI$11*e_IVArec,p_TopeIVAServ*Produccion_Ventas!BI$55),BI$11*e_IVArec)</f>
        <v>0</v>
      </c>
      <c r="BJ12" s="13" t="n">
        <f aca="false">IF(p_Modalidad=2,MIN(BJ$11*e_IVArec,p_TopeIVAServ*Produccion_Ventas!BJ$55),BJ$11*e_IVArec)</f>
        <v>0</v>
      </c>
      <c r="BK12" s="13" t="n">
        <f aca="false">IF(p_Modalidad=2,MIN(BK$11*e_IVArec,p_TopeIVAServ*Produccion_Ventas!BK$55),BK$11*e_IVArec)</f>
        <v>0</v>
      </c>
      <c r="BL12" s="13" t="n">
        <f aca="false">IF(p_Modalidad=2,MIN(BL$11*e_IVArec,p_TopeIVAServ*Produccion_Ventas!BL$55),BL$11*e_IVArec)</f>
        <v>0</v>
      </c>
      <c r="BM12" s="13" t="n">
        <f aca="false">IF(p_Modalidad=2,MIN(BM$11*e_IVArec,p_TopeIVAServ*Produccion_Ventas!BM$55),BM$11*e_IVArec)</f>
        <v>0</v>
      </c>
      <c r="BN12" s="13" t="n">
        <f aca="false">IF(p_Modalidad=2,MIN(BN$11*e_IVArec,p_TopeIVAServ*Produccion_Ventas!BN$55),BN$11*e_IVArec)</f>
        <v>0</v>
      </c>
      <c r="BO12" s="13" t="n">
        <f aca="false">IF(p_Modalidad=2,MIN(BO$11*e_IVArec,p_TopeIVAServ*Produccion_Ventas!BO$55),BO$11*e_IVArec)</f>
        <v>0</v>
      </c>
      <c r="BP12" s="13" t="n">
        <f aca="false">IF(p_Modalidad=2,MIN(BP$11*e_IVArec,p_TopeIVAServ*Produccion_Ventas!BP$55),BP$11*e_IVArec)</f>
        <v>0</v>
      </c>
      <c r="BQ12" s="13" t="n">
        <f aca="false">IF(p_Modalidad=2,MIN(BQ$11*e_IVArec,p_TopeIVAServ*Produccion_Ventas!BQ$55),BQ$11*e_IVArec)</f>
        <v>0</v>
      </c>
      <c r="BR12" s="13" t="n">
        <f aca="false">IF(p_Modalidad=2,MIN(BR$11*e_IVArec,p_TopeIVAServ*Produccion_Ventas!BR$55),BR$11*e_IVArec)</f>
        <v>0</v>
      </c>
      <c r="BS12" s="13" t="n">
        <f aca="false">IF(p_Modalidad=2,MIN(BS$11*e_IVArec,p_TopeIVAServ*Produccion_Ventas!BS$55),BS$11*e_IVArec)</f>
        <v>0</v>
      </c>
      <c r="BT12" s="13" t="n">
        <f aca="false">IF(p_Modalidad=2,MIN(BT$11*e_IVArec,p_TopeIVAServ*Produccion_Ventas!BT$55),BT$11*e_IVArec)</f>
        <v>0</v>
      </c>
      <c r="BU12" s="13" t="n">
        <f aca="false">IF(p_Modalidad=2,MIN(BU$11*e_IVArec,p_TopeIVAServ*Produccion_Ventas!BU$55),BU$11*e_IVArec)</f>
        <v>0</v>
      </c>
      <c r="BV12" s="13" t="n">
        <f aca="false">IF(p_Modalidad=2,MIN(BV$11*e_IVArec,p_TopeIVAServ*Produccion_Ventas!BV$55),BV$11*e_IVArec)</f>
        <v>0</v>
      </c>
      <c r="BW12" s="13" t="n">
        <f aca="false">IF(p_Modalidad=2,MIN(BW$11*e_IVArec,p_TopeIVAServ*Produccion_Ventas!BW$55),BW$11*e_IVArec)</f>
        <v>0</v>
      </c>
      <c r="BX12" s="13" t="n">
        <f aca="false">IF(p_Modalidad=2,MIN(BX$11*e_IVArec,p_TopeIVAServ*Produccion_Ventas!BX$55),BX$11*e_IVArec)</f>
        <v>0</v>
      </c>
      <c r="BY12" s="13" t="n">
        <f aca="false">IF(p_Modalidad=2,MIN(BY$11*e_IVArec,p_TopeIVAServ*Produccion_Ventas!BY$55),BY$11*e_IVArec)</f>
        <v>0</v>
      </c>
      <c r="BZ12" s="13" t="n">
        <f aca="false">IF(p_Modalidad=2,MIN(BZ$11*e_IVArec,p_TopeIVAServ*Produccion_Ventas!BZ$55),BZ$11*e_IVArec)</f>
        <v>0</v>
      </c>
      <c r="CA12" s="13" t="n">
        <f aca="false">IF(p_Modalidad=2,MIN(CA$11*e_IVArec,p_TopeIVAServ*Produccion_Ventas!CA$55),CA$11*e_IVArec)</f>
        <v>0</v>
      </c>
      <c r="CB12" s="13" t="n">
        <f aca="false">IF(p_Modalidad=2,MIN(CB$11*e_IVArec,p_TopeIVAServ*Produccion_Ventas!CB$55),CB$11*e_IVArec)</f>
        <v>0</v>
      </c>
      <c r="CC12" s="13" t="n">
        <f aca="false">IF(p_Modalidad=2,MIN(CC$11*e_IVArec,p_TopeIVAServ*Produccion_Ventas!CC$55),CC$11*e_IVArec)</f>
        <v>0</v>
      </c>
      <c r="CD12" s="13" t="n">
        <f aca="false">IF(p_Modalidad=2,MIN(CD$11*e_IVArec,p_TopeIVAServ*Produccion_Ventas!CD$55),CD$11*e_IVArec)</f>
        <v>0</v>
      </c>
      <c r="CE12" s="13" t="n">
        <f aca="false">IF(p_Modalidad=2,MIN(CE$11*e_IVArec,p_TopeIVAServ*Produccion_Ventas!CE$55),CE$11*e_IVArec)</f>
        <v>0</v>
      </c>
      <c r="CF12" s="13" t="n">
        <f aca="false">IF(p_Modalidad=2,MIN(CF$11*e_IVArec,p_TopeIVAServ*Produccion_Ventas!CF$55),CF$11*e_IVArec)</f>
        <v>0</v>
      </c>
      <c r="CG12" s="13" t="n">
        <f aca="false">IF(p_Modalidad=2,MIN(CG$11*e_IVArec,p_TopeIVAServ*Produccion_Ventas!CG$55),CG$11*e_IVArec)</f>
        <v>0</v>
      </c>
      <c r="CH12" s="13" t="n">
        <f aca="false">IF(p_Modalidad=2,MIN(CH$11*e_IVArec,p_TopeIVAServ*Produccion_Ventas!CH$55),CH$11*e_IVArec)</f>
        <v>0</v>
      </c>
      <c r="CI12" s="13" t="n">
        <f aca="false">IF(p_Modalidad=2,MIN(CI$11*e_IVArec,p_TopeIVAServ*Produccion_Ventas!CI$55),CI$11*e_IVArec)</f>
        <v>0</v>
      </c>
      <c r="CJ12" s="13" t="n">
        <f aca="false">IF(p_Modalidad=2,MIN(CJ$11*e_IVArec,p_TopeIVAServ*Produccion_Ventas!CJ$55),CJ$11*e_IVArec)</f>
        <v>0</v>
      </c>
      <c r="CK12" s="13" t="n">
        <f aca="false">IF(p_Modalidad=2,MIN(CK$11*e_IVArec,p_TopeIVAServ*Produccion_Ventas!CK$55),CK$11*e_IVArec)</f>
        <v>0</v>
      </c>
      <c r="CL12" s="13" t="n">
        <f aca="false">IF(p_Modalidad=2,MIN(CL$11*e_IVArec,p_TopeIVAServ*Produccion_Ventas!CL$55),CL$11*e_IVArec)</f>
        <v>0</v>
      </c>
      <c r="CM12" s="13" t="n">
        <f aca="false">IF(p_Modalidad=2,MIN(CM$11*e_IVArec,p_TopeIVAServ*Produccion_Ventas!CM$55),CM$11*e_IVArec)</f>
        <v>0</v>
      </c>
      <c r="CN12" s="13" t="n">
        <f aca="false">IF(p_Modalidad=2,MIN(CN$11*e_IVArec,p_TopeIVAServ*Produccion_Ventas!CN$55),CN$11*e_IVArec)</f>
        <v>0</v>
      </c>
      <c r="CO12" s="13" t="n">
        <f aca="false">IF(p_Modalidad=2,MIN(CO$11*e_IVArec,p_TopeIVAServ*Produccion_Ventas!CO$55),CO$11*e_IVArec)</f>
        <v>0</v>
      </c>
      <c r="CP12" s="13" t="n">
        <f aca="false">IF(p_Modalidad=2,MIN(CP$11*e_IVArec,p_TopeIVAServ*Produccion_Ventas!CP$55),CP$11*e_IVArec)</f>
        <v>0</v>
      </c>
      <c r="CQ12" s="13" t="n">
        <f aca="false">IF(p_Modalidad=2,MIN(CQ$11*e_IVArec,p_TopeIVAServ*Produccion_Ventas!CQ$55),CQ$11*e_IVArec)</f>
        <v>0</v>
      </c>
      <c r="CR12" s="13" t="n">
        <f aca="false">IF(p_Modalidad=2,MIN(CR$11*e_IVArec,p_TopeIVAServ*Produccion_Ventas!CR$55),CR$11*e_IVArec)</f>
        <v>0</v>
      </c>
      <c r="CS12" s="13" t="n">
        <f aca="false">IF(p_Modalidad=2,MIN(CS$11*e_IVArec,p_TopeIVAServ*Produccion_Ventas!CS$55),CS$11*e_IVArec)</f>
        <v>0</v>
      </c>
      <c r="CT12" s="13" t="n">
        <f aca="false">IF(p_Modalidad=2,MIN(CT$11*e_IVArec,p_TopeIVAServ*Produccion_Ventas!CT$55),CT$11*e_IVArec)</f>
        <v>0</v>
      </c>
      <c r="CU12" s="13" t="n">
        <f aca="false">IF(p_Modalidad=2,MIN(CU$11*e_IVArec,p_TopeIVAServ*Produccion_Ventas!CU$55),CU$11*e_IVArec)</f>
        <v>0</v>
      </c>
      <c r="CV12" s="13" t="n">
        <f aca="false">IF(p_Modalidad=2,MIN(CV$11*e_IVArec,p_TopeIVAServ*Produccion_Ventas!CV$55),CV$11*e_IVArec)</f>
        <v>0</v>
      </c>
      <c r="CW12" s="13" t="n">
        <f aca="false">IF(p_Modalidad=2,MIN(CW$11*e_IVArec,p_TopeIVAServ*Produccion_Ventas!CW$55),CW$11*e_IVArec)</f>
        <v>0</v>
      </c>
      <c r="CX12" s="13" t="n">
        <f aca="false">IF(p_Modalidad=2,MIN(CX$11*e_IVArec,p_TopeIVAServ*Produccion_Ventas!CX$55),CX$11*e_IVArec)</f>
        <v>0</v>
      </c>
      <c r="CY12" s="13" t="n">
        <f aca="false">IF(p_Modalidad=2,MIN(CY$11*e_IVArec,p_TopeIVAServ*Produccion_Ventas!CY$55),CY$11*e_IVArec)</f>
        <v>0</v>
      </c>
      <c r="CZ12" s="13" t="n">
        <f aca="false">IF(p_Modalidad=2,MIN(CZ$11*e_IVArec,p_TopeIVAServ*Produccion_Ventas!CZ$55),CZ$11*e_IVArec)</f>
        <v>0</v>
      </c>
      <c r="DA12" s="13" t="n">
        <f aca="false">IF(p_Modalidad=2,MIN(DA$11*e_IVArec,p_TopeIVAServ*Produccion_Ventas!DA$55),DA$11*e_IVArec)</f>
        <v>0</v>
      </c>
      <c r="DB12" s="13" t="n">
        <f aca="false">IF(p_Modalidad=2,MIN(DB$11*e_IVArec,p_TopeIVAServ*Produccion_Ventas!DB$55),DB$11*e_IVArec)</f>
        <v>0</v>
      </c>
      <c r="DC12" s="13" t="n">
        <f aca="false">IF(p_Modalidad=2,MIN(DC$11*e_IVArec,p_TopeIVAServ*Produccion_Ventas!DC$55),DC$11*e_IVArec)</f>
        <v>0</v>
      </c>
      <c r="DD12" s="13" t="n">
        <f aca="false">IF(p_Modalidad=2,MIN(DD$11*e_IVArec,p_TopeIVAServ*Produccion_Ventas!DD$55),DD$11*e_IVArec)</f>
        <v>0</v>
      </c>
      <c r="DE12" s="13" t="n">
        <f aca="false">IF(p_Modalidad=2,MIN(DE$11*e_IVArec,p_TopeIVAServ*Produccion_Ventas!DE$55),DE$11*e_IVArec)</f>
        <v>0</v>
      </c>
      <c r="DF12" s="13" t="n">
        <f aca="false">IF(p_Modalidad=2,MIN(DF$11*e_IVArec,p_TopeIVAServ*Produccion_Ventas!DF$55),DF$11*e_IVArec)</f>
        <v>0</v>
      </c>
      <c r="DG12" s="13" t="n">
        <f aca="false">IF(p_Modalidad=2,MIN(DG$11*e_IVArec,p_TopeIVAServ*Produccion_Ventas!DG$55),DG$11*e_IVArec)</f>
        <v>0</v>
      </c>
      <c r="DH12" s="13" t="n">
        <f aca="false">IF(p_Modalidad=2,MIN(DH$11*e_IVArec,p_TopeIVAServ*Produccion_Ventas!DH$55),DH$11*e_IVArec)</f>
        <v>0</v>
      </c>
      <c r="DI12" s="13" t="n">
        <f aca="false">IF(p_Modalidad=2,MIN(DI$11*e_IVArec,p_TopeIVAServ*Produccion_Ventas!DI$55),DI$11*e_IVArec)</f>
        <v>0</v>
      </c>
      <c r="DJ12" s="13" t="n">
        <f aca="false">IF(p_Modalidad=2,MIN(DJ$11*e_IVArec,p_TopeIVAServ*Produccion_Ventas!DJ$55),DJ$11*e_IVArec)</f>
        <v>0</v>
      </c>
      <c r="DK12" s="13" t="n">
        <f aca="false">IF(p_Modalidad=2,MIN(DK$11*e_IVArec,p_TopeIVAServ*Produccion_Ventas!DK$55),DK$11*e_IVArec)</f>
        <v>0</v>
      </c>
      <c r="DL12" s="13" t="n">
        <f aca="false">IF(p_Modalidad=2,MIN(DL$11*e_IVArec,p_TopeIVAServ*Produccion_Ventas!DL$55),DL$11*e_IVArec)</f>
        <v>0</v>
      </c>
      <c r="DM12" s="13" t="n">
        <f aca="false">IF(p_Modalidad=2,MIN(DM$11*e_IVArec,p_TopeIVAServ*Produccion_Ventas!DM$55),DM$11*e_IVArec)</f>
        <v>0</v>
      </c>
      <c r="DN12" s="13" t="n">
        <f aca="false">IF(p_Modalidad=2,MIN(DN$11*e_IVArec,p_TopeIVAServ*Produccion_Ventas!DN$55),DN$11*e_IVArec)</f>
        <v>0</v>
      </c>
      <c r="DO12" s="13" t="n">
        <f aca="false">IF(p_Modalidad=2,MIN(DO$11*e_IVArec,p_TopeIVAServ*Produccion_Ventas!DO$55),DO$11*e_IVArec)</f>
        <v>0</v>
      </c>
      <c r="DP12" s="13" t="n">
        <f aca="false">IF(p_Modalidad=2,MIN(DP$11*e_IVArec,p_TopeIVAServ*Produccion_Ventas!DP$55),DP$11*e_IVArec)</f>
        <v>0</v>
      </c>
      <c r="DQ12" s="13" t="n">
        <f aca="false">IF(p_Modalidad=2,MIN(DQ$11*e_IVArec,p_TopeIVAServ*Produccion_Ventas!DQ$55),DQ$11*e_IVArec)</f>
        <v>0</v>
      </c>
      <c r="DR12" s="13" t="n">
        <f aca="false">IF(p_Modalidad=2,MIN(DR$11*e_IVArec,p_TopeIVAServ*Produccion_Ventas!DR$55),DR$11*e_IVArec)</f>
        <v>0</v>
      </c>
      <c r="DS12" s="13" t="n">
        <f aca="false">IF(p_Modalidad=2,MIN(DS$11*e_IVArec,p_TopeIVAServ*Produccion_Ventas!DS$55),DS$11*e_IVArec)</f>
        <v>0</v>
      </c>
      <c r="DT12" s="13" t="n">
        <f aca="false">IF(p_Modalidad=2,MIN(DT$11*e_IVArec,p_TopeIVAServ*Produccion_Ventas!DT$55),DT$11*e_IVArec)</f>
        <v>0</v>
      </c>
      <c r="DU12" s="13" t="n">
        <f aca="false">IF(p_Modalidad=2,MIN(DU$11*e_IVArec,p_TopeIVAServ*Produccion_Ventas!DU$55),DU$11*e_IVArec)</f>
        <v>0</v>
      </c>
      <c r="DV12" s="13" t="n">
        <f aca="false">IF(p_Modalidad=2,MIN(DV$11*e_IVArec,p_TopeIVAServ*Produccion_Ventas!DV$55),DV$11*e_IVArec)</f>
        <v>0</v>
      </c>
      <c r="DW12" s="13" t="n">
        <f aca="false">IF(p_Modalidad=2,MIN(DW$11*e_IVArec,p_TopeIVAServ*Produccion_Ventas!DW$55),DW$11*e_IVArec)</f>
        <v>0</v>
      </c>
      <c r="DX12" s="13" t="n">
        <f aca="false">IF(p_Modalidad=2,MIN(DX$11*e_IVArec,p_TopeIVAServ*Produccion_Ventas!DX$55),DX$11*e_IVArec)</f>
        <v>0</v>
      </c>
      <c r="DY12" s="13" t="n">
        <f aca="false">IF(p_Modalidad=2,MIN(DY$11*e_IVArec,p_TopeIVAServ*Produccion_Ventas!DY$55),DY$11*e_IVArec)</f>
        <v>0</v>
      </c>
      <c r="DZ12" s="13" t="n">
        <f aca="false">IF(p_Modalidad=2,MIN(DZ$11*e_IVArec,p_TopeIVAServ*Produccion_Ventas!DZ$55),DZ$11*e_IVArec)</f>
        <v>0</v>
      </c>
      <c r="EA12" s="13" t="n">
        <f aca="false">IF(p_Modalidad=2,MIN(EA$11*e_IVArec,p_TopeIVAServ*Produccion_Ventas!EA$55),EA$11*e_IVArec)</f>
        <v>0</v>
      </c>
      <c r="EB12" s="13" t="n">
        <f aca="false">IF(p_Modalidad=2,MIN(EB$11*e_IVArec,p_TopeIVAServ*Produccion_Ventas!EB$55),EB$11*e_IVArec)</f>
        <v>0</v>
      </c>
      <c r="EC12" s="13" t="n">
        <f aca="false">IF(p_Modalidad=2,MIN(EC$11*e_IVArec,p_TopeIVAServ*Produccion_Ventas!EC$55),EC$11*e_IVArec)</f>
        <v>0</v>
      </c>
      <c r="ED12" s="13" t="n">
        <f aca="false">IF(p_Modalidad=2,MIN(ED$11*e_IVArec,p_TopeIVAServ*Produccion_Ventas!ED$55),ED$11*e_IVArec)</f>
        <v>0</v>
      </c>
      <c r="EE12" s="13" t="n">
        <f aca="false">IF(p_Modalidad=2,MIN(EE$11*e_IVArec,p_TopeIVAServ*Produccion_Ventas!EE$55),EE$11*e_IVArec)</f>
        <v>0</v>
      </c>
      <c r="EF12" s="13" t="n">
        <f aca="false">IF(p_Modalidad=2,MIN(EF$11*e_IVArec,p_TopeIVAServ*Produccion_Ventas!EF$55),EF$11*e_IVArec)</f>
        <v>0</v>
      </c>
      <c r="EG12" s="13" t="n">
        <f aca="false">IF(p_Modalidad=2,MIN(EG$11*e_IVArec,p_TopeIVAServ*Produccion_Ventas!EG$55),EG$11*e_IVArec)</f>
        <v>0</v>
      </c>
      <c r="EH12" s="13" t="n">
        <f aca="false">IF(p_Modalidad=2,MIN(EH$11*e_IVArec,p_TopeIVAServ*Produccion_Ventas!EH$55),EH$11*e_IVArec)</f>
        <v>0</v>
      </c>
      <c r="EI12" s="13" t="n">
        <f aca="false">IF(p_Modalidad=2,MIN(EI$11*e_IVArec,p_TopeIVAServ*Produccion_Ventas!EI$55),EI$11*e_IVArec)</f>
        <v>0</v>
      </c>
      <c r="EJ12" s="13" t="n">
        <f aca="false">IF(p_Modalidad=2,MIN(EJ$11*e_IVArec,p_TopeIVAServ*Produccion_Ventas!EJ$55),EJ$11*e_IVArec)</f>
        <v>0</v>
      </c>
      <c r="EK12" s="13" t="n">
        <f aca="false">IF(p_Modalidad=2,MIN(EK$11*e_IVArec,p_TopeIVAServ*Produccion_Ventas!EK$55),EK$11*e_IVArec)</f>
        <v>0</v>
      </c>
      <c r="EL12" s="13" t="n">
        <f aca="false">IF(p_Modalidad=2,MIN(EL$11*e_IVArec,p_TopeIVAServ*Produccion_Ventas!EL$55),EL$11*e_IVArec)</f>
        <v>0</v>
      </c>
      <c r="EM12" s="13" t="n">
        <f aca="false">IF(p_Modalidad=2,MIN(EM$11*e_IVArec,p_TopeIVAServ*Produccion_Ventas!EM$55),EM$11*e_IVArec)</f>
        <v>0</v>
      </c>
      <c r="EN12" s="13" t="n">
        <f aca="false">IF(p_Modalidad=2,MIN(EN$11*e_IVArec,p_TopeIVAServ*Produccion_Ventas!EN$55),EN$11*e_IVArec)</f>
        <v>0</v>
      </c>
      <c r="EO12" s="13" t="n">
        <f aca="false">IF(p_Modalidad=2,MIN(EO$11*e_IVArec,p_TopeIVAServ*Produccion_Ventas!EO$55),EO$11*e_IVArec)</f>
        <v>0</v>
      </c>
      <c r="EP12" s="13" t="n">
        <f aca="false">IF(p_Modalidad=2,MIN(EP$11*e_IVArec,p_TopeIVAServ*Produccion_Ventas!EP$55),EP$11*e_IVArec)</f>
        <v>0</v>
      </c>
      <c r="EQ12" s="13" t="n">
        <f aca="false">IF(p_Modalidad=2,MIN(EQ$11*e_IVArec,p_TopeIVAServ*Produccion_Ventas!EQ$55),EQ$11*e_IVArec)</f>
        <v>0</v>
      </c>
      <c r="ER12" s="13" t="n">
        <f aca="false">IF(p_Modalidad=2,MIN(ER$11*e_IVArec,p_TopeIVAServ*Produccion_Ventas!ER$55),ER$11*e_IVArec)</f>
        <v>0</v>
      </c>
      <c r="ES12" s="13" t="n">
        <f aca="false">IF(p_Modalidad=2,MIN(ES$11*e_IVArec,p_TopeIVAServ*Produccion_Ventas!ES$55),ES$11*e_IVArec)</f>
        <v>0</v>
      </c>
      <c r="ET12" s="13" t="n">
        <f aca="false">IF(p_Modalidad=2,MIN(ET$11*e_IVArec,p_TopeIVAServ*Produccion_Ventas!ET$55),ET$11*e_IVArec)</f>
        <v>0</v>
      </c>
      <c r="EU12" s="13" t="n">
        <f aca="false">IF(p_Modalidad=2,MIN(EU$11*e_IVArec,p_TopeIVAServ*Produccion_Ventas!EU$55),EU$11*e_IVArec)</f>
        <v>0</v>
      </c>
      <c r="EV12" s="13" t="n">
        <f aca="false">IF(p_Modalidad=2,MIN(EV$11*e_IVArec,p_TopeIVAServ*Produccion_Ventas!EV$55),EV$11*e_IVArec)</f>
        <v>0</v>
      </c>
      <c r="EW12" s="13" t="n">
        <f aca="false">IF(p_Modalidad=2,MIN(EW$11*e_IVArec,p_TopeIVAServ*Produccion_Ventas!EW$55),EW$11*e_IVArec)</f>
        <v>0</v>
      </c>
      <c r="EX12" s="13" t="n">
        <f aca="false">IF(p_Modalidad=2,MIN(EX$11*e_IVArec,p_TopeIVAServ*Produccion_Ventas!EX$55),EX$11*e_IVArec)</f>
        <v>0</v>
      </c>
      <c r="EY12" s="13" t="n">
        <f aca="false">IF(p_Modalidad=2,MIN(EY$11*e_IVArec,p_TopeIVAServ*Produccion_Ventas!EY$55),EY$11*e_IVArec)</f>
        <v>0</v>
      </c>
      <c r="EZ12" s="13" t="n">
        <f aca="false">IF(p_Modalidad=2,MIN(EZ$11*e_IVArec,p_TopeIVAServ*Produccion_Ventas!EZ$55),EZ$11*e_IVArec)</f>
        <v>0</v>
      </c>
      <c r="FA12" s="13" t="n">
        <f aca="false">IF(p_Modalidad=2,MIN(FA$11*e_IVArec,p_TopeIVAServ*Produccion_Ventas!FA$55),FA$11*e_IVArec)</f>
        <v>0</v>
      </c>
      <c r="FB12" s="13" t="n">
        <f aca="false">IF(p_Modalidad=2,MIN(FB$11*e_IVArec,p_TopeIVAServ*Produccion_Ventas!FB$55),FB$11*e_IVArec)</f>
        <v>0</v>
      </c>
      <c r="FC12" s="13" t="n">
        <f aca="false">IF(p_Modalidad=2,MIN(FC$11*e_IVArec,p_TopeIVAServ*Produccion_Ventas!FC$55),FC$11*e_IVArec)</f>
        <v>0</v>
      </c>
      <c r="FD12" s="13" t="n">
        <f aca="false">IF(p_Modalidad=2,MIN(FD$11*e_IVArec,p_TopeIVAServ*Produccion_Ventas!FD$55),FD$11*e_IVArec)</f>
        <v>0</v>
      </c>
      <c r="FE12" s="13" t="n">
        <f aca="false">IF(p_Modalidad=2,MIN(FE$11*e_IVArec,p_TopeIVAServ*Produccion_Ventas!FE$55),FE$11*e_IVArec)</f>
        <v>0</v>
      </c>
      <c r="FF12" s="13" t="n">
        <f aca="false">IF(p_Modalidad=2,MIN(FF$11*e_IVArec,p_TopeIVAServ*Produccion_Ventas!FF$55),FF$11*e_IVArec)</f>
        <v>0</v>
      </c>
    </row>
    <row r="13" customFormat="false" ht="15" hidden="false" customHeight="false" outlineLevel="0" collapsed="false">
      <c r="A13" s="2" t="s">
        <v>1384</v>
      </c>
      <c r="B13" s="8" t="s">
        <v>1385</v>
      </c>
      <c r="C13" s="8" t="s">
        <v>255</v>
      </c>
      <c r="E13" s="65" t="n">
        <f aca="false">SUM($F13:$FF13)</f>
        <v>0</v>
      </c>
      <c r="F13" s="13" t="n">
        <f aca="false">IF(0-e_IVAlag&gt;=0,INDEX($F$12:$FF$12,1,0-e_IVAlag+1),0)</f>
        <v>0</v>
      </c>
      <c r="G13" s="13" t="n">
        <f aca="false">IF(1-e_IVAlag&gt;=0,INDEX($F$12:$FF$12,1,1-e_IVAlag+1),0)</f>
        <v>0</v>
      </c>
      <c r="H13" s="13" t="n">
        <f aca="false">IF(2-e_IVAlag&gt;=0,INDEX($F$12:$FF$12,1,2-e_IVAlag+1),0)</f>
        <v>0</v>
      </c>
      <c r="I13" s="13" t="n">
        <f aca="false">IF(3-e_IVAlag&gt;=0,INDEX($F$12:$FF$12,1,3-e_IVAlag+1),0)</f>
        <v>0</v>
      </c>
      <c r="J13" s="13" t="n">
        <f aca="false">IF(4-e_IVAlag&gt;=0,INDEX($F$12:$FF$12,1,4-e_IVAlag+1),0)</f>
        <v>0</v>
      </c>
      <c r="K13" s="13" t="n">
        <f aca="false">IF(5-e_IVAlag&gt;=0,INDEX($F$12:$FF$12,1,5-e_IVAlag+1),0)</f>
        <v>0</v>
      </c>
      <c r="L13" s="13" t="n">
        <f aca="false">IF(6-e_IVAlag&gt;=0,INDEX($F$12:$FF$12,1,6-e_IVAlag+1),0)</f>
        <v>0</v>
      </c>
      <c r="M13" s="13" t="n">
        <f aca="false">IF(7-e_IVAlag&gt;=0,INDEX($F$12:$FF$12,1,7-e_IVAlag+1),0)</f>
        <v>0</v>
      </c>
      <c r="N13" s="13" t="n">
        <f aca="false">IF(8-e_IVAlag&gt;=0,INDEX($F$12:$FF$12,1,8-e_IVAlag+1),0)</f>
        <v>0</v>
      </c>
      <c r="O13" s="13" t="n">
        <f aca="false">IF(9-e_IVAlag&gt;=0,INDEX($F$12:$FF$12,1,9-e_IVAlag+1),0)</f>
        <v>0</v>
      </c>
      <c r="P13" s="13" t="n">
        <f aca="false">IF(10-e_IVAlag&gt;=0,INDEX($F$12:$FF$12,1,10-e_IVAlag+1),0)</f>
        <v>0</v>
      </c>
      <c r="Q13" s="13" t="n">
        <f aca="false">IF(11-e_IVAlag&gt;=0,INDEX($F$12:$FF$12,1,11-e_IVAlag+1),0)</f>
        <v>0</v>
      </c>
      <c r="R13" s="13" t="n">
        <f aca="false">IF(12-e_IVAlag&gt;=0,INDEX($F$12:$FF$12,1,12-e_IVAlag+1),0)</f>
        <v>0</v>
      </c>
      <c r="S13" s="13" t="n">
        <f aca="false">IF(13-e_IVAlag&gt;=0,INDEX($F$12:$FF$12,1,13-e_IVAlag+1),0)</f>
        <v>0</v>
      </c>
      <c r="T13" s="13" t="n">
        <f aca="false">IF(14-e_IVAlag&gt;=0,INDEX($F$12:$FF$12,1,14-e_IVAlag+1),0)</f>
        <v>0</v>
      </c>
      <c r="U13" s="13" t="n">
        <f aca="false">IF(15-e_IVAlag&gt;=0,INDEX($F$12:$FF$12,1,15-e_IVAlag+1),0)</f>
        <v>0</v>
      </c>
      <c r="V13" s="13" t="n">
        <f aca="false">IF(16-e_IVAlag&gt;=0,INDEX($F$12:$FF$12,1,16-e_IVAlag+1),0)</f>
        <v>0</v>
      </c>
      <c r="W13" s="13" t="n">
        <f aca="false">IF(17-e_IVAlag&gt;=0,INDEX($F$12:$FF$12,1,17-e_IVAlag+1),0)</f>
        <v>0</v>
      </c>
      <c r="X13" s="13" t="n">
        <f aca="false">IF(18-e_IVAlag&gt;=0,INDEX($F$12:$FF$12,1,18-e_IVAlag+1),0)</f>
        <v>0</v>
      </c>
      <c r="Y13" s="13" t="n">
        <f aca="false">IF(19-e_IVAlag&gt;=0,INDEX($F$12:$FF$12,1,19-e_IVAlag+1),0)</f>
        <v>0</v>
      </c>
      <c r="Z13" s="13" t="n">
        <f aca="false">IF(20-e_IVAlag&gt;=0,INDEX($F$12:$FF$12,1,20-e_IVAlag+1),0)</f>
        <v>0</v>
      </c>
      <c r="AA13" s="13" t="n">
        <f aca="false">IF(21-e_IVAlag&gt;=0,INDEX($F$12:$FF$12,1,21-e_IVAlag+1),0)</f>
        <v>0</v>
      </c>
      <c r="AB13" s="13" t="n">
        <f aca="false">IF(22-e_IVAlag&gt;=0,INDEX($F$12:$FF$12,1,22-e_IVAlag+1),0)</f>
        <v>0</v>
      </c>
      <c r="AC13" s="13" t="n">
        <f aca="false">IF(23-e_IVAlag&gt;=0,INDEX($F$12:$FF$12,1,23-e_IVAlag+1),0)</f>
        <v>0</v>
      </c>
      <c r="AD13" s="13" t="n">
        <f aca="false">IF(24-e_IVAlag&gt;=0,INDEX($F$12:$FF$12,1,24-e_IVAlag+1),0)</f>
        <v>0</v>
      </c>
      <c r="AE13" s="13" t="n">
        <f aca="false">IF(25-e_IVAlag&gt;=0,INDEX($F$12:$FF$12,1,25-e_IVAlag+1),0)</f>
        <v>0</v>
      </c>
      <c r="AF13" s="13" t="n">
        <f aca="false">IF(26-e_IVAlag&gt;=0,INDEX($F$12:$FF$12,1,26-e_IVAlag+1),0)</f>
        <v>0</v>
      </c>
      <c r="AG13" s="13" t="n">
        <f aca="false">IF(27-e_IVAlag&gt;=0,INDEX($F$12:$FF$12,1,27-e_IVAlag+1),0)</f>
        <v>0</v>
      </c>
      <c r="AH13" s="13" t="n">
        <f aca="false">IF(28-e_IVAlag&gt;=0,INDEX($F$12:$FF$12,1,28-e_IVAlag+1),0)</f>
        <v>0</v>
      </c>
      <c r="AI13" s="13" t="n">
        <f aca="false">IF(29-e_IVAlag&gt;=0,INDEX($F$12:$FF$12,1,29-e_IVAlag+1),0)</f>
        <v>0</v>
      </c>
      <c r="AJ13" s="13" t="n">
        <f aca="false">IF(30-e_IVAlag&gt;=0,INDEX($F$12:$FF$12,1,30-e_IVAlag+1),0)</f>
        <v>0</v>
      </c>
      <c r="AK13" s="13" t="n">
        <f aca="false">IF(31-e_IVAlag&gt;=0,INDEX($F$12:$FF$12,1,31-e_IVAlag+1),0)</f>
        <v>0</v>
      </c>
      <c r="AL13" s="13" t="n">
        <f aca="false">IF(32-e_IVAlag&gt;=0,INDEX($F$12:$FF$12,1,32-e_IVAlag+1),0)</f>
        <v>0</v>
      </c>
      <c r="AM13" s="13" t="n">
        <f aca="false">IF(33-e_IVAlag&gt;=0,INDEX($F$12:$FF$12,1,33-e_IVAlag+1),0)</f>
        <v>0</v>
      </c>
      <c r="AN13" s="13" t="n">
        <f aca="false">IF(34-e_IVAlag&gt;=0,INDEX($F$12:$FF$12,1,34-e_IVAlag+1),0)</f>
        <v>0</v>
      </c>
      <c r="AO13" s="13" t="n">
        <f aca="false">IF(35-e_IVAlag&gt;=0,INDEX($F$12:$FF$12,1,35-e_IVAlag+1),0)</f>
        <v>0</v>
      </c>
      <c r="AP13" s="13" t="n">
        <f aca="false">IF(36-e_IVAlag&gt;=0,INDEX($F$12:$FF$12,1,36-e_IVAlag+1),0)</f>
        <v>0</v>
      </c>
      <c r="AQ13" s="13" t="n">
        <f aca="false">IF(37-e_IVAlag&gt;=0,INDEX($F$12:$FF$12,1,37-e_IVAlag+1),0)</f>
        <v>0</v>
      </c>
      <c r="AR13" s="13" t="n">
        <f aca="false">IF(38-e_IVAlag&gt;=0,INDEX($F$12:$FF$12,1,38-e_IVAlag+1),0)</f>
        <v>0</v>
      </c>
      <c r="AS13" s="13" t="n">
        <f aca="false">IF(39-e_IVAlag&gt;=0,INDEX($F$12:$FF$12,1,39-e_IVAlag+1),0)</f>
        <v>0</v>
      </c>
      <c r="AT13" s="13" t="n">
        <f aca="false">IF(40-e_IVAlag&gt;=0,INDEX($F$12:$FF$12,1,40-e_IVAlag+1),0)</f>
        <v>0</v>
      </c>
      <c r="AU13" s="13" t="n">
        <f aca="false">IF(41-e_IVAlag&gt;=0,INDEX($F$12:$FF$12,1,41-e_IVAlag+1),0)</f>
        <v>0</v>
      </c>
      <c r="AV13" s="13" t="n">
        <f aca="false">IF(42-e_IVAlag&gt;=0,INDEX($F$12:$FF$12,1,42-e_IVAlag+1),0)</f>
        <v>0</v>
      </c>
      <c r="AW13" s="13" t="n">
        <f aca="false">IF(43-e_IVAlag&gt;=0,INDEX($F$12:$FF$12,1,43-e_IVAlag+1),0)</f>
        <v>0</v>
      </c>
      <c r="AX13" s="13" t="n">
        <f aca="false">IF(44-e_IVAlag&gt;=0,INDEX($F$12:$FF$12,1,44-e_IVAlag+1),0)</f>
        <v>0</v>
      </c>
      <c r="AY13" s="13" t="n">
        <f aca="false">IF(45-e_IVAlag&gt;=0,INDEX($F$12:$FF$12,1,45-e_IVAlag+1),0)</f>
        <v>0</v>
      </c>
      <c r="AZ13" s="13" t="n">
        <f aca="false">IF(46-e_IVAlag&gt;=0,INDEX($F$12:$FF$12,1,46-e_IVAlag+1),0)</f>
        <v>0</v>
      </c>
      <c r="BA13" s="13" t="n">
        <f aca="false">IF(47-e_IVAlag&gt;=0,INDEX($F$12:$FF$12,1,47-e_IVAlag+1),0)</f>
        <v>0</v>
      </c>
      <c r="BB13" s="13" t="n">
        <f aca="false">IF(48-e_IVAlag&gt;=0,INDEX($F$12:$FF$12,1,48-e_IVAlag+1),0)</f>
        <v>0</v>
      </c>
      <c r="BC13" s="13" t="n">
        <f aca="false">IF(49-e_IVAlag&gt;=0,INDEX($F$12:$FF$12,1,49-e_IVAlag+1),0)</f>
        <v>0</v>
      </c>
      <c r="BD13" s="13" t="n">
        <f aca="false">IF(50-e_IVAlag&gt;=0,INDEX($F$12:$FF$12,1,50-e_IVAlag+1),0)</f>
        <v>0</v>
      </c>
      <c r="BE13" s="13" t="n">
        <f aca="false">IF(51-e_IVAlag&gt;=0,INDEX($F$12:$FF$12,1,51-e_IVAlag+1),0)</f>
        <v>0</v>
      </c>
      <c r="BF13" s="13" t="n">
        <f aca="false">IF(52-e_IVAlag&gt;=0,INDEX($F$12:$FF$12,1,52-e_IVAlag+1),0)</f>
        <v>0</v>
      </c>
      <c r="BG13" s="13" t="n">
        <f aca="false">IF(53-e_IVAlag&gt;=0,INDEX($F$12:$FF$12,1,53-e_IVAlag+1),0)</f>
        <v>0</v>
      </c>
      <c r="BH13" s="13" t="n">
        <f aca="false">IF(54-e_IVAlag&gt;=0,INDEX($F$12:$FF$12,1,54-e_IVAlag+1),0)</f>
        <v>0</v>
      </c>
      <c r="BI13" s="13" t="n">
        <f aca="false">IF(55-e_IVAlag&gt;=0,INDEX($F$12:$FF$12,1,55-e_IVAlag+1),0)</f>
        <v>0</v>
      </c>
      <c r="BJ13" s="13" t="n">
        <f aca="false">IF(56-e_IVAlag&gt;=0,INDEX($F$12:$FF$12,1,56-e_IVAlag+1),0)</f>
        <v>0</v>
      </c>
      <c r="BK13" s="13" t="n">
        <f aca="false">IF(57-e_IVAlag&gt;=0,INDEX($F$12:$FF$12,1,57-e_IVAlag+1),0)</f>
        <v>0</v>
      </c>
      <c r="BL13" s="13" t="n">
        <f aca="false">IF(58-e_IVAlag&gt;=0,INDEX($F$12:$FF$12,1,58-e_IVAlag+1),0)</f>
        <v>0</v>
      </c>
      <c r="BM13" s="13" t="n">
        <f aca="false">IF(59-e_IVAlag&gt;=0,INDEX($F$12:$FF$12,1,59-e_IVAlag+1),0)</f>
        <v>0</v>
      </c>
      <c r="BN13" s="13" t="n">
        <f aca="false">IF(60-e_IVAlag&gt;=0,INDEX($F$12:$FF$12,1,60-e_IVAlag+1),0)</f>
        <v>0</v>
      </c>
      <c r="BO13" s="13" t="n">
        <f aca="false">IF(61-e_IVAlag&gt;=0,INDEX($F$12:$FF$12,1,61-e_IVAlag+1),0)</f>
        <v>0</v>
      </c>
      <c r="BP13" s="13" t="n">
        <f aca="false">IF(62-e_IVAlag&gt;=0,INDEX($F$12:$FF$12,1,62-e_IVAlag+1),0)</f>
        <v>0</v>
      </c>
      <c r="BQ13" s="13" t="n">
        <f aca="false">IF(63-e_IVAlag&gt;=0,INDEX($F$12:$FF$12,1,63-e_IVAlag+1),0)</f>
        <v>0</v>
      </c>
      <c r="BR13" s="13" t="n">
        <f aca="false">IF(64-e_IVAlag&gt;=0,INDEX($F$12:$FF$12,1,64-e_IVAlag+1),0)</f>
        <v>0</v>
      </c>
      <c r="BS13" s="13" t="n">
        <f aca="false">IF(65-e_IVAlag&gt;=0,INDEX($F$12:$FF$12,1,65-e_IVAlag+1),0)</f>
        <v>0</v>
      </c>
      <c r="BT13" s="13" t="n">
        <f aca="false">IF(66-e_IVAlag&gt;=0,INDEX($F$12:$FF$12,1,66-e_IVAlag+1),0)</f>
        <v>0</v>
      </c>
      <c r="BU13" s="13" t="n">
        <f aca="false">IF(67-e_IVAlag&gt;=0,INDEX($F$12:$FF$12,1,67-e_IVAlag+1),0)</f>
        <v>0</v>
      </c>
      <c r="BV13" s="13" t="n">
        <f aca="false">IF(68-e_IVAlag&gt;=0,INDEX($F$12:$FF$12,1,68-e_IVAlag+1),0)</f>
        <v>0</v>
      </c>
      <c r="BW13" s="13" t="n">
        <f aca="false">IF(69-e_IVAlag&gt;=0,INDEX($F$12:$FF$12,1,69-e_IVAlag+1),0)</f>
        <v>0</v>
      </c>
      <c r="BX13" s="13" t="n">
        <f aca="false">IF(70-e_IVAlag&gt;=0,INDEX($F$12:$FF$12,1,70-e_IVAlag+1),0)</f>
        <v>0</v>
      </c>
      <c r="BY13" s="13" t="n">
        <f aca="false">IF(71-e_IVAlag&gt;=0,INDEX($F$12:$FF$12,1,71-e_IVAlag+1),0)</f>
        <v>0</v>
      </c>
      <c r="BZ13" s="13" t="n">
        <f aca="false">IF(72-e_IVAlag&gt;=0,INDEX($F$12:$FF$12,1,72-e_IVAlag+1),0)</f>
        <v>0</v>
      </c>
      <c r="CA13" s="13" t="n">
        <f aca="false">IF(73-e_IVAlag&gt;=0,INDEX($F$12:$FF$12,1,73-e_IVAlag+1),0)</f>
        <v>0</v>
      </c>
      <c r="CB13" s="13" t="n">
        <f aca="false">IF(74-e_IVAlag&gt;=0,INDEX($F$12:$FF$12,1,74-e_IVAlag+1),0)</f>
        <v>0</v>
      </c>
      <c r="CC13" s="13" t="n">
        <f aca="false">IF(75-e_IVAlag&gt;=0,INDEX($F$12:$FF$12,1,75-e_IVAlag+1),0)</f>
        <v>0</v>
      </c>
      <c r="CD13" s="13" t="n">
        <f aca="false">IF(76-e_IVAlag&gt;=0,INDEX($F$12:$FF$12,1,76-e_IVAlag+1),0)</f>
        <v>0</v>
      </c>
      <c r="CE13" s="13" t="n">
        <f aca="false">IF(77-e_IVAlag&gt;=0,INDEX($F$12:$FF$12,1,77-e_IVAlag+1),0)</f>
        <v>0</v>
      </c>
      <c r="CF13" s="13" t="n">
        <f aca="false">IF(78-e_IVAlag&gt;=0,INDEX($F$12:$FF$12,1,78-e_IVAlag+1),0)</f>
        <v>0</v>
      </c>
      <c r="CG13" s="13" t="n">
        <f aca="false">IF(79-e_IVAlag&gt;=0,INDEX($F$12:$FF$12,1,79-e_IVAlag+1),0)</f>
        <v>0</v>
      </c>
      <c r="CH13" s="13" t="n">
        <f aca="false">IF(80-e_IVAlag&gt;=0,INDEX($F$12:$FF$12,1,80-e_IVAlag+1),0)</f>
        <v>0</v>
      </c>
      <c r="CI13" s="13" t="n">
        <f aca="false">IF(81-e_IVAlag&gt;=0,INDEX($F$12:$FF$12,1,81-e_IVAlag+1),0)</f>
        <v>0</v>
      </c>
      <c r="CJ13" s="13" t="n">
        <f aca="false">IF(82-e_IVAlag&gt;=0,INDEX($F$12:$FF$12,1,82-e_IVAlag+1),0)</f>
        <v>0</v>
      </c>
      <c r="CK13" s="13" t="n">
        <f aca="false">IF(83-e_IVAlag&gt;=0,INDEX($F$12:$FF$12,1,83-e_IVAlag+1),0)</f>
        <v>0</v>
      </c>
      <c r="CL13" s="13" t="n">
        <f aca="false">IF(84-e_IVAlag&gt;=0,INDEX($F$12:$FF$12,1,84-e_IVAlag+1),0)</f>
        <v>0</v>
      </c>
      <c r="CM13" s="13" t="n">
        <f aca="false">IF(85-e_IVAlag&gt;=0,INDEX($F$12:$FF$12,1,85-e_IVAlag+1),0)</f>
        <v>0</v>
      </c>
      <c r="CN13" s="13" t="n">
        <f aca="false">IF(86-e_IVAlag&gt;=0,INDEX($F$12:$FF$12,1,86-e_IVAlag+1),0)</f>
        <v>0</v>
      </c>
      <c r="CO13" s="13" t="n">
        <f aca="false">IF(87-e_IVAlag&gt;=0,INDEX($F$12:$FF$12,1,87-e_IVAlag+1),0)</f>
        <v>0</v>
      </c>
      <c r="CP13" s="13" t="n">
        <f aca="false">IF(88-e_IVAlag&gt;=0,INDEX($F$12:$FF$12,1,88-e_IVAlag+1),0)</f>
        <v>0</v>
      </c>
      <c r="CQ13" s="13" t="n">
        <f aca="false">IF(89-e_IVAlag&gt;=0,INDEX($F$12:$FF$12,1,89-e_IVAlag+1),0)</f>
        <v>0</v>
      </c>
      <c r="CR13" s="13" t="n">
        <f aca="false">IF(90-e_IVAlag&gt;=0,INDEX($F$12:$FF$12,1,90-e_IVAlag+1),0)</f>
        <v>0</v>
      </c>
      <c r="CS13" s="13" t="n">
        <f aca="false">IF(91-e_IVAlag&gt;=0,INDEX($F$12:$FF$12,1,91-e_IVAlag+1),0)</f>
        <v>0</v>
      </c>
      <c r="CT13" s="13" t="n">
        <f aca="false">IF(92-e_IVAlag&gt;=0,INDEX($F$12:$FF$12,1,92-e_IVAlag+1),0)</f>
        <v>0</v>
      </c>
      <c r="CU13" s="13" t="n">
        <f aca="false">IF(93-e_IVAlag&gt;=0,INDEX($F$12:$FF$12,1,93-e_IVAlag+1),0)</f>
        <v>0</v>
      </c>
      <c r="CV13" s="13" t="n">
        <f aca="false">IF(94-e_IVAlag&gt;=0,INDEX($F$12:$FF$12,1,94-e_IVAlag+1),0)</f>
        <v>0</v>
      </c>
      <c r="CW13" s="13" t="n">
        <f aca="false">IF(95-e_IVAlag&gt;=0,INDEX($F$12:$FF$12,1,95-e_IVAlag+1),0)</f>
        <v>0</v>
      </c>
      <c r="CX13" s="13" t="n">
        <f aca="false">IF(96-e_IVAlag&gt;=0,INDEX($F$12:$FF$12,1,96-e_IVAlag+1),0)</f>
        <v>0</v>
      </c>
      <c r="CY13" s="13" t="n">
        <f aca="false">IF(97-e_IVAlag&gt;=0,INDEX($F$12:$FF$12,1,97-e_IVAlag+1),0)</f>
        <v>0</v>
      </c>
      <c r="CZ13" s="13" t="n">
        <f aca="false">IF(98-e_IVAlag&gt;=0,INDEX($F$12:$FF$12,1,98-e_IVAlag+1),0)</f>
        <v>0</v>
      </c>
      <c r="DA13" s="13" t="n">
        <f aca="false">IF(99-e_IVAlag&gt;=0,INDEX($F$12:$FF$12,1,99-e_IVAlag+1),0)</f>
        <v>0</v>
      </c>
      <c r="DB13" s="13" t="n">
        <f aca="false">IF(100-e_IVAlag&gt;=0,INDEX($F$12:$FF$12,1,100-e_IVAlag+1),0)</f>
        <v>0</v>
      </c>
      <c r="DC13" s="13" t="n">
        <f aca="false">IF(101-e_IVAlag&gt;=0,INDEX($F$12:$FF$12,1,101-e_IVAlag+1),0)</f>
        <v>0</v>
      </c>
      <c r="DD13" s="13" t="n">
        <f aca="false">IF(102-e_IVAlag&gt;=0,INDEX($F$12:$FF$12,1,102-e_IVAlag+1),0)</f>
        <v>0</v>
      </c>
      <c r="DE13" s="13" t="n">
        <f aca="false">IF(103-e_IVAlag&gt;=0,INDEX($F$12:$FF$12,1,103-e_IVAlag+1),0)</f>
        <v>0</v>
      </c>
      <c r="DF13" s="13" t="n">
        <f aca="false">IF(104-e_IVAlag&gt;=0,INDEX($F$12:$FF$12,1,104-e_IVAlag+1),0)</f>
        <v>0</v>
      </c>
      <c r="DG13" s="13" t="n">
        <f aca="false">IF(105-e_IVAlag&gt;=0,INDEX($F$12:$FF$12,1,105-e_IVAlag+1),0)</f>
        <v>0</v>
      </c>
      <c r="DH13" s="13" t="n">
        <f aca="false">IF(106-e_IVAlag&gt;=0,INDEX($F$12:$FF$12,1,106-e_IVAlag+1),0)</f>
        <v>0</v>
      </c>
      <c r="DI13" s="13" t="n">
        <f aca="false">IF(107-e_IVAlag&gt;=0,INDEX($F$12:$FF$12,1,107-e_IVAlag+1),0)</f>
        <v>0</v>
      </c>
      <c r="DJ13" s="13" t="n">
        <f aca="false">IF(108-e_IVAlag&gt;=0,INDEX($F$12:$FF$12,1,108-e_IVAlag+1),0)</f>
        <v>0</v>
      </c>
      <c r="DK13" s="13" t="n">
        <f aca="false">IF(109-e_IVAlag&gt;=0,INDEX($F$12:$FF$12,1,109-e_IVAlag+1),0)</f>
        <v>0</v>
      </c>
      <c r="DL13" s="13" t="n">
        <f aca="false">IF(110-e_IVAlag&gt;=0,INDEX($F$12:$FF$12,1,110-e_IVAlag+1),0)</f>
        <v>0</v>
      </c>
      <c r="DM13" s="13" t="n">
        <f aca="false">IF(111-e_IVAlag&gt;=0,INDEX($F$12:$FF$12,1,111-e_IVAlag+1),0)</f>
        <v>0</v>
      </c>
      <c r="DN13" s="13" t="n">
        <f aca="false">IF(112-e_IVAlag&gt;=0,INDEX($F$12:$FF$12,1,112-e_IVAlag+1),0)</f>
        <v>0</v>
      </c>
      <c r="DO13" s="13" t="n">
        <f aca="false">IF(113-e_IVAlag&gt;=0,INDEX($F$12:$FF$12,1,113-e_IVAlag+1),0)</f>
        <v>0</v>
      </c>
      <c r="DP13" s="13" t="n">
        <f aca="false">IF(114-e_IVAlag&gt;=0,INDEX($F$12:$FF$12,1,114-e_IVAlag+1),0)</f>
        <v>0</v>
      </c>
      <c r="DQ13" s="13" t="n">
        <f aca="false">IF(115-e_IVAlag&gt;=0,INDEX($F$12:$FF$12,1,115-e_IVAlag+1),0)</f>
        <v>0</v>
      </c>
      <c r="DR13" s="13" t="n">
        <f aca="false">IF(116-e_IVAlag&gt;=0,INDEX($F$12:$FF$12,1,116-e_IVAlag+1),0)</f>
        <v>0</v>
      </c>
      <c r="DS13" s="13" t="n">
        <f aca="false">IF(117-e_IVAlag&gt;=0,INDEX($F$12:$FF$12,1,117-e_IVAlag+1),0)</f>
        <v>0</v>
      </c>
      <c r="DT13" s="13" t="n">
        <f aca="false">IF(118-e_IVAlag&gt;=0,INDEX($F$12:$FF$12,1,118-e_IVAlag+1),0)</f>
        <v>0</v>
      </c>
      <c r="DU13" s="13" t="n">
        <f aca="false">IF(119-e_IVAlag&gt;=0,INDEX($F$12:$FF$12,1,119-e_IVAlag+1),0)</f>
        <v>0</v>
      </c>
      <c r="DV13" s="13" t="n">
        <f aca="false">IF(120-e_IVAlag&gt;=0,INDEX($F$12:$FF$12,1,120-e_IVAlag+1),0)</f>
        <v>0</v>
      </c>
      <c r="DW13" s="13" t="n">
        <f aca="false">IF(121-e_IVAlag&gt;=0,INDEX($F$12:$FF$12,1,121-e_IVAlag+1),0)</f>
        <v>0</v>
      </c>
      <c r="DX13" s="13" t="n">
        <f aca="false">IF(122-e_IVAlag&gt;=0,INDEX($F$12:$FF$12,1,122-e_IVAlag+1),0)</f>
        <v>0</v>
      </c>
      <c r="DY13" s="13" t="n">
        <f aca="false">IF(123-e_IVAlag&gt;=0,INDEX($F$12:$FF$12,1,123-e_IVAlag+1),0)</f>
        <v>0</v>
      </c>
      <c r="DZ13" s="13" t="n">
        <f aca="false">IF(124-e_IVAlag&gt;=0,INDEX($F$12:$FF$12,1,124-e_IVAlag+1),0)</f>
        <v>0</v>
      </c>
      <c r="EA13" s="13" t="n">
        <f aca="false">IF(125-e_IVAlag&gt;=0,INDEX($F$12:$FF$12,1,125-e_IVAlag+1),0)</f>
        <v>0</v>
      </c>
      <c r="EB13" s="13" t="n">
        <f aca="false">IF(126-e_IVAlag&gt;=0,INDEX($F$12:$FF$12,1,126-e_IVAlag+1),0)</f>
        <v>0</v>
      </c>
      <c r="EC13" s="13" t="n">
        <f aca="false">IF(127-e_IVAlag&gt;=0,INDEX($F$12:$FF$12,1,127-e_IVAlag+1),0)</f>
        <v>0</v>
      </c>
      <c r="ED13" s="13" t="n">
        <f aca="false">IF(128-e_IVAlag&gt;=0,INDEX($F$12:$FF$12,1,128-e_IVAlag+1),0)</f>
        <v>0</v>
      </c>
      <c r="EE13" s="13" t="n">
        <f aca="false">IF(129-e_IVAlag&gt;=0,INDEX($F$12:$FF$12,1,129-e_IVAlag+1),0)</f>
        <v>0</v>
      </c>
      <c r="EF13" s="13" t="n">
        <f aca="false">IF(130-e_IVAlag&gt;=0,INDEX($F$12:$FF$12,1,130-e_IVAlag+1),0)</f>
        <v>0</v>
      </c>
      <c r="EG13" s="13" t="n">
        <f aca="false">IF(131-e_IVAlag&gt;=0,INDEX($F$12:$FF$12,1,131-e_IVAlag+1),0)</f>
        <v>0</v>
      </c>
      <c r="EH13" s="13" t="n">
        <f aca="false">IF(132-e_IVAlag&gt;=0,INDEX($F$12:$FF$12,1,132-e_IVAlag+1),0)</f>
        <v>0</v>
      </c>
      <c r="EI13" s="13" t="n">
        <f aca="false">IF(133-e_IVAlag&gt;=0,INDEX($F$12:$FF$12,1,133-e_IVAlag+1),0)</f>
        <v>0</v>
      </c>
      <c r="EJ13" s="13" t="n">
        <f aca="false">IF(134-e_IVAlag&gt;=0,INDEX($F$12:$FF$12,1,134-e_IVAlag+1),0)</f>
        <v>0</v>
      </c>
      <c r="EK13" s="13" t="n">
        <f aca="false">IF(135-e_IVAlag&gt;=0,INDEX($F$12:$FF$12,1,135-e_IVAlag+1),0)</f>
        <v>0</v>
      </c>
      <c r="EL13" s="13" t="n">
        <f aca="false">IF(136-e_IVAlag&gt;=0,INDEX($F$12:$FF$12,1,136-e_IVAlag+1),0)</f>
        <v>0</v>
      </c>
      <c r="EM13" s="13" t="n">
        <f aca="false">IF(137-e_IVAlag&gt;=0,INDEX($F$12:$FF$12,1,137-e_IVAlag+1),0)</f>
        <v>0</v>
      </c>
      <c r="EN13" s="13" t="n">
        <f aca="false">IF(138-e_IVAlag&gt;=0,INDEX($F$12:$FF$12,1,138-e_IVAlag+1),0)</f>
        <v>0</v>
      </c>
      <c r="EO13" s="13" t="n">
        <f aca="false">IF(139-e_IVAlag&gt;=0,INDEX($F$12:$FF$12,1,139-e_IVAlag+1),0)</f>
        <v>0</v>
      </c>
      <c r="EP13" s="13" t="n">
        <f aca="false">IF(140-e_IVAlag&gt;=0,INDEX($F$12:$FF$12,1,140-e_IVAlag+1),0)</f>
        <v>0</v>
      </c>
      <c r="EQ13" s="13" t="n">
        <f aca="false">IF(141-e_IVAlag&gt;=0,INDEX($F$12:$FF$12,1,141-e_IVAlag+1),0)</f>
        <v>0</v>
      </c>
      <c r="ER13" s="13" t="n">
        <f aca="false">IF(142-e_IVAlag&gt;=0,INDEX($F$12:$FF$12,1,142-e_IVAlag+1),0)</f>
        <v>0</v>
      </c>
      <c r="ES13" s="13" t="n">
        <f aca="false">IF(143-e_IVAlag&gt;=0,INDEX($F$12:$FF$12,1,143-e_IVAlag+1),0)</f>
        <v>0</v>
      </c>
      <c r="ET13" s="13" t="n">
        <f aca="false">IF(144-e_IVAlag&gt;=0,INDEX($F$12:$FF$12,1,144-e_IVAlag+1),0)</f>
        <v>0</v>
      </c>
      <c r="EU13" s="13" t="n">
        <f aca="false">IF(145-e_IVAlag&gt;=0,INDEX($F$12:$FF$12,1,145-e_IVAlag+1),0)</f>
        <v>0</v>
      </c>
      <c r="EV13" s="13" t="n">
        <f aca="false">IF(146-e_IVAlag&gt;=0,INDEX($F$12:$FF$12,1,146-e_IVAlag+1),0)</f>
        <v>0</v>
      </c>
      <c r="EW13" s="13" t="n">
        <f aca="false">IF(147-e_IVAlag&gt;=0,INDEX($F$12:$FF$12,1,147-e_IVAlag+1),0)</f>
        <v>0</v>
      </c>
      <c r="EX13" s="13" t="n">
        <f aca="false">IF(148-e_IVAlag&gt;=0,INDEX($F$12:$FF$12,1,148-e_IVAlag+1),0)</f>
        <v>0</v>
      </c>
      <c r="EY13" s="13" t="n">
        <f aca="false">IF(149-e_IVAlag&gt;=0,INDEX($F$12:$FF$12,1,149-e_IVAlag+1),0)</f>
        <v>0</v>
      </c>
      <c r="EZ13" s="13" t="n">
        <f aca="false">IF(150-e_IVAlag&gt;=0,INDEX($F$12:$FF$12,1,150-e_IVAlag+1),0)</f>
        <v>0</v>
      </c>
      <c r="FA13" s="13" t="n">
        <f aca="false">IF(151-e_IVAlag&gt;=0,INDEX($F$12:$FF$12,1,151-e_IVAlag+1),0)</f>
        <v>0</v>
      </c>
      <c r="FB13" s="13" t="n">
        <f aca="false">IF(152-e_IVAlag&gt;=0,INDEX($F$12:$FF$12,1,152-e_IVAlag+1),0)</f>
        <v>0</v>
      </c>
      <c r="FC13" s="13" t="n">
        <f aca="false">IF(153-e_IVAlag&gt;=0,INDEX($F$12:$FF$12,1,153-e_IVAlag+1),0)</f>
        <v>0</v>
      </c>
      <c r="FD13" s="13" t="n">
        <f aca="false">IF(154-e_IVAlag&gt;=0,INDEX($F$12:$FF$12,1,154-e_IVAlag+1),0)</f>
        <v>0</v>
      </c>
      <c r="FE13" s="13" t="n">
        <f aca="false">IF(155-e_IVAlag&gt;=0,INDEX($F$12:$FF$12,1,155-e_IVAlag+1),0)</f>
        <v>0</v>
      </c>
      <c r="FF13" s="13" t="n">
        <f aca="false">IF(156-e_IVAlag&gt;=0,INDEX($F$12:$FF$12,1,156-e_IVAlag+1),0)</f>
        <v>0</v>
      </c>
    </row>
    <row r="14" customFormat="false" ht="15" hidden="false" customHeight="false" outlineLevel="0" collapsed="false">
      <c r="A14" s="2" t="s">
        <v>1386</v>
      </c>
      <c r="B14" s="8" t="s">
        <v>1387</v>
      </c>
      <c r="C14" s="8" t="s">
        <v>255</v>
      </c>
      <c r="E14" s="65" t="n">
        <f aca="false">SUM($F14:$FF14)</f>
        <v>0</v>
      </c>
      <c r="F14" s="13" t="n">
        <f aca="false">IF(AND(p_MesCorte&gt;=0,0=p_MesCorte+MAX(1,e_IVAlag)),0,0)*Calendario!F$13</f>
        <v>0</v>
      </c>
      <c r="G14" s="13" t="n">
        <f aca="false">IF(AND(p_MesCorte&gt;=0,1=p_MesCorte+MAX(1,e_IVAlag)),F$19,0)*Calendario!G$13</f>
        <v>0</v>
      </c>
      <c r="H14" s="13" t="n">
        <f aca="false">IF(AND(p_MesCorte&gt;=0,2=p_MesCorte+MAX(1,e_IVAlag)),G$19,0)*Calendario!H$13</f>
        <v>0</v>
      </c>
      <c r="I14" s="13" t="n">
        <f aca="false">IF(AND(p_MesCorte&gt;=0,3=p_MesCorte+MAX(1,e_IVAlag)),H$19,0)*Calendario!I$13</f>
        <v>0</v>
      </c>
      <c r="J14" s="13" t="n">
        <f aca="false">IF(AND(p_MesCorte&gt;=0,4=p_MesCorte+MAX(1,e_IVAlag)),I$19,0)*Calendario!J$13</f>
        <v>0</v>
      </c>
      <c r="K14" s="13" t="n">
        <f aca="false">IF(AND(p_MesCorte&gt;=0,5=p_MesCorte+MAX(1,e_IVAlag)),J$19,0)*Calendario!K$13</f>
        <v>0</v>
      </c>
      <c r="L14" s="13" t="n">
        <f aca="false">IF(AND(p_MesCorte&gt;=0,6=p_MesCorte+MAX(1,e_IVAlag)),K$19,0)*Calendario!L$13</f>
        <v>0</v>
      </c>
      <c r="M14" s="13" t="n">
        <f aca="false">IF(AND(p_MesCorte&gt;=0,7=p_MesCorte+MAX(1,e_IVAlag)),L$19,0)*Calendario!M$13</f>
        <v>0</v>
      </c>
      <c r="N14" s="13" t="n">
        <f aca="false">IF(AND(p_MesCorte&gt;=0,8=p_MesCorte+MAX(1,e_IVAlag)),M$19,0)*Calendario!N$13</f>
        <v>0</v>
      </c>
      <c r="O14" s="13" t="n">
        <f aca="false">IF(AND(p_MesCorte&gt;=0,9=p_MesCorte+MAX(1,e_IVAlag)),N$19,0)*Calendario!O$13</f>
        <v>0</v>
      </c>
      <c r="P14" s="13" t="n">
        <f aca="false">IF(AND(p_MesCorte&gt;=0,10=p_MesCorte+MAX(1,e_IVAlag)),O$19,0)*Calendario!P$13</f>
        <v>0</v>
      </c>
      <c r="Q14" s="13" t="n">
        <f aca="false">IF(AND(p_MesCorte&gt;=0,11=p_MesCorte+MAX(1,e_IVAlag)),P$19,0)*Calendario!Q$13</f>
        <v>0</v>
      </c>
      <c r="R14" s="13" t="n">
        <f aca="false">IF(AND(p_MesCorte&gt;=0,12=p_MesCorte+MAX(1,e_IVAlag)),Q$19,0)*Calendario!R$13</f>
        <v>0</v>
      </c>
      <c r="S14" s="13" t="n">
        <f aca="false">IF(AND(p_MesCorte&gt;=0,13=p_MesCorte+MAX(1,e_IVAlag)),R$19,0)*Calendario!S$13</f>
        <v>0</v>
      </c>
      <c r="T14" s="13" t="n">
        <f aca="false">IF(AND(p_MesCorte&gt;=0,14=p_MesCorte+MAX(1,e_IVAlag)),S$19,0)*Calendario!T$13</f>
        <v>0</v>
      </c>
      <c r="U14" s="13" t="n">
        <f aca="false">IF(AND(p_MesCorte&gt;=0,15=p_MesCorte+MAX(1,e_IVAlag)),T$19,0)*Calendario!U$13</f>
        <v>0</v>
      </c>
      <c r="V14" s="13" t="n">
        <f aca="false">IF(AND(p_MesCorte&gt;=0,16=p_MesCorte+MAX(1,e_IVAlag)),U$19,0)*Calendario!V$13</f>
        <v>0</v>
      </c>
      <c r="W14" s="13" t="n">
        <f aca="false">IF(AND(p_MesCorte&gt;=0,17=p_MesCorte+MAX(1,e_IVAlag)),V$19,0)*Calendario!W$13</f>
        <v>0</v>
      </c>
      <c r="X14" s="13" t="n">
        <f aca="false">IF(AND(p_MesCorte&gt;=0,18=p_MesCorte+MAX(1,e_IVAlag)),W$19,0)*Calendario!X$13</f>
        <v>0</v>
      </c>
      <c r="Y14" s="13" t="n">
        <f aca="false">IF(AND(p_MesCorte&gt;=0,19=p_MesCorte+MAX(1,e_IVAlag)),X$19,0)*Calendario!Y$13</f>
        <v>0</v>
      </c>
      <c r="Z14" s="13" t="n">
        <f aca="false">IF(AND(p_MesCorte&gt;=0,20=p_MesCorte+MAX(1,e_IVAlag)),Y$19,0)*Calendario!Z$13</f>
        <v>0</v>
      </c>
      <c r="AA14" s="13" t="n">
        <f aca="false">IF(AND(p_MesCorte&gt;=0,21=p_MesCorte+MAX(1,e_IVAlag)),Z$19,0)*Calendario!AA$13</f>
        <v>0</v>
      </c>
      <c r="AB14" s="13" t="n">
        <f aca="false">IF(AND(p_MesCorte&gt;=0,22=p_MesCorte+MAX(1,e_IVAlag)),AA$19,0)*Calendario!AB$13</f>
        <v>0</v>
      </c>
      <c r="AC14" s="13" t="n">
        <f aca="false">IF(AND(p_MesCorte&gt;=0,23=p_MesCorte+MAX(1,e_IVAlag)),AB$19,0)*Calendario!AC$13</f>
        <v>0</v>
      </c>
      <c r="AD14" s="13" t="n">
        <f aca="false">IF(AND(p_MesCorte&gt;=0,24=p_MesCorte+MAX(1,e_IVAlag)),AC$19,0)*Calendario!AD$13</f>
        <v>0</v>
      </c>
      <c r="AE14" s="13" t="n">
        <f aca="false">IF(AND(p_MesCorte&gt;=0,25=p_MesCorte+MAX(1,e_IVAlag)),AD$19,0)*Calendario!AE$13</f>
        <v>0</v>
      </c>
      <c r="AF14" s="13" t="n">
        <f aca="false">IF(AND(p_MesCorte&gt;=0,26=p_MesCorte+MAX(1,e_IVAlag)),AE$19,0)*Calendario!AF$13</f>
        <v>0</v>
      </c>
      <c r="AG14" s="13" t="n">
        <f aca="false">IF(AND(p_MesCorte&gt;=0,27=p_MesCorte+MAX(1,e_IVAlag)),AF$19,0)*Calendario!AG$13</f>
        <v>0</v>
      </c>
      <c r="AH14" s="13" t="n">
        <f aca="false">IF(AND(p_MesCorte&gt;=0,28=p_MesCorte+MAX(1,e_IVAlag)),AG$19,0)*Calendario!AH$13</f>
        <v>0</v>
      </c>
      <c r="AI14" s="13" t="n">
        <f aca="false">IF(AND(p_MesCorte&gt;=0,29=p_MesCorte+MAX(1,e_IVAlag)),AH$19,0)*Calendario!AI$13</f>
        <v>0</v>
      </c>
      <c r="AJ14" s="13" t="n">
        <f aca="false">IF(AND(p_MesCorte&gt;=0,30=p_MesCorte+MAX(1,e_IVAlag)),AI$19,0)*Calendario!AJ$13</f>
        <v>0</v>
      </c>
      <c r="AK14" s="13" t="n">
        <f aca="false">IF(AND(p_MesCorte&gt;=0,31=p_MesCorte+MAX(1,e_IVAlag)),AJ$19,0)*Calendario!AK$13</f>
        <v>0</v>
      </c>
      <c r="AL14" s="13" t="n">
        <f aca="false">IF(AND(p_MesCorte&gt;=0,32=p_MesCorte+MAX(1,e_IVAlag)),AK$19,0)*Calendario!AL$13</f>
        <v>0</v>
      </c>
      <c r="AM14" s="13" t="n">
        <f aca="false">IF(AND(p_MesCorte&gt;=0,33=p_MesCorte+MAX(1,e_IVAlag)),AL$19,0)*Calendario!AM$13</f>
        <v>0</v>
      </c>
      <c r="AN14" s="13" t="n">
        <f aca="false">IF(AND(p_MesCorte&gt;=0,34=p_MesCorte+MAX(1,e_IVAlag)),AM$19,0)*Calendario!AN$13</f>
        <v>0</v>
      </c>
      <c r="AO14" s="13" t="n">
        <f aca="false">IF(AND(p_MesCorte&gt;=0,35=p_MesCorte+MAX(1,e_IVAlag)),AN$19,0)*Calendario!AO$13</f>
        <v>0</v>
      </c>
      <c r="AP14" s="13" t="n">
        <f aca="false">IF(AND(p_MesCorte&gt;=0,36=p_MesCorte+MAX(1,e_IVAlag)),AO$19,0)*Calendario!AP$13</f>
        <v>0</v>
      </c>
      <c r="AQ14" s="13" t="n">
        <f aca="false">IF(AND(p_MesCorte&gt;=0,37=p_MesCorte+MAX(1,e_IVAlag)),AP$19,0)*Calendario!AQ$13</f>
        <v>0</v>
      </c>
      <c r="AR14" s="13" t="n">
        <f aca="false">IF(AND(p_MesCorte&gt;=0,38=p_MesCorte+MAX(1,e_IVAlag)),AQ$19,0)*Calendario!AR$13</f>
        <v>0</v>
      </c>
      <c r="AS14" s="13" t="n">
        <f aca="false">IF(AND(p_MesCorte&gt;=0,39=p_MesCorte+MAX(1,e_IVAlag)),AR$19,0)*Calendario!AS$13</f>
        <v>0</v>
      </c>
      <c r="AT14" s="13" t="n">
        <f aca="false">IF(AND(p_MesCorte&gt;=0,40=p_MesCorte+MAX(1,e_IVAlag)),AS$19,0)*Calendario!AT$13</f>
        <v>0</v>
      </c>
      <c r="AU14" s="13" t="n">
        <f aca="false">IF(AND(p_MesCorte&gt;=0,41=p_MesCorte+MAX(1,e_IVAlag)),AT$19,0)*Calendario!AU$13</f>
        <v>0</v>
      </c>
      <c r="AV14" s="13" t="n">
        <f aca="false">IF(AND(p_MesCorte&gt;=0,42=p_MesCorte+MAX(1,e_IVAlag)),AU$19,0)*Calendario!AV$13</f>
        <v>0</v>
      </c>
      <c r="AW14" s="13" t="n">
        <f aca="false">IF(AND(p_MesCorte&gt;=0,43=p_MesCorte+MAX(1,e_IVAlag)),AV$19,0)*Calendario!AW$13</f>
        <v>0</v>
      </c>
      <c r="AX14" s="13" t="n">
        <f aca="false">IF(AND(p_MesCorte&gt;=0,44=p_MesCorte+MAX(1,e_IVAlag)),AW$19,0)*Calendario!AX$13</f>
        <v>0</v>
      </c>
      <c r="AY14" s="13" t="n">
        <f aca="false">IF(AND(p_MesCorte&gt;=0,45=p_MesCorte+MAX(1,e_IVAlag)),AX$19,0)*Calendario!AY$13</f>
        <v>0</v>
      </c>
      <c r="AZ14" s="13" t="n">
        <f aca="false">IF(AND(p_MesCorte&gt;=0,46=p_MesCorte+MAX(1,e_IVAlag)),AY$19,0)*Calendario!AZ$13</f>
        <v>0</v>
      </c>
      <c r="BA14" s="13" t="n">
        <f aca="false">IF(AND(p_MesCorte&gt;=0,47=p_MesCorte+MAX(1,e_IVAlag)),AZ$19,0)*Calendario!BA$13</f>
        <v>0</v>
      </c>
      <c r="BB14" s="13" t="n">
        <f aca="false">IF(AND(p_MesCorte&gt;=0,48=p_MesCorte+MAX(1,e_IVAlag)),BA$19,0)*Calendario!BB$13</f>
        <v>0</v>
      </c>
      <c r="BC14" s="13" t="n">
        <f aca="false">IF(AND(p_MesCorte&gt;=0,49=p_MesCorte+MAX(1,e_IVAlag)),BB$19,0)*Calendario!BC$13</f>
        <v>0</v>
      </c>
      <c r="BD14" s="13" t="n">
        <f aca="false">IF(AND(p_MesCorte&gt;=0,50=p_MesCorte+MAX(1,e_IVAlag)),BC$19,0)*Calendario!BD$13</f>
        <v>0</v>
      </c>
      <c r="BE14" s="13" t="n">
        <f aca="false">IF(AND(p_MesCorte&gt;=0,51=p_MesCorte+MAX(1,e_IVAlag)),BD$19,0)*Calendario!BE$13</f>
        <v>0</v>
      </c>
      <c r="BF14" s="13" t="n">
        <f aca="false">IF(AND(p_MesCorte&gt;=0,52=p_MesCorte+MAX(1,e_IVAlag)),BE$19,0)*Calendario!BF$13</f>
        <v>0</v>
      </c>
      <c r="BG14" s="13" t="n">
        <f aca="false">IF(AND(p_MesCorte&gt;=0,53=p_MesCorte+MAX(1,e_IVAlag)),BF$19,0)*Calendario!BG$13</f>
        <v>0</v>
      </c>
      <c r="BH14" s="13" t="n">
        <f aca="false">IF(AND(p_MesCorte&gt;=0,54=p_MesCorte+MAX(1,e_IVAlag)),BG$19,0)*Calendario!BH$13</f>
        <v>0</v>
      </c>
      <c r="BI14" s="13" t="n">
        <f aca="false">IF(AND(p_MesCorte&gt;=0,55=p_MesCorte+MAX(1,e_IVAlag)),BH$19,0)*Calendario!BI$13</f>
        <v>0</v>
      </c>
      <c r="BJ14" s="13" t="n">
        <f aca="false">IF(AND(p_MesCorte&gt;=0,56=p_MesCorte+MAX(1,e_IVAlag)),BI$19,0)*Calendario!BJ$13</f>
        <v>0</v>
      </c>
      <c r="BK14" s="13" t="n">
        <f aca="false">IF(AND(p_MesCorte&gt;=0,57=p_MesCorte+MAX(1,e_IVAlag)),BJ$19,0)*Calendario!BK$13</f>
        <v>0</v>
      </c>
      <c r="BL14" s="13" t="n">
        <f aca="false">IF(AND(p_MesCorte&gt;=0,58=p_MesCorte+MAX(1,e_IVAlag)),BK$19,0)*Calendario!BL$13</f>
        <v>0</v>
      </c>
      <c r="BM14" s="13" t="n">
        <f aca="false">IF(AND(p_MesCorte&gt;=0,59=p_MesCorte+MAX(1,e_IVAlag)),BL$19,0)*Calendario!BM$13</f>
        <v>0</v>
      </c>
      <c r="BN14" s="13" t="n">
        <f aca="false">IF(AND(p_MesCorte&gt;=0,60=p_MesCorte+MAX(1,e_IVAlag)),BM$19,0)*Calendario!BN$13</f>
        <v>0</v>
      </c>
      <c r="BO14" s="13" t="n">
        <f aca="false">IF(AND(p_MesCorte&gt;=0,61=p_MesCorte+MAX(1,e_IVAlag)),BN$19,0)*Calendario!BO$13</f>
        <v>0</v>
      </c>
      <c r="BP14" s="13" t="n">
        <f aca="false">IF(AND(p_MesCorte&gt;=0,62=p_MesCorte+MAX(1,e_IVAlag)),BO$19,0)*Calendario!BP$13</f>
        <v>0</v>
      </c>
      <c r="BQ14" s="13" t="n">
        <f aca="false">IF(AND(p_MesCorte&gt;=0,63=p_MesCorte+MAX(1,e_IVAlag)),BP$19,0)*Calendario!BQ$13</f>
        <v>0</v>
      </c>
      <c r="BR14" s="13" t="n">
        <f aca="false">IF(AND(p_MesCorte&gt;=0,64=p_MesCorte+MAX(1,e_IVAlag)),BQ$19,0)*Calendario!BR$13</f>
        <v>0</v>
      </c>
      <c r="BS14" s="13" t="n">
        <f aca="false">IF(AND(p_MesCorte&gt;=0,65=p_MesCorte+MAX(1,e_IVAlag)),BR$19,0)*Calendario!BS$13</f>
        <v>0</v>
      </c>
      <c r="BT14" s="13" t="n">
        <f aca="false">IF(AND(p_MesCorte&gt;=0,66=p_MesCorte+MAX(1,e_IVAlag)),BS$19,0)*Calendario!BT$13</f>
        <v>0</v>
      </c>
      <c r="BU14" s="13" t="n">
        <f aca="false">IF(AND(p_MesCorte&gt;=0,67=p_MesCorte+MAX(1,e_IVAlag)),BT$19,0)*Calendario!BU$13</f>
        <v>0</v>
      </c>
      <c r="BV14" s="13" t="n">
        <f aca="false">IF(AND(p_MesCorte&gt;=0,68=p_MesCorte+MAX(1,e_IVAlag)),BU$19,0)*Calendario!BV$13</f>
        <v>0</v>
      </c>
      <c r="BW14" s="13" t="n">
        <f aca="false">IF(AND(p_MesCorte&gt;=0,69=p_MesCorte+MAX(1,e_IVAlag)),BV$19,0)*Calendario!BW$13</f>
        <v>0</v>
      </c>
      <c r="BX14" s="13" t="n">
        <f aca="false">IF(AND(p_MesCorte&gt;=0,70=p_MesCorte+MAX(1,e_IVAlag)),BW$19,0)*Calendario!BX$13</f>
        <v>0</v>
      </c>
      <c r="BY14" s="13" t="n">
        <f aca="false">IF(AND(p_MesCorte&gt;=0,71=p_MesCorte+MAX(1,e_IVAlag)),BX$19,0)*Calendario!BY$13</f>
        <v>0</v>
      </c>
      <c r="BZ14" s="13" t="n">
        <f aca="false">IF(AND(p_MesCorte&gt;=0,72=p_MesCorte+MAX(1,e_IVAlag)),BY$19,0)*Calendario!BZ$13</f>
        <v>0</v>
      </c>
      <c r="CA14" s="13" t="n">
        <f aca="false">IF(AND(p_MesCorte&gt;=0,73=p_MesCorte+MAX(1,e_IVAlag)),BZ$19,0)*Calendario!CA$13</f>
        <v>0</v>
      </c>
      <c r="CB14" s="13" t="n">
        <f aca="false">IF(AND(p_MesCorte&gt;=0,74=p_MesCorte+MAX(1,e_IVAlag)),CA$19,0)*Calendario!CB$13</f>
        <v>0</v>
      </c>
      <c r="CC14" s="13" t="n">
        <f aca="false">IF(AND(p_MesCorte&gt;=0,75=p_MesCorte+MAX(1,e_IVAlag)),CB$19,0)*Calendario!CC$13</f>
        <v>0</v>
      </c>
      <c r="CD14" s="13" t="n">
        <f aca="false">IF(AND(p_MesCorte&gt;=0,76=p_MesCorte+MAX(1,e_IVAlag)),CC$19,0)*Calendario!CD$13</f>
        <v>0</v>
      </c>
      <c r="CE14" s="13" t="n">
        <f aca="false">IF(AND(p_MesCorte&gt;=0,77=p_MesCorte+MAX(1,e_IVAlag)),CD$19,0)*Calendario!CE$13</f>
        <v>0</v>
      </c>
      <c r="CF14" s="13" t="n">
        <f aca="false">IF(AND(p_MesCorte&gt;=0,78=p_MesCorte+MAX(1,e_IVAlag)),CE$19,0)*Calendario!CF$13</f>
        <v>0</v>
      </c>
      <c r="CG14" s="13" t="n">
        <f aca="false">IF(AND(p_MesCorte&gt;=0,79=p_MesCorte+MAX(1,e_IVAlag)),CF$19,0)*Calendario!CG$13</f>
        <v>0</v>
      </c>
      <c r="CH14" s="13" t="n">
        <f aca="false">IF(AND(p_MesCorte&gt;=0,80=p_MesCorte+MAX(1,e_IVAlag)),CG$19,0)*Calendario!CH$13</f>
        <v>0</v>
      </c>
      <c r="CI14" s="13" t="n">
        <f aca="false">IF(AND(p_MesCorte&gt;=0,81=p_MesCorte+MAX(1,e_IVAlag)),CH$19,0)*Calendario!CI$13</f>
        <v>0</v>
      </c>
      <c r="CJ14" s="13" t="n">
        <f aca="false">IF(AND(p_MesCorte&gt;=0,82=p_MesCorte+MAX(1,e_IVAlag)),CI$19,0)*Calendario!CJ$13</f>
        <v>0</v>
      </c>
      <c r="CK14" s="13" t="n">
        <f aca="false">IF(AND(p_MesCorte&gt;=0,83=p_MesCorte+MAX(1,e_IVAlag)),CJ$19,0)*Calendario!CK$13</f>
        <v>0</v>
      </c>
      <c r="CL14" s="13" t="n">
        <f aca="false">IF(AND(p_MesCorte&gt;=0,84=p_MesCorte+MAX(1,e_IVAlag)),CK$19,0)*Calendario!CL$13</f>
        <v>0</v>
      </c>
      <c r="CM14" s="13" t="n">
        <f aca="false">IF(AND(p_MesCorte&gt;=0,85=p_MesCorte+MAX(1,e_IVAlag)),CL$19,0)*Calendario!CM$13</f>
        <v>0</v>
      </c>
      <c r="CN14" s="13" t="n">
        <f aca="false">IF(AND(p_MesCorte&gt;=0,86=p_MesCorte+MAX(1,e_IVAlag)),CM$19,0)*Calendario!CN$13</f>
        <v>0</v>
      </c>
      <c r="CO14" s="13" t="n">
        <f aca="false">IF(AND(p_MesCorte&gt;=0,87=p_MesCorte+MAX(1,e_IVAlag)),CN$19,0)*Calendario!CO$13</f>
        <v>0</v>
      </c>
      <c r="CP14" s="13" t="n">
        <f aca="false">IF(AND(p_MesCorte&gt;=0,88=p_MesCorte+MAX(1,e_IVAlag)),CO$19,0)*Calendario!CP$13</f>
        <v>0</v>
      </c>
      <c r="CQ14" s="13" t="n">
        <f aca="false">IF(AND(p_MesCorte&gt;=0,89=p_MesCorte+MAX(1,e_IVAlag)),CP$19,0)*Calendario!CQ$13</f>
        <v>0</v>
      </c>
      <c r="CR14" s="13" t="n">
        <f aca="false">IF(AND(p_MesCorte&gt;=0,90=p_MesCorte+MAX(1,e_IVAlag)),CQ$19,0)*Calendario!CR$13</f>
        <v>0</v>
      </c>
      <c r="CS14" s="13" t="n">
        <f aca="false">IF(AND(p_MesCorte&gt;=0,91=p_MesCorte+MAX(1,e_IVAlag)),CR$19,0)*Calendario!CS$13</f>
        <v>0</v>
      </c>
      <c r="CT14" s="13" t="n">
        <f aca="false">IF(AND(p_MesCorte&gt;=0,92=p_MesCorte+MAX(1,e_IVAlag)),CS$19,0)*Calendario!CT$13</f>
        <v>0</v>
      </c>
      <c r="CU14" s="13" t="n">
        <f aca="false">IF(AND(p_MesCorte&gt;=0,93=p_MesCorte+MAX(1,e_IVAlag)),CT$19,0)*Calendario!CU$13</f>
        <v>0</v>
      </c>
      <c r="CV14" s="13" t="n">
        <f aca="false">IF(AND(p_MesCorte&gt;=0,94=p_MesCorte+MAX(1,e_IVAlag)),CU$19,0)*Calendario!CV$13</f>
        <v>0</v>
      </c>
      <c r="CW14" s="13" t="n">
        <f aca="false">IF(AND(p_MesCorte&gt;=0,95=p_MesCorte+MAX(1,e_IVAlag)),CV$19,0)*Calendario!CW$13</f>
        <v>0</v>
      </c>
      <c r="CX14" s="13" t="n">
        <f aca="false">IF(AND(p_MesCorte&gt;=0,96=p_MesCorte+MAX(1,e_IVAlag)),CW$19,0)*Calendario!CX$13</f>
        <v>0</v>
      </c>
      <c r="CY14" s="13" t="n">
        <f aca="false">IF(AND(p_MesCorte&gt;=0,97=p_MesCorte+MAX(1,e_IVAlag)),CX$19,0)*Calendario!CY$13</f>
        <v>0</v>
      </c>
      <c r="CZ14" s="13" t="n">
        <f aca="false">IF(AND(p_MesCorte&gt;=0,98=p_MesCorte+MAX(1,e_IVAlag)),CY$19,0)*Calendario!CZ$13</f>
        <v>0</v>
      </c>
      <c r="DA14" s="13" t="n">
        <f aca="false">IF(AND(p_MesCorte&gt;=0,99=p_MesCorte+MAX(1,e_IVAlag)),CZ$19,0)*Calendario!DA$13</f>
        <v>0</v>
      </c>
      <c r="DB14" s="13" t="n">
        <f aca="false">IF(AND(p_MesCorte&gt;=0,100=p_MesCorte+MAX(1,e_IVAlag)),DA$19,0)*Calendario!DB$13</f>
        <v>0</v>
      </c>
      <c r="DC14" s="13" t="n">
        <f aca="false">IF(AND(p_MesCorte&gt;=0,101=p_MesCorte+MAX(1,e_IVAlag)),DB$19,0)*Calendario!DC$13</f>
        <v>0</v>
      </c>
      <c r="DD14" s="13" t="n">
        <f aca="false">IF(AND(p_MesCorte&gt;=0,102=p_MesCorte+MAX(1,e_IVAlag)),DC$19,0)*Calendario!DD$13</f>
        <v>0</v>
      </c>
      <c r="DE14" s="13" t="n">
        <f aca="false">IF(AND(p_MesCorte&gt;=0,103=p_MesCorte+MAX(1,e_IVAlag)),DD$19,0)*Calendario!DE$13</f>
        <v>0</v>
      </c>
      <c r="DF14" s="13" t="n">
        <f aca="false">IF(AND(p_MesCorte&gt;=0,104=p_MesCorte+MAX(1,e_IVAlag)),DE$19,0)*Calendario!DF$13</f>
        <v>0</v>
      </c>
      <c r="DG14" s="13" t="n">
        <f aca="false">IF(AND(p_MesCorte&gt;=0,105=p_MesCorte+MAX(1,e_IVAlag)),DF$19,0)*Calendario!DG$13</f>
        <v>0</v>
      </c>
      <c r="DH14" s="13" t="n">
        <f aca="false">IF(AND(p_MesCorte&gt;=0,106=p_MesCorte+MAX(1,e_IVAlag)),DG$19,0)*Calendario!DH$13</f>
        <v>0</v>
      </c>
      <c r="DI14" s="13" t="n">
        <f aca="false">IF(AND(p_MesCorte&gt;=0,107=p_MesCorte+MAX(1,e_IVAlag)),DH$19,0)*Calendario!DI$13</f>
        <v>0</v>
      </c>
      <c r="DJ14" s="13" t="n">
        <f aca="false">IF(AND(p_MesCorte&gt;=0,108=p_MesCorte+MAX(1,e_IVAlag)),DI$19,0)*Calendario!DJ$13</f>
        <v>0</v>
      </c>
      <c r="DK14" s="13" t="n">
        <f aca="false">IF(AND(p_MesCorte&gt;=0,109=p_MesCorte+MAX(1,e_IVAlag)),DJ$19,0)*Calendario!DK$13</f>
        <v>0</v>
      </c>
      <c r="DL14" s="13" t="n">
        <f aca="false">IF(AND(p_MesCorte&gt;=0,110=p_MesCorte+MAX(1,e_IVAlag)),DK$19,0)*Calendario!DL$13</f>
        <v>0</v>
      </c>
      <c r="DM14" s="13" t="n">
        <f aca="false">IF(AND(p_MesCorte&gt;=0,111=p_MesCorte+MAX(1,e_IVAlag)),DL$19,0)*Calendario!DM$13</f>
        <v>0</v>
      </c>
      <c r="DN14" s="13" t="n">
        <f aca="false">IF(AND(p_MesCorte&gt;=0,112=p_MesCorte+MAX(1,e_IVAlag)),DM$19,0)*Calendario!DN$13</f>
        <v>0</v>
      </c>
      <c r="DO14" s="13" t="n">
        <f aca="false">IF(AND(p_MesCorte&gt;=0,113=p_MesCorte+MAX(1,e_IVAlag)),DN$19,0)*Calendario!DO$13</f>
        <v>0</v>
      </c>
      <c r="DP14" s="13" t="n">
        <f aca="false">IF(AND(p_MesCorte&gt;=0,114=p_MesCorte+MAX(1,e_IVAlag)),DO$19,0)*Calendario!DP$13</f>
        <v>0</v>
      </c>
      <c r="DQ14" s="13" t="n">
        <f aca="false">IF(AND(p_MesCorte&gt;=0,115=p_MesCorte+MAX(1,e_IVAlag)),DP$19,0)*Calendario!DQ$13</f>
        <v>0</v>
      </c>
      <c r="DR14" s="13" t="n">
        <f aca="false">IF(AND(p_MesCorte&gt;=0,116=p_MesCorte+MAX(1,e_IVAlag)),DQ$19,0)*Calendario!DR$13</f>
        <v>0</v>
      </c>
      <c r="DS14" s="13" t="n">
        <f aca="false">IF(AND(p_MesCorte&gt;=0,117=p_MesCorte+MAX(1,e_IVAlag)),DR$19,0)*Calendario!DS$13</f>
        <v>0</v>
      </c>
      <c r="DT14" s="13" t="n">
        <f aca="false">IF(AND(p_MesCorte&gt;=0,118=p_MesCorte+MAX(1,e_IVAlag)),DS$19,0)*Calendario!DT$13</f>
        <v>0</v>
      </c>
      <c r="DU14" s="13" t="n">
        <f aca="false">IF(AND(p_MesCorte&gt;=0,119=p_MesCorte+MAX(1,e_IVAlag)),DT$19,0)*Calendario!DU$13</f>
        <v>0</v>
      </c>
      <c r="DV14" s="13" t="n">
        <f aca="false">IF(AND(p_MesCorte&gt;=0,120=p_MesCorte+MAX(1,e_IVAlag)),DU$19,0)*Calendario!DV$13</f>
        <v>0</v>
      </c>
      <c r="DW14" s="13" t="n">
        <f aca="false">IF(AND(p_MesCorte&gt;=0,121=p_MesCorte+MAX(1,e_IVAlag)),DV$19,0)*Calendario!DW$13</f>
        <v>0</v>
      </c>
      <c r="DX14" s="13" t="n">
        <f aca="false">IF(AND(p_MesCorte&gt;=0,122=p_MesCorte+MAX(1,e_IVAlag)),DW$19,0)*Calendario!DX$13</f>
        <v>0</v>
      </c>
      <c r="DY14" s="13" t="n">
        <f aca="false">IF(AND(p_MesCorte&gt;=0,123=p_MesCorte+MAX(1,e_IVAlag)),DX$19,0)*Calendario!DY$13</f>
        <v>0</v>
      </c>
      <c r="DZ14" s="13" t="n">
        <f aca="false">IF(AND(p_MesCorte&gt;=0,124=p_MesCorte+MAX(1,e_IVAlag)),DY$19,0)*Calendario!DZ$13</f>
        <v>0</v>
      </c>
      <c r="EA14" s="13" t="n">
        <f aca="false">IF(AND(p_MesCorte&gt;=0,125=p_MesCorte+MAX(1,e_IVAlag)),DZ$19,0)*Calendario!EA$13</f>
        <v>0</v>
      </c>
      <c r="EB14" s="13" t="n">
        <f aca="false">IF(AND(p_MesCorte&gt;=0,126=p_MesCorte+MAX(1,e_IVAlag)),EA$19,0)*Calendario!EB$13</f>
        <v>0</v>
      </c>
      <c r="EC14" s="13" t="n">
        <f aca="false">IF(AND(p_MesCorte&gt;=0,127=p_MesCorte+MAX(1,e_IVAlag)),EB$19,0)*Calendario!EC$13</f>
        <v>0</v>
      </c>
      <c r="ED14" s="13" t="n">
        <f aca="false">IF(AND(p_MesCorte&gt;=0,128=p_MesCorte+MAX(1,e_IVAlag)),EC$19,0)*Calendario!ED$13</f>
        <v>0</v>
      </c>
      <c r="EE14" s="13" t="n">
        <f aca="false">IF(AND(p_MesCorte&gt;=0,129=p_MesCorte+MAX(1,e_IVAlag)),ED$19,0)*Calendario!EE$13</f>
        <v>0</v>
      </c>
      <c r="EF14" s="13" t="n">
        <f aca="false">IF(AND(p_MesCorte&gt;=0,130=p_MesCorte+MAX(1,e_IVAlag)),EE$19,0)*Calendario!EF$13</f>
        <v>0</v>
      </c>
      <c r="EG14" s="13" t="n">
        <f aca="false">IF(AND(p_MesCorte&gt;=0,131=p_MesCorte+MAX(1,e_IVAlag)),EF$19,0)*Calendario!EG$13</f>
        <v>0</v>
      </c>
      <c r="EH14" s="13" t="n">
        <f aca="false">IF(AND(p_MesCorte&gt;=0,132=p_MesCorte+MAX(1,e_IVAlag)),EG$19,0)*Calendario!EH$13</f>
        <v>0</v>
      </c>
      <c r="EI14" s="13" t="n">
        <f aca="false">IF(AND(p_MesCorte&gt;=0,133=p_MesCorte+MAX(1,e_IVAlag)),EH$19,0)*Calendario!EI$13</f>
        <v>0</v>
      </c>
      <c r="EJ14" s="13" t="n">
        <f aca="false">IF(AND(p_MesCorte&gt;=0,134=p_MesCorte+MAX(1,e_IVAlag)),EI$19,0)*Calendario!EJ$13</f>
        <v>0</v>
      </c>
      <c r="EK14" s="13" t="n">
        <f aca="false">IF(AND(p_MesCorte&gt;=0,135=p_MesCorte+MAX(1,e_IVAlag)),EJ$19,0)*Calendario!EK$13</f>
        <v>0</v>
      </c>
      <c r="EL14" s="13" t="n">
        <f aca="false">IF(AND(p_MesCorte&gt;=0,136=p_MesCorte+MAX(1,e_IVAlag)),EK$19,0)*Calendario!EL$13</f>
        <v>0</v>
      </c>
      <c r="EM14" s="13" t="n">
        <f aca="false">IF(AND(p_MesCorte&gt;=0,137=p_MesCorte+MAX(1,e_IVAlag)),EL$19,0)*Calendario!EM$13</f>
        <v>0</v>
      </c>
      <c r="EN14" s="13" t="n">
        <f aca="false">IF(AND(p_MesCorte&gt;=0,138=p_MesCorte+MAX(1,e_IVAlag)),EM$19,0)*Calendario!EN$13</f>
        <v>0</v>
      </c>
      <c r="EO14" s="13" t="n">
        <f aca="false">IF(AND(p_MesCorte&gt;=0,139=p_MesCorte+MAX(1,e_IVAlag)),EN$19,0)*Calendario!EO$13</f>
        <v>0</v>
      </c>
      <c r="EP14" s="13" t="n">
        <f aca="false">IF(AND(p_MesCorte&gt;=0,140=p_MesCorte+MAX(1,e_IVAlag)),EO$19,0)*Calendario!EP$13</f>
        <v>0</v>
      </c>
      <c r="EQ14" s="13" t="n">
        <f aca="false">IF(AND(p_MesCorte&gt;=0,141=p_MesCorte+MAX(1,e_IVAlag)),EP$19,0)*Calendario!EQ$13</f>
        <v>0</v>
      </c>
      <c r="ER14" s="13" t="n">
        <f aca="false">IF(AND(p_MesCorte&gt;=0,142=p_MesCorte+MAX(1,e_IVAlag)),EQ$19,0)*Calendario!ER$13</f>
        <v>0</v>
      </c>
      <c r="ES14" s="13" t="n">
        <f aca="false">IF(AND(p_MesCorte&gt;=0,143=p_MesCorte+MAX(1,e_IVAlag)),ER$19,0)*Calendario!ES$13</f>
        <v>0</v>
      </c>
      <c r="ET14" s="13" t="n">
        <f aca="false">IF(AND(p_MesCorte&gt;=0,144=p_MesCorte+MAX(1,e_IVAlag)),ES$19,0)*Calendario!ET$13</f>
        <v>0</v>
      </c>
      <c r="EU14" s="13" t="n">
        <f aca="false">IF(AND(p_MesCorte&gt;=0,145=p_MesCorte+MAX(1,e_IVAlag)),ET$19,0)*Calendario!EU$13</f>
        <v>0</v>
      </c>
      <c r="EV14" s="13" t="n">
        <f aca="false">IF(AND(p_MesCorte&gt;=0,146=p_MesCorte+MAX(1,e_IVAlag)),EU$19,0)*Calendario!EV$13</f>
        <v>0</v>
      </c>
      <c r="EW14" s="13" t="n">
        <f aca="false">IF(AND(p_MesCorte&gt;=0,147=p_MesCorte+MAX(1,e_IVAlag)),EV$19,0)*Calendario!EW$13</f>
        <v>0</v>
      </c>
      <c r="EX14" s="13" t="n">
        <f aca="false">IF(AND(p_MesCorte&gt;=0,148=p_MesCorte+MAX(1,e_IVAlag)),EW$19,0)*Calendario!EX$13</f>
        <v>0</v>
      </c>
      <c r="EY14" s="13" t="n">
        <f aca="false">IF(AND(p_MesCorte&gt;=0,149=p_MesCorte+MAX(1,e_IVAlag)),EX$19,0)*Calendario!EY$13</f>
        <v>0</v>
      </c>
      <c r="EZ14" s="13" t="n">
        <f aca="false">IF(AND(p_MesCorte&gt;=0,150=p_MesCorte+MAX(1,e_IVAlag)),EY$19,0)*Calendario!EZ$13</f>
        <v>0</v>
      </c>
      <c r="FA14" s="13" t="n">
        <f aca="false">IF(AND(p_MesCorte&gt;=0,151=p_MesCorte+MAX(1,e_IVAlag)),EZ$19,0)*Calendario!FA$13</f>
        <v>0</v>
      </c>
      <c r="FB14" s="13" t="n">
        <f aca="false">IF(AND(p_MesCorte&gt;=0,152=p_MesCorte+MAX(1,e_IVAlag)),FA$19,0)*Calendario!FB$13</f>
        <v>0</v>
      </c>
      <c r="FC14" s="13" t="n">
        <f aca="false">IF(AND(p_MesCorte&gt;=0,153=p_MesCorte+MAX(1,e_IVAlag)),FB$19,0)*Calendario!FC$13</f>
        <v>0</v>
      </c>
      <c r="FD14" s="13" t="n">
        <f aca="false">IF(AND(p_MesCorte&gt;=0,154=p_MesCorte+MAX(1,e_IVAlag)),FC$19,0)*Calendario!FD$13</f>
        <v>0</v>
      </c>
      <c r="FE14" s="13" t="n">
        <f aca="false">IF(AND(p_MesCorte&gt;=0,155=p_MesCorte+MAX(1,e_IVAlag)),FD$19,0)*Calendario!FE$13</f>
        <v>0</v>
      </c>
      <c r="FF14" s="13" t="n">
        <f aca="false">IF(AND(p_MesCorte&gt;=0,156=p_MesCorte+MAX(1,e_IVAlag)),FE$19,0)*Calendario!FF$13</f>
        <v>0</v>
      </c>
    </row>
    <row r="15" customFormat="false" ht="15" hidden="false" customHeight="false" outlineLevel="0" collapsed="false">
      <c r="A15" s="2" t="s">
        <v>1388</v>
      </c>
      <c r="B15" s="66" t="s">
        <v>1389</v>
      </c>
      <c r="C15" s="8" t="s">
        <v>255</v>
      </c>
      <c r="E15" s="67" t="n">
        <f aca="false">SUM($F15:$FF15)</f>
        <v>0</v>
      </c>
      <c r="F15" s="12" t="n">
        <f aca="false">IF(F$9=1,SUMIFS(dr_USD,dr_Mes,0,dr_Cod,"IVA_RECUP",dr_Est,"&lt;&gt;Excluido"),(F$13+F$14)*Calendario!F$13)</f>
        <v>0</v>
      </c>
      <c r="G15" s="12" t="n">
        <f aca="false">IF(G$9=1,SUMIFS(dr_USD,dr_Mes,1,dr_Cod,"IVA_RECUP",dr_Est,"&lt;&gt;Excluido"),(G$13+G$14)*Calendario!G$13)</f>
        <v>0</v>
      </c>
      <c r="H15" s="12" t="n">
        <f aca="false">IF(H$9=1,SUMIFS(dr_USD,dr_Mes,2,dr_Cod,"IVA_RECUP",dr_Est,"&lt;&gt;Excluido"),(H$13+H$14)*Calendario!H$13)</f>
        <v>0</v>
      </c>
      <c r="I15" s="12" t="n">
        <f aca="false">IF(I$9=1,SUMIFS(dr_USD,dr_Mes,3,dr_Cod,"IVA_RECUP",dr_Est,"&lt;&gt;Excluido"),(I$13+I$14)*Calendario!I$13)</f>
        <v>0</v>
      </c>
      <c r="J15" s="12" t="n">
        <f aca="false">IF(J$9=1,SUMIFS(dr_USD,dr_Mes,4,dr_Cod,"IVA_RECUP",dr_Est,"&lt;&gt;Excluido"),(J$13+J$14)*Calendario!J$13)</f>
        <v>0</v>
      </c>
      <c r="K15" s="12" t="n">
        <f aca="false">IF(K$9=1,SUMIFS(dr_USD,dr_Mes,5,dr_Cod,"IVA_RECUP",dr_Est,"&lt;&gt;Excluido"),(K$13+K$14)*Calendario!K$13)</f>
        <v>0</v>
      </c>
      <c r="L15" s="12" t="n">
        <f aca="false">IF(L$9=1,SUMIFS(dr_USD,dr_Mes,6,dr_Cod,"IVA_RECUP",dr_Est,"&lt;&gt;Excluido"),(L$13+L$14)*Calendario!L$13)</f>
        <v>0</v>
      </c>
      <c r="M15" s="12" t="n">
        <f aca="false">IF(M$9=1,SUMIFS(dr_USD,dr_Mes,7,dr_Cod,"IVA_RECUP",dr_Est,"&lt;&gt;Excluido"),(M$13+M$14)*Calendario!M$13)</f>
        <v>0</v>
      </c>
      <c r="N15" s="12" t="n">
        <f aca="false">IF(N$9=1,SUMIFS(dr_USD,dr_Mes,8,dr_Cod,"IVA_RECUP",dr_Est,"&lt;&gt;Excluido"),(N$13+N$14)*Calendario!N$13)</f>
        <v>0</v>
      </c>
      <c r="O15" s="12" t="n">
        <f aca="false">IF(O$9=1,SUMIFS(dr_USD,dr_Mes,9,dr_Cod,"IVA_RECUP",dr_Est,"&lt;&gt;Excluido"),(O$13+O$14)*Calendario!O$13)</f>
        <v>0</v>
      </c>
      <c r="P15" s="12" t="n">
        <f aca="false">IF(P$9=1,SUMIFS(dr_USD,dr_Mes,10,dr_Cod,"IVA_RECUP",dr_Est,"&lt;&gt;Excluido"),(P$13+P$14)*Calendario!P$13)</f>
        <v>0</v>
      </c>
      <c r="Q15" s="12" t="n">
        <f aca="false">IF(Q$9=1,SUMIFS(dr_USD,dr_Mes,11,dr_Cod,"IVA_RECUP",dr_Est,"&lt;&gt;Excluido"),(Q$13+Q$14)*Calendario!Q$13)</f>
        <v>0</v>
      </c>
      <c r="R15" s="12" t="n">
        <f aca="false">IF(R$9=1,SUMIFS(dr_USD,dr_Mes,12,dr_Cod,"IVA_RECUP",dr_Est,"&lt;&gt;Excluido"),(R$13+R$14)*Calendario!R$13)</f>
        <v>0</v>
      </c>
      <c r="S15" s="12" t="n">
        <f aca="false">IF(S$9=1,SUMIFS(dr_USD,dr_Mes,13,dr_Cod,"IVA_RECUP",dr_Est,"&lt;&gt;Excluido"),(S$13+S$14)*Calendario!S$13)</f>
        <v>0</v>
      </c>
      <c r="T15" s="12" t="n">
        <f aca="false">IF(T$9=1,SUMIFS(dr_USD,dr_Mes,14,dr_Cod,"IVA_RECUP",dr_Est,"&lt;&gt;Excluido"),(T$13+T$14)*Calendario!T$13)</f>
        <v>0</v>
      </c>
      <c r="U15" s="12" t="n">
        <f aca="false">IF(U$9=1,SUMIFS(dr_USD,dr_Mes,15,dr_Cod,"IVA_RECUP",dr_Est,"&lt;&gt;Excluido"),(U$13+U$14)*Calendario!U$13)</f>
        <v>0</v>
      </c>
      <c r="V15" s="12" t="n">
        <f aca="false">IF(V$9=1,SUMIFS(dr_USD,dr_Mes,16,dr_Cod,"IVA_RECUP",dr_Est,"&lt;&gt;Excluido"),(V$13+V$14)*Calendario!V$13)</f>
        <v>0</v>
      </c>
      <c r="W15" s="12" t="n">
        <f aca="false">IF(W$9=1,SUMIFS(dr_USD,dr_Mes,17,dr_Cod,"IVA_RECUP",dr_Est,"&lt;&gt;Excluido"),(W$13+W$14)*Calendario!W$13)</f>
        <v>0</v>
      </c>
      <c r="X15" s="12" t="n">
        <f aca="false">IF(X$9=1,SUMIFS(dr_USD,dr_Mes,18,dr_Cod,"IVA_RECUP",dr_Est,"&lt;&gt;Excluido"),(X$13+X$14)*Calendario!X$13)</f>
        <v>0</v>
      </c>
      <c r="Y15" s="12" t="n">
        <f aca="false">IF(Y$9=1,SUMIFS(dr_USD,dr_Mes,19,dr_Cod,"IVA_RECUP",dr_Est,"&lt;&gt;Excluido"),(Y$13+Y$14)*Calendario!Y$13)</f>
        <v>0</v>
      </c>
      <c r="Z15" s="12" t="n">
        <f aca="false">IF(Z$9=1,SUMIFS(dr_USD,dr_Mes,20,dr_Cod,"IVA_RECUP",dr_Est,"&lt;&gt;Excluido"),(Z$13+Z$14)*Calendario!Z$13)</f>
        <v>0</v>
      </c>
      <c r="AA15" s="12" t="n">
        <f aca="false">IF(AA$9=1,SUMIFS(dr_USD,dr_Mes,21,dr_Cod,"IVA_RECUP",dr_Est,"&lt;&gt;Excluido"),(AA$13+AA$14)*Calendario!AA$13)</f>
        <v>0</v>
      </c>
      <c r="AB15" s="12" t="n">
        <f aca="false">IF(AB$9=1,SUMIFS(dr_USD,dr_Mes,22,dr_Cod,"IVA_RECUP",dr_Est,"&lt;&gt;Excluido"),(AB$13+AB$14)*Calendario!AB$13)</f>
        <v>0</v>
      </c>
      <c r="AC15" s="12" t="n">
        <f aca="false">IF(AC$9=1,SUMIFS(dr_USD,dr_Mes,23,dr_Cod,"IVA_RECUP",dr_Est,"&lt;&gt;Excluido"),(AC$13+AC$14)*Calendario!AC$13)</f>
        <v>0</v>
      </c>
      <c r="AD15" s="12" t="n">
        <f aca="false">IF(AD$9=1,SUMIFS(dr_USD,dr_Mes,24,dr_Cod,"IVA_RECUP",dr_Est,"&lt;&gt;Excluido"),(AD$13+AD$14)*Calendario!AD$13)</f>
        <v>0</v>
      </c>
      <c r="AE15" s="12" t="n">
        <f aca="false">IF(AE$9=1,SUMIFS(dr_USD,dr_Mes,25,dr_Cod,"IVA_RECUP",dr_Est,"&lt;&gt;Excluido"),(AE$13+AE$14)*Calendario!AE$13)</f>
        <v>0</v>
      </c>
      <c r="AF15" s="12" t="n">
        <f aca="false">IF(AF$9=1,SUMIFS(dr_USD,dr_Mes,26,dr_Cod,"IVA_RECUP",dr_Est,"&lt;&gt;Excluido"),(AF$13+AF$14)*Calendario!AF$13)</f>
        <v>0</v>
      </c>
      <c r="AG15" s="12" t="n">
        <f aca="false">IF(AG$9=1,SUMIFS(dr_USD,dr_Mes,27,dr_Cod,"IVA_RECUP",dr_Est,"&lt;&gt;Excluido"),(AG$13+AG$14)*Calendario!AG$13)</f>
        <v>0</v>
      </c>
      <c r="AH15" s="12" t="n">
        <f aca="false">IF(AH$9=1,SUMIFS(dr_USD,dr_Mes,28,dr_Cod,"IVA_RECUP",dr_Est,"&lt;&gt;Excluido"),(AH$13+AH$14)*Calendario!AH$13)</f>
        <v>0</v>
      </c>
      <c r="AI15" s="12" t="n">
        <f aca="false">IF(AI$9=1,SUMIFS(dr_USD,dr_Mes,29,dr_Cod,"IVA_RECUP",dr_Est,"&lt;&gt;Excluido"),(AI$13+AI$14)*Calendario!AI$13)</f>
        <v>0</v>
      </c>
      <c r="AJ15" s="12" t="n">
        <f aca="false">IF(AJ$9=1,SUMIFS(dr_USD,dr_Mes,30,dr_Cod,"IVA_RECUP",dr_Est,"&lt;&gt;Excluido"),(AJ$13+AJ$14)*Calendario!AJ$13)</f>
        <v>0</v>
      </c>
      <c r="AK15" s="12" t="n">
        <f aca="false">IF(AK$9=1,SUMIFS(dr_USD,dr_Mes,31,dr_Cod,"IVA_RECUP",dr_Est,"&lt;&gt;Excluido"),(AK$13+AK$14)*Calendario!AK$13)</f>
        <v>0</v>
      </c>
      <c r="AL15" s="12" t="n">
        <f aca="false">IF(AL$9=1,SUMIFS(dr_USD,dr_Mes,32,dr_Cod,"IVA_RECUP",dr_Est,"&lt;&gt;Excluido"),(AL$13+AL$14)*Calendario!AL$13)</f>
        <v>0</v>
      </c>
      <c r="AM15" s="12" t="n">
        <f aca="false">IF(AM$9=1,SUMIFS(dr_USD,dr_Mes,33,dr_Cod,"IVA_RECUP",dr_Est,"&lt;&gt;Excluido"),(AM$13+AM$14)*Calendario!AM$13)</f>
        <v>0</v>
      </c>
      <c r="AN15" s="12" t="n">
        <f aca="false">IF(AN$9=1,SUMIFS(dr_USD,dr_Mes,34,dr_Cod,"IVA_RECUP",dr_Est,"&lt;&gt;Excluido"),(AN$13+AN$14)*Calendario!AN$13)</f>
        <v>0</v>
      </c>
      <c r="AO15" s="12" t="n">
        <f aca="false">IF(AO$9=1,SUMIFS(dr_USD,dr_Mes,35,dr_Cod,"IVA_RECUP",dr_Est,"&lt;&gt;Excluido"),(AO$13+AO$14)*Calendario!AO$13)</f>
        <v>0</v>
      </c>
      <c r="AP15" s="12" t="n">
        <f aca="false">IF(AP$9=1,SUMIFS(dr_USD,dr_Mes,36,dr_Cod,"IVA_RECUP",dr_Est,"&lt;&gt;Excluido"),(AP$13+AP$14)*Calendario!AP$13)</f>
        <v>0</v>
      </c>
      <c r="AQ15" s="12" t="n">
        <f aca="false">IF(AQ$9=1,SUMIFS(dr_USD,dr_Mes,37,dr_Cod,"IVA_RECUP",dr_Est,"&lt;&gt;Excluido"),(AQ$13+AQ$14)*Calendario!AQ$13)</f>
        <v>0</v>
      </c>
      <c r="AR15" s="12" t="n">
        <f aca="false">IF(AR$9=1,SUMIFS(dr_USD,dr_Mes,38,dr_Cod,"IVA_RECUP",dr_Est,"&lt;&gt;Excluido"),(AR$13+AR$14)*Calendario!AR$13)</f>
        <v>0</v>
      </c>
      <c r="AS15" s="12" t="n">
        <f aca="false">IF(AS$9=1,SUMIFS(dr_USD,dr_Mes,39,dr_Cod,"IVA_RECUP",dr_Est,"&lt;&gt;Excluido"),(AS$13+AS$14)*Calendario!AS$13)</f>
        <v>0</v>
      </c>
      <c r="AT15" s="12" t="n">
        <f aca="false">IF(AT$9=1,SUMIFS(dr_USD,dr_Mes,40,dr_Cod,"IVA_RECUP",dr_Est,"&lt;&gt;Excluido"),(AT$13+AT$14)*Calendario!AT$13)</f>
        <v>0</v>
      </c>
      <c r="AU15" s="12" t="n">
        <f aca="false">IF(AU$9=1,SUMIFS(dr_USD,dr_Mes,41,dr_Cod,"IVA_RECUP",dr_Est,"&lt;&gt;Excluido"),(AU$13+AU$14)*Calendario!AU$13)</f>
        <v>0</v>
      </c>
      <c r="AV15" s="12" t="n">
        <f aca="false">IF(AV$9=1,SUMIFS(dr_USD,dr_Mes,42,dr_Cod,"IVA_RECUP",dr_Est,"&lt;&gt;Excluido"),(AV$13+AV$14)*Calendario!AV$13)</f>
        <v>0</v>
      </c>
      <c r="AW15" s="12" t="n">
        <f aca="false">IF(AW$9=1,SUMIFS(dr_USD,dr_Mes,43,dr_Cod,"IVA_RECUP",dr_Est,"&lt;&gt;Excluido"),(AW$13+AW$14)*Calendario!AW$13)</f>
        <v>0</v>
      </c>
      <c r="AX15" s="12" t="n">
        <f aca="false">IF(AX$9=1,SUMIFS(dr_USD,dr_Mes,44,dr_Cod,"IVA_RECUP",dr_Est,"&lt;&gt;Excluido"),(AX$13+AX$14)*Calendario!AX$13)</f>
        <v>0</v>
      </c>
      <c r="AY15" s="12" t="n">
        <f aca="false">IF(AY$9=1,SUMIFS(dr_USD,dr_Mes,45,dr_Cod,"IVA_RECUP",dr_Est,"&lt;&gt;Excluido"),(AY$13+AY$14)*Calendario!AY$13)</f>
        <v>0</v>
      </c>
      <c r="AZ15" s="12" t="n">
        <f aca="false">IF(AZ$9=1,SUMIFS(dr_USD,dr_Mes,46,dr_Cod,"IVA_RECUP",dr_Est,"&lt;&gt;Excluido"),(AZ$13+AZ$14)*Calendario!AZ$13)</f>
        <v>0</v>
      </c>
      <c r="BA15" s="12" t="n">
        <f aca="false">IF(BA$9=1,SUMIFS(dr_USD,dr_Mes,47,dr_Cod,"IVA_RECUP",dr_Est,"&lt;&gt;Excluido"),(BA$13+BA$14)*Calendario!BA$13)</f>
        <v>0</v>
      </c>
      <c r="BB15" s="12" t="n">
        <f aca="false">IF(BB$9=1,SUMIFS(dr_USD,dr_Mes,48,dr_Cod,"IVA_RECUP",dr_Est,"&lt;&gt;Excluido"),(BB$13+BB$14)*Calendario!BB$13)</f>
        <v>0</v>
      </c>
      <c r="BC15" s="12" t="n">
        <f aca="false">IF(BC$9=1,SUMIFS(dr_USD,dr_Mes,49,dr_Cod,"IVA_RECUP",dr_Est,"&lt;&gt;Excluido"),(BC$13+BC$14)*Calendario!BC$13)</f>
        <v>0</v>
      </c>
      <c r="BD15" s="12" t="n">
        <f aca="false">IF(BD$9=1,SUMIFS(dr_USD,dr_Mes,50,dr_Cod,"IVA_RECUP",dr_Est,"&lt;&gt;Excluido"),(BD$13+BD$14)*Calendario!BD$13)</f>
        <v>0</v>
      </c>
      <c r="BE15" s="12" t="n">
        <f aca="false">IF(BE$9=1,SUMIFS(dr_USD,dr_Mes,51,dr_Cod,"IVA_RECUP",dr_Est,"&lt;&gt;Excluido"),(BE$13+BE$14)*Calendario!BE$13)</f>
        <v>0</v>
      </c>
      <c r="BF15" s="12" t="n">
        <f aca="false">IF(BF$9=1,SUMIFS(dr_USD,dr_Mes,52,dr_Cod,"IVA_RECUP",dr_Est,"&lt;&gt;Excluido"),(BF$13+BF$14)*Calendario!BF$13)</f>
        <v>0</v>
      </c>
      <c r="BG15" s="12" t="n">
        <f aca="false">IF(BG$9=1,SUMIFS(dr_USD,dr_Mes,53,dr_Cod,"IVA_RECUP",dr_Est,"&lt;&gt;Excluido"),(BG$13+BG$14)*Calendario!BG$13)</f>
        <v>0</v>
      </c>
      <c r="BH15" s="12" t="n">
        <f aca="false">IF(BH$9=1,SUMIFS(dr_USD,dr_Mes,54,dr_Cod,"IVA_RECUP",dr_Est,"&lt;&gt;Excluido"),(BH$13+BH$14)*Calendario!BH$13)</f>
        <v>0</v>
      </c>
      <c r="BI15" s="12" t="n">
        <f aca="false">IF(BI$9=1,SUMIFS(dr_USD,dr_Mes,55,dr_Cod,"IVA_RECUP",dr_Est,"&lt;&gt;Excluido"),(BI$13+BI$14)*Calendario!BI$13)</f>
        <v>0</v>
      </c>
      <c r="BJ15" s="12" t="n">
        <f aca="false">IF(BJ$9=1,SUMIFS(dr_USD,dr_Mes,56,dr_Cod,"IVA_RECUP",dr_Est,"&lt;&gt;Excluido"),(BJ$13+BJ$14)*Calendario!BJ$13)</f>
        <v>0</v>
      </c>
      <c r="BK15" s="12" t="n">
        <f aca="false">IF(BK$9=1,SUMIFS(dr_USD,dr_Mes,57,dr_Cod,"IVA_RECUP",dr_Est,"&lt;&gt;Excluido"),(BK$13+BK$14)*Calendario!BK$13)</f>
        <v>0</v>
      </c>
      <c r="BL15" s="12" t="n">
        <f aca="false">IF(BL$9=1,SUMIFS(dr_USD,dr_Mes,58,dr_Cod,"IVA_RECUP",dr_Est,"&lt;&gt;Excluido"),(BL$13+BL$14)*Calendario!BL$13)</f>
        <v>0</v>
      </c>
      <c r="BM15" s="12" t="n">
        <f aca="false">IF(BM$9=1,SUMIFS(dr_USD,dr_Mes,59,dr_Cod,"IVA_RECUP",dr_Est,"&lt;&gt;Excluido"),(BM$13+BM$14)*Calendario!BM$13)</f>
        <v>0</v>
      </c>
      <c r="BN15" s="12" t="n">
        <f aca="false">IF(BN$9=1,SUMIFS(dr_USD,dr_Mes,60,dr_Cod,"IVA_RECUP",dr_Est,"&lt;&gt;Excluido"),(BN$13+BN$14)*Calendario!BN$13)</f>
        <v>0</v>
      </c>
      <c r="BO15" s="12" t="n">
        <f aca="false">IF(BO$9=1,SUMIFS(dr_USD,dr_Mes,61,dr_Cod,"IVA_RECUP",dr_Est,"&lt;&gt;Excluido"),(BO$13+BO$14)*Calendario!BO$13)</f>
        <v>0</v>
      </c>
      <c r="BP15" s="12" t="n">
        <f aca="false">IF(BP$9=1,SUMIFS(dr_USD,dr_Mes,62,dr_Cod,"IVA_RECUP",dr_Est,"&lt;&gt;Excluido"),(BP$13+BP$14)*Calendario!BP$13)</f>
        <v>0</v>
      </c>
      <c r="BQ15" s="12" t="n">
        <f aca="false">IF(BQ$9=1,SUMIFS(dr_USD,dr_Mes,63,dr_Cod,"IVA_RECUP",dr_Est,"&lt;&gt;Excluido"),(BQ$13+BQ$14)*Calendario!BQ$13)</f>
        <v>0</v>
      </c>
      <c r="BR15" s="12" t="n">
        <f aca="false">IF(BR$9=1,SUMIFS(dr_USD,dr_Mes,64,dr_Cod,"IVA_RECUP",dr_Est,"&lt;&gt;Excluido"),(BR$13+BR$14)*Calendario!BR$13)</f>
        <v>0</v>
      </c>
      <c r="BS15" s="12" t="n">
        <f aca="false">IF(BS$9=1,SUMIFS(dr_USD,dr_Mes,65,dr_Cod,"IVA_RECUP",dr_Est,"&lt;&gt;Excluido"),(BS$13+BS$14)*Calendario!BS$13)</f>
        <v>0</v>
      </c>
      <c r="BT15" s="12" t="n">
        <f aca="false">IF(BT$9=1,SUMIFS(dr_USD,dr_Mes,66,dr_Cod,"IVA_RECUP",dr_Est,"&lt;&gt;Excluido"),(BT$13+BT$14)*Calendario!BT$13)</f>
        <v>0</v>
      </c>
      <c r="BU15" s="12" t="n">
        <f aca="false">IF(BU$9=1,SUMIFS(dr_USD,dr_Mes,67,dr_Cod,"IVA_RECUP",dr_Est,"&lt;&gt;Excluido"),(BU$13+BU$14)*Calendario!BU$13)</f>
        <v>0</v>
      </c>
      <c r="BV15" s="12" t="n">
        <f aca="false">IF(BV$9=1,SUMIFS(dr_USD,dr_Mes,68,dr_Cod,"IVA_RECUP",dr_Est,"&lt;&gt;Excluido"),(BV$13+BV$14)*Calendario!BV$13)</f>
        <v>0</v>
      </c>
      <c r="BW15" s="12" t="n">
        <f aca="false">IF(BW$9=1,SUMIFS(dr_USD,dr_Mes,69,dr_Cod,"IVA_RECUP",dr_Est,"&lt;&gt;Excluido"),(BW$13+BW$14)*Calendario!BW$13)</f>
        <v>0</v>
      </c>
      <c r="BX15" s="12" t="n">
        <f aca="false">IF(BX$9=1,SUMIFS(dr_USD,dr_Mes,70,dr_Cod,"IVA_RECUP",dr_Est,"&lt;&gt;Excluido"),(BX$13+BX$14)*Calendario!BX$13)</f>
        <v>0</v>
      </c>
      <c r="BY15" s="12" t="n">
        <f aca="false">IF(BY$9=1,SUMIFS(dr_USD,dr_Mes,71,dr_Cod,"IVA_RECUP",dr_Est,"&lt;&gt;Excluido"),(BY$13+BY$14)*Calendario!BY$13)</f>
        <v>0</v>
      </c>
      <c r="BZ15" s="12" t="n">
        <f aca="false">IF(BZ$9=1,SUMIFS(dr_USD,dr_Mes,72,dr_Cod,"IVA_RECUP",dr_Est,"&lt;&gt;Excluido"),(BZ$13+BZ$14)*Calendario!BZ$13)</f>
        <v>0</v>
      </c>
      <c r="CA15" s="12" t="n">
        <f aca="false">IF(CA$9=1,SUMIFS(dr_USD,dr_Mes,73,dr_Cod,"IVA_RECUP",dr_Est,"&lt;&gt;Excluido"),(CA$13+CA$14)*Calendario!CA$13)</f>
        <v>0</v>
      </c>
      <c r="CB15" s="12" t="n">
        <f aca="false">IF(CB$9=1,SUMIFS(dr_USD,dr_Mes,74,dr_Cod,"IVA_RECUP",dr_Est,"&lt;&gt;Excluido"),(CB$13+CB$14)*Calendario!CB$13)</f>
        <v>0</v>
      </c>
      <c r="CC15" s="12" t="n">
        <f aca="false">IF(CC$9=1,SUMIFS(dr_USD,dr_Mes,75,dr_Cod,"IVA_RECUP",dr_Est,"&lt;&gt;Excluido"),(CC$13+CC$14)*Calendario!CC$13)</f>
        <v>0</v>
      </c>
      <c r="CD15" s="12" t="n">
        <f aca="false">IF(CD$9=1,SUMIFS(dr_USD,dr_Mes,76,dr_Cod,"IVA_RECUP",dr_Est,"&lt;&gt;Excluido"),(CD$13+CD$14)*Calendario!CD$13)</f>
        <v>0</v>
      </c>
      <c r="CE15" s="12" t="n">
        <f aca="false">IF(CE$9=1,SUMIFS(dr_USD,dr_Mes,77,dr_Cod,"IVA_RECUP",dr_Est,"&lt;&gt;Excluido"),(CE$13+CE$14)*Calendario!CE$13)</f>
        <v>0</v>
      </c>
      <c r="CF15" s="12" t="n">
        <f aca="false">IF(CF$9=1,SUMIFS(dr_USD,dr_Mes,78,dr_Cod,"IVA_RECUP",dr_Est,"&lt;&gt;Excluido"),(CF$13+CF$14)*Calendario!CF$13)</f>
        <v>0</v>
      </c>
      <c r="CG15" s="12" t="n">
        <f aca="false">IF(CG$9=1,SUMIFS(dr_USD,dr_Mes,79,dr_Cod,"IVA_RECUP",dr_Est,"&lt;&gt;Excluido"),(CG$13+CG$14)*Calendario!CG$13)</f>
        <v>0</v>
      </c>
      <c r="CH15" s="12" t="n">
        <f aca="false">IF(CH$9=1,SUMIFS(dr_USD,dr_Mes,80,dr_Cod,"IVA_RECUP",dr_Est,"&lt;&gt;Excluido"),(CH$13+CH$14)*Calendario!CH$13)</f>
        <v>0</v>
      </c>
      <c r="CI15" s="12" t="n">
        <f aca="false">IF(CI$9=1,SUMIFS(dr_USD,dr_Mes,81,dr_Cod,"IVA_RECUP",dr_Est,"&lt;&gt;Excluido"),(CI$13+CI$14)*Calendario!CI$13)</f>
        <v>0</v>
      </c>
      <c r="CJ15" s="12" t="n">
        <f aca="false">IF(CJ$9=1,SUMIFS(dr_USD,dr_Mes,82,dr_Cod,"IVA_RECUP",dr_Est,"&lt;&gt;Excluido"),(CJ$13+CJ$14)*Calendario!CJ$13)</f>
        <v>0</v>
      </c>
      <c r="CK15" s="12" t="n">
        <f aca="false">IF(CK$9=1,SUMIFS(dr_USD,dr_Mes,83,dr_Cod,"IVA_RECUP",dr_Est,"&lt;&gt;Excluido"),(CK$13+CK$14)*Calendario!CK$13)</f>
        <v>0</v>
      </c>
      <c r="CL15" s="12" t="n">
        <f aca="false">IF(CL$9=1,SUMIFS(dr_USD,dr_Mes,84,dr_Cod,"IVA_RECUP",dr_Est,"&lt;&gt;Excluido"),(CL$13+CL$14)*Calendario!CL$13)</f>
        <v>0</v>
      </c>
      <c r="CM15" s="12" t="n">
        <f aca="false">IF(CM$9=1,SUMIFS(dr_USD,dr_Mes,85,dr_Cod,"IVA_RECUP",dr_Est,"&lt;&gt;Excluido"),(CM$13+CM$14)*Calendario!CM$13)</f>
        <v>0</v>
      </c>
      <c r="CN15" s="12" t="n">
        <f aca="false">IF(CN$9=1,SUMIFS(dr_USD,dr_Mes,86,dr_Cod,"IVA_RECUP",dr_Est,"&lt;&gt;Excluido"),(CN$13+CN$14)*Calendario!CN$13)</f>
        <v>0</v>
      </c>
      <c r="CO15" s="12" t="n">
        <f aca="false">IF(CO$9=1,SUMIFS(dr_USD,dr_Mes,87,dr_Cod,"IVA_RECUP",dr_Est,"&lt;&gt;Excluido"),(CO$13+CO$14)*Calendario!CO$13)</f>
        <v>0</v>
      </c>
      <c r="CP15" s="12" t="n">
        <f aca="false">IF(CP$9=1,SUMIFS(dr_USD,dr_Mes,88,dr_Cod,"IVA_RECUP",dr_Est,"&lt;&gt;Excluido"),(CP$13+CP$14)*Calendario!CP$13)</f>
        <v>0</v>
      </c>
      <c r="CQ15" s="12" t="n">
        <f aca="false">IF(CQ$9=1,SUMIFS(dr_USD,dr_Mes,89,dr_Cod,"IVA_RECUP",dr_Est,"&lt;&gt;Excluido"),(CQ$13+CQ$14)*Calendario!CQ$13)</f>
        <v>0</v>
      </c>
      <c r="CR15" s="12" t="n">
        <f aca="false">IF(CR$9=1,SUMIFS(dr_USD,dr_Mes,90,dr_Cod,"IVA_RECUP",dr_Est,"&lt;&gt;Excluido"),(CR$13+CR$14)*Calendario!CR$13)</f>
        <v>0</v>
      </c>
      <c r="CS15" s="12" t="n">
        <f aca="false">IF(CS$9=1,SUMIFS(dr_USD,dr_Mes,91,dr_Cod,"IVA_RECUP",dr_Est,"&lt;&gt;Excluido"),(CS$13+CS$14)*Calendario!CS$13)</f>
        <v>0</v>
      </c>
      <c r="CT15" s="12" t="n">
        <f aca="false">IF(CT$9=1,SUMIFS(dr_USD,dr_Mes,92,dr_Cod,"IVA_RECUP",dr_Est,"&lt;&gt;Excluido"),(CT$13+CT$14)*Calendario!CT$13)</f>
        <v>0</v>
      </c>
      <c r="CU15" s="12" t="n">
        <f aca="false">IF(CU$9=1,SUMIFS(dr_USD,dr_Mes,93,dr_Cod,"IVA_RECUP",dr_Est,"&lt;&gt;Excluido"),(CU$13+CU$14)*Calendario!CU$13)</f>
        <v>0</v>
      </c>
      <c r="CV15" s="12" t="n">
        <f aca="false">IF(CV$9=1,SUMIFS(dr_USD,dr_Mes,94,dr_Cod,"IVA_RECUP",dr_Est,"&lt;&gt;Excluido"),(CV$13+CV$14)*Calendario!CV$13)</f>
        <v>0</v>
      </c>
      <c r="CW15" s="12" t="n">
        <f aca="false">IF(CW$9=1,SUMIFS(dr_USD,dr_Mes,95,dr_Cod,"IVA_RECUP",dr_Est,"&lt;&gt;Excluido"),(CW$13+CW$14)*Calendario!CW$13)</f>
        <v>0</v>
      </c>
      <c r="CX15" s="12" t="n">
        <f aca="false">IF(CX$9=1,SUMIFS(dr_USD,dr_Mes,96,dr_Cod,"IVA_RECUP",dr_Est,"&lt;&gt;Excluido"),(CX$13+CX$14)*Calendario!CX$13)</f>
        <v>0</v>
      </c>
      <c r="CY15" s="12" t="n">
        <f aca="false">IF(CY$9=1,SUMIFS(dr_USD,dr_Mes,97,dr_Cod,"IVA_RECUP",dr_Est,"&lt;&gt;Excluido"),(CY$13+CY$14)*Calendario!CY$13)</f>
        <v>0</v>
      </c>
      <c r="CZ15" s="12" t="n">
        <f aca="false">IF(CZ$9=1,SUMIFS(dr_USD,dr_Mes,98,dr_Cod,"IVA_RECUP",dr_Est,"&lt;&gt;Excluido"),(CZ$13+CZ$14)*Calendario!CZ$13)</f>
        <v>0</v>
      </c>
      <c r="DA15" s="12" t="n">
        <f aca="false">IF(DA$9=1,SUMIFS(dr_USD,dr_Mes,99,dr_Cod,"IVA_RECUP",dr_Est,"&lt;&gt;Excluido"),(DA$13+DA$14)*Calendario!DA$13)</f>
        <v>0</v>
      </c>
      <c r="DB15" s="12" t="n">
        <f aca="false">IF(DB$9=1,SUMIFS(dr_USD,dr_Mes,100,dr_Cod,"IVA_RECUP",dr_Est,"&lt;&gt;Excluido"),(DB$13+DB$14)*Calendario!DB$13)</f>
        <v>0</v>
      </c>
      <c r="DC15" s="12" t="n">
        <f aca="false">IF(DC$9=1,SUMIFS(dr_USD,dr_Mes,101,dr_Cod,"IVA_RECUP",dr_Est,"&lt;&gt;Excluido"),(DC$13+DC$14)*Calendario!DC$13)</f>
        <v>0</v>
      </c>
      <c r="DD15" s="12" t="n">
        <f aca="false">IF(DD$9=1,SUMIFS(dr_USD,dr_Mes,102,dr_Cod,"IVA_RECUP",dr_Est,"&lt;&gt;Excluido"),(DD$13+DD$14)*Calendario!DD$13)</f>
        <v>0</v>
      </c>
      <c r="DE15" s="12" t="n">
        <f aca="false">IF(DE$9=1,SUMIFS(dr_USD,dr_Mes,103,dr_Cod,"IVA_RECUP",dr_Est,"&lt;&gt;Excluido"),(DE$13+DE$14)*Calendario!DE$13)</f>
        <v>0</v>
      </c>
      <c r="DF15" s="12" t="n">
        <f aca="false">IF(DF$9=1,SUMIFS(dr_USD,dr_Mes,104,dr_Cod,"IVA_RECUP",dr_Est,"&lt;&gt;Excluido"),(DF$13+DF$14)*Calendario!DF$13)</f>
        <v>0</v>
      </c>
      <c r="DG15" s="12" t="n">
        <f aca="false">IF(DG$9=1,SUMIFS(dr_USD,dr_Mes,105,dr_Cod,"IVA_RECUP",dr_Est,"&lt;&gt;Excluido"),(DG$13+DG$14)*Calendario!DG$13)</f>
        <v>0</v>
      </c>
      <c r="DH15" s="12" t="n">
        <f aca="false">IF(DH$9=1,SUMIFS(dr_USD,dr_Mes,106,dr_Cod,"IVA_RECUP",dr_Est,"&lt;&gt;Excluido"),(DH$13+DH$14)*Calendario!DH$13)</f>
        <v>0</v>
      </c>
      <c r="DI15" s="12" t="n">
        <f aca="false">IF(DI$9=1,SUMIFS(dr_USD,dr_Mes,107,dr_Cod,"IVA_RECUP",dr_Est,"&lt;&gt;Excluido"),(DI$13+DI$14)*Calendario!DI$13)</f>
        <v>0</v>
      </c>
      <c r="DJ15" s="12" t="n">
        <f aca="false">IF(DJ$9=1,SUMIFS(dr_USD,dr_Mes,108,dr_Cod,"IVA_RECUP",dr_Est,"&lt;&gt;Excluido"),(DJ$13+DJ$14)*Calendario!DJ$13)</f>
        <v>0</v>
      </c>
      <c r="DK15" s="12" t="n">
        <f aca="false">IF(DK$9=1,SUMIFS(dr_USD,dr_Mes,109,dr_Cod,"IVA_RECUP",dr_Est,"&lt;&gt;Excluido"),(DK$13+DK$14)*Calendario!DK$13)</f>
        <v>0</v>
      </c>
      <c r="DL15" s="12" t="n">
        <f aca="false">IF(DL$9=1,SUMIFS(dr_USD,dr_Mes,110,dr_Cod,"IVA_RECUP",dr_Est,"&lt;&gt;Excluido"),(DL$13+DL$14)*Calendario!DL$13)</f>
        <v>0</v>
      </c>
      <c r="DM15" s="12" t="n">
        <f aca="false">IF(DM$9=1,SUMIFS(dr_USD,dr_Mes,111,dr_Cod,"IVA_RECUP",dr_Est,"&lt;&gt;Excluido"),(DM$13+DM$14)*Calendario!DM$13)</f>
        <v>0</v>
      </c>
      <c r="DN15" s="12" t="n">
        <f aca="false">IF(DN$9=1,SUMIFS(dr_USD,dr_Mes,112,dr_Cod,"IVA_RECUP",dr_Est,"&lt;&gt;Excluido"),(DN$13+DN$14)*Calendario!DN$13)</f>
        <v>0</v>
      </c>
      <c r="DO15" s="12" t="n">
        <f aca="false">IF(DO$9=1,SUMIFS(dr_USD,dr_Mes,113,dr_Cod,"IVA_RECUP",dr_Est,"&lt;&gt;Excluido"),(DO$13+DO$14)*Calendario!DO$13)</f>
        <v>0</v>
      </c>
      <c r="DP15" s="12" t="n">
        <f aca="false">IF(DP$9=1,SUMIFS(dr_USD,dr_Mes,114,dr_Cod,"IVA_RECUP",dr_Est,"&lt;&gt;Excluido"),(DP$13+DP$14)*Calendario!DP$13)</f>
        <v>0</v>
      </c>
      <c r="DQ15" s="12" t="n">
        <f aca="false">IF(DQ$9=1,SUMIFS(dr_USD,dr_Mes,115,dr_Cod,"IVA_RECUP",dr_Est,"&lt;&gt;Excluido"),(DQ$13+DQ$14)*Calendario!DQ$13)</f>
        <v>0</v>
      </c>
      <c r="DR15" s="12" t="n">
        <f aca="false">IF(DR$9=1,SUMIFS(dr_USD,dr_Mes,116,dr_Cod,"IVA_RECUP",dr_Est,"&lt;&gt;Excluido"),(DR$13+DR$14)*Calendario!DR$13)</f>
        <v>0</v>
      </c>
      <c r="DS15" s="12" t="n">
        <f aca="false">IF(DS$9=1,SUMIFS(dr_USD,dr_Mes,117,dr_Cod,"IVA_RECUP",dr_Est,"&lt;&gt;Excluido"),(DS$13+DS$14)*Calendario!DS$13)</f>
        <v>0</v>
      </c>
      <c r="DT15" s="12" t="n">
        <f aca="false">IF(DT$9=1,SUMIFS(dr_USD,dr_Mes,118,dr_Cod,"IVA_RECUP",dr_Est,"&lt;&gt;Excluido"),(DT$13+DT$14)*Calendario!DT$13)</f>
        <v>0</v>
      </c>
      <c r="DU15" s="12" t="n">
        <f aca="false">IF(DU$9=1,SUMIFS(dr_USD,dr_Mes,119,dr_Cod,"IVA_RECUP",dr_Est,"&lt;&gt;Excluido"),(DU$13+DU$14)*Calendario!DU$13)</f>
        <v>0</v>
      </c>
      <c r="DV15" s="12" t="n">
        <f aca="false">IF(DV$9=1,SUMIFS(dr_USD,dr_Mes,120,dr_Cod,"IVA_RECUP",dr_Est,"&lt;&gt;Excluido"),(DV$13+DV$14)*Calendario!DV$13)</f>
        <v>0</v>
      </c>
      <c r="DW15" s="12" t="n">
        <f aca="false">IF(DW$9=1,SUMIFS(dr_USD,dr_Mes,121,dr_Cod,"IVA_RECUP",dr_Est,"&lt;&gt;Excluido"),(DW$13+DW$14)*Calendario!DW$13)</f>
        <v>0</v>
      </c>
      <c r="DX15" s="12" t="n">
        <f aca="false">IF(DX$9=1,SUMIFS(dr_USD,dr_Mes,122,dr_Cod,"IVA_RECUP",dr_Est,"&lt;&gt;Excluido"),(DX$13+DX$14)*Calendario!DX$13)</f>
        <v>0</v>
      </c>
      <c r="DY15" s="12" t="n">
        <f aca="false">IF(DY$9=1,SUMIFS(dr_USD,dr_Mes,123,dr_Cod,"IVA_RECUP",dr_Est,"&lt;&gt;Excluido"),(DY$13+DY$14)*Calendario!DY$13)</f>
        <v>0</v>
      </c>
      <c r="DZ15" s="12" t="n">
        <f aca="false">IF(DZ$9=1,SUMIFS(dr_USD,dr_Mes,124,dr_Cod,"IVA_RECUP",dr_Est,"&lt;&gt;Excluido"),(DZ$13+DZ$14)*Calendario!DZ$13)</f>
        <v>0</v>
      </c>
      <c r="EA15" s="12" t="n">
        <f aca="false">IF(EA$9=1,SUMIFS(dr_USD,dr_Mes,125,dr_Cod,"IVA_RECUP",dr_Est,"&lt;&gt;Excluido"),(EA$13+EA$14)*Calendario!EA$13)</f>
        <v>0</v>
      </c>
      <c r="EB15" s="12" t="n">
        <f aca="false">IF(EB$9=1,SUMIFS(dr_USD,dr_Mes,126,dr_Cod,"IVA_RECUP",dr_Est,"&lt;&gt;Excluido"),(EB$13+EB$14)*Calendario!EB$13)</f>
        <v>0</v>
      </c>
      <c r="EC15" s="12" t="n">
        <f aca="false">IF(EC$9=1,SUMIFS(dr_USD,dr_Mes,127,dr_Cod,"IVA_RECUP",dr_Est,"&lt;&gt;Excluido"),(EC$13+EC$14)*Calendario!EC$13)</f>
        <v>0</v>
      </c>
      <c r="ED15" s="12" t="n">
        <f aca="false">IF(ED$9=1,SUMIFS(dr_USD,dr_Mes,128,dr_Cod,"IVA_RECUP",dr_Est,"&lt;&gt;Excluido"),(ED$13+ED$14)*Calendario!ED$13)</f>
        <v>0</v>
      </c>
      <c r="EE15" s="12" t="n">
        <f aca="false">IF(EE$9=1,SUMIFS(dr_USD,dr_Mes,129,dr_Cod,"IVA_RECUP",dr_Est,"&lt;&gt;Excluido"),(EE$13+EE$14)*Calendario!EE$13)</f>
        <v>0</v>
      </c>
      <c r="EF15" s="12" t="n">
        <f aca="false">IF(EF$9=1,SUMIFS(dr_USD,dr_Mes,130,dr_Cod,"IVA_RECUP",dr_Est,"&lt;&gt;Excluido"),(EF$13+EF$14)*Calendario!EF$13)</f>
        <v>0</v>
      </c>
      <c r="EG15" s="12" t="n">
        <f aca="false">IF(EG$9=1,SUMIFS(dr_USD,dr_Mes,131,dr_Cod,"IVA_RECUP",dr_Est,"&lt;&gt;Excluido"),(EG$13+EG$14)*Calendario!EG$13)</f>
        <v>0</v>
      </c>
      <c r="EH15" s="12" t="n">
        <f aca="false">IF(EH$9=1,SUMIFS(dr_USD,dr_Mes,132,dr_Cod,"IVA_RECUP",dr_Est,"&lt;&gt;Excluido"),(EH$13+EH$14)*Calendario!EH$13)</f>
        <v>0</v>
      </c>
      <c r="EI15" s="12" t="n">
        <f aca="false">IF(EI$9=1,SUMIFS(dr_USD,dr_Mes,133,dr_Cod,"IVA_RECUP",dr_Est,"&lt;&gt;Excluido"),(EI$13+EI$14)*Calendario!EI$13)</f>
        <v>0</v>
      </c>
      <c r="EJ15" s="12" t="n">
        <f aca="false">IF(EJ$9=1,SUMIFS(dr_USD,dr_Mes,134,dr_Cod,"IVA_RECUP",dr_Est,"&lt;&gt;Excluido"),(EJ$13+EJ$14)*Calendario!EJ$13)</f>
        <v>0</v>
      </c>
      <c r="EK15" s="12" t="n">
        <f aca="false">IF(EK$9=1,SUMIFS(dr_USD,dr_Mes,135,dr_Cod,"IVA_RECUP",dr_Est,"&lt;&gt;Excluido"),(EK$13+EK$14)*Calendario!EK$13)</f>
        <v>0</v>
      </c>
      <c r="EL15" s="12" t="n">
        <f aca="false">IF(EL$9=1,SUMIFS(dr_USD,dr_Mes,136,dr_Cod,"IVA_RECUP",dr_Est,"&lt;&gt;Excluido"),(EL$13+EL$14)*Calendario!EL$13)</f>
        <v>0</v>
      </c>
      <c r="EM15" s="12" t="n">
        <f aca="false">IF(EM$9=1,SUMIFS(dr_USD,dr_Mes,137,dr_Cod,"IVA_RECUP",dr_Est,"&lt;&gt;Excluido"),(EM$13+EM$14)*Calendario!EM$13)</f>
        <v>0</v>
      </c>
      <c r="EN15" s="12" t="n">
        <f aca="false">IF(EN$9=1,SUMIFS(dr_USD,dr_Mes,138,dr_Cod,"IVA_RECUP",dr_Est,"&lt;&gt;Excluido"),(EN$13+EN$14)*Calendario!EN$13)</f>
        <v>0</v>
      </c>
      <c r="EO15" s="12" t="n">
        <f aca="false">IF(EO$9=1,SUMIFS(dr_USD,dr_Mes,139,dr_Cod,"IVA_RECUP",dr_Est,"&lt;&gt;Excluido"),(EO$13+EO$14)*Calendario!EO$13)</f>
        <v>0</v>
      </c>
      <c r="EP15" s="12" t="n">
        <f aca="false">IF(EP$9=1,SUMIFS(dr_USD,dr_Mes,140,dr_Cod,"IVA_RECUP",dr_Est,"&lt;&gt;Excluido"),(EP$13+EP$14)*Calendario!EP$13)</f>
        <v>0</v>
      </c>
      <c r="EQ15" s="12" t="n">
        <f aca="false">IF(EQ$9=1,SUMIFS(dr_USD,dr_Mes,141,dr_Cod,"IVA_RECUP",dr_Est,"&lt;&gt;Excluido"),(EQ$13+EQ$14)*Calendario!EQ$13)</f>
        <v>0</v>
      </c>
      <c r="ER15" s="12" t="n">
        <f aca="false">IF(ER$9=1,SUMIFS(dr_USD,dr_Mes,142,dr_Cod,"IVA_RECUP",dr_Est,"&lt;&gt;Excluido"),(ER$13+ER$14)*Calendario!ER$13)</f>
        <v>0</v>
      </c>
      <c r="ES15" s="12" t="n">
        <f aca="false">IF(ES$9=1,SUMIFS(dr_USD,dr_Mes,143,dr_Cod,"IVA_RECUP",dr_Est,"&lt;&gt;Excluido"),(ES$13+ES$14)*Calendario!ES$13)</f>
        <v>0</v>
      </c>
      <c r="ET15" s="12" t="n">
        <f aca="false">IF(ET$9=1,SUMIFS(dr_USD,dr_Mes,144,dr_Cod,"IVA_RECUP",dr_Est,"&lt;&gt;Excluido"),(ET$13+ET$14)*Calendario!ET$13)</f>
        <v>0</v>
      </c>
      <c r="EU15" s="12" t="n">
        <f aca="false">IF(EU$9=1,SUMIFS(dr_USD,dr_Mes,145,dr_Cod,"IVA_RECUP",dr_Est,"&lt;&gt;Excluido"),(EU$13+EU$14)*Calendario!EU$13)</f>
        <v>0</v>
      </c>
      <c r="EV15" s="12" t="n">
        <f aca="false">IF(EV$9=1,SUMIFS(dr_USD,dr_Mes,146,dr_Cod,"IVA_RECUP",dr_Est,"&lt;&gt;Excluido"),(EV$13+EV$14)*Calendario!EV$13)</f>
        <v>0</v>
      </c>
      <c r="EW15" s="12" t="n">
        <f aca="false">IF(EW$9=1,SUMIFS(dr_USD,dr_Mes,147,dr_Cod,"IVA_RECUP",dr_Est,"&lt;&gt;Excluido"),(EW$13+EW$14)*Calendario!EW$13)</f>
        <v>0</v>
      </c>
      <c r="EX15" s="12" t="n">
        <f aca="false">IF(EX$9=1,SUMIFS(dr_USD,dr_Mes,148,dr_Cod,"IVA_RECUP",dr_Est,"&lt;&gt;Excluido"),(EX$13+EX$14)*Calendario!EX$13)</f>
        <v>0</v>
      </c>
      <c r="EY15" s="12" t="n">
        <f aca="false">IF(EY$9=1,SUMIFS(dr_USD,dr_Mes,149,dr_Cod,"IVA_RECUP",dr_Est,"&lt;&gt;Excluido"),(EY$13+EY$14)*Calendario!EY$13)</f>
        <v>0</v>
      </c>
      <c r="EZ15" s="12" t="n">
        <f aca="false">IF(EZ$9=1,SUMIFS(dr_USD,dr_Mes,150,dr_Cod,"IVA_RECUP",dr_Est,"&lt;&gt;Excluido"),(EZ$13+EZ$14)*Calendario!EZ$13)</f>
        <v>0</v>
      </c>
      <c r="FA15" s="12" t="n">
        <f aca="false">IF(FA$9=1,SUMIFS(dr_USD,dr_Mes,151,dr_Cod,"IVA_RECUP",dr_Est,"&lt;&gt;Excluido"),(FA$13+FA$14)*Calendario!FA$13)</f>
        <v>0</v>
      </c>
      <c r="FB15" s="12" t="n">
        <f aca="false">IF(FB$9=1,SUMIFS(dr_USD,dr_Mes,152,dr_Cod,"IVA_RECUP",dr_Est,"&lt;&gt;Excluido"),(FB$13+FB$14)*Calendario!FB$13)</f>
        <v>0</v>
      </c>
      <c r="FC15" s="12" t="n">
        <f aca="false">IF(FC$9=1,SUMIFS(dr_USD,dr_Mes,153,dr_Cod,"IVA_RECUP",dr_Est,"&lt;&gt;Excluido"),(FC$13+FC$14)*Calendario!FC$13)</f>
        <v>0</v>
      </c>
      <c r="FD15" s="12" t="n">
        <f aca="false">IF(FD$9=1,SUMIFS(dr_USD,dr_Mes,154,dr_Cod,"IVA_RECUP",dr_Est,"&lt;&gt;Excluido"),(FD$13+FD$14)*Calendario!FD$13)</f>
        <v>0</v>
      </c>
      <c r="FE15" s="12" t="n">
        <f aca="false">IF(FE$9=1,SUMIFS(dr_USD,dr_Mes,155,dr_Cod,"IVA_RECUP",dr_Est,"&lt;&gt;Excluido"),(FE$13+FE$14)*Calendario!FE$13)</f>
        <v>0</v>
      </c>
      <c r="FF15" s="12" t="n">
        <f aca="false">IF(FF$9=1,SUMIFS(dr_USD,dr_Mes,156,dr_Cod,"IVA_RECUP",dr_Est,"&lt;&gt;Excluido"),(FF$13+FF$14)*Calendario!FF$13)</f>
        <v>0</v>
      </c>
    </row>
    <row r="16" customFormat="false" ht="15" hidden="false" customHeight="false" outlineLevel="0" collapsed="false">
      <c r="A16" s="2" t="s">
        <v>1390</v>
      </c>
      <c r="B16" s="8" t="s">
        <v>1391</v>
      </c>
      <c r="C16" s="8" t="s">
        <v>255</v>
      </c>
      <c r="F16" s="13" t="n">
        <f aca="false">0+F$12-F$15</f>
        <v>0</v>
      </c>
      <c r="G16" s="13" t="n">
        <f aca="false">F$17+G$12-G$15</f>
        <v>0</v>
      </c>
      <c r="H16" s="13" t="n">
        <f aca="false">G$17+H$12-H$15</f>
        <v>0</v>
      </c>
      <c r="I16" s="13" t="n">
        <f aca="false">H$17+I$12-I$15</f>
        <v>0</v>
      </c>
      <c r="J16" s="13" t="n">
        <f aca="false">I$17+J$12-J$15</f>
        <v>0</v>
      </c>
      <c r="K16" s="13" t="n">
        <f aca="false">J$17+K$12-K$15</f>
        <v>0</v>
      </c>
      <c r="L16" s="13" t="n">
        <f aca="false">K$17+L$12-L$15</f>
        <v>0</v>
      </c>
      <c r="M16" s="13" t="n">
        <f aca="false">L$17+M$12-M$15</f>
        <v>0</v>
      </c>
      <c r="N16" s="13" t="n">
        <f aca="false">M$17+N$12-N$15</f>
        <v>0</v>
      </c>
      <c r="O16" s="13" t="n">
        <f aca="false">N$17+O$12-O$15</f>
        <v>0</v>
      </c>
      <c r="P16" s="13" t="n">
        <f aca="false">O$17+P$12-P$15</f>
        <v>0</v>
      </c>
      <c r="Q16" s="13" t="n">
        <f aca="false">P$17+Q$12-Q$15</f>
        <v>0</v>
      </c>
      <c r="R16" s="13" t="n">
        <f aca="false">Q$17+R$12-R$15</f>
        <v>0</v>
      </c>
      <c r="S16" s="13" t="n">
        <f aca="false">R$17+S$12-S$15</f>
        <v>0</v>
      </c>
      <c r="T16" s="13" t="n">
        <f aca="false">S$17+T$12-T$15</f>
        <v>0</v>
      </c>
      <c r="U16" s="13" t="n">
        <f aca="false">T$17+U$12-U$15</f>
        <v>0</v>
      </c>
      <c r="V16" s="13" t="n">
        <f aca="false">U$17+V$12-V$15</f>
        <v>0</v>
      </c>
      <c r="W16" s="13" t="n">
        <f aca="false">V$17+W$12-W$15</f>
        <v>0</v>
      </c>
      <c r="X16" s="13" t="n">
        <f aca="false">W$17+X$12-X$15</f>
        <v>0</v>
      </c>
      <c r="Y16" s="13" t="n">
        <f aca="false">X$17+Y$12-Y$15</f>
        <v>0</v>
      </c>
      <c r="Z16" s="13" t="n">
        <f aca="false">Y$17+Z$12-Z$15</f>
        <v>0</v>
      </c>
      <c r="AA16" s="13" t="n">
        <f aca="false">Z$17+AA$12-AA$15</f>
        <v>0</v>
      </c>
      <c r="AB16" s="13" t="n">
        <f aca="false">AA$17+AB$12-AB$15</f>
        <v>0</v>
      </c>
      <c r="AC16" s="13" t="n">
        <f aca="false">AB$17+AC$12-AC$15</f>
        <v>0</v>
      </c>
      <c r="AD16" s="13" t="n">
        <f aca="false">AC$17+AD$12-AD$15</f>
        <v>0</v>
      </c>
      <c r="AE16" s="13" t="n">
        <f aca="false">AD$17+AE$12-AE$15</f>
        <v>0</v>
      </c>
      <c r="AF16" s="13" t="n">
        <f aca="false">AE$17+AF$12-AF$15</f>
        <v>0</v>
      </c>
      <c r="AG16" s="13" t="n">
        <f aca="false">AF$17+AG$12-AG$15</f>
        <v>0</v>
      </c>
      <c r="AH16" s="13" t="n">
        <f aca="false">AG$17+AH$12-AH$15</f>
        <v>0</v>
      </c>
      <c r="AI16" s="13" t="n">
        <f aca="false">AH$17+AI$12-AI$15</f>
        <v>0</v>
      </c>
      <c r="AJ16" s="13" t="n">
        <f aca="false">AI$17+AJ$12-AJ$15</f>
        <v>0</v>
      </c>
      <c r="AK16" s="13" t="n">
        <f aca="false">AJ$17+AK$12-AK$15</f>
        <v>0</v>
      </c>
      <c r="AL16" s="13" t="n">
        <f aca="false">AK$17+AL$12-AL$15</f>
        <v>0</v>
      </c>
      <c r="AM16" s="13" t="n">
        <f aca="false">AL$17+AM$12-AM$15</f>
        <v>0</v>
      </c>
      <c r="AN16" s="13" t="n">
        <f aca="false">AM$17+AN$12-AN$15</f>
        <v>0</v>
      </c>
      <c r="AO16" s="13" t="n">
        <f aca="false">AN$17+AO$12-AO$15</f>
        <v>0</v>
      </c>
      <c r="AP16" s="13" t="n">
        <f aca="false">AO$17+AP$12-AP$15</f>
        <v>0</v>
      </c>
      <c r="AQ16" s="13" t="n">
        <f aca="false">AP$17+AQ$12-AQ$15</f>
        <v>0</v>
      </c>
      <c r="AR16" s="13" t="n">
        <f aca="false">AQ$17+AR$12-AR$15</f>
        <v>0</v>
      </c>
      <c r="AS16" s="13" t="n">
        <f aca="false">AR$17+AS$12-AS$15</f>
        <v>0</v>
      </c>
      <c r="AT16" s="13" t="n">
        <f aca="false">AS$17+AT$12-AT$15</f>
        <v>0</v>
      </c>
      <c r="AU16" s="13" t="n">
        <f aca="false">AT$17+AU$12-AU$15</f>
        <v>0</v>
      </c>
      <c r="AV16" s="13" t="n">
        <f aca="false">AU$17+AV$12-AV$15</f>
        <v>0</v>
      </c>
      <c r="AW16" s="13" t="n">
        <f aca="false">AV$17+AW$12-AW$15</f>
        <v>0</v>
      </c>
      <c r="AX16" s="13" t="n">
        <f aca="false">AW$17+AX$12-AX$15</f>
        <v>0</v>
      </c>
      <c r="AY16" s="13" t="n">
        <f aca="false">AX$17+AY$12-AY$15</f>
        <v>0</v>
      </c>
      <c r="AZ16" s="13" t="n">
        <f aca="false">AY$17+AZ$12-AZ$15</f>
        <v>0</v>
      </c>
      <c r="BA16" s="13" t="n">
        <f aca="false">AZ$17+BA$12-BA$15</f>
        <v>0</v>
      </c>
      <c r="BB16" s="13" t="n">
        <f aca="false">BA$17+BB$12-BB$15</f>
        <v>0</v>
      </c>
      <c r="BC16" s="13" t="n">
        <f aca="false">BB$17+BC$12-BC$15</f>
        <v>0</v>
      </c>
      <c r="BD16" s="13" t="n">
        <f aca="false">BC$17+BD$12-BD$15</f>
        <v>0</v>
      </c>
      <c r="BE16" s="13" t="n">
        <f aca="false">BD$17+BE$12-BE$15</f>
        <v>0</v>
      </c>
      <c r="BF16" s="13" t="n">
        <f aca="false">BE$17+BF$12-BF$15</f>
        <v>0</v>
      </c>
      <c r="BG16" s="13" t="n">
        <f aca="false">BF$17+BG$12-BG$15</f>
        <v>0</v>
      </c>
      <c r="BH16" s="13" t="n">
        <f aca="false">BG$17+BH$12-BH$15</f>
        <v>0</v>
      </c>
      <c r="BI16" s="13" t="n">
        <f aca="false">BH$17+BI$12-BI$15</f>
        <v>0</v>
      </c>
      <c r="BJ16" s="13" t="n">
        <f aca="false">BI$17+BJ$12-BJ$15</f>
        <v>0</v>
      </c>
      <c r="BK16" s="13" t="n">
        <f aca="false">BJ$17+BK$12-BK$15</f>
        <v>0</v>
      </c>
      <c r="BL16" s="13" t="n">
        <f aca="false">BK$17+BL$12-BL$15</f>
        <v>0</v>
      </c>
      <c r="BM16" s="13" t="n">
        <f aca="false">BL$17+BM$12-BM$15</f>
        <v>0</v>
      </c>
      <c r="BN16" s="13" t="n">
        <f aca="false">BM$17+BN$12-BN$15</f>
        <v>0</v>
      </c>
      <c r="BO16" s="13" t="n">
        <f aca="false">BN$17+BO$12-BO$15</f>
        <v>0</v>
      </c>
      <c r="BP16" s="13" t="n">
        <f aca="false">BO$17+BP$12-BP$15</f>
        <v>0</v>
      </c>
      <c r="BQ16" s="13" t="n">
        <f aca="false">BP$17+BQ$12-BQ$15</f>
        <v>0</v>
      </c>
      <c r="BR16" s="13" t="n">
        <f aca="false">BQ$17+BR$12-BR$15</f>
        <v>0</v>
      </c>
      <c r="BS16" s="13" t="n">
        <f aca="false">BR$17+BS$12-BS$15</f>
        <v>0</v>
      </c>
      <c r="BT16" s="13" t="n">
        <f aca="false">BS$17+BT$12-BT$15</f>
        <v>0</v>
      </c>
      <c r="BU16" s="13" t="n">
        <f aca="false">BT$17+BU$12-BU$15</f>
        <v>0</v>
      </c>
      <c r="BV16" s="13" t="n">
        <f aca="false">BU$17+BV$12-BV$15</f>
        <v>0</v>
      </c>
      <c r="BW16" s="13" t="n">
        <f aca="false">BV$17+BW$12-BW$15</f>
        <v>0</v>
      </c>
      <c r="BX16" s="13" t="n">
        <f aca="false">BW$17+BX$12-BX$15</f>
        <v>0</v>
      </c>
      <c r="BY16" s="13" t="n">
        <f aca="false">BX$17+BY$12-BY$15</f>
        <v>0</v>
      </c>
      <c r="BZ16" s="13" t="n">
        <f aca="false">BY$17+BZ$12-BZ$15</f>
        <v>0</v>
      </c>
      <c r="CA16" s="13" t="n">
        <f aca="false">BZ$17+CA$12-CA$15</f>
        <v>0</v>
      </c>
      <c r="CB16" s="13" t="n">
        <f aca="false">CA$17+CB$12-CB$15</f>
        <v>0</v>
      </c>
      <c r="CC16" s="13" t="n">
        <f aca="false">CB$17+CC$12-CC$15</f>
        <v>0</v>
      </c>
      <c r="CD16" s="13" t="n">
        <f aca="false">CC$17+CD$12-CD$15</f>
        <v>0</v>
      </c>
      <c r="CE16" s="13" t="n">
        <f aca="false">CD$17+CE$12-CE$15</f>
        <v>0</v>
      </c>
      <c r="CF16" s="13" t="n">
        <f aca="false">CE$17+CF$12-CF$15</f>
        <v>0</v>
      </c>
      <c r="CG16" s="13" t="n">
        <f aca="false">CF$17+CG$12-CG$15</f>
        <v>0</v>
      </c>
      <c r="CH16" s="13" t="n">
        <f aca="false">CG$17+CH$12-CH$15</f>
        <v>0</v>
      </c>
      <c r="CI16" s="13" t="n">
        <f aca="false">CH$17+CI$12-CI$15</f>
        <v>0</v>
      </c>
      <c r="CJ16" s="13" t="n">
        <f aca="false">CI$17+CJ$12-CJ$15</f>
        <v>0</v>
      </c>
      <c r="CK16" s="13" t="n">
        <f aca="false">CJ$17+CK$12-CK$15</f>
        <v>0</v>
      </c>
      <c r="CL16" s="13" t="n">
        <f aca="false">CK$17+CL$12-CL$15</f>
        <v>0</v>
      </c>
      <c r="CM16" s="13" t="n">
        <f aca="false">CL$17+CM$12-CM$15</f>
        <v>0</v>
      </c>
      <c r="CN16" s="13" t="n">
        <f aca="false">CM$17+CN$12-CN$15</f>
        <v>0</v>
      </c>
      <c r="CO16" s="13" t="n">
        <f aca="false">CN$17+CO$12-CO$15</f>
        <v>0</v>
      </c>
      <c r="CP16" s="13" t="n">
        <f aca="false">CO$17+CP$12-CP$15</f>
        <v>0</v>
      </c>
      <c r="CQ16" s="13" t="n">
        <f aca="false">CP$17+CQ$12-CQ$15</f>
        <v>0</v>
      </c>
      <c r="CR16" s="13" t="n">
        <f aca="false">CQ$17+CR$12-CR$15</f>
        <v>0</v>
      </c>
      <c r="CS16" s="13" t="n">
        <f aca="false">CR$17+CS$12-CS$15</f>
        <v>0</v>
      </c>
      <c r="CT16" s="13" t="n">
        <f aca="false">CS$17+CT$12-CT$15</f>
        <v>0</v>
      </c>
      <c r="CU16" s="13" t="n">
        <f aca="false">CT$17+CU$12-CU$15</f>
        <v>0</v>
      </c>
      <c r="CV16" s="13" t="n">
        <f aca="false">CU$17+CV$12-CV$15</f>
        <v>0</v>
      </c>
      <c r="CW16" s="13" t="n">
        <f aca="false">CV$17+CW$12-CW$15</f>
        <v>0</v>
      </c>
      <c r="CX16" s="13" t="n">
        <f aca="false">CW$17+CX$12-CX$15</f>
        <v>0</v>
      </c>
      <c r="CY16" s="13" t="n">
        <f aca="false">CX$17+CY$12-CY$15</f>
        <v>0</v>
      </c>
      <c r="CZ16" s="13" t="n">
        <f aca="false">CY$17+CZ$12-CZ$15</f>
        <v>0</v>
      </c>
      <c r="DA16" s="13" t="n">
        <f aca="false">CZ$17+DA$12-DA$15</f>
        <v>0</v>
      </c>
      <c r="DB16" s="13" t="n">
        <f aca="false">DA$17+DB$12-DB$15</f>
        <v>0</v>
      </c>
      <c r="DC16" s="13" t="n">
        <f aca="false">DB$17+DC$12-DC$15</f>
        <v>0</v>
      </c>
      <c r="DD16" s="13" t="n">
        <f aca="false">DC$17+DD$12-DD$15</f>
        <v>0</v>
      </c>
      <c r="DE16" s="13" t="n">
        <f aca="false">DD$17+DE$12-DE$15</f>
        <v>0</v>
      </c>
      <c r="DF16" s="13" t="n">
        <f aca="false">DE$17+DF$12-DF$15</f>
        <v>0</v>
      </c>
      <c r="DG16" s="13" t="n">
        <f aca="false">DF$17+DG$12-DG$15</f>
        <v>0</v>
      </c>
      <c r="DH16" s="13" t="n">
        <f aca="false">DG$17+DH$12-DH$15</f>
        <v>0</v>
      </c>
      <c r="DI16" s="13" t="n">
        <f aca="false">DH$17+DI$12-DI$15</f>
        <v>0</v>
      </c>
      <c r="DJ16" s="13" t="n">
        <f aca="false">DI$17+DJ$12-DJ$15</f>
        <v>0</v>
      </c>
      <c r="DK16" s="13" t="n">
        <f aca="false">DJ$17+DK$12-DK$15</f>
        <v>0</v>
      </c>
      <c r="DL16" s="13" t="n">
        <f aca="false">DK$17+DL$12-DL$15</f>
        <v>0</v>
      </c>
      <c r="DM16" s="13" t="n">
        <f aca="false">DL$17+DM$12-DM$15</f>
        <v>0</v>
      </c>
      <c r="DN16" s="13" t="n">
        <f aca="false">DM$17+DN$12-DN$15</f>
        <v>0</v>
      </c>
      <c r="DO16" s="13" t="n">
        <f aca="false">DN$17+DO$12-DO$15</f>
        <v>0</v>
      </c>
      <c r="DP16" s="13" t="n">
        <f aca="false">DO$17+DP$12-DP$15</f>
        <v>0</v>
      </c>
      <c r="DQ16" s="13" t="n">
        <f aca="false">DP$17+DQ$12-DQ$15</f>
        <v>0</v>
      </c>
      <c r="DR16" s="13" t="n">
        <f aca="false">DQ$17+DR$12-DR$15</f>
        <v>0</v>
      </c>
      <c r="DS16" s="13" t="n">
        <f aca="false">DR$17+DS$12-DS$15</f>
        <v>0</v>
      </c>
      <c r="DT16" s="13" t="n">
        <f aca="false">DS$17+DT$12-DT$15</f>
        <v>0</v>
      </c>
      <c r="DU16" s="13" t="n">
        <f aca="false">DT$17+DU$12-DU$15</f>
        <v>0</v>
      </c>
      <c r="DV16" s="13" t="n">
        <f aca="false">DU$17+DV$12-DV$15</f>
        <v>0</v>
      </c>
      <c r="DW16" s="13" t="n">
        <f aca="false">DV$17+DW$12-DW$15</f>
        <v>0</v>
      </c>
      <c r="DX16" s="13" t="n">
        <f aca="false">DW$17+DX$12-DX$15</f>
        <v>0</v>
      </c>
      <c r="DY16" s="13" t="n">
        <f aca="false">DX$17+DY$12-DY$15</f>
        <v>0</v>
      </c>
      <c r="DZ16" s="13" t="n">
        <f aca="false">DY$17+DZ$12-DZ$15</f>
        <v>0</v>
      </c>
      <c r="EA16" s="13" t="n">
        <f aca="false">DZ$17+EA$12-EA$15</f>
        <v>0</v>
      </c>
      <c r="EB16" s="13" t="n">
        <f aca="false">EA$17+EB$12-EB$15</f>
        <v>0</v>
      </c>
      <c r="EC16" s="13" t="n">
        <f aca="false">EB$17+EC$12-EC$15</f>
        <v>0</v>
      </c>
      <c r="ED16" s="13" t="n">
        <f aca="false">EC$17+ED$12-ED$15</f>
        <v>0</v>
      </c>
      <c r="EE16" s="13" t="n">
        <f aca="false">ED$17+EE$12-EE$15</f>
        <v>0</v>
      </c>
      <c r="EF16" s="13" t="n">
        <f aca="false">EE$17+EF$12-EF$15</f>
        <v>0</v>
      </c>
      <c r="EG16" s="13" t="n">
        <f aca="false">EF$17+EG$12-EG$15</f>
        <v>0</v>
      </c>
      <c r="EH16" s="13" t="n">
        <f aca="false">EG$17+EH$12-EH$15</f>
        <v>0</v>
      </c>
      <c r="EI16" s="13" t="n">
        <f aca="false">EH$17+EI$12-EI$15</f>
        <v>0</v>
      </c>
      <c r="EJ16" s="13" t="n">
        <f aca="false">EI$17+EJ$12-EJ$15</f>
        <v>0</v>
      </c>
      <c r="EK16" s="13" t="n">
        <f aca="false">EJ$17+EK$12-EK$15</f>
        <v>0</v>
      </c>
      <c r="EL16" s="13" t="n">
        <f aca="false">EK$17+EL$12-EL$15</f>
        <v>0</v>
      </c>
      <c r="EM16" s="13" t="n">
        <f aca="false">EL$17+EM$12-EM$15</f>
        <v>0</v>
      </c>
      <c r="EN16" s="13" t="n">
        <f aca="false">EM$17+EN$12-EN$15</f>
        <v>0</v>
      </c>
      <c r="EO16" s="13" t="n">
        <f aca="false">EN$17+EO$12-EO$15</f>
        <v>0</v>
      </c>
      <c r="EP16" s="13" t="n">
        <f aca="false">EO$17+EP$12-EP$15</f>
        <v>0</v>
      </c>
      <c r="EQ16" s="13" t="n">
        <f aca="false">EP$17+EQ$12-EQ$15</f>
        <v>0</v>
      </c>
      <c r="ER16" s="13" t="n">
        <f aca="false">EQ$17+ER$12-ER$15</f>
        <v>0</v>
      </c>
      <c r="ES16" s="13" t="n">
        <f aca="false">ER$17+ES$12-ES$15</f>
        <v>0</v>
      </c>
      <c r="ET16" s="13" t="n">
        <f aca="false">ES$17+ET$12-ET$15</f>
        <v>0</v>
      </c>
      <c r="EU16" s="13" t="n">
        <f aca="false">ET$17+EU$12-EU$15</f>
        <v>0</v>
      </c>
      <c r="EV16" s="13" t="n">
        <f aca="false">EU$17+EV$12-EV$15</f>
        <v>0</v>
      </c>
      <c r="EW16" s="13" t="n">
        <f aca="false">EV$17+EW$12-EW$15</f>
        <v>0</v>
      </c>
      <c r="EX16" s="13" t="n">
        <f aca="false">EW$17+EX$12-EX$15</f>
        <v>0</v>
      </c>
      <c r="EY16" s="13" t="n">
        <f aca="false">EX$17+EY$12-EY$15</f>
        <v>0</v>
      </c>
      <c r="EZ16" s="13" t="n">
        <f aca="false">EY$17+EZ$12-EZ$15</f>
        <v>0</v>
      </c>
      <c r="FA16" s="13" t="n">
        <f aca="false">EZ$17+FA$12-FA$15</f>
        <v>0</v>
      </c>
      <c r="FB16" s="13" t="n">
        <f aca="false">FA$17+FB$12-FB$15</f>
        <v>0</v>
      </c>
      <c r="FC16" s="13" t="n">
        <f aca="false">FB$17+FC$12-FC$15</f>
        <v>0</v>
      </c>
      <c r="FD16" s="13" t="n">
        <f aca="false">FC$17+FD$12-FD$15</f>
        <v>0</v>
      </c>
      <c r="FE16" s="13" t="n">
        <f aca="false">FD$17+FE$12-FE$15</f>
        <v>0</v>
      </c>
      <c r="FF16" s="13" t="n">
        <f aca="false">FE$17+FF$12-FF$15</f>
        <v>0</v>
      </c>
    </row>
    <row r="17" customFormat="false" ht="15" hidden="false" customHeight="false" outlineLevel="0" collapsed="false">
      <c r="A17" s="2" t="s">
        <v>1392</v>
      </c>
      <c r="B17" s="66" t="s">
        <v>1393</v>
      </c>
      <c r="C17" s="8" t="s">
        <v>255</v>
      </c>
      <c r="E17" s="67" t="n">
        <f aca="false">MAX($F17:$FF17)</f>
        <v>0</v>
      </c>
      <c r="F17" s="12" t="n">
        <f aca="false">IF(AND(0=p_MesCorte,ISNUMBER(r_S_IVA)),r_S_IVA,F$16)</f>
        <v>0</v>
      </c>
      <c r="G17" s="12" t="n">
        <f aca="false">IF(AND(1=p_MesCorte,ISNUMBER(r_S_IVA)),r_S_IVA,G$16)</f>
        <v>0</v>
      </c>
      <c r="H17" s="12" t="n">
        <f aca="false">IF(AND(2=p_MesCorte,ISNUMBER(r_S_IVA)),r_S_IVA,H$16)</f>
        <v>0</v>
      </c>
      <c r="I17" s="12" t="n">
        <f aca="false">IF(AND(3=p_MesCorte,ISNUMBER(r_S_IVA)),r_S_IVA,I$16)</f>
        <v>0</v>
      </c>
      <c r="J17" s="12" t="n">
        <f aca="false">IF(AND(4=p_MesCorte,ISNUMBER(r_S_IVA)),r_S_IVA,J$16)</f>
        <v>0</v>
      </c>
      <c r="K17" s="12" t="n">
        <f aca="false">IF(AND(5=p_MesCorte,ISNUMBER(r_S_IVA)),r_S_IVA,K$16)</f>
        <v>0</v>
      </c>
      <c r="L17" s="12" t="n">
        <f aca="false">IF(AND(6=p_MesCorte,ISNUMBER(r_S_IVA)),r_S_IVA,L$16)</f>
        <v>0</v>
      </c>
      <c r="M17" s="12" t="n">
        <f aca="false">IF(AND(7=p_MesCorte,ISNUMBER(r_S_IVA)),r_S_IVA,M$16)</f>
        <v>0</v>
      </c>
      <c r="N17" s="12" t="n">
        <f aca="false">IF(AND(8=p_MesCorte,ISNUMBER(r_S_IVA)),r_S_IVA,N$16)</f>
        <v>0</v>
      </c>
      <c r="O17" s="12" t="n">
        <f aca="false">IF(AND(9=p_MesCorte,ISNUMBER(r_S_IVA)),r_S_IVA,O$16)</f>
        <v>0</v>
      </c>
      <c r="P17" s="12" t="n">
        <f aca="false">IF(AND(10=p_MesCorte,ISNUMBER(r_S_IVA)),r_S_IVA,P$16)</f>
        <v>0</v>
      </c>
      <c r="Q17" s="12" t="n">
        <f aca="false">IF(AND(11=p_MesCorte,ISNUMBER(r_S_IVA)),r_S_IVA,Q$16)</f>
        <v>0</v>
      </c>
      <c r="R17" s="12" t="n">
        <f aca="false">IF(AND(12=p_MesCorte,ISNUMBER(r_S_IVA)),r_S_IVA,R$16)</f>
        <v>0</v>
      </c>
      <c r="S17" s="12" t="n">
        <f aca="false">IF(AND(13=p_MesCorte,ISNUMBER(r_S_IVA)),r_S_IVA,S$16)</f>
        <v>0</v>
      </c>
      <c r="T17" s="12" t="n">
        <f aca="false">IF(AND(14=p_MesCorte,ISNUMBER(r_S_IVA)),r_S_IVA,T$16)</f>
        <v>0</v>
      </c>
      <c r="U17" s="12" t="n">
        <f aca="false">IF(AND(15=p_MesCorte,ISNUMBER(r_S_IVA)),r_S_IVA,U$16)</f>
        <v>0</v>
      </c>
      <c r="V17" s="12" t="n">
        <f aca="false">IF(AND(16=p_MesCorte,ISNUMBER(r_S_IVA)),r_S_IVA,V$16)</f>
        <v>0</v>
      </c>
      <c r="W17" s="12" t="n">
        <f aca="false">IF(AND(17=p_MesCorte,ISNUMBER(r_S_IVA)),r_S_IVA,W$16)</f>
        <v>0</v>
      </c>
      <c r="X17" s="12" t="n">
        <f aca="false">IF(AND(18=p_MesCorte,ISNUMBER(r_S_IVA)),r_S_IVA,X$16)</f>
        <v>0</v>
      </c>
      <c r="Y17" s="12" t="n">
        <f aca="false">IF(AND(19=p_MesCorte,ISNUMBER(r_S_IVA)),r_S_IVA,Y$16)</f>
        <v>0</v>
      </c>
      <c r="Z17" s="12" t="n">
        <f aca="false">IF(AND(20=p_MesCorte,ISNUMBER(r_S_IVA)),r_S_IVA,Z$16)</f>
        <v>0</v>
      </c>
      <c r="AA17" s="12" t="n">
        <f aca="false">IF(AND(21=p_MesCorte,ISNUMBER(r_S_IVA)),r_S_IVA,AA$16)</f>
        <v>0</v>
      </c>
      <c r="AB17" s="12" t="n">
        <f aca="false">IF(AND(22=p_MesCorte,ISNUMBER(r_S_IVA)),r_S_IVA,AB$16)</f>
        <v>0</v>
      </c>
      <c r="AC17" s="12" t="n">
        <f aca="false">IF(AND(23=p_MesCorte,ISNUMBER(r_S_IVA)),r_S_IVA,AC$16)</f>
        <v>0</v>
      </c>
      <c r="AD17" s="12" t="n">
        <f aca="false">IF(AND(24=p_MesCorte,ISNUMBER(r_S_IVA)),r_S_IVA,AD$16)</f>
        <v>0</v>
      </c>
      <c r="AE17" s="12" t="n">
        <f aca="false">IF(AND(25=p_MesCorte,ISNUMBER(r_S_IVA)),r_S_IVA,AE$16)</f>
        <v>0</v>
      </c>
      <c r="AF17" s="12" t="n">
        <f aca="false">IF(AND(26=p_MesCorte,ISNUMBER(r_S_IVA)),r_S_IVA,AF$16)</f>
        <v>0</v>
      </c>
      <c r="AG17" s="12" t="n">
        <f aca="false">IF(AND(27=p_MesCorte,ISNUMBER(r_S_IVA)),r_S_IVA,AG$16)</f>
        <v>0</v>
      </c>
      <c r="AH17" s="12" t="n">
        <f aca="false">IF(AND(28=p_MesCorte,ISNUMBER(r_S_IVA)),r_S_IVA,AH$16)</f>
        <v>0</v>
      </c>
      <c r="AI17" s="12" t="n">
        <f aca="false">IF(AND(29=p_MesCorte,ISNUMBER(r_S_IVA)),r_S_IVA,AI$16)</f>
        <v>0</v>
      </c>
      <c r="AJ17" s="12" t="n">
        <f aca="false">IF(AND(30=p_MesCorte,ISNUMBER(r_S_IVA)),r_S_IVA,AJ$16)</f>
        <v>0</v>
      </c>
      <c r="AK17" s="12" t="n">
        <f aca="false">IF(AND(31=p_MesCorte,ISNUMBER(r_S_IVA)),r_S_IVA,AK$16)</f>
        <v>0</v>
      </c>
      <c r="AL17" s="12" t="n">
        <f aca="false">IF(AND(32=p_MesCorte,ISNUMBER(r_S_IVA)),r_S_IVA,AL$16)</f>
        <v>0</v>
      </c>
      <c r="AM17" s="12" t="n">
        <f aca="false">IF(AND(33=p_MesCorte,ISNUMBER(r_S_IVA)),r_S_IVA,AM$16)</f>
        <v>0</v>
      </c>
      <c r="AN17" s="12" t="n">
        <f aca="false">IF(AND(34=p_MesCorte,ISNUMBER(r_S_IVA)),r_S_IVA,AN$16)</f>
        <v>0</v>
      </c>
      <c r="AO17" s="12" t="n">
        <f aca="false">IF(AND(35=p_MesCorte,ISNUMBER(r_S_IVA)),r_S_IVA,AO$16)</f>
        <v>0</v>
      </c>
      <c r="AP17" s="12" t="n">
        <f aca="false">IF(AND(36=p_MesCorte,ISNUMBER(r_S_IVA)),r_S_IVA,AP$16)</f>
        <v>0</v>
      </c>
      <c r="AQ17" s="12" t="n">
        <f aca="false">IF(AND(37=p_MesCorte,ISNUMBER(r_S_IVA)),r_S_IVA,AQ$16)</f>
        <v>0</v>
      </c>
      <c r="AR17" s="12" t="n">
        <f aca="false">IF(AND(38=p_MesCorte,ISNUMBER(r_S_IVA)),r_S_IVA,AR$16)</f>
        <v>0</v>
      </c>
      <c r="AS17" s="12" t="n">
        <f aca="false">IF(AND(39=p_MesCorte,ISNUMBER(r_S_IVA)),r_S_IVA,AS$16)</f>
        <v>0</v>
      </c>
      <c r="AT17" s="12" t="n">
        <f aca="false">IF(AND(40=p_MesCorte,ISNUMBER(r_S_IVA)),r_S_IVA,AT$16)</f>
        <v>0</v>
      </c>
      <c r="AU17" s="12" t="n">
        <f aca="false">IF(AND(41=p_MesCorte,ISNUMBER(r_S_IVA)),r_S_IVA,AU$16)</f>
        <v>0</v>
      </c>
      <c r="AV17" s="12" t="n">
        <f aca="false">IF(AND(42=p_MesCorte,ISNUMBER(r_S_IVA)),r_S_IVA,AV$16)</f>
        <v>0</v>
      </c>
      <c r="AW17" s="12" t="n">
        <f aca="false">IF(AND(43=p_MesCorte,ISNUMBER(r_S_IVA)),r_S_IVA,AW$16)</f>
        <v>0</v>
      </c>
      <c r="AX17" s="12" t="n">
        <f aca="false">IF(AND(44=p_MesCorte,ISNUMBER(r_S_IVA)),r_S_IVA,AX$16)</f>
        <v>0</v>
      </c>
      <c r="AY17" s="12" t="n">
        <f aca="false">IF(AND(45=p_MesCorte,ISNUMBER(r_S_IVA)),r_S_IVA,AY$16)</f>
        <v>0</v>
      </c>
      <c r="AZ17" s="12" t="n">
        <f aca="false">IF(AND(46=p_MesCorte,ISNUMBER(r_S_IVA)),r_S_IVA,AZ$16)</f>
        <v>0</v>
      </c>
      <c r="BA17" s="12" t="n">
        <f aca="false">IF(AND(47=p_MesCorte,ISNUMBER(r_S_IVA)),r_S_IVA,BA$16)</f>
        <v>0</v>
      </c>
      <c r="BB17" s="12" t="n">
        <f aca="false">IF(AND(48=p_MesCorte,ISNUMBER(r_S_IVA)),r_S_IVA,BB$16)</f>
        <v>0</v>
      </c>
      <c r="BC17" s="12" t="n">
        <f aca="false">IF(AND(49=p_MesCorte,ISNUMBER(r_S_IVA)),r_S_IVA,BC$16)</f>
        <v>0</v>
      </c>
      <c r="BD17" s="12" t="n">
        <f aca="false">IF(AND(50=p_MesCorte,ISNUMBER(r_S_IVA)),r_S_IVA,BD$16)</f>
        <v>0</v>
      </c>
      <c r="BE17" s="12" t="n">
        <f aca="false">IF(AND(51=p_MesCorte,ISNUMBER(r_S_IVA)),r_S_IVA,BE$16)</f>
        <v>0</v>
      </c>
      <c r="BF17" s="12" t="n">
        <f aca="false">IF(AND(52=p_MesCorte,ISNUMBER(r_S_IVA)),r_S_IVA,BF$16)</f>
        <v>0</v>
      </c>
      <c r="BG17" s="12" t="n">
        <f aca="false">IF(AND(53=p_MesCorte,ISNUMBER(r_S_IVA)),r_S_IVA,BG$16)</f>
        <v>0</v>
      </c>
      <c r="BH17" s="12" t="n">
        <f aca="false">IF(AND(54=p_MesCorte,ISNUMBER(r_S_IVA)),r_S_IVA,BH$16)</f>
        <v>0</v>
      </c>
      <c r="BI17" s="12" t="n">
        <f aca="false">IF(AND(55=p_MesCorte,ISNUMBER(r_S_IVA)),r_S_IVA,BI$16)</f>
        <v>0</v>
      </c>
      <c r="BJ17" s="12" t="n">
        <f aca="false">IF(AND(56=p_MesCorte,ISNUMBER(r_S_IVA)),r_S_IVA,BJ$16)</f>
        <v>0</v>
      </c>
      <c r="BK17" s="12" t="n">
        <f aca="false">IF(AND(57=p_MesCorte,ISNUMBER(r_S_IVA)),r_S_IVA,BK$16)</f>
        <v>0</v>
      </c>
      <c r="BL17" s="12" t="n">
        <f aca="false">IF(AND(58=p_MesCorte,ISNUMBER(r_S_IVA)),r_S_IVA,BL$16)</f>
        <v>0</v>
      </c>
      <c r="BM17" s="12" t="n">
        <f aca="false">IF(AND(59=p_MesCorte,ISNUMBER(r_S_IVA)),r_S_IVA,BM$16)</f>
        <v>0</v>
      </c>
      <c r="BN17" s="12" t="n">
        <f aca="false">IF(AND(60=p_MesCorte,ISNUMBER(r_S_IVA)),r_S_IVA,BN$16)</f>
        <v>0</v>
      </c>
      <c r="BO17" s="12" t="n">
        <f aca="false">IF(AND(61=p_MesCorte,ISNUMBER(r_S_IVA)),r_S_IVA,BO$16)</f>
        <v>0</v>
      </c>
      <c r="BP17" s="12" t="n">
        <f aca="false">IF(AND(62=p_MesCorte,ISNUMBER(r_S_IVA)),r_S_IVA,BP$16)</f>
        <v>0</v>
      </c>
      <c r="BQ17" s="12" t="n">
        <f aca="false">IF(AND(63=p_MesCorte,ISNUMBER(r_S_IVA)),r_S_IVA,BQ$16)</f>
        <v>0</v>
      </c>
      <c r="BR17" s="12" t="n">
        <f aca="false">IF(AND(64=p_MesCorte,ISNUMBER(r_S_IVA)),r_S_IVA,BR$16)</f>
        <v>0</v>
      </c>
      <c r="BS17" s="12" t="n">
        <f aca="false">IF(AND(65=p_MesCorte,ISNUMBER(r_S_IVA)),r_S_IVA,BS$16)</f>
        <v>0</v>
      </c>
      <c r="BT17" s="12" t="n">
        <f aca="false">IF(AND(66=p_MesCorte,ISNUMBER(r_S_IVA)),r_S_IVA,BT$16)</f>
        <v>0</v>
      </c>
      <c r="BU17" s="12" t="n">
        <f aca="false">IF(AND(67=p_MesCorte,ISNUMBER(r_S_IVA)),r_S_IVA,BU$16)</f>
        <v>0</v>
      </c>
      <c r="BV17" s="12" t="n">
        <f aca="false">IF(AND(68=p_MesCorte,ISNUMBER(r_S_IVA)),r_S_IVA,BV$16)</f>
        <v>0</v>
      </c>
      <c r="BW17" s="12" t="n">
        <f aca="false">IF(AND(69=p_MesCorte,ISNUMBER(r_S_IVA)),r_S_IVA,BW$16)</f>
        <v>0</v>
      </c>
      <c r="BX17" s="12" t="n">
        <f aca="false">IF(AND(70=p_MesCorte,ISNUMBER(r_S_IVA)),r_S_IVA,BX$16)</f>
        <v>0</v>
      </c>
      <c r="BY17" s="12" t="n">
        <f aca="false">IF(AND(71=p_MesCorte,ISNUMBER(r_S_IVA)),r_S_IVA,BY$16)</f>
        <v>0</v>
      </c>
      <c r="BZ17" s="12" t="n">
        <f aca="false">IF(AND(72=p_MesCorte,ISNUMBER(r_S_IVA)),r_S_IVA,BZ$16)</f>
        <v>0</v>
      </c>
      <c r="CA17" s="12" t="n">
        <f aca="false">IF(AND(73=p_MesCorte,ISNUMBER(r_S_IVA)),r_S_IVA,CA$16)</f>
        <v>0</v>
      </c>
      <c r="CB17" s="12" t="n">
        <f aca="false">IF(AND(74=p_MesCorte,ISNUMBER(r_S_IVA)),r_S_IVA,CB$16)</f>
        <v>0</v>
      </c>
      <c r="CC17" s="12" t="n">
        <f aca="false">IF(AND(75=p_MesCorte,ISNUMBER(r_S_IVA)),r_S_IVA,CC$16)</f>
        <v>0</v>
      </c>
      <c r="CD17" s="12" t="n">
        <f aca="false">IF(AND(76=p_MesCorte,ISNUMBER(r_S_IVA)),r_S_IVA,CD$16)</f>
        <v>0</v>
      </c>
      <c r="CE17" s="12" t="n">
        <f aca="false">IF(AND(77=p_MesCorte,ISNUMBER(r_S_IVA)),r_S_IVA,CE$16)</f>
        <v>0</v>
      </c>
      <c r="CF17" s="12" t="n">
        <f aca="false">IF(AND(78=p_MesCorte,ISNUMBER(r_S_IVA)),r_S_IVA,CF$16)</f>
        <v>0</v>
      </c>
      <c r="CG17" s="12" t="n">
        <f aca="false">IF(AND(79=p_MesCorte,ISNUMBER(r_S_IVA)),r_S_IVA,CG$16)</f>
        <v>0</v>
      </c>
      <c r="CH17" s="12" t="n">
        <f aca="false">IF(AND(80=p_MesCorte,ISNUMBER(r_S_IVA)),r_S_IVA,CH$16)</f>
        <v>0</v>
      </c>
      <c r="CI17" s="12" t="n">
        <f aca="false">IF(AND(81=p_MesCorte,ISNUMBER(r_S_IVA)),r_S_IVA,CI$16)</f>
        <v>0</v>
      </c>
      <c r="CJ17" s="12" t="n">
        <f aca="false">IF(AND(82=p_MesCorte,ISNUMBER(r_S_IVA)),r_S_IVA,CJ$16)</f>
        <v>0</v>
      </c>
      <c r="CK17" s="12" t="n">
        <f aca="false">IF(AND(83=p_MesCorte,ISNUMBER(r_S_IVA)),r_S_IVA,CK$16)</f>
        <v>0</v>
      </c>
      <c r="CL17" s="12" t="n">
        <f aca="false">IF(AND(84=p_MesCorte,ISNUMBER(r_S_IVA)),r_S_IVA,CL$16)</f>
        <v>0</v>
      </c>
      <c r="CM17" s="12" t="n">
        <f aca="false">IF(AND(85=p_MesCorte,ISNUMBER(r_S_IVA)),r_S_IVA,CM$16)</f>
        <v>0</v>
      </c>
      <c r="CN17" s="12" t="n">
        <f aca="false">IF(AND(86=p_MesCorte,ISNUMBER(r_S_IVA)),r_S_IVA,CN$16)</f>
        <v>0</v>
      </c>
      <c r="CO17" s="12" t="n">
        <f aca="false">IF(AND(87=p_MesCorte,ISNUMBER(r_S_IVA)),r_S_IVA,CO$16)</f>
        <v>0</v>
      </c>
      <c r="CP17" s="12" t="n">
        <f aca="false">IF(AND(88=p_MesCorte,ISNUMBER(r_S_IVA)),r_S_IVA,CP$16)</f>
        <v>0</v>
      </c>
      <c r="CQ17" s="12" t="n">
        <f aca="false">IF(AND(89=p_MesCorte,ISNUMBER(r_S_IVA)),r_S_IVA,CQ$16)</f>
        <v>0</v>
      </c>
      <c r="CR17" s="12" t="n">
        <f aca="false">IF(AND(90=p_MesCorte,ISNUMBER(r_S_IVA)),r_S_IVA,CR$16)</f>
        <v>0</v>
      </c>
      <c r="CS17" s="12" t="n">
        <f aca="false">IF(AND(91=p_MesCorte,ISNUMBER(r_S_IVA)),r_S_IVA,CS$16)</f>
        <v>0</v>
      </c>
      <c r="CT17" s="12" t="n">
        <f aca="false">IF(AND(92=p_MesCorte,ISNUMBER(r_S_IVA)),r_S_IVA,CT$16)</f>
        <v>0</v>
      </c>
      <c r="CU17" s="12" t="n">
        <f aca="false">IF(AND(93=p_MesCorte,ISNUMBER(r_S_IVA)),r_S_IVA,CU$16)</f>
        <v>0</v>
      </c>
      <c r="CV17" s="12" t="n">
        <f aca="false">IF(AND(94=p_MesCorte,ISNUMBER(r_S_IVA)),r_S_IVA,CV$16)</f>
        <v>0</v>
      </c>
      <c r="CW17" s="12" t="n">
        <f aca="false">IF(AND(95=p_MesCorte,ISNUMBER(r_S_IVA)),r_S_IVA,CW$16)</f>
        <v>0</v>
      </c>
      <c r="CX17" s="12" t="n">
        <f aca="false">IF(AND(96=p_MesCorte,ISNUMBER(r_S_IVA)),r_S_IVA,CX$16)</f>
        <v>0</v>
      </c>
      <c r="CY17" s="12" t="n">
        <f aca="false">IF(AND(97=p_MesCorte,ISNUMBER(r_S_IVA)),r_S_IVA,CY$16)</f>
        <v>0</v>
      </c>
      <c r="CZ17" s="12" t="n">
        <f aca="false">IF(AND(98=p_MesCorte,ISNUMBER(r_S_IVA)),r_S_IVA,CZ$16)</f>
        <v>0</v>
      </c>
      <c r="DA17" s="12" t="n">
        <f aca="false">IF(AND(99=p_MesCorte,ISNUMBER(r_S_IVA)),r_S_IVA,DA$16)</f>
        <v>0</v>
      </c>
      <c r="DB17" s="12" t="n">
        <f aca="false">IF(AND(100=p_MesCorte,ISNUMBER(r_S_IVA)),r_S_IVA,DB$16)</f>
        <v>0</v>
      </c>
      <c r="DC17" s="12" t="n">
        <f aca="false">IF(AND(101=p_MesCorte,ISNUMBER(r_S_IVA)),r_S_IVA,DC$16)</f>
        <v>0</v>
      </c>
      <c r="DD17" s="12" t="n">
        <f aca="false">IF(AND(102=p_MesCorte,ISNUMBER(r_S_IVA)),r_S_IVA,DD$16)</f>
        <v>0</v>
      </c>
      <c r="DE17" s="12" t="n">
        <f aca="false">IF(AND(103=p_MesCorte,ISNUMBER(r_S_IVA)),r_S_IVA,DE$16)</f>
        <v>0</v>
      </c>
      <c r="DF17" s="12" t="n">
        <f aca="false">IF(AND(104=p_MesCorte,ISNUMBER(r_S_IVA)),r_S_IVA,DF$16)</f>
        <v>0</v>
      </c>
      <c r="DG17" s="12" t="n">
        <f aca="false">IF(AND(105=p_MesCorte,ISNUMBER(r_S_IVA)),r_S_IVA,DG$16)</f>
        <v>0</v>
      </c>
      <c r="DH17" s="12" t="n">
        <f aca="false">IF(AND(106=p_MesCorte,ISNUMBER(r_S_IVA)),r_S_IVA,DH$16)</f>
        <v>0</v>
      </c>
      <c r="DI17" s="12" t="n">
        <f aca="false">IF(AND(107=p_MesCorte,ISNUMBER(r_S_IVA)),r_S_IVA,DI$16)</f>
        <v>0</v>
      </c>
      <c r="DJ17" s="12" t="n">
        <f aca="false">IF(AND(108=p_MesCorte,ISNUMBER(r_S_IVA)),r_S_IVA,DJ$16)</f>
        <v>0</v>
      </c>
      <c r="DK17" s="12" t="n">
        <f aca="false">IF(AND(109=p_MesCorte,ISNUMBER(r_S_IVA)),r_S_IVA,DK$16)</f>
        <v>0</v>
      </c>
      <c r="DL17" s="12" t="n">
        <f aca="false">IF(AND(110=p_MesCorte,ISNUMBER(r_S_IVA)),r_S_IVA,DL$16)</f>
        <v>0</v>
      </c>
      <c r="DM17" s="12" t="n">
        <f aca="false">IF(AND(111=p_MesCorte,ISNUMBER(r_S_IVA)),r_S_IVA,DM$16)</f>
        <v>0</v>
      </c>
      <c r="DN17" s="12" t="n">
        <f aca="false">IF(AND(112=p_MesCorte,ISNUMBER(r_S_IVA)),r_S_IVA,DN$16)</f>
        <v>0</v>
      </c>
      <c r="DO17" s="12" t="n">
        <f aca="false">IF(AND(113=p_MesCorte,ISNUMBER(r_S_IVA)),r_S_IVA,DO$16)</f>
        <v>0</v>
      </c>
      <c r="DP17" s="12" t="n">
        <f aca="false">IF(AND(114=p_MesCorte,ISNUMBER(r_S_IVA)),r_S_IVA,DP$16)</f>
        <v>0</v>
      </c>
      <c r="DQ17" s="12" t="n">
        <f aca="false">IF(AND(115=p_MesCorte,ISNUMBER(r_S_IVA)),r_S_IVA,DQ$16)</f>
        <v>0</v>
      </c>
      <c r="DR17" s="12" t="n">
        <f aca="false">IF(AND(116=p_MesCorte,ISNUMBER(r_S_IVA)),r_S_IVA,DR$16)</f>
        <v>0</v>
      </c>
      <c r="DS17" s="12" t="n">
        <f aca="false">IF(AND(117=p_MesCorte,ISNUMBER(r_S_IVA)),r_S_IVA,DS$16)</f>
        <v>0</v>
      </c>
      <c r="DT17" s="12" t="n">
        <f aca="false">IF(AND(118=p_MesCorte,ISNUMBER(r_S_IVA)),r_S_IVA,DT$16)</f>
        <v>0</v>
      </c>
      <c r="DU17" s="12" t="n">
        <f aca="false">IF(AND(119=p_MesCorte,ISNUMBER(r_S_IVA)),r_S_IVA,DU$16)</f>
        <v>0</v>
      </c>
      <c r="DV17" s="12" t="n">
        <f aca="false">IF(AND(120=p_MesCorte,ISNUMBER(r_S_IVA)),r_S_IVA,DV$16)</f>
        <v>0</v>
      </c>
      <c r="DW17" s="12" t="n">
        <f aca="false">IF(AND(121=p_MesCorte,ISNUMBER(r_S_IVA)),r_S_IVA,DW$16)</f>
        <v>0</v>
      </c>
      <c r="DX17" s="12" t="n">
        <f aca="false">IF(AND(122=p_MesCorte,ISNUMBER(r_S_IVA)),r_S_IVA,DX$16)</f>
        <v>0</v>
      </c>
      <c r="DY17" s="12" t="n">
        <f aca="false">IF(AND(123=p_MesCorte,ISNUMBER(r_S_IVA)),r_S_IVA,DY$16)</f>
        <v>0</v>
      </c>
      <c r="DZ17" s="12" t="n">
        <f aca="false">IF(AND(124=p_MesCorte,ISNUMBER(r_S_IVA)),r_S_IVA,DZ$16)</f>
        <v>0</v>
      </c>
      <c r="EA17" s="12" t="n">
        <f aca="false">IF(AND(125=p_MesCorte,ISNUMBER(r_S_IVA)),r_S_IVA,EA$16)</f>
        <v>0</v>
      </c>
      <c r="EB17" s="12" t="n">
        <f aca="false">IF(AND(126=p_MesCorte,ISNUMBER(r_S_IVA)),r_S_IVA,EB$16)</f>
        <v>0</v>
      </c>
      <c r="EC17" s="12" t="n">
        <f aca="false">IF(AND(127=p_MesCorte,ISNUMBER(r_S_IVA)),r_S_IVA,EC$16)</f>
        <v>0</v>
      </c>
      <c r="ED17" s="12" t="n">
        <f aca="false">IF(AND(128=p_MesCorte,ISNUMBER(r_S_IVA)),r_S_IVA,ED$16)</f>
        <v>0</v>
      </c>
      <c r="EE17" s="12" t="n">
        <f aca="false">IF(AND(129=p_MesCorte,ISNUMBER(r_S_IVA)),r_S_IVA,EE$16)</f>
        <v>0</v>
      </c>
      <c r="EF17" s="12" t="n">
        <f aca="false">IF(AND(130=p_MesCorte,ISNUMBER(r_S_IVA)),r_S_IVA,EF$16)</f>
        <v>0</v>
      </c>
      <c r="EG17" s="12" t="n">
        <f aca="false">IF(AND(131=p_MesCorte,ISNUMBER(r_S_IVA)),r_S_IVA,EG$16)</f>
        <v>0</v>
      </c>
      <c r="EH17" s="12" t="n">
        <f aca="false">IF(AND(132=p_MesCorte,ISNUMBER(r_S_IVA)),r_S_IVA,EH$16)</f>
        <v>0</v>
      </c>
      <c r="EI17" s="12" t="n">
        <f aca="false">IF(AND(133=p_MesCorte,ISNUMBER(r_S_IVA)),r_S_IVA,EI$16)</f>
        <v>0</v>
      </c>
      <c r="EJ17" s="12" t="n">
        <f aca="false">IF(AND(134=p_MesCorte,ISNUMBER(r_S_IVA)),r_S_IVA,EJ$16)</f>
        <v>0</v>
      </c>
      <c r="EK17" s="12" t="n">
        <f aca="false">IF(AND(135=p_MesCorte,ISNUMBER(r_S_IVA)),r_S_IVA,EK$16)</f>
        <v>0</v>
      </c>
      <c r="EL17" s="12" t="n">
        <f aca="false">IF(AND(136=p_MesCorte,ISNUMBER(r_S_IVA)),r_S_IVA,EL$16)</f>
        <v>0</v>
      </c>
      <c r="EM17" s="12" t="n">
        <f aca="false">IF(AND(137=p_MesCorte,ISNUMBER(r_S_IVA)),r_S_IVA,EM$16)</f>
        <v>0</v>
      </c>
      <c r="EN17" s="12" t="n">
        <f aca="false">IF(AND(138=p_MesCorte,ISNUMBER(r_S_IVA)),r_S_IVA,EN$16)</f>
        <v>0</v>
      </c>
      <c r="EO17" s="12" t="n">
        <f aca="false">IF(AND(139=p_MesCorte,ISNUMBER(r_S_IVA)),r_S_IVA,EO$16)</f>
        <v>0</v>
      </c>
      <c r="EP17" s="12" t="n">
        <f aca="false">IF(AND(140=p_MesCorte,ISNUMBER(r_S_IVA)),r_S_IVA,EP$16)</f>
        <v>0</v>
      </c>
      <c r="EQ17" s="12" t="n">
        <f aca="false">IF(AND(141=p_MesCorte,ISNUMBER(r_S_IVA)),r_S_IVA,EQ$16)</f>
        <v>0</v>
      </c>
      <c r="ER17" s="12" t="n">
        <f aca="false">IF(AND(142=p_MesCorte,ISNUMBER(r_S_IVA)),r_S_IVA,ER$16)</f>
        <v>0</v>
      </c>
      <c r="ES17" s="12" t="n">
        <f aca="false">IF(AND(143=p_MesCorte,ISNUMBER(r_S_IVA)),r_S_IVA,ES$16)</f>
        <v>0</v>
      </c>
      <c r="ET17" s="12" t="n">
        <f aca="false">IF(AND(144=p_MesCorte,ISNUMBER(r_S_IVA)),r_S_IVA,ET$16)</f>
        <v>0</v>
      </c>
      <c r="EU17" s="12" t="n">
        <f aca="false">IF(AND(145=p_MesCorte,ISNUMBER(r_S_IVA)),r_S_IVA,EU$16)</f>
        <v>0</v>
      </c>
      <c r="EV17" s="12" t="n">
        <f aca="false">IF(AND(146=p_MesCorte,ISNUMBER(r_S_IVA)),r_S_IVA,EV$16)</f>
        <v>0</v>
      </c>
      <c r="EW17" s="12" t="n">
        <f aca="false">IF(AND(147=p_MesCorte,ISNUMBER(r_S_IVA)),r_S_IVA,EW$16)</f>
        <v>0</v>
      </c>
      <c r="EX17" s="12" t="n">
        <f aca="false">IF(AND(148=p_MesCorte,ISNUMBER(r_S_IVA)),r_S_IVA,EX$16)</f>
        <v>0</v>
      </c>
      <c r="EY17" s="12" t="n">
        <f aca="false">IF(AND(149=p_MesCorte,ISNUMBER(r_S_IVA)),r_S_IVA,EY$16)</f>
        <v>0</v>
      </c>
      <c r="EZ17" s="12" t="n">
        <f aca="false">IF(AND(150=p_MesCorte,ISNUMBER(r_S_IVA)),r_S_IVA,EZ$16)</f>
        <v>0</v>
      </c>
      <c r="FA17" s="12" t="n">
        <f aca="false">IF(AND(151=p_MesCorte,ISNUMBER(r_S_IVA)),r_S_IVA,FA$16)</f>
        <v>0</v>
      </c>
      <c r="FB17" s="12" t="n">
        <f aca="false">IF(AND(152=p_MesCorte,ISNUMBER(r_S_IVA)),r_S_IVA,FB$16)</f>
        <v>0</v>
      </c>
      <c r="FC17" s="12" t="n">
        <f aca="false">IF(AND(153=p_MesCorte,ISNUMBER(r_S_IVA)),r_S_IVA,FC$16)</f>
        <v>0</v>
      </c>
      <c r="FD17" s="12" t="n">
        <f aca="false">IF(AND(154=p_MesCorte,ISNUMBER(r_S_IVA)),r_S_IVA,FD$16)</f>
        <v>0</v>
      </c>
      <c r="FE17" s="12" t="n">
        <f aca="false">IF(AND(155=p_MesCorte,ISNUMBER(r_S_IVA)),r_S_IVA,FE$16)</f>
        <v>0</v>
      </c>
      <c r="FF17" s="12" t="n">
        <f aca="false">IF(AND(156=p_MesCorte,ISNUMBER(r_S_IVA)),r_S_IVA,FF$16)</f>
        <v>0</v>
      </c>
    </row>
    <row r="18" customFormat="false" ht="15" hidden="false" customHeight="false" outlineLevel="0" collapsed="false">
      <c r="A18" s="2" t="s">
        <v>1394</v>
      </c>
      <c r="B18" s="8" t="s">
        <v>1308</v>
      </c>
      <c r="C18" s="8" t="s">
        <v>255</v>
      </c>
      <c r="E18" s="65" t="n">
        <f aca="false">SUM($F18:$FF18)</f>
        <v>0</v>
      </c>
      <c r="F18" s="13" t="n">
        <f aca="false">F$17-F$16</f>
        <v>0</v>
      </c>
      <c r="G18" s="13" t="n">
        <f aca="false">G$17-G$16</f>
        <v>0</v>
      </c>
      <c r="H18" s="13" t="n">
        <f aca="false">H$17-H$16</f>
        <v>0</v>
      </c>
      <c r="I18" s="13" t="n">
        <f aca="false">I$17-I$16</f>
        <v>0</v>
      </c>
      <c r="J18" s="13" t="n">
        <f aca="false">J$17-J$16</f>
        <v>0</v>
      </c>
      <c r="K18" s="13" t="n">
        <f aca="false">K$17-K$16</f>
        <v>0</v>
      </c>
      <c r="L18" s="13" t="n">
        <f aca="false">L$17-L$16</f>
        <v>0</v>
      </c>
      <c r="M18" s="13" t="n">
        <f aca="false">M$17-M$16</f>
        <v>0</v>
      </c>
      <c r="N18" s="13" t="n">
        <f aca="false">N$17-N$16</f>
        <v>0</v>
      </c>
      <c r="O18" s="13" t="n">
        <f aca="false">O$17-O$16</f>
        <v>0</v>
      </c>
      <c r="P18" s="13" t="n">
        <f aca="false">P$17-P$16</f>
        <v>0</v>
      </c>
      <c r="Q18" s="13" t="n">
        <f aca="false">Q$17-Q$16</f>
        <v>0</v>
      </c>
      <c r="R18" s="13" t="n">
        <f aca="false">R$17-R$16</f>
        <v>0</v>
      </c>
      <c r="S18" s="13" t="n">
        <f aca="false">S$17-S$16</f>
        <v>0</v>
      </c>
      <c r="T18" s="13" t="n">
        <f aca="false">T$17-T$16</f>
        <v>0</v>
      </c>
      <c r="U18" s="13" t="n">
        <f aca="false">U$17-U$16</f>
        <v>0</v>
      </c>
      <c r="V18" s="13" t="n">
        <f aca="false">V$17-V$16</f>
        <v>0</v>
      </c>
      <c r="W18" s="13" t="n">
        <f aca="false">W$17-W$16</f>
        <v>0</v>
      </c>
      <c r="X18" s="13" t="n">
        <f aca="false">X$17-X$16</f>
        <v>0</v>
      </c>
      <c r="Y18" s="13" t="n">
        <f aca="false">Y$17-Y$16</f>
        <v>0</v>
      </c>
      <c r="Z18" s="13" t="n">
        <f aca="false">Z$17-Z$16</f>
        <v>0</v>
      </c>
      <c r="AA18" s="13" t="n">
        <f aca="false">AA$17-AA$16</f>
        <v>0</v>
      </c>
      <c r="AB18" s="13" t="n">
        <f aca="false">AB$17-AB$16</f>
        <v>0</v>
      </c>
      <c r="AC18" s="13" t="n">
        <f aca="false">AC$17-AC$16</f>
        <v>0</v>
      </c>
      <c r="AD18" s="13" t="n">
        <f aca="false">AD$17-AD$16</f>
        <v>0</v>
      </c>
      <c r="AE18" s="13" t="n">
        <f aca="false">AE$17-AE$16</f>
        <v>0</v>
      </c>
      <c r="AF18" s="13" t="n">
        <f aca="false">AF$17-AF$16</f>
        <v>0</v>
      </c>
      <c r="AG18" s="13" t="n">
        <f aca="false">AG$17-AG$16</f>
        <v>0</v>
      </c>
      <c r="AH18" s="13" t="n">
        <f aca="false">AH$17-AH$16</f>
        <v>0</v>
      </c>
      <c r="AI18" s="13" t="n">
        <f aca="false">AI$17-AI$16</f>
        <v>0</v>
      </c>
      <c r="AJ18" s="13" t="n">
        <f aca="false">AJ$17-AJ$16</f>
        <v>0</v>
      </c>
      <c r="AK18" s="13" t="n">
        <f aca="false">AK$17-AK$16</f>
        <v>0</v>
      </c>
      <c r="AL18" s="13" t="n">
        <f aca="false">AL$17-AL$16</f>
        <v>0</v>
      </c>
      <c r="AM18" s="13" t="n">
        <f aca="false">AM$17-AM$16</f>
        <v>0</v>
      </c>
      <c r="AN18" s="13" t="n">
        <f aca="false">AN$17-AN$16</f>
        <v>0</v>
      </c>
      <c r="AO18" s="13" t="n">
        <f aca="false">AO$17-AO$16</f>
        <v>0</v>
      </c>
      <c r="AP18" s="13" t="n">
        <f aca="false">AP$17-AP$16</f>
        <v>0</v>
      </c>
      <c r="AQ18" s="13" t="n">
        <f aca="false">AQ$17-AQ$16</f>
        <v>0</v>
      </c>
      <c r="AR18" s="13" t="n">
        <f aca="false">AR$17-AR$16</f>
        <v>0</v>
      </c>
      <c r="AS18" s="13" t="n">
        <f aca="false">AS$17-AS$16</f>
        <v>0</v>
      </c>
      <c r="AT18" s="13" t="n">
        <f aca="false">AT$17-AT$16</f>
        <v>0</v>
      </c>
      <c r="AU18" s="13" t="n">
        <f aca="false">AU$17-AU$16</f>
        <v>0</v>
      </c>
      <c r="AV18" s="13" t="n">
        <f aca="false">AV$17-AV$16</f>
        <v>0</v>
      </c>
      <c r="AW18" s="13" t="n">
        <f aca="false">AW$17-AW$16</f>
        <v>0</v>
      </c>
      <c r="AX18" s="13" t="n">
        <f aca="false">AX$17-AX$16</f>
        <v>0</v>
      </c>
      <c r="AY18" s="13" t="n">
        <f aca="false">AY$17-AY$16</f>
        <v>0</v>
      </c>
      <c r="AZ18" s="13" t="n">
        <f aca="false">AZ$17-AZ$16</f>
        <v>0</v>
      </c>
      <c r="BA18" s="13" t="n">
        <f aca="false">BA$17-BA$16</f>
        <v>0</v>
      </c>
      <c r="BB18" s="13" t="n">
        <f aca="false">BB$17-BB$16</f>
        <v>0</v>
      </c>
      <c r="BC18" s="13" t="n">
        <f aca="false">BC$17-BC$16</f>
        <v>0</v>
      </c>
      <c r="BD18" s="13" t="n">
        <f aca="false">BD$17-BD$16</f>
        <v>0</v>
      </c>
      <c r="BE18" s="13" t="n">
        <f aca="false">BE$17-BE$16</f>
        <v>0</v>
      </c>
      <c r="BF18" s="13" t="n">
        <f aca="false">BF$17-BF$16</f>
        <v>0</v>
      </c>
      <c r="BG18" s="13" t="n">
        <f aca="false">BG$17-BG$16</f>
        <v>0</v>
      </c>
      <c r="BH18" s="13" t="n">
        <f aca="false">BH$17-BH$16</f>
        <v>0</v>
      </c>
      <c r="BI18" s="13" t="n">
        <f aca="false">BI$17-BI$16</f>
        <v>0</v>
      </c>
      <c r="BJ18" s="13" t="n">
        <f aca="false">BJ$17-BJ$16</f>
        <v>0</v>
      </c>
      <c r="BK18" s="13" t="n">
        <f aca="false">BK$17-BK$16</f>
        <v>0</v>
      </c>
      <c r="BL18" s="13" t="n">
        <f aca="false">BL$17-BL$16</f>
        <v>0</v>
      </c>
      <c r="BM18" s="13" t="n">
        <f aca="false">BM$17-BM$16</f>
        <v>0</v>
      </c>
      <c r="BN18" s="13" t="n">
        <f aca="false">BN$17-BN$16</f>
        <v>0</v>
      </c>
      <c r="BO18" s="13" t="n">
        <f aca="false">BO$17-BO$16</f>
        <v>0</v>
      </c>
      <c r="BP18" s="13" t="n">
        <f aca="false">BP$17-BP$16</f>
        <v>0</v>
      </c>
      <c r="BQ18" s="13" t="n">
        <f aca="false">BQ$17-BQ$16</f>
        <v>0</v>
      </c>
      <c r="BR18" s="13" t="n">
        <f aca="false">BR$17-BR$16</f>
        <v>0</v>
      </c>
      <c r="BS18" s="13" t="n">
        <f aca="false">BS$17-BS$16</f>
        <v>0</v>
      </c>
      <c r="BT18" s="13" t="n">
        <f aca="false">BT$17-BT$16</f>
        <v>0</v>
      </c>
      <c r="BU18" s="13" t="n">
        <f aca="false">BU$17-BU$16</f>
        <v>0</v>
      </c>
      <c r="BV18" s="13" t="n">
        <f aca="false">BV$17-BV$16</f>
        <v>0</v>
      </c>
      <c r="BW18" s="13" t="n">
        <f aca="false">BW$17-BW$16</f>
        <v>0</v>
      </c>
      <c r="BX18" s="13" t="n">
        <f aca="false">BX$17-BX$16</f>
        <v>0</v>
      </c>
      <c r="BY18" s="13" t="n">
        <f aca="false">BY$17-BY$16</f>
        <v>0</v>
      </c>
      <c r="BZ18" s="13" t="n">
        <f aca="false">BZ$17-BZ$16</f>
        <v>0</v>
      </c>
      <c r="CA18" s="13" t="n">
        <f aca="false">CA$17-CA$16</f>
        <v>0</v>
      </c>
      <c r="CB18" s="13" t="n">
        <f aca="false">CB$17-CB$16</f>
        <v>0</v>
      </c>
      <c r="CC18" s="13" t="n">
        <f aca="false">CC$17-CC$16</f>
        <v>0</v>
      </c>
      <c r="CD18" s="13" t="n">
        <f aca="false">CD$17-CD$16</f>
        <v>0</v>
      </c>
      <c r="CE18" s="13" t="n">
        <f aca="false">CE$17-CE$16</f>
        <v>0</v>
      </c>
      <c r="CF18" s="13" t="n">
        <f aca="false">CF$17-CF$16</f>
        <v>0</v>
      </c>
      <c r="CG18" s="13" t="n">
        <f aca="false">CG$17-CG$16</f>
        <v>0</v>
      </c>
      <c r="CH18" s="13" t="n">
        <f aca="false">CH$17-CH$16</f>
        <v>0</v>
      </c>
      <c r="CI18" s="13" t="n">
        <f aca="false">CI$17-CI$16</f>
        <v>0</v>
      </c>
      <c r="CJ18" s="13" t="n">
        <f aca="false">CJ$17-CJ$16</f>
        <v>0</v>
      </c>
      <c r="CK18" s="13" t="n">
        <f aca="false">CK$17-CK$16</f>
        <v>0</v>
      </c>
      <c r="CL18" s="13" t="n">
        <f aca="false">CL$17-CL$16</f>
        <v>0</v>
      </c>
      <c r="CM18" s="13" t="n">
        <f aca="false">CM$17-CM$16</f>
        <v>0</v>
      </c>
      <c r="CN18" s="13" t="n">
        <f aca="false">CN$17-CN$16</f>
        <v>0</v>
      </c>
      <c r="CO18" s="13" t="n">
        <f aca="false">CO$17-CO$16</f>
        <v>0</v>
      </c>
      <c r="CP18" s="13" t="n">
        <f aca="false">CP$17-CP$16</f>
        <v>0</v>
      </c>
      <c r="CQ18" s="13" t="n">
        <f aca="false">CQ$17-CQ$16</f>
        <v>0</v>
      </c>
      <c r="CR18" s="13" t="n">
        <f aca="false">CR$17-CR$16</f>
        <v>0</v>
      </c>
      <c r="CS18" s="13" t="n">
        <f aca="false">CS$17-CS$16</f>
        <v>0</v>
      </c>
      <c r="CT18" s="13" t="n">
        <f aca="false">CT$17-CT$16</f>
        <v>0</v>
      </c>
      <c r="CU18" s="13" t="n">
        <f aca="false">CU$17-CU$16</f>
        <v>0</v>
      </c>
      <c r="CV18" s="13" t="n">
        <f aca="false">CV$17-CV$16</f>
        <v>0</v>
      </c>
      <c r="CW18" s="13" t="n">
        <f aca="false">CW$17-CW$16</f>
        <v>0</v>
      </c>
      <c r="CX18" s="13" t="n">
        <f aca="false">CX$17-CX$16</f>
        <v>0</v>
      </c>
      <c r="CY18" s="13" t="n">
        <f aca="false">CY$17-CY$16</f>
        <v>0</v>
      </c>
      <c r="CZ18" s="13" t="n">
        <f aca="false">CZ$17-CZ$16</f>
        <v>0</v>
      </c>
      <c r="DA18" s="13" t="n">
        <f aca="false">DA$17-DA$16</f>
        <v>0</v>
      </c>
      <c r="DB18" s="13" t="n">
        <f aca="false">DB$17-DB$16</f>
        <v>0</v>
      </c>
      <c r="DC18" s="13" t="n">
        <f aca="false">DC$17-DC$16</f>
        <v>0</v>
      </c>
      <c r="DD18" s="13" t="n">
        <f aca="false">DD$17-DD$16</f>
        <v>0</v>
      </c>
      <c r="DE18" s="13" t="n">
        <f aca="false">DE$17-DE$16</f>
        <v>0</v>
      </c>
      <c r="DF18" s="13" t="n">
        <f aca="false">DF$17-DF$16</f>
        <v>0</v>
      </c>
      <c r="DG18" s="13" t="n">
        <f aca="false">DG$17-DG$16</f>
        <v>0</v>
      </c>
      <c r="DH18" s="13" t="n">
        <f aca="false">DH$17-DH$16</f>
        <v>0</v>
      </c>
      <c r="DI18" s="13" t="n">
        <f aca="false">DI$17-DI$16</f>
        <v>0</v>
      </c>
      <c r="DJ18" s="13" t="n">
        <f aca="false">DJ$17-DJ$16</f>
        <v>0</v>
      </c>
      <c r="DK18" s="13" t="n">
        <f aca="false">DK$17-DK$16</f>
        <v>0</v>
      </c>
      <c r="DL18" s="13" t="n">
        <f aca="false">DL$17-DL$16</f>
        <v>0</v>
      </c>
      <c r="DM18" s="13" t="n">
        <f aca="false">DM$17-DM$16</f>
        <v>0</v>
      </c>
      <c r="DN18" s="13" t="n">
        <f aca="false">DN$17-DN$16</f>
        <v>0</v>
      </c>
      <c r="DO18" s="13" t="n">
        <f aca="false">DO$17-DO$16</f>
        <v>0</v>
      </c>
      <c r="DP18" s="13" t="n">
        <f aca="false">DP$17-DP$16</f>
        <v>0</v>
      </c>
      <c r="DQ18" s="13" t="n">
        <f aca="false">DQ$17-DQ$16</f>
        <v>0</v>
      </c>
      <c r="DR18" s="13" t="n">
        <f aca="false">DR$17-DR$16</f>
        <v>0</v>
      </c>
      <c r="DS18" s="13" t="n">
        <f aca="false">DS$17-DS$16</f>
        <v>0</v>
      </c>
      <c r="DT18" s="13" t="n">
        <f aca="false">DT$17-DT$16</f>
        <v>0</v>
      </c>
      <c r="DU18" s="13" t="n">
        <f aca="false">DU$17-DU$16</f>
        <v>0</v>
      </c>
      <c r="DV18" s="13" t="n">
        <f aca="false">DV$17-DV$16</f>
        <v>0</v>
      </c>
      <c r="DW18" s="13" t="n">
        <f aca="false">DW$17-DW$16</f>
        <v>0</v>
      </c>
      <c r="DX18" s="13" t="n">
        <f aca="false">DX$17-DX$16</f>
        <v>0</v>
      </c>
      <c r="DY18" s="13" t="n">
        <f aca="false">DY$17-DY$16</f>
        <v>0</v>
      </c>
      <c r="DZ18" s="13" t="n">
        <f aca="false">DZ$17-DZ$16</f>
        <v>0</v>
      </c>
      <c r="EA18" s="13" t="n">
        <f aca="false">EA$17-EA$16</f>
        <v>0</v>
      </c>
      <c r="EB18" s="13" t="n">
        <f aca="false">EB$17-EB$16</f>
        <v>0</v>
      </c>
      <c r="EC18" s="13" t="n">
        <f aca="false">EC$17-EC$16</f>
        <v>0</v>
      </c>
      <c r="ED18" s="13" t="n">
        <f aca="false">ED$17-ED$16</f>
        <v>0</v>
      </c>
      <c r="EE18" s="13" t="n">
        <f aca="false">EE$17-EE$16</f>
        <v>0</v>
      </c>
      <c r="EF18" s="13" t="n">
        <f aca="false">EF$17-EF$16</f>
        <v>0</v>
      </c>
      <c r="EG18" s="13" t="n">
        <f aca="false">EG$17-EG$16</f>
        <v>0</v>
      </c>
      <c r="EH18" s="13" t="n">
        <f aca="false">EH$17-EH$16</f>
        <v>0</v>
      </c>
      <c r="EI18" s="13" t="n">
        <f aca="false">EI$17-EI$16</f>
        <v>0</v>
      </c>
      <c r="EJ18" s="13" t="n">
        <f aca="false">EJ$17-EJ$16</f>
        <v>0</v>
      </c>
      <c r="EK18" s="13" t="n">
        <f aca="false">EK$17-EK$16</f>
        <v>0</v>
      </c>
      <c r="EL18" s="13" t="n">
        <f aca="false">EL$17-EL$16</f>
        <v>0</v>
      </c>
      <c r="EM18" s="13" t="n">
        <f aca="false">EM$17-EM$16</f>
        <v>0</v>
      </c>
      <c r="EN18" s="13" t="n">
        <f aca="false">EN$17-EN$16</f>
        <v>0</v>
      </c>
      <c r="EO18" s="13" t="n">
        <f aca="false">EO$17-EO$16</f>
        <v>0</v>
      </c>
      <c r="EP18" s="13" t="n">
        <f aca="false">EP$17-EP$16</f>
        <v>0</v>
      </c>
      <c r="EQ18" s="13" t="n">
        <f aca="false">EQ$17-EQ$16</f>
        <v>0</v>
      </c>
      <c r="ER18" s="13" t="n">
        <f aca="false">ER$17-ER$16</f>
        <v>0</v>
      </c>
      <c r="ES18" s="13" t="n">
        <f aca="false">ES$17-ES$16</f>
        <v>0</v>
      </c>
      <c r="ET18" s="13" t="n">
        <f aca="false">ET$17-ET$16</f>
        <v>0</v>
      </c>
      <c r="EU18" s="13" t="n">
        <f aca="false">EU$17-EU$16</f>
        <v>0</v>
      </c>
      <c r="EV18" s="13" t="n">
        <f aca="false">EV$17-EV$16</f>
        <v>0</v>
      </c>
      <c r="EW18" s="13" t="n">
        <f aca="false">EW$17-EW$16</f>
        <v>0</v>
      </c>
      <c r="EX18" s="13" t="n">
        <f aca="false">EX$17-EX$16</f>
        <v>0</v>
      </c>
      <c r="EY18" s="13" t="n">
        <f aca="false">EY$17-EY$16</f>
        <v>0</v>
      </c>
      <c r="EZ18" s="13" t="n">
        <f aca="false">EZ$17-EZ$16</f>
        <v>0</v>
      </c>
      <c r="FA18" s="13" t="n">
        <f aca="false">FA$17-FA$16</f>
        <v>0</v>
      </c>
      <c r="FB18" s="13" t="n">
        <f aca="false">FB$17-FB$16</f>
        <v>0</v>
      </c>
      <c r="FC18" s="13" t="n">
        <f aca="false">FC$17-FC$16</f>
        <v>0</v>
      </c>
      <c r="FD18" s="13" t="n">
        <f aca="false">FD$17-FD$16</f>
        <v>0</v>
      </c>
      <c r="FE18" s="13" t="n">
        <f aca="false">FE$17-FE$16</f>
        <v>0</v>
      </c>
      <c r="FF18" s="13" t="n">
        <f aca="false">FF$17-FF$16</f>
        <v>0</v>
      </c>
    </row>
    <row r="19" customFormat="false" ht="15" hidden="false" customHeight="false" outlineLevel="0" collapsed="false">
      <c r="A19" s="2" t="s">
        <v>1395</v>
      </c>
      <c r="B19" s="8" t="s">
        <v>1396</v>
      </c>
      <c r="C19" s="8" t="s">
        <v>255</v>
      </c>
      <c r="E19" s="65" t="n">
        <f aca="false">INDEX($F19:$FF19,1,p_MesFin+1)</f>
        <v>0</v>
      </c>
      <c r="F19" s="13" t="n">
        <f aca="false">0+F$18-F$14</f>
        <v>0</v>
      </c>
      <c r="G19" s="13" t="n">
        <f aca="false">F$19+G$18-G$14</f>
        <v>0</v>
      </c>
      <c r="H19" s="13" t="n">
        <f aca="false">G$19+H$18-H$14</f>
        <v>0</v>
      </c>
      <c r="I19" s="13" t="n">
        <f aca="false">H$19+I$18-I$14</f>
        <v>0</v>
      </c>
      <c r="J19" s="13" t="n">
        <f aca="false">I$19+J$18-J$14</f>
        <v>0</v>
      </c>
      <c r="K19" s="13" t="n">
        <f aca="false">J$19+K$18-K$14</f>
        <v>0</v>
      </c>
      <c r="L19" s="13" t="n">
        <f aca="false">K$19+L$18-L$14</f>
        <v>0</v>
      </c>
      <c r="M19" s="13" t="n">
        <f aca="false">L$19+M$18-M$14</f>
        <v>0</v>
      </c>
      <c r="N19" s="13" t="n">
        <f aca="false">M$19+N$18-N$14</f>
        <v>0</v>
      </c>
      <c r="O19" s="13" t="n">
        <f aca="false">N$19+O$18-O$14</f>
        <v>0</v>
      </c>
      <c r="P19" s="13" t="n">
        <f aca="false">O$19+P$18-P$14</f>
        <v>0</v>
      </c>
      <c r="Q19" s="13" t="n">
        <f aca="false">P$19+Q$18-Q$14</f>
        <v>0</v>
      </c>
      <c r="R19" s="13" t="n">
        <f aca="false">Q$19+R$18-R$14</f>
        <v>0</v>
      </c>
      <c r="S19" s="13" t="n">
        <f aca="false">R$19+S$18-S$14</f>
        <v>0</v>
      </c>
      <c r="T19" s="13" t="n">
        <f aca="false">S$19+T$18-T$14</f>
        <v>0</v>
      </c>
      <c r="U19" s="13" t="n">
        <f aca="false">T$19+U$18-U$14</f>
        <v>0</v>
      </c>
      <c r="V19" s="13" t="n">
        <f aca="false">U$19+V$18-V$14</f>
        <v>0</v>
      </c>
      <c r="W19" s="13" t="n">
        <f aca="false">V$19+W$18-W$14</f>
        <v>0</v>
      </c>
      <c r="X19" s="13" t="n">
        <f aca="false">W$19+X$18-X$14</f>
        <v>0</v>
      </c>
      <c r="Y19" s="13" t="n">
        <f aca="false">X$19+Y$18-Y$14</f>
        <v>0</v>
      </c>
      <c r="Z19" s="13" t="n">
        <f aca="false">Y$19+Z$18-Z$14</f>
        <v>0</v>
      </c>
      <c r="AA19" s="13" t="n">
        <f aca="false">Z$19+AA$18-AA$14</f>
        <v>0</v>
      </c>
      <c r="AB19" s="13" t="n">
        <f aca="false">AA$19+AB$18-AB$14</f>
        <v>0</v>
      </c>
      <c r="AC19" s="13" t="n">
        <f aca="false">AB$19+AC$18-AC$14</f>
        <v>0</v>
      </c>
      <c r="AD19" s="13" t="n">
        <f aca="false">AC$19+AD$18-AD$14</f>
        <v>0</v>
      </c>
      <c r="AE19" s="13" t="n">
        <f aca="false">AD$19+AE$18-AE$14</f>
        <v>0</v>
      </c>
      <c r="AF19" s="13" t="n">
        <f aca="false">AE$19+AF$18-AF$14</f>
        <v>0</v>
      </c>
      <c r="AG19" s="13" t="n">
        <f aca="false">AF$19+AG$18-AG$14</f>
        <v>0</v>
      </c>
      <c r="AH19" s="13" t="n">
        <f aca="false">AG$19+AH$18-AH$14</f>
        <v>0</v>
      </c>
      <c r="AI19" s="13" t="n">
        <f aca="false">AH$19+AI$18-AI$14</f>
        <v>0</v>
      </c>
      <c r="AJ19" s="13" t="n">
        <f aca="false">AI$19+AJ$18-AJ$14</f>
        <v>0</v>
      </c>
      <c r="AK19" s="13" t="n">
        <f aca="false">AJ$19+AK$18-AK$14</f>
        <v>0</v>
      </c>
      <c r="AL19" s="13" t="n">
        <f aca="false">AK$19+AL$18-AL$14</f>
        <v>0</v>
      </c>
      <c r="AM19" s="13" t="n">
        <f aca="false">AL$19+AM$18-AM$14</f>
        <v>0</v>
      </c>
      <c r="AN19" s="13" t="n">
        <f aca="false">AM$19+AN$18-AN$14</f>
        <v>0</v>
      </c>
      <c r="AO19" s="13" t="n">
        <f aca="false">AN$19+AO$18-AO$14</f>
        <v>0</v>
      </c>
      <c r="AP19" s="13" t="n">
        <f aca="false">AO$19+AP$18-AP$14</f>
        <v>0</v>
      </c>
      <c r="AQ19" s="13" t="n">
        <f aca="false">AP$19+AQ$18-AQ$14</f>
        <v>0</v>
      </c>
      <c r="AR19" s="13" t="n">
        <f aca="false">AQ$19+AR$18-AR$14</f>
        <v>0</v>
      </c>
      <c r="AS19" s="13" t="n">
        <f aca="false">AR$19+AS$18-AS$14</f>
        <v>0</v>
      </c>
      <c r="AT19" s="13" t="n">
        <f aca="false">AS$19+AT$18-AT$14</f>
        <v>0</v>
      </c>
      <c r="AU19" s="13" t="n">
        <f aca="false">AT$19+AU$18-AU$14</f>
        <v>0</v>
      </c>
      <c r="AV19" s="13" t="n">
        <f aca="false">AU$19+AV$18-AV$14</f>
        <v>0</v>
      </c>
      <c r="AW19" s="13" t="n">
        <f aca="false">AV$19+AW$18-AW$14</f>
        <v>0</v>
      </c>
      <c r="AX19" s="13" t="n">
        <f aca="false">AW$19+AX$18-AX$14</f>
        <v>0</v>
      </c>
      <c r="AY19" s="13" t="n">
        <f aca="false">AX$19+AY$18-AY$14</f>
        <v>0</v>
      </c>
      <c r="AZ19" s="13" t="n">
        <f aca="false">AY$19+AZ$18-AZ$14</f>
        <v>0</v>
      </c>
      <c r="BA19" s="13" t="n">
        <f aca="false">AZ$19+BA$18-BA$14</f>
        <v>0</v>
      </c>
      <c r="BB19" s="13" t="n">
        <f aca="false">BA$19+BB$18-BB$14</f>
        <v>0</v>
      </c>
      <c r="BC19" s="13" t="n">
        <f aca="false">BB$19+BC$18-BC$14</f>
        <v>0</v>
      </c>
      <c r="BD19" s="13" t="n">
        <f aca="false">BC$19+BD$18-BD$14</f>
        <v>0</v>
      </c>
      <c r="BE19" s="13" t="n">
        <f aca="false">BD$19+BE$18-BE$14</f>
        <v>0</v>
      </c>
      <c r="BF19" s="13" t="n">
        <f aca="false">BE$19+BF$18-BF$14</f>
        <v>0</v>
      </c>
      <c r="BG19" s="13" t="n">
        <f aca="false">BF$19+BG$18-BG$14</f>
        <v>0</v>
      </c>
      <c r="BH19" s="13" t="n">
        <f aca="false">BG$19+BH$18-BH$14</f>
        <v>0</v>
      </c>
      <c r="BI19" s="13" t="n">
        <f aca="false">BH$19+BI$18-BI$14</f>
        <v>0</v>
      </c>
      <c r="BJ19" s="13" t="n">
        <f aca="false">BI$19+BJ$18-BJ$14</f>
        <v>0</v>
      </c>
      <c r="BK19" s="13" t="n">
        <f aca="false">BJ$19+BK$18-BK$14</f>
        <v>0</v>
      </c>
      <c r="BL19" s="13" t="n">
        <f aca="false">BK$19+BL$18-BL$14</f>
        <v>0</v>
      </c>
      <c r="BM19" s="13" t="n">
        <f aca="false">BL$19+BM$18-BM$14</f>
        <v>0</v>
      </c>
      <c r="BN19" s="13" t="n">
        <f aca="false">BM$19+BN$18-BN$14</f>
        <v>0</v>
      </c>
      <c r="BO19" s="13" t="n">
        <f aca="false">BN$19+BO$18-BO$14</f>
        <v>0</v>
      </c>
      <c r="BP19" s="13" t="n">
        <f aca="false">BO$19+BP$18-BP$14</f>
        <v>0</v>
      </c>
      <c r="BQ19" s="13" t="n">
        <f aca="false">BP$19+BQ$18-BQ$14</f>
        <v>0</v>
      </c>
      <c r="BR19" s="13" t="n">
        <f aca="false">BQ$19+BR$18-BR$14</f>
        <v>0</v>
      </c>
      <c r="BS19" s="13" t="n">
        <f aca="false">BR$19+BS$18-BS$14</f>
        <v>0</v>
      </c>
      <c r="BT19" s="13" t="n">
        <f aca="false">BS$19+BT$18-BT$14</f>
        <v>0</v>
      </c>
      <c r="BU19" s="13" t="n">
        <f aca="false">BT$19+BU$18-BU$14</f>
        <v>0</v>
      </c>
      <c r="BV19" s="13" t="n">
        <f aca="false">BU$19+BV$18-BV$14</f>
        <v>0</v>
      </c>
      <c r="BW19" s="13" t="n">
        <f aca="false">BV$19+BW$18-BW$14</f>
        <v>0</v>
      </c>
      <c r="BX19" s="13" t="n">
        <f aca="false">BW$19+BX$18-BX$14</f>
        <v>0</v>
      </c>
      <c r="BY19" s="13" t="n">
        <f aca="false">BX$19+BY$18-BY$14</f>
        <v>0</v>
      </c>
      <c r="BZ19" s="13" t="n">
        <f aca="false">BY$19+BZ$18-BZ$14</f>
        <v>0</v>
      </c>
      <c r="CA19" s="13" t="n">
        <f aca="false">BZ$19+CA$18-CA$14</f>
        <v>0</v>
      </c>
      <c r="CB19" s="13" t="n">
        <f aca="false">CA$19+CB$18-CB$14</f>
        <v>0</v>
      </c>
      <c r="CC19" s="13" t="n">
        <f aca="false">CB$19+CC$18-CC$14</f>
        <v>0</v>
      </c>
      <c r="CD19" s="13" t="n">
        <f aca="false">CC$19+CD$18-CD$14</f>
        <v>0</v>
      </c>
      <c r="CE19" s="13" t="n">
        <f aca="false">CD$19+CE$18-CE$14</f>
        <v>0</v>
      </c>
      <c r="CF19" s="13" t="n">
        <f aca="false">CE$19+CF$18-CF$14</f>
        <v>0</v>
      </c>
      <c r="CG19" s="13" t="n">
        <f aca="false">CF$19+CG$18-CG$14</f>
        <v>0</v>
      </c>
      <c r="CH19" s="13" t="n">
        <f aca="false">CG$19+CH$18-CH$14</f>
        <v>0</v>
      </c>
      <c r="CI19" s="13" t="n">
        <f aca="false">CH$19+CI$18-CI$14</f>
        <v>0</v>
      </c>
      <c r="CJ19" s="13" t="n">
        <f aca="false">CI$19+CJ$18-CJ$14</f>
        <v>0</v>
      </c>
      <c r="CK19" s="13" t="n">
        <f aca="false">CJ$19+CK$18-CK$14</f>
        <v>0</v>
      </c>
      <c r="CL19" s="13" t="n">
        <f aca="false">CK$19+CL$18-CL$14</f>
        <v>0</v>
      </c>
      <c r="CM19" s="13" t="n">
        <f aca="false">CL$19+CM$18-CM$14</f>
        <v>0</v>
      </c>
      <c r="CN19" s="13" t="n">
        <f aca="false">CM$19+CN$18-CN$14</f>
        <v>0</v>
      </c>
      <c r="CO19" s="13" t="n">
        <f aca="false">CN$19+CO$18-CO$14</f>
        <v>0</v>
      </c>
      <c r="CP19" s="13" t="n">
        <f aca="false">CO$19+CP$18-CP$14</f>
        <v>0</v>
      </c>
      <c r="CQ19" s="13" t="n">
        <f aca="false">CP$19+CQ$18-CQ$14</f>
        <v>0</v>
      </c>
      <c r="CR19" s="13" t="n">
        <f aca="false">CQ$19+CR$18-CR$14</f>
        <v>0</v>
      </c>
      <c r="CS19" s="13" t="n">
        <f aca="false">CR$19+CS$18-CS$14</f>
        <v>0</v>
      </c>
      <c r="CT19" s="13" t="n">
        <f aca="false">CS$19+CT$18-CT$14</f>
        <v>0</v>
      </c>
      <c r="CU19" s="13" t="n">
        <f aca="false">CT$19+CU$18-CU$14</f>
        <v>0</v>
      </c>
      <c r="CV19" s="13" t="n">
        <f aca="false">CU$19+CV$18-CV$14</f>
        <v>0</v>
      </c>
      <c r="CW19" s="13" t="n">
        <f aca="false">CV$19+CW$18-CW$14</f>
        <v>0</v>
      </c>
      <c r="CX19" s="13" t="n">
        <f aca="false">CW$19+CX$18-CX$14</f>
        <v>0</v>
      </c>
      <c r="CY19" s="13" t="n">
        <f aca="false">CX$19+CY$18-CY$14</f>
        <v>0</v>
      </c>
      <c r="CZ19" s="13" t="n">
        <f aca="false">CY$19+CZ$18-CZ$14</f>
        <v>0</v>
      </c>
      <c r="DA19" s="13" t="n">
        <f aca="false">CZ$19+DA$18-DA$14</f>
        <v>0</v>
      </c>
      <c r="DB19" s="13" t="n">
        <f aca="false">DA$19+DB$18-DB$14</f>
        <v>0</v>
      </c>
      <c r="DC19" s="13" t="n">
        <f aca="false">DB$19+DC$18-DC$14</f>
        <v>0</v>
      </c>
      <c r="DD19" s="13" t="n">
        <f aca="false">DC$19+DD$18-DD$14</f>
        <v>0</v>
      </c>
      <c r="DE19" s="13" t="n">
        <f aca="false">DD$19+DE$18-DE$14</f>
        <v>0</v>
      </c>
      <c r="DF19" s="13" t="n">
        <f aca="false">DE$19+DF$18-DF$14</f>
        <v>0</v>
      </c>
      <c r="DG19" s="13" t="n">
        <f aca="false">DF$19+DG$18-DG$14</f>
        <v>0</v>
      </c>
      <c r="DH19" s="13" t="n">
        <f aca="false">DG$19+DH$18-DH$14</f>
        <v>0</v>
      </c>
      <c r="DI19" s="13" t="n">
        <f aca="false">DH$19+DI$18-DI$14</f>
        <v>0</v>
      </c>
      <c r="DJ19" s="13" t="n">
        <f aca="false">DI$19+DJ$18-DJ$14</f>
        <v>0</v>
      </c>
      <c r="DK19" s="13" t="n">
        <f aca="false">DJ$19+DK$18-DK$14</f>
        <v>0</v>
      </c>
      <c r="DL19" s="13" t="n">
        <f aca="false">DK$19+DL$18-DL$14</f>
        <v>0</v>
      </c>
      <c r="DM19" s="13" t="n">
        <f aca="false">DL$19+DM$18-DM$14</f>
        <v>0</v>
      </c>
      <c r="DN19" s="13" t="n">
        <f aca="false">DM$19+DN$18-DN$14</f>
        <v>0</v>
      </c>
      <c r="DO19" s="13" t="n">
        <f aca="false">DN$19+DO$18-DO$14</f>
        <v>0</v>
      </c>
      <c r="DP19" s="13" t="n">
        <f aca="false">DO$19+DP$18-DP$14</f>
        <v>0</v>
      </c>
      <c r="DQ19" s="13" t="n">
        <f aca="false">DP$19+DQ$18-DQ$14</f>
        <v>0</v>
      </c>
      <c r="DR19" s="13" t="n">
        <f aca="false">DQ$19+DR$18-DR$14</f>
        <v>0</v>
      </c>
      <c r="DS19" s="13" t="n">
        <f aca="false">DR$19+DS$18-DS$14</f>
        <v>0</v>
      </c>
      <c r="DT19" s="13" t="n">
        <f aca="false">DS$19+DT$18-DT$14</f>
        <v>0</v>
      </c>
      <c r="DU19" s="13" t="n">
        <f aca="false">DT$19+DU$18-DU$14</f>
        <v>0</v>
      </c>
      <c r="DV19" s="13" t="n">
        <f aca="false">DU$19+DV$18-DV$14</f>
        <v>0</v>
      </c>
      <c r="DW19" s="13" t="n">
        <f aca="false">DV$19+DW$18-DW$14</f>
        <v>0</v>
      </c>
      <c r="DX19" s="13" t="n">
        <f aca="false">DW$19+DX$18-DX$14</f>
        <v>0</v>
      </c>
      <c r="DY19" s="13" t="n">
        <f aca="false">DX$19+DY$18-DY$14</f>
        <v>0</v>
      </c>
      <c r="DZ19" s="13" t="n">
        <f aca="false">DY$19+DZ$18-DZ$14</f>
        <v>0</v>
      </c>
      <c r="EA19" s="13" t="n">
        <f aca="false">DZ$19+EA$18-EA$14</f>
        <v>0</v>
      </c>
      <c r="EB19" s="13" t="n">
        <f aca="false">EA$19+EB$18-EB$14</f>
        <v>0</v>
      </c>
      <c r="EC19" s="13" t="n">
        <f aca="false">EB$19+EC$18-EC$14</f>
        <v>0</v>
      </c>
      <c r="ED19" s="13" t="n">
        <f aca="false">EC$19+ED$18-ED$14</f>
        <v>0</v>
      </c>
      <c r="EE19" s="13" t="n">
        <f aca="false">ED$19+EE$18-EE$14</f>
        <v>0</v>
      </c>
      <c r="EF19" s="13" t="n">
        <f aca="false">EE$19+EF$18-EF$14</f>
        <v>0</v>
      </c>
      <c r="EG19" s="13" t="n">
        <f aca="false">EF$19+EG$18-EG$14</f>
        <v>0</v>
      </c>
      <c r="EH19" s="13" t="n">
        <f aca="false">EG$19+EH$18-EH$14</f>
        <v>0</v>
      </c>
      <c r="EI19" s="13" t="n">
        <f aca="false">EH$19+EI$18-EI$14</f>
        <v>0</v>
      </c>
      <c r="EJ19" s="13" t="n">
        <f aca="false">EI$19+EJ$18-EJ$14</f>
        <v>0</v>
      </c>
      <c r="EK19" s="13" t="n">
        <f aca="false">EJ$19+EK$18-EK$14</f>
        <v>0</v>
      </c>
      <c r="EL19" s="13" t="n">
        <f aca="false">EK$19+EL$18-EL$14</f>
        <v>0</v>
      </c>
      <c r="EM19" s="13" t="n">
        <f aca="false">EL$19+EM$18-EM$14</f>
        <v>0</v>
      </c>
      <c r="EN19" s="13" t="n">
        <f aca="false">EM$19+EN$18-EN$14</f>
        <v>0</v>
      </c>
      <c r="EO19" s="13" t="n">
        <f aca="false">EN$19+EO$18-EO$14</f>
        <v>0</v>
      </c>
      <c r="EP19" s="13" t="n">
        <f aca="false">EO$19+EP$18-EP$14</f>
        <v>0</v>
      </c>
      <c r="EQ19" s="13" t="n">
        <f aca="false">EP$19+EQ$18-EQ$14</f>
        <v>0</v>
      </c>
      <c r="ER19" s="13" t="n">
        <f aca="false">EQ$19+ER$18-ER$14</f>
        <v>0</v>
      </c>
      <c r="ES19" s="13" t="n">
        <f aca="false">ER$19+ES$18-ES$14</f>
        <v>0</v>
      </c>
      <c r="ET19" s="13" t="n">
        <f aca="false">ES$19+ET$18-ET$14</f>
        <v>0</v>
      </c>
      <c r="EU19" s="13" t="n">
        <f aca="false">ET$19+EU$18-EU$14</f>
        <v>0</v>
      </c>
      <c r="EV19" s="13" t="n">
        <f aca="false">EU$19+EV$18-EV$14</f>
        <v>0</v>
      </c>
      <c r="EW19" s="13" t="n">
        <f aca="false">EV$19+EW$18-EW$14</f>
        <v>0</v>
      </c>
      <c r="EX19" s="13" t="n">
        <f aca="false">EW$19+EX$18-EX$14</f>
        <v>0</v>
      </c>
      <c r="EY19" s="13" t="n">
        <f aca="false">EX$19+EY$18-EY$14</f>
        <v>0</v>
      </c>
      <c r="EZ19" s="13" t="n">
        <f aca="false">EY$19+EZ$18-EZ$14</f>
        <v>0</v>
      </c>
      <c r="FA19" s="13" t="n">
        <f aca="false">EZ$19+FA$18-FA$14</f>
        <v>0</v>
      </c>
      <c r="FB19" s="13" t="n">
        <f aca="false">FA$19+FB$18-FB$14</f>
        <v>0</v>
      </c>
      <c r="FC19" s="13" t="n">
        <f aca="false">FB$19+FC$18-FC$14</f>
        <v>0</v>
      </c>
      <c r="FD19" s="13" t="n">
        <f aca="false">FC$19+FD$18-FD$14</f>
        <v>0</v>
      </c>
      <c r="FE19" s="13" t="n">
        <f aca="false">FD$19+FE$18-FE$14</f>
        <v>0</v>
      </c>
      <c r="FF19" s="13" t="n">
        <f aca="false">FE$19+FF$18-FF$14</f>
        <v>0</v>
      </c>
    </row>
    <row r="20" customFormat="false" ht="15" hidden="false" customHeight="false" outlineLevel="0" collapsed="false">
      <c r="A20" s="4"/>
      <c r="B20" s="3" t="s">
        <v>1397</v>
      </c>
      <c r="C20" s="4"/>
      <c r="D20" s="4"/>
      <c r="E20" s="4"/>
    </row>
    <row r="21" customFormat="false" ht="15" hidden="false" customHeight="false" outlineLevel="0" collapsed="false">
      <c r="A21" s="2" t="s">
        <v>1398</v>
      </c>
      <c r="B21" s="8" t="s">
        <v>1399</v>
      </c>
      <c r="C21" s="8" t="s">
        <v>771</v>
      </c>
      <c r="F21" s="31" t="n">
        <f aca="false">0-p_L1_Mes</f>
        <v>0</v>
      </c>
      <c r="G21" s="31" t="n">
        <f aca="false">1-p_L1_Mes</f>
        <v>1</v>
      </c>
      <c r="H21" s="31" t="n">
        <f aca="false">2-p_L1_Mes</f>
        <v>2</v>
      </c>
      <c r="I21" s="31" t="n">
        <f aca="false">3-p_L1_Mes</f>
        <v>3</v>
      </c>
      <c r="J21" s="31" t="n">
        <f aca="false">4-p_L1_Mes</f>
        <v>4</v>
      </c>
      <c r="K21" s="31" t="n">
        <f aca="false">5-p_L1_Mes</f>
        <v>5</v>
      </c>
      <c r="L21" s="31" t="n">
        <f aca="false">6-p_L1_Mes</f>
        <v>6</v>
      </c>
      <c r="M21" s="31" t="n">
        <f aca="false">7-p_L1_Mes</f>
        <v>7</v>
      </c>
      <c r="N21" s="31" t="n">
        <f aca="false">8-p_L1_Mes</f>
        <v>8</v>
      </c>
      <c r="O21" s="31" t="n">
        <f aca="false">9-p_L1_Mes</f>
        <v>9</v>
      </c>
      <c r="P21" s="31" t="n">
        <f aca="false">10-p_L1_Mes</f>
        <v>10</v>
      </c>
      <c r="Q21" s="31" t="n">
        <f aca="false">11-p_L1_Mes</f>
        <v>11</v>
      </c>
      <c r="R21" s="31" t="n">
        <f aca="false">12-p_L1_Mes</f>
        <v>12</v>
      </c>
      <c r="S21" s="31" t="n">
        <f aca="false">13-p_L1_Mes</f>
        <v>13</v>
      </c>
      <c r="T21" s="31" t="n">
        <f aca="false">14-p_L1_Mes</f>
        <v>14</v>
      </c>
      <c r="U21" s="31" t="n">
        <f aca="false">15-p_L1_Mes</f>
        <v>15</v>
      </c>
      <c r="V21" s="31" t="n">
        <f aca="false">16-p_L1_Mes</f>
        <v>16</v>
      </c>
      <c r="W21" s="31" t="n">
        <f aca="false">17-p_L1_Mes</f>
        <v>17</v>
      </c>
      <c r="X21" s="31" t="n">
        <f aca="false">18-p_L1_Mes</f>
        <v>18</v>
      </c>
      <c r="Y21" s="31" t="n">
        <f aca="false">19-p_L1_Mes</f>
        <v>19</v>
      </c>
      <c r="Z21" s="31" t="n">
        <f aca="false">20-p_L1_Mes</f>
        <v>20</v>
      </c>
      <c r="AA21" s="31" t="n">
        <f aca="false">21-p_L1_Mes</f>
        <v>21</v>
      </c>
      <c r="AB21" s="31" t="n">
        <f aca="false">22-p_L1_Mes</f>
        <v>22</v>
      </c>
      <c r="AC21" s="31" t="n">
        <f aca="false">23-p_L1_Mes</f>
        <v>23</v>
      </c>
      <c r="AD21" s="31" t="n">
        <f aca="false">24-p_L1_Mes</f>
        <v>24</v>
      </c>
      <c r="AE21" s="31" t="n">
        <f aca="false">25-p_L1_Mes</f>
        <v>25</v>
      </c>
      <c r="AF21" s="31" t="n">
        <f aca="false">26-p_L1_Mes</f>
        <v>26</v>
      </c>
      <c r="AG21" s="31" t="n">
        <f aca="false">27-p_L1_Mes</f>
        <v>27</v>
      </c>
      <c r="AH21" s="31" t="n">
        <f aca="false">28-p_L1_Mes</f>
        <v>28</v>
      </c>
      <c r="AI21" s="31" t="n">
        <f aca="false">29-p_L1_Mes</f>
        <v>29</v>
      </c>
      <c r="AJ21" s="31" t="n">
        <f aca="false">30-p_L1_Mes</f>
        <v>30</v>
      </c>
      <c r="AK21" s="31" t="n">
        <f aca="false">31-p_L1_Mes</f>
        <v>31</v>
      </c>
      <c r="AL21" s="31" t="n">
        <f aca="false">32-p_L1_Mes</f>
        <v>32</v>
      </c>
      <c r="AM21" s="31" t="n">
        <f aca="false">33-p_L1_Mes</f>
        <v>33</v>
      </c>
      <c r="AN21" s="31" t="n">
        <f aca="false">34-p_L1_Mes</f>
        <v>34</v>
      </c>
      <c r="AO21" s="31" t="n">
        <f aca="false">35-p_L1_Mes</f>
        <v>35</v>
      </c>
      <c r="AP21" s="31" t="n">
        <f aca="false">36-p_L1_Mes</f>
        <v>36</v>
      </c>
      <c r="AQ21" s="31" t="n">
        <f aca="false">37-p_L1_Mes</f>
        <v>37</v>
      </c>
      <c r="AR21" s="31" t="n">
        <f aca="false">38-p_L1_Mes</f>
        <v>38</v>
      </c>
      <c r="AS21" s="31" t="n">
        <f aca="false">39-p_L1_Mes</f>
        <v>39</v>
      </c>
      <c r="AT21" s="31" t="n">
        <f aca="false">40-p_L1_Mes</f>
        <v>40</v>
      </c>
      <c r="AU21" s="31" t="n">
        <f aca="false">41-p_L1_Mes</f>
        <v>41</v>
      </c>
      <c r="AV21" s="31" t="n">
        <f aca="false">42-p_L1_Mes</f>
        <v>42</v>
      </c>
      <c r="AW21" s="31" t="n">
        <f aca="false">43-p_L1_Mes</f>
        <v>43</v>
      </c>
      <c r="AX21" s="31" t="n">
        <f aca="false">44-p_L1_Mes</f>
        <v>44</v>
      </c>
      <c r="AY21" s="31" t="n">
        <f aca="false">45-p_L1_Mes</f>
        <v>45</v>
      </c>
      <c r="AZ21" s="31" t="n">
        <f aca="false">46-p_L1_Mes</f>
        <v>46</v>
      </c>
      <c r="BA21" s="31" t="n">
        <f aca="false">47-p_L1_Mes</f>
        <v>47</v>
      </c>
      <c r="BB21" s="31" t="n">
        <f aca="false">48-p_L1_Mes</f>
        <v>48</v>
      </c>
      <c r="BC21" s="31" t="n">
        <f aca="false">49-p_L1_Mes</f>
        <v>49</v>
      </c>
      <c r="BD21" s="31" t="n">
        <f aca="false">50-p_L1_Mes</f>
        <v>50</v>
      </c>
      <c r="BE21" s="31" t="n">
        <f aca="false">51-p_L1_Mes</f>
        <v>51</v>
      </c>
      <c r="BF21" s="31" t="n">
        <f aca="false">52-p_L1_Mes</f>
        <v>52</v>
      </c>
      <c r="BG21" s="31" t="n">
        <f aca="false">53-p_L1_Mes</f>
        <v>53</v>
      </c>
      <c r="BH21" s="31" t="n">
        <f aca="false">54-p_L1_Mes</f>
        <v>54</v>
      </c>
      <c r="BI21" s="31" t="n">
        <f aca="false">55-p_L1_Mes</f>
        <v>55</v>
      </c>
      <c r="BJ21" s="31" t="n">
        <f aca="false">56-p_L1_Mes</f>
        <v>56</v>
      </c>
      <c r="BK21" s="31" t="n">
        <f aca="false">57-p_L1_Mes</f>
        <v>57</v>
      </c>
      <c r="BL21" s="31" t="n">
        <f aca="false">58-p_L1_Mes</f>
        <v>58</v>
      </c>
      <c r="BM21" s="31" t="n">
        <f aca="false">59-p_L1_Mes</f>
        <v>59</v>
      </c>
      <c r="BN21" s="31" t="n">
        <f aca="false">60-p_L1_Mes</f>
        <v>60</v>
      </c>
      <c r="BO21" s="31" t="n">
        <f aca="false">61-p_L1_Mes</f>
        <v>61</v>
      </c>
      <c r="BP21" s="31" t="n">
        <f aca="false">62-p_L1_Mes</f>
        <v>62</v>
      </c>
      <c r="BQ21" s="31" t="n">
        <f aca="false">63-p_L1_Mes</f>
        <v>63</v>
      </c>
      <c r="BR21" s="31" t="n">
        <f aca="false">64-p_L1_Mes</f>
        <v>64</v>
      </c>
      <c r="BS21" s="31" t="n">
        <f aca="false">65-p_L1_Mes</f>
        <v>65</v>
      </c>
      <c r="BT21" s="31" t="n">
        <f aca="false">66-p_L1_Mes</f>
        <v>66</v>
      </c>
      <c r="BU21" s="31" t="n">
        <f aca="false">67-p_L1_Mes</f>
        <v>67</v>
      </c>
      <c r="BV21" s="31" t="n">
        <f aca="false">68-p_L1_Mes</f>
        <v>68</v>
      </c>
      <c r="BW21" s="31" t="n">
        <f aca="false">69-p_L1_Mes</f>
        <v>69</v>
      </c>
      <c r="BX21" s="31" t="n">
        <f aca="false">70-p_L1_Mes</f>
        <v>70</v>
      </c>
      <c r="BY21" s="31" t="n">
        <f aca="false">71-p_L1_Mes</f>
        <v>71</v>
      </c>
      <c r="BZ21" s="31" t="n">
        <f aca="false">72-p_L1_Mes</f>
        <v>72</v>
      </c>
      <c r="CA21" s="31" t="n">
        <f aca="false">73-p_L1_Mes</f>
        <v>73</v>
      </c>
      <c r="CB21" s="31" t="n">
        <f aca="false">74-p_L1_Mes</f>
        <v>74</v>
      </c>
      <c r="CC21" s="31" t="n">
        <f aca="false">75-p_L1_Mes</f>
        <v>75</v>
      </c>
      <c r="CD21" s="31" t="n">
        <f aca="false">76-p_L1_Mes</f>
        <v>76</v>
      </c>
      <c r="CE21" s="31" t="n">
        <f aca="false">77-p_L1_Mes</f>
        <v>77</v>
      </c>
      <c r="CF21" s="31" t="n">
        <f aca="false">78-p_L1_Mes</f>
        <v>78</v>
      </c>
      <c r="CG21" s="31" t="n">
        <f aca="false">79-p_L1_Mes</f>
        <v>79</v>
      </c>
      <c r="CH21" s="31" t="n">
        <f aca="false">80-p_L1_Mes</f>
        <v>80</v>
      </c>
      <c r="CI21" s="31" t="n">
        <f aca="false">81-p_L1_Mes</f>
        <v>81</v>
      </c>
      <c r="CJ21" s="31" t="n">
        <f aca="false">82-p_L1_Mes</f>
        <v>82</v>
      </c>
      <c r="CK21" s="31" t="n">
        <f aca="false">83-p_L1_Mes</f>
        <v>83</v>
      </c>
      <c r="CL21" s="31" t="n">
        <f aca="false">84-p_L1_Mes</f>
        <v>84</v>
      </c>
      <c r="CM21" s="31" t="n">
        <f aca="false">85-p_L1_Mes</f>
        <v>85</v>
      </c>
      <c r="CN21" s="31" t="n">
        <f aca="false">86-p_L1_Mes</f>
        <v>86</v>
      </c>
      <c r="CO21" s="31" t="n">
        <f aca="false">87-p_L1_Mes</f>
        <v>87</v>
      </c>
      <c r="CP21" s="31" t="n">
        <f aca="false">88-p_L1_Mes</f>
        <v>88</v>
      </c>
      <c r="CQ21" s="31" t="n">
        <f aca="false">89-p_L1_Mes</f>
        <v>89</v>
      </c>
      <c r="CR21" s="31" t="n">
        <f aca="false">90-p_L1_Mes</f>
        <v>90</v>
      </c>
      <c r="CS21" s="31" t="n">
        <f aca="false">91-p_L1_Mes</f>
        <v>91</v>
      </c>
      <c r="CT21" s="31" t="n">
        <f aca="false">92-p_L1_Mes</f>
        <v>92</v>
      </c>
      <c r="CU21" s="31" t="n">
        <f aca="false">93-p_L1_Mes</f>
        <v>93</v>
      </c>
      <c r="CV21" s="31" t="n">
        <f aca="false">94-p_L1_Mes</f>
        <v>94</v>
      </c>
      <c r="CW21" s="31" t="n">
        <f aca="false">95-p_L1_Mes</f>
        <v>95</v>
      </c>
      <c r="CX21" s="31" t="n">
        <f aca="false">96-p_L1_Mes</f>
        <v>96</v>
      </c>
      <c r="CY21" s="31" t="n">
        <f aca="false">97-p_L1_Mes</f>
        <v>97</v>
      </c>
      <c r="CZ21" s="31" t="n">
        <f aca="false">98-p_L1_Mes</f>
        <v>98</v>
      </c>
      <c r="DA21" s="31" t="n">
        <f aca="false">99-p_L1_Mes</f>
        <v>99</v>
      </c>
      <c r="DB21" s="31" t="n">
        <f aca="false">100-p_L1_Mes</f>
        <v>100</v>
      </c>
      <c r="DC21" s="31" t="n">
        <f aca="false">101-p_L1_Mes</f>
        <v>101</v>
      </c>
      <c r="DD21" s="31" t="n">
        <f aca="false">102-p_L1_Mes</f>
        <v>102</v>
      </c>
      <c r="DE21" s="31" t="n">
        <f aca="false">103-p_L1_Mes</f>
        <v>103</v>
      </c>
      <c r="DF21" s="31" t="n">
        <f aca="false">104-p_L1_Mes</f>
        <v>104</v>
      </c>
      <c r="DG21" s="31" t="n">
        <f aca="false">105-p_L1_Mes</f>
        <v>105</v>
      </c>
      <c r="DH21" s="31" t="n">
        <f aca="false">106-p_L1_Mes</f>
        <v>106</v>
      </c>
      <c r="DI21" s="31" t="n">
        <f aca="false">107-p_L1_Mes</f>
        <v>107</v>
      </c>
      <c r="DJ21" s="31" t="n">
        <f aca="false">108-p_L1_Mes</f>
        <v>108</v>
      </c>
      <c r="DK21" s="31" t="n">
        <f aca="false">109-p_L1_Mes</f>
        <v>109</v>
      </c>
      <c r="DL21" s="31" t="n">
        <f aca="false">110-p_L1_Mes</f>
        <v>110</v>
      </c>
      <c r="DM21" s="31" t="n">
        <f aca="false">111-p_L1_Mes</f>
        <v>111</v>
      </c>
      <c r="DN21" s="31" t="n">
        <f aca="false">112-p_L1_Mes</f>
        <v>112</v>
      </c>
      <c r="DO21" s="31" t="n">
        <f aca="false">113-p_L1_Mes</f>
        <v>113</v>
      </c>
      <c r="DP21" s="31" t="n">
        <f aca="false">114-p_L1_Mes</f>
        <v>114</v>
      </c>
      <c r="DQ21" s="31" t="n">
        <f aca="false">115-p_L1_Mes</f>
        <v>115</v>
      </c>
      <c r="DR21" s="31" t="n">
        <f aca="false">116-p_L1_Mes</f>
        <v>116</v>
      </c>
      <c r="DS21" s="31" t="n">
        <f aca="false">117-p_L1_Mes</f>
        <v>117</v>
      </c>
      <c r="DT21" s="31" t="n">
        <f aca="false">118-p_L1_Mes</f>
        <v>118</v>
      </c>
      <c r="DU21" s="31" t="n">
        <f aca="false">119-p_L1_Mes</f>
        <v>119</v>
      </c>
      <c r="DV21" s="31" t="n">
        <f aca="false">120-p_L1_Mes</f>
        <v>120</v>
      </c>
      <c r="DW21" s="31" t="n">
        <f aca="false">121-p_L1_Mes</f>
        <v>121</v>
      </c>
      <c r="DX21" s="31" t="n">
        <f aca="false">122-p_L1_Mes</f>
        <v>122</v>
      </c>
      <c r="DY21" s="31" t="n">
        <f aca="false">123-p_L1_Mes</f>
        <v>123</v>
      </c>
      <c r="DZ21" s="31" t="n">
        <f aca="false">124-p_L1_Mes</f>
        <v>124</v>
      </c>
      <c r="EA21" s="31" t="n">
        <f aca="false">125-p_L1_Mes</f>
        <v>125</v>
      </c>
      <c r="EB21" s="31" t="n">
        <f aca="false">126-p_L1_Mes</f>
        <v>126</v>
      </c>
      <c r="EC21" s="31" t="n">
        <f aca="false">127-p_L1_Mes</f>
        <v>127</v>
      </c>
      <c r="ED21" s="31" t="n">
        <f aca="false">128-p_L1_Mes</f>
        <v>128</v>
      </c>
      <c r="EE21" s="31" t="n">
        <f aca="false">129-p_L1_Mes</f>
        <v>129</v>
      </c>
      <c r="EF21" s="31" t="n">
        <f aca="false">130-p_L1_Mes</f>
        <v>130</v>
      </c>
      <c r="EG21" s="31" t="n">
        <f aca="false">131-p_L1_Mes</f>
        <v>131</v>
      </c>
      <c r="EH21" s="31" t="n">
        <f aca="false">132-p_L1_Mes</f>
        <v>132</v>
      </c>
      <c r="EI21" s="31" t="n">
        <f aca="false">133-p_L1_Mes</f>
        <v>133</v>
      </c>
      <c r="EJ21" s="31" t="n">
        <f aca="false">134-p_L1_Mes</f>
        <v>134</v>
      </c>
      <c r="EK21" s="31" t="n">
        <f aca="false">135-p_L1_Mes</f>
        <v>135</v>
      </c>
      <c r="EL21" s="31" t="n">
        <f aca="false">136-p_L1_Mes</f>
        <v>136</v>
      </c>
      <c r="EM21" s="31" t="n">
        <f aca="false">137-p_L1_Mes</f>
        <v>137</v>
      </c>
      <c r="EN21" s="31" t="n">
        <f aca="false">138-p_L1_Mes</f>
        <v>138</v>
      </c>
      <c r="EO21" s="31" t="n">
        <f aca="false">139-p_L1_Mes</f>
        <v>139</v>
      </c>
      <c r="EP21" s="31" t="n">
        <f aca="false">140-p_L1_Mes</f>
        <v>140</v>
      </c>
      <c r="EQ21" s="31" t="n">
        <f aca="false">141-p_L1_Mes</f>
        <v>141</v>
      </c>
      <c r="ER21" s="31" t="n">
        <f aca="false">142-p_L1_Mes</f>
        <v>142</v>
      </c>
      <c r="ES21" s="31" t="n">
        <f aca="false">143-p_L1_Mes</f>
        <v>143</v>
      </c>
      <c r="ET21" s="31" t="n">
        <f aca="false">144-p_L1_Mes</f>
        <v>144</v>
      </c>
      <c r="EU21" s="31" t="n">
        <f aca="false">145-p_L1_Mes</f>
        <v>145</v>
      </c>
      <c r="EV21" s="31" t="n">
        <f aca="false">146-p_L1_Mes</f>
        <v>146</v>
      </c>
      <c r="EW21" s="31" t="n">
        <f aca="false">147-p_L1_Mes</f>
        <v>147</v>
      </c>
      <c r="EX21" s="31" t="n">
        <f aca="false">148-p_L1_Mes</f>
        <v>148</v>
      </c>
      <c r="EY21" s="31" t="n">
        <f aca="false">149-p_L1_Mes</f>
        <v>149</v>
      </c>
      <c r="EZ21" s="31" t="n">
        <f aca="false">150-p_L1_Mes</f>
        <v>150</v>
      </c>
      <c r="FA21" s="31" t="n">
        <f aca="false">151-p_L1_Mes</f>
        <v>151</v>
      </c>
      <c r="FB21" s="31" t="n">
        <f aca="false">152-p_L1_Mes</f>
        <v>152</v>
      </c>
      <c r="FC21" s="31" t="n">
        <f aca="false">153-p_L1_Mes</f>
        <v>153</v>
      </c>
      <c r="FD21" s="31" t="n">
        <f aca="false">154-p_L1_Mes</f>
        <v>154</v>
      </c>
      <c r="FE21" s="31" t="n">
        <f aca="false">155-p_L1_Mes</f>
        <v>155</v>
      </c>
      <c r="FF21" s="31" t="n">
        <f aca="false">156-p_L1_Mes</f>
        <v>156</v>
      </c>
    </row>
    <row r="22" customFormat="false" ht="15" hidden="false" customHeight="false" outlineLevel="0" collapsed="false">
      <c r="A22" s="2" t="s">
        <v>1400</v>
      </c>
      <c r="B22" s="8" t="s">
        <v>1401</v>
      </c>
      <c r="C22" s="8" t="s">
        <v>255</v>
      </c>
      <c r="F22" s="13" t="n">
        <f aca="false">IF(F$21&lt;0,0,IF(F$21=0,p_L1_Monto,0-F$23))</f>
        <v>2791587</v>
      </c>
      <c r="G22" s="13" t="n">
        <f aca="false">IF(G$21&lt;0,0,IF(G$21=0,p_L1_Monto,F$22-G$23))</f>
        <v>2791587</v>
      </c>
      <c r="H22" s="13" t="n">
        <f aca="false">IF(H$21&lt;0,0,IF(H$21=0,p_L1_Monto,G$22-H$23))</f>
        <v>2791587</v>
      </c>
      <c r="I22" s="13" t="n">
        <f aca="false">IF(I$21&lt;0,0,IF(I$21=0,p_L1_Monto,H$22-I$23))</f>
        <v>2791587</v>
      </c>
      <c r="J22" s="13" t="n">
        <f aca="false">IF(J$21&lt;0,0,IF(J$21=0,p_L1_Monto,I$22-J$23))</f>
        <v>2791587</v>
      </c>
      <c r="K22" s="13" t="n">
        <f aca="false">IF(K$21&lt;0,0,IF(K$21=0,p_L1_Monto,J$22-K$23))</f>
        <v>2791587</v>
      </c>
      <c r="L22" s="13" t="n">
        <f aca="false">IF(L$21&lt;0,0,IF(L$21=0,p_L1_Monto,K$22-L$23))</f>
        <v>2791587</v>
      </c>
      <c r="M22" s="13" t="n">
        <f aca="false">IF(M$21&lt;0,0,IF(M$21=0,p_L1_Monto,L$22-M$23))</f>
        <v>2749463.69590531</v>
      </c>
      <c r="N22" s="13" t="n">
        <f aca="false">IF(N$21&lt;0,0,IF(N$21=0,p_L1_Monto,M$22-N$23))</f>
        <v>2707024.46702991</v>
      </c>
      <c r="O22" s="13" t="n">
        <f aca="false">IF(O$21&lt;0,0,IF(O$21=0,p_L1_Monto,N$22-O$23))</f>
        <v>2664266.94393795</v>
      </c>
      <c r="P22" s="13" t="n">
        <f aca="false">IF(P$21&lt;0,0,IF(P$21=0,p_L1_Monto,O$22-P$23))</f>
        <v>2621188.7394228</v>
      </c>
      <c r="Q22" s="13" t="n">
        <f aca="false">IF(Q$21&lt;0,0,IF(Q$21=0,p_L1_Monto,P$22-Q$23))</f>
        <v>2577787.44837378</v>
      </c>
      <c r="R22" s="13" t="n">
        <f aca="false">IF(R$21&lt;0,0,IF(R$21=0,p_L1_Monto,Q$22-R$23))</f>
        <v>2534060.6476419</v>
      </c>
      <c r="S22" s="13" t="n">
        <f aca="false">IF(S$21&lt;0,0,IF(S$21=0,p_L1_Monto,R$22-S$23))</f>
        <v>2490005.89590452</v>
      </c>
      <c r="T22" s="13" t="n">
        <f aca="false">IF(T$21&lt;0,0,IF(T$21=0,p_L1_Monto,S$22-T$23))</f>
        <v>2445620.73352912</v>
      </c>
      <c r="U22" s="13" t="n">
        <f aca="false">IF(U$21&lt;0,0,IF(U$21=0,p_L1_Monto,T$22-U$23))</f>
        <v>2400902.6824359</v>
      </c>
      <c r="V22" s="13" t="n">
        <f aca="false">IF(V$21&lt;0,0,IF(V$21=0,p_L1_Monto,U$22-V$23))</f>
        <v>2355849.24595948</v>
      </c>
      <c r="W22" s="13" t="n">
        <f aca="false">IF(W$21&lt;0,0,IF(W$21=0,p_L1_Monto,V$22-W$23))</f>
        <v>2310457.90870949</v>
      </c>
      <c r="X22" s="13" t="n">
        <f aca="false">IF(X$21&lt;0,0,IF(X$21=0,p_L1_Monto,W$22-X$23))</f>
        <v>2264726.13643012</v>
      </c>
      <c r="Y22" s="13" t="n">
        <f aca="false">IF(Y$21&lt;0,0,IF(Y$21=0,p_L1_Monto,X$22-Y$23))</f>
        <v>2218651.37585866</v>
      </c>
      <c r="Z22" s="13" t="n">
        <f aca="false">IF(Z$21&lt;0,0,IF(Z$21=0,p_L1_Monto,Y$22-Z$23))</f>
        <v>2172231.05458292</v>
      </c>
      <c r="AA22" s="13" t="n">
        <f aca="false">IF(AA$21&lt;0,0,IF(AA$21=0,p_L1_Monto,Z$22-AA$23))</f>
        <v>2125462.5808976</v>
      </c>
      <c r="AB22" s="13" t="n">
        <f aca="false">IF(AB$21&lt;0,0,IF(AB$21=0,p_L1_Monto,AA$22-AB$23))</f>
        <v>2078343.34365964</v>
      </c>
      <c r="AC22" s="13" t="n">
        <f aca="false">IF(AC$21&lt;0,0,IF(AC$21=0,p_L1_Monto,AB$22-AC$23))</f>
        <v>2030870.7121424</v>
      </c>
      <c r="AD22" s="13" t="n">
        <f aca="false">IF(AD$21&lt;0,0,IF(AD$21=0,p_L1_Monto,AC$22-AD$23))</f>
        <v>1983042.03588878</v>
      </c>
      <c r="AE22" s="13" t="n">
        <f aca="false">IF(AE$21&lt;0,0,IF(AE$21=0,p_L1_Monto,AD$22-AE$23))</f>
        <v>1934854.64456326</v>
      </c>
      <c r="AF22" s="13" t="n">
        <f aca="false">IF(AF$21&lt;0,0,IF(AF$21=0,p_L1_Monto,AE$22-AF$23))</f>
        <v>1886305.8478028</v>
      </c>
      <c r="AG22" s="13" t="n">
        <f aca="false">IF(AG$21&lt;0,0,IF(AG$21=0,p_L1_Monto,AF$22-AG$23))</f>
        <v>1837392.93506663</v>
      </c>
      <c r="AH22" s="13" t="n">
        <f aca="false">IF(AH$21&lt;0,0,IF(AH$21=0,p_L1_Monto,AG$22-AH$23))</f>
        <v>1788113.17548494</v>
      </c>
      <c r="AI22" s="13" t="n">
        <f aca="false">IF(AI$21&lt;0,0,IF(AI$21=0,p_L1_Monto,AH$22-AI$23))</f>
        <v>1738463.81770639</v>
      </c>
      <c r="AJ22" s="13" t="n">
        <f aca="false">IF(AJ$21&lt;0,0,IF(AJ$21=0,p_L1_Monto,AI$22-AJ$23))</f>
        <v>1688442.0897445</v>
      </c>
      <c r="AK22" s="13" t="n">
        <f aca="false">IF(AK$21&lt;0,0,IF(AK$21=0,p_L1_Monto,AJ$22-AK$23))</f>
        <v>1638045.1988229</v>
      </c>
      <c r="AL22" s="13" t="n">
        <f aca="false">IF(AL$21&lt;0,0,IF(AL$21=0,p_L1_Monto,AK$22-AL$23))</f>
        <v>1587270.33121938</v>
      </c>
      <c r="AM22" s="13" t="n">
        <f aca="false">IF(AM$21&lt;0,0,IF(AM$21=0,p_L1_Monto,AL$22-AM$23))</f>
        <v>1536114.65210884</v>
      </c>
      <c r="AN22" s="13" t="n">
        <f aca="false">IF(AN$21&lt;0,0,IF(AN$21=0,p_L1_Monto,AM$22-AN$23))</f>
        <v>1484575.30540497</v>
      </c>
      <c r="AO22" s="13" t="n">
        <f aca="false">IF(AO$21&lt;0,0,IF(AO$21=0,p_L1_Monto,AN$22-AO$23))</f>
        <v>1432649.41360082</v>
      </c>
      <c r="AP22" s="13" t="n">
        <f aca="false">IF(AP$21&lt;0,0,IF(AP$21=0,p_L1_Monto,AO$22-AP$23))</f>
        <v>1380334.07760814</v>
      </c>
      <c r="AQ22" s="13" t="n">
        <f aca="false">IF(AQ$21&lt;0,0,IF(AQ$21=0,p_L1_Monto,AP$22-AQ$23))</f>
        <v>1327626.37659551</v>
      </c>
      <c r="AR22" s="13" t="n">
        <f aca="false">IF(AR$21&lt;0,0,IF(AR$21=0,p_L1_Monto,AQ$22-AR$23))</f>
        <v>1274523.36782529</v>
      </c>
      <c r="AS22" s="13" t="n">
        <f aca="false">IF(AS$21&lt;0,0,IF(AS$21=0,p_L1_Monto,AR$22-AS$23))</f>
        <v>1221022.08648929</v>
      </c>
      <c r="AT22" s="13" t="n">
        <f aca="false">IF(AT$21&lt;0,0,IF(AT$21=0,p_L1_Monto,AS$22-AT$23))</f>
        <v>1167119.54554327</v>
      </c>
      <c r="AU22" s="13" t="n">
        <f aca="false">IF(AU$21&lt;0,0,IF(AU$21=0,p_L1_Monto,AT$22-AU$23))</f>
        <v>1112812.73554016</v>
      </c>
      <c r="AV22" s="13" t="n">
        <f aca="false">IF(AV$21&lt;0,0,IF(AV$21=0,p_L1_Monto,AU$22-AV$23))</f>
        <v>1058098.62446202</v>
      </c>
      <c r="AW22" s="13" t="n">
        <f aca="false">IF(AW$21&lt;0,0,IF(AW$21=0,p_L1_Monto,AV$22-AW$23))</f>
        <v>1002974.1575508</v>
      </c>
      <c r="AX22" s="13" t="n">
        <f aca="false">IF(AX$21&lt;0,0,IF(AX$21=0,p_L1_Monto,AW$22-AX$23))</f>
        <v>947436.257137743</v>
      </c>
      <c r="AY22" s="13" t="n">
        <f aca="false">IF(AY$21&lt;0,0,IF(AY$21=0,p_L1_Monto,AX$22-AY$23))</f>
        <v>891481.822471588</v>
      </c>
      <c r="AZ22" s="13" t="n">
        <f aca="false">IF(AZ$21&lt;0,0,IF(AZ$21=0,p_L1_Monto,AY$22-AZ$23))</f>
        <v>835107.729545437</v>
      </c>
      <c r="BA22" s="13" t="n">
        <f aca="false">IF(BA$21&lt;0,0,IF(BA$21=0,p_L1_Monto,AZ$22-BA$23))</f>
        <v>778310.83092234</v>
      </c>
      <c r="BB22" s="13" t="n">
        <f aca="false">IF(BB$21&lt;0,0,IF(BB$21=0,p_L1_Monto,BA$22-BB$23))</f>
        <v>721087.95555957</v>
      </c>
      <c r="BC22" s="13" t="n">
        <f aca="false">IF(BC$21&lt;0,0,IF(BC$21=0,p_L1_Monto,BB$22-BC$23))</f>
        <v>663435.908631579</v>
      </c>
      <c r="BD22" s="13" t="n">
        <f aca="false">IF(BD$21&lt;0,0,IF(BD$21=0,p_L1_Monto,BC$22-BD$23))</f>
        <v>605351.471351628</v>
      </c>
      <c r="BE22" s="13" t="n">
        <f aca="false">IF(BE$21&lt;0,0,IF(BE$21=0,p_L1_Monto,BD$22-BE$23))</f>
        <v>546831.400792078</v>
      </c>
      <c r="BF22" s="13" t="n">
        <f aca="false">IF(BF$21&lt;0,0,IF(BF$21=0,p_L1_Monto,BE$22-BF$23))</f>
        <v>487872.429703331</v>
      </c>
      <c r="BG22" s="13" t="n">
        <f aca="false">IF(BG$21&lt;0,0,IF(BG$21=0,p_L1_Monto,BF$22-BG$23))</f>
        <v>428471.266331418</v>
      </c>
      <c r="BH22" s="13" t="n">
        <f aca="false">IF(BH$21&lt;0,0,IF(BH$21=0,p_L1_Monto,BG$22-BH$23))</f>
        <v>368624.594234216</v>
      </c>
      <c r="BI22" s="13" t="n">
        <f aca="false">IF(BI$21&lt;0,0,IF(BI$21=0,p_L1_Monto,BH$22-BI$23))</f>
        <v>308329.072096285</v>
      </c>
      <c r="BJ22" s="13" t="n">
        <f aca="false">IF(BJ$21&lt;0,0,IF(BJ$21=0,p_L1_Monto,BI$22-BJ$23))</f>
        <v>247581.333542319</v>
      </c>
      <c r="BK22" s="13" t="n">
        <f aca="false">IF(BK$21&lt;0,0,IF(BK$21=0,p_L1_Monto,BJ$22-BK$23))</f>
        <v>186377.986949199</v>
      </c>
      <c r="BL22" s="13" t="n">
        <f aca="false">IF(BL$21&lt;0,0,IF(BL$21=0,p_L1_Monto,BK$22-BL$23))</f>
        <v>124715.61525663</v>
      </c>
      <c r="BM22" s="13" t="n">
        <f aca="false">IF(BM$21&lt;0,0,IF(BM$21=0,p_L1_Monto,BL$22-BM$23))</f>
        <v>62590.7757763667</v>
      </c>
      <c r="BN22" s="13" t="n">
        <f aca="false">IF(BN$21&lt;0,0,IF(BN$21=0,p_L1_Monto,BM$22-BN$23))</f>
        <v>1.69529812410474E-009</v>
      </c>
      <c r="BO22" s="13" t="n">
        <f aca="false">IF(BO$21&lt;0,0,IF(BO$21=0,p_L1_Monto,BN$22-BO$23))</f>
        <v>1.69529812410474E-009</v>
      </c>
      <c r="BP22" s="13" t="n">
        <f aca="false">IF(BP$21&lt;0,0,IF(BP$21=0,p_L1_Monto,BO$22-BP$23))</f>
        <v>1.69529812410474E-009</v>
      </c>
      <c r="BQ22" s="13" t="n">
        <f aca="false">IF(BQ$21&lt;0,0,IF(BQ$21=0,p_L1_Monto,BP$22-BQ$23))</f>
        <v>1.69529812410474E-009</v>
      </c>
      <c r="BR22" s="13" t="n">
        <f aca="false">IF(BR$21&lt;0,0,IF(BR$21=0,p_L1_Monto,BQ$22-BR$23))</f>
        <v>1.69529812410474E-009</v>
      </c>
      <c r="BS22" s="13" t="n">
        <f aca="false">IF(BS$21&lt;0,0,IF(BS$21=0,p_L1_Monto,BR$22-BS$23))</f>
        <v>1.69529812410474E-009</v>
      </c>
      <c r="BT22" s="13" t="n">
        <f aca="false">IF(BT$21&lt;0,0,IF(BT$21=0,p_L1_Monto,BS$22-BT$23))</f>
        <v>1.69529812410474E-009</v>
      </c>
      <c r="BU22" s="13" t="n">
        <f aca="false">IF(BU$21&lt;0,0,IF(BU$21=0,p_L1_Monto,BT$22-BU$23))</f>
        <v>1.69529812410474E-009</v>
      </c>
      <c r="BV22" s="13" t="n">
        <f aca="false">IF(BV$21&lt;0,0,IF(BV$21=0,p_L1_Monto,BU$22-BV$23))</f>
        <v>1.69529812410474E-009</v>
      </c>
      <c r="BW22" s="13" t="n">
        <f aca="false">IF(BW$21&lt;0,0,IF(BW$21=0,p_L1_Monto,BV$22-BW$23))</f>
        <v>1.69529812410474E-009</v>
      </c>
      <c r="BX22" s="13" t="n">
        <f aca="false">IF(BX$21&lt;0,0,IF(BX$21=0,p_L1_Monto,BW$22-BX$23))</f>
        <v>1.69529812410474E-009</v>
      </c>
      <c r="BY22" s="13" t="n">
        <f aca="false">IF(BY$21&lt;0,0,IF(BY$21=0,p_L1_Monto,BX$22-BY$23))</f>
        <v>1.69529812410474E-009</v>
      </c>
      <c r="BZ22" s="13" t="n">
        <f aca="false">IF(BZ$21&lt;0,0,IF(BZ$21=0,p_L1_Monto,BY$22-BZ$23))</f>
        <v>1.69529812410474E-009</v>
      </c>
      <c r="CA22" s="13" t="n">
        <f aca="false">IF(CA$21&lt;0,0,IF(CA$21=0,p_L1_Monto,BZ$22-CA$23))</f>
        <v>1.69529812410474E-009</v>
      </c>
      <c r="CB22" s="13" t="n">
        <f aca="false">IF(CB$21&lt;0,0,IF(CB$21=0,p_L1_Monto,CA$22-CB$23))</f>
        <v>1.69529812410474E-009</v>
      </c>
      <c r="CC22" s="13" t="n">
        <f aca="false">IF(CC$21&lt;0,0,IF(CC$21=0,p_L1_Monto,CB$22-CC$23))</f>
        <v>1.69529812410474E-009</v>
      </c>
      <c r="CD22" s="13" t="n">
        <f aca="false">IF(CD$21&lt;0,0,IF(CD$21=0,p_L1_Monto,CC$22-CD$23))</f>
        <v>1.69529812410474E-009</v>
      </c>
      <c r="CE22" s="13" t="n">
        <f aca="false">IF(CE$21&lt;0,0,IF(CE$21=0,p_L1_Monto,CD$22-CE$23))</f>
        <v>1.69529812410474E-009</v>
      </c>
      <c r="CF22" s="13" t="n">
        <f aca="false">IF(CF$21&lt;0,0,IF(CF$21=0,p_L1_Monto,CE$22-CF$23))</f>
        <v>1.69529812410474E-009</v>
      </c>
      <c r="CG22" s="13" t="n">
        <f aca="false">IF(CG$21&lt;0,0,IF(CG$21=0,p_L1_Monto,CF$22-CG$23))</f>
        <v>1.69529812410474E-009</v>
      </c>
      <c r="CH22" s="13" t="n">
        <f aca="false">IF(CH$21&lt;0,0,IF(CH$21=0,p_L1_Monto,CG$22-CH$23))</f>
        <v>1.69529812410474E-009</v>
      </c>
      <c r="CI22" s="13" t="n">
        <f aca="false">IF(CI$21&lt;0,0,IF(CI$21=0,p_L1_Monto,CH$22-CI$23))</f>
        <v>1.69529812410474E-009</v>
      </c>
      <c r="CJ22" s="13" t="n">
        <f aca="false">IF(CJ$21&lt;0,0,IF(CJ$21=0,p_L1_Monto,CI$22-CJ$23))</f>
        <v>1.69529812410474E-009</v>
      </c>
      <c r="CK22" s="13" t="n">
        <f aca="false">IF(CK$21&lt;0,0,IF(CK$21=0,p_L1_Monto,CJ$22-CK$23))</f>
        <v>1.69529812410474E-009</v>
      </c>
      <c r="CL22" s="13" t="n">
        <f aca="false">IF(CL$21&lt;0,0,IF(CL$21=0,p_L1_Monto,CK$22-CL$23))</f>
        <v>1.69529812410474E-009</v>
      </c>
      <c r="CM22" s="13" t="n">
        <f aca="false">IF(CM$21&lt;0,0,IF(CM$21=0,p_L1_Monto,CL$22-CM$23))</f>
        <v>1.69529812410474E-009</v>
      </c>
      <c r="CN22" s="13" t="n">
        <f aca="false">IF(CN$21&lt;0,0,IF(CN$21=0,p_L1_Monto,CM$22-CN$23))</f>
        <v>1.69529812410474E-009</v>
      </c>
      <c r="CO22" s="13" t="n">
        <f aca="false">IF(CO$21&lt;0,0,IF(CO$21=0,p_L1_Monto,CN$22-CO$23))</f>
        <v>1.69529812410474E-009</v>
      </c>
      <c r="CP22" s="13" t="n">
        <f aca="false">IF(CP$21&lt;0,0,IF(CP$21=0,p_L1_Monto,CO$22-CP$23))</f>
        <v>1.69529812410474E-009</v>
      </c>
      <c r="CQ22" s="13" t="n">
        <f aca="false">IF(CQ$21&lt;0,0,IF(CQ$21=0,p_L1_Monto,CP$22-CQ$23))</f>
        <v>1.69529812410474E-009</v>
      </c>
      <c r="CR22" s="13" t="n">
        <f aca="false">IF(CR$21&lt;0,0,IF(CR$21=0,p_L1_Monto,CQ$22-CR$23))</f>
        <v>1.69529812410474E-009</v>
      </c>
      <c r="CS22" s="13" t="n">
        <f aca="false">IF(CS$21&lt;0,0,IF(CS$21=0,p_L1_Monto,CR$22-CS$23))</f>
        <v>1.69529812410474E-009</v>
      </c>
      <c r="CT22" s="13" t="n">
        <f aca="false">IF(CT$21&lt;0,0,IF(CT$21=0,p_L1_Monto,CS$22-CT$23))</f>
        <v>1.69529812410474E-009</v>
      </c>
      <c r="CU22" s="13" t="n">
        <f aca="false">IF(CU$21&lt;0,0,IF(CU$21=0,p_L1_Monto,CT$22-CU$23))</f>
        <v>1.69529812410474E-009</v>
      </c>
      <c r="CV22" s="13" t="n">
        <f aca="false">IF(CV$21&lt;0,0,IF(CV$21=0,p_L1_Monto,CU$22-CV$23))</f>
        <v>1.69529812410474E-009</v>
      </c>
      <c r="CW22" s="13" t="n">
        <f aca="false">IF(CW$21&lt;0,0,IF(CW$21=0,p_L1_Monto,CV$22-CW$23))</f>
        <v>1.69529812410474E-009</v>
      </c>
      <c r="CX22" s="13" t="n">
        <f aca="false">IF(CX$21&lt;0,0,IF(CX$21=0,p_L1_Monto,CW$22-CX$23))</f>
        <v>1.69529812410474E-009</v>
      </c>
      <c r="CY22" s="13" t="n">
        <f aca="false">IF(CY$21&lt;0,0,IF(CY$21=0,p_L1_Monto,CX$22-CY$23))</f>
        <v>1.69529812410474E-009</v>
      </c>
      <c r="CZ22" s="13" t="n">
        <f aca="false">IF(CZ$21&lt;0,0,IF(CZ$21=0,p_L1_Monto,CY$22-CZ$23))</f>
        <v>1.69529812410474E-009</v>
      </c>
      <c r="DA22" s="13" t="n">
        <f aca="false">IF(DA$21&lt;0,0,IF(DA$21=0,p_L1_Monto,CZ$22-DA$23))</f>
        <v>1.69529812410474E-009</v>
      </c>
      <c r="DB22" s="13" t="n">
        <f aca="false">IF(DB$21&lt;0,0,IF(DB$21=0,p_L1_Monto,DA$22-DB$23))</f>
        <v>1.69529812410474E-009</v>
      </c>
      <c r="DC22" s="13" t="n">
        <f aca="false">IF(DC$21&lt;0,0,IF(DC$21=0,p_L1_Monto,DB$22-DC$23))</f>
        <v>1.69529812410474E-009</v>
      </c>
      <c r="DD22" s="13" t="n">
        <f aca="false">IF(DD$21&lt;0,0,IF(DD$21=0,p_L1_Monto,DC$22-DD$23))</f>
        <v>1.69529812410474E-009</v>
      </c>
      <c r="DE22" s="13" t="n">
        <f aca="false">IF(DE$21&lt;0,0,IF(DE$21=0,p_L1_Monto,DD$22-DE$23))</f>
        <v>1.69529812410474E-009</v>
      </c>
      <c r="DF22" s="13" t="n">
        <f aca="false">IF(DF$21&lt;0,0,IF(DF$21=0,p_L1_Monto,DE$22-DF$23))</f>
        <v>1.69529812410474E-009</v>
      </c>
      <c r="DG22" s="13" t="n">
        <f aca="false">IF(DG$21&lt;0,0,IF(DG$21=0,p_L1_Monto,DF$22-DG$23))</f>
        <v>1.69529812410474E-009</v>
      </c>
      <c r="DH22" s="13" t="n">
        <f aca="false">IF(DH$21&lt;0,0,IF(DH$21=0,p_L1_Monto,DG$22-DH$23))</f>
        <v>1.69529812410474E-009</v>
      </c>
      <c r="DI22" s="13" t="n">
        <f aca="false">IF(DI$21&lt;0,0,IF(DI$21=0,p_L1_Monto,DH$22-DI$23))</f>
        <v>1.69529812410474E-009</v>
      </c>
      <c r="DJ22" s="13" t="n">
        <f aca="false">IF(DJ$21&lt;0,0,IF(DJ$21=0,p_L1_Monto,DI$22-DJ$23))</f>
        <v>1.69529812410474E-009</v>
      </c>
      <c r="DK22" s="13" t="n">
        <f aca="false">IF(DK$21&lt;0,0,IF(DK$21=0,p_L1_Monto,DJ$22-DK$23))</f>
        <v>1.69529812410474E-009</v>
      </c>
      <c r="DL22" s="13" t="n">
        <f aca="false">IF(DL$21&lt;0,0,IF(DL$21=0,p_L1_Monto,DK$22-DL$23))</f>
        <v>1.69529812410474E-009</v>
      </c>
      <c r="DM22" s="13" t="n">
        <f aca="false">IF(DM$21&lt;0,0,IF(DM$21=0,p_L1_Monto,DL$22-DM$23))</f>
        <v>1.69529812410474E-009</v>
      </c>
      <c r="DN22" s="13" t="n">
        <f aca="false">IF(DN$21&lt;0,0,IF(DN$21=0,p_L1_Monto,DM$22-DN$23))</f>
        <v>1.69529812410474E-009</v>
      </c>
      <c r="DO22" s="13" t="n">
        <f aca="false">IF(DO$21&lt;0,0,IF(DO$21=0,p_L1_Monto,DN$22-DO$23))</f>
        <v>1.69529812410474E-009</v>
      </c>
      <c r="DP22" s="13" t="n">
        <f aca="false">IF(DP$21&lt;0,0,IF(DP$21=0,p_L1_Monto,DO$22-DP$23))</f>
        <v>1.69529812410474E-009</v>
      </c>
      <c r="DQ22" s="13" t="n">
        <f aca="false">IF(DQ$21&lt;0,0,IF(DQ$21=0,p_L1_Monto,DP$22-DQ$23))</f>
        <v>1.69529812410474E-009</v>
      </c>
      <c r="DR22" s="13" t="n">
        <f aca="false">IF(DR$21&lt;0,0,IF(DR$21=0,p_L1_Monto,DQ$22-DR$23))</f>
        <v>1.69529812410474E-009</v>
      </c>
      <c r="DS22" s="13" t="n">
        <f aca="false">IF(DS$21&lt;0,0,IF(DS$21=0,p_L1_Monto,DR$22-DS$23))</f>
        <v>1.69529812410474E-009</v>
      </c>
      <c r="DT22" s="13" t="n">
        <f aca="false">IF(DT$21&lt;0,0,IF(DT$21=0,p_L1_Monto,DS$22-DT$23))</f>
        <v>1.69529812410474E-009</v>
      </c>
      <c r="DU22" s="13" t="n">
        <f aca="false">IF(DU$21&lt;0,0,IF(DU$21=0,p_L1_Monto,DT$22-DU$23))</f>
        <v>1.69529812410474E-009</v>
      </c>
      <c r="DV22" s="13" t="n">
        <f aca="false">IF(DV$21&lt;0,0,IF(DV$21=0,p_L1_Monto,DU$22-DV$23))</f>
        <v>1.69529812410474E-009</v>
      </c>
      <c r="DW22" s="13" t="n">
        <f aca="false">IF(DW$21&lt;0,0,IF(DW$21=0,p_L1_Monto,DV$22-DW$23))</f>
        <v>1.69529812410474E-009</v>
      </c>
      <c r="DX22" s="13" t="n">
        <f aca="false">IF(DX$21&lt;0,0,IF(DX$21=0,p_L1_Monto,DW$22-DX$23))</f>
        <v>1.69529812410474E-009</v>
      </c>
      <c r="DY22" s="13" t="n">
        <f aca="false">IF(DY$21&lt;0,0,IF(DY$21=0,p_L1_Monto,DX$22-DY$23))</f>
        <v>1.69529812410474E-009</v>
      </c>
      <c r="DZ22" s="13" t="n">
        <f aca="false">IF(DZ$21&lt;0,0,IF(DZ$21=0,p_L1_Monto,DY$22-DZ$23))</f>
        <v>1.69529812410474E-009</v>
      </c>
      <c r="EA22" s="13" t="n">
        <f aca="false">IF(EA$21&lt;0,0,IF(EA$21=0,p_L1_Monto,DZ$22-EA$23))</f>
        <v>1.69529812410474E-009</v>
      </c>
      <c r="EB22" s="13" t="n">
        <f aca="false">IF(EB$21&lt;0,0,IF(EB$21=0,p_L1_Monto,EA$22-EB$23))</f>
        <v>1.69529812410474E-009</v>
      </c>
      <c r="EC22" s="13" t="n">
        <f aca="false">IF(EC$21&lt;0,0,IF(EC$21=0,p_L1_Monto,EB$22-EC$23))</f>
        <v>1.69529812410474E-009</v>
      </c>
      <c r="ED22" s="13" t="n">
        <f aca="false">IF(ED$21&lt;0,0,IF(ED$21=0,p_L1_Monto,EC$22-ED$23))</f>
        <v>1.69529812410474E-009</v>
      </c>
      <c r="EE22" s="13" t="n">
        <f aca="false">IF(EE$21&lt;0,0,IF(EE$21=0,p_L1_Monto,ED$22-EE$23))</f>
        <v>1.69529812410474E-009</v>
      </c>
      <c r="EF22" s="13" t="n">
        <f aca="false">IF(EF$21&lt;0,0,IF(EF$21=0,p_L1_Monto,EE$22-EF$23))</f>
        <v>1.69529812410474E-009</v>
      </c>
      <c r="EG22" s="13" t="n">
        <f aca="false">IF(EG$21&lt;0,0,IF(EG$21=0,p_L1_Monto,EF$22-EG$23))</f>
        <v>1.69529812410474E-009</v>
      </c>
      <c r="EH22" s="13" t="n">
        <f aca="false">IF(EH$21&lt;0,0,IF(EH$21=0,p_L1_Monto,EG$22-EH$23))</f>
        <v>1.69529812410474E-009</v>
      </c>
      <c r="EI22" s="13" t="n">
        <f aca="false">IF(EI$21&lt;0,0,IF(EI$21=0,p_L1_Monto,EH$22-EI$23))</f>
        <v>1.69529812410474E-009</v>
      </c>
      <c r="EJ22" s="13" t="n">
        <f aca="false">IF(EJ$21&lt;0,0,IF(EJ$21=0,p_L1_Monto,EI$22-EJ$23))</f>
        <v>1.69529812410474E-009</v>
      </c>
      <c r="EK22" s="13" t="n">
        <f aca="false">IF(EK$21&lt;0,0,IF(EK$21=0,p_L1_Monto,EJ$22-EK$23))</f>
        <v>1.69529812410474E-009</v>
      </c>
      <c r="EL22" s="13" t="n">
        <f aca="false">IF(EL$21&lt;0,0,IF(EL$21=0,p_L1_Monto,EK$22-EL$23))</f>
        <v>1.69529812410474E-009</v>
      </c>
      <c r="EM22" s="13" t="n">
        <f aca="false">IF(EM$21&lt;0,0,IF(EM$21=0,p_L1_Monto,EL$22-EM$23))</f>
        <v>1.69529812410474E-009</v>
      </c>
      <c r="EN22" s="13" t="n">
        <f aca="false">IF(EN$21&lt;0,0,IF(EN$21=0,p_L1_Monto,EM$22-EN$23))</f>
        <v>1.69529812410474E-009</v>
      </c>
      <c r="EO22" s="13" t="n">
        <f aca="false">IF(EO$21&lt;0,0,IF(EO$21=0,p_L1_Monto,EN$22-EO$23))</f>
        <v>1.69529812410474E-009</v>
      </c>
      <c r="EP22" s="13" t="n">
        <f aca="false">IF(EP$21&lt;0,0,IF(EP$21=0,p_L1_Monto,EO$22-EP$23))</f>
        <v>1.69529812410474E-009</v>
      </c>
      <c r="EQ22" s="13" t="n">
        <f aca="false">IF(EQ$21&lt;0,0,IF(EQ$21=0,p_L1_Monto,EP$22-EQ$23))</f>
        <v>1.69529812410474E-009</v>
      </c>
      <c r="ER22" s="13" t="n">
        <f aca="false">IF(ER$21&lt;0,0,IF(ER$21=0,p_L1_Monto,EQ$22-ER$23))</f>
        <v>1.69529812410474E-009</v>
      </c>
      <c r="ES22" s="13" t="n">
        <f aca="false">IF(ES$21&lt;0,0,IF(ES$21=0,p_L1_Monto,ER$22-ES$23))</f>
        <v>1.69529812410474E-009</v>
      </c>
      <c r="ET22" s="13" t="n">
        <f aca="false">IF(ET$21&lt;0,0,IF(ET$21=0,p_L1_Monto,ES$22-ET$23))</f>
        <v>1.69529812410474E-009</v>
      </c>
      <c r="EU22" s="13" t="n">
        <f aca="false">IF(EU$21&lt;0,0,IF(EU$21=0,p_L1_Monto,ET$22-EU$23))</f>
        <v>1.69529812410474E-009</v>
      </c>
      <c r="EV22" s="13" t="n">
        <f aca="false">IF(EV$21&lt;0,0,IF(EV$21=0,p_L1_Monto,EU$22-EV$23))</f>
        <v>1.69529812410474E-009</v>
      </c>
      <c r="EW22" s="13" t="n">
        <f aca="false">IF(EW$21&lt;0,0,IF(EW$21=0,p_L1_Monto,EV$22-EW$23))</f>
        <v>1.69529812410474E-009</v>
      </c>
      <c r="EX22" s="13" t="n">
        <f aca="false">IF(EX$21&lt;0,0,IF(EX$21=0,p_L1_Monto,EW$22-EX$23))</f>
        <v>1.69529812410474E-009</v>
      </c>
      <c r="EY22" s="13" t="n">
        <f aca="false">IF(EY$21&lt;0,0,IF(EY$21=0,p_L1_Monto,EX$22-EY$23))</f>
        <v>1.69529812410474E-009</v>
      </c>
      <c r="EZ22" s="13" t="n">
        <f aca="false">IF(EZ$21&lt;0,0,IF(EZ$21=0,p_L1_Monto,EY$22-EZ$23))</f>
        <v>1.69529812410474E-009</v>
      </c>
      <c r="FA22" s="13" t="n">
        <f aca="false">IF(FA$21&lt;0,0,IF(FA$21=0,p_L1_Monto,EZ$22-FA$23))</f>
        <v>1.69529812410474E-009</v>
      </c>
      <c r="FB22" s="13" t="n">
        <f aca="false">IF(FB$21&lt;0,0,IF(FB$21=0,p_L1_Monto,FA$22-FB$23))</f>
        <v>1.69529812410474E-009</v>
      </c>
      <c r="FC22" s="13" t="n">
        <f aca="false">IF(FC$21&lt;0,0,IF(FC$21=0,p_L1_Monto,FB$22-FC$23))</f>
        <v>1.69529812410474E-009</v>
      </c>
      <c r="FD22" s="13" t="n">
        <f aca="false">IF(FD$21&lt;0,0,IF(FD$21=0,p_L1_Monto,FC$22-FD$23))</f>
        <v>1.69529812410474E-009</v>
      </c>
      <c r="FE22" s="13" t="n">
        <f aca="false">IF(FE$21&lt;0,0,IF(FE$21=0,p_L1_Monto,FD$22-FE$23))</f>
        <v>1.69529812410474E-009</v>
      </c>
      <c r="FF22" s="13" t="n">
        <f aca="false">IF(FF$21&lt;0,0,IF(FF$21=0,p_L1_Monto,FE$22-FF$23))</f>
        <v>1.69529812410474E-009</v>
      </c>
    </row>
    <row r="23" customFormat="false" ht="15" hidden="false" customHeight="false" outlineLevel="0" collapsed="false">
      <c r="A23" s="2" t="s">
        <v>1402</v>
      </c>
      <c r="B23" s="8" t="s">
        <v>1403</v>
      </c>
      <c r="C23" s="8" t="s">
        <v>255</v>
      </c>
      <c r="E23" s="65" t="n">
        <f aca="false">SUM($F23:$FF23)</f>
        <v>2791587</v>
      </c>
      <c r="F23" s="13" t="n">
        <f aca="false">IF(AND(F$21&gt;p_L1_Gracia,F$21&lt;=p_L1_Gracia+p_L1_Cuotas,p_L1_Cuotas&gt;0),PMT(p_L1_Tasa/12,p_L1_Cuotas,-p_L1_Monto)-0*p_L1_Tasa/12,0)</f>
        <v>0</v>
      </c>
      <c r="G23" s="13" t="n">
        <f aca="false">IF(AND(G$21&gt;p_L1_Gracia,G$21&lt;=p_L1_Gracia+p_L1_Cuotas,p_L1_Cuotas&gt;0),PMT(p_L1_Tasa/12,p_L1_Cuotas,-p_L1_Monto)-F$22*p_L1_Tasa/12,0)</f>
        <v>0</v>
      </c>
      <c r="H23" s="13" t="n">
        <f aca="false">IF(AND(H$21&gt;p_L1_Gracia,H$21&lt;=p_L1_Gracia+p_L1_Cuotas,p_L1_Cuotas&gt;0),PMT(p_L1_Tasa/12,p_L1_Cuotas,-p_L1_Monto)-G$22*p_L1_Tasa/12,0)</f>
        <v>0</v>
      </c>
      <c r="I23" s="13" t="n">
        <f aca="false">IF(AND(I$21&gt;p_L1_Gracia,I$21&lt;=p_L1_Gracia+p_L1_Cuotas,p_L1_Cuotas&gt;0),PMT(p_L1_Tasa/12,p_L1_Cuotas,-p_L1_Monto)-H$22*p_L1_Tasa/12,0)</f>
        <v>0</v>
      </c>
      <c r="J23" s="13" t="n">
        <f aca="false">IF(AND(J$21&gt;p_L1_Gracia,J$21&lt;=p_L1_Gracia+p_L1_Cuotas,p_L1_Cuotas&gt;0),PMT(p_L1_Tasa/12,p_L1_Cuotas,-p_L1_Monto)-I$22*p_L1_Tasa/12,0)</f>
        <v>0</v>
      </c>
      <c r="K23" s="13" t="n">
        <f aca="false">IF(AND(K$21&gt;p_L1_Gracia,K$21&lt;=p_L1_Gracia+p_L1_Cuotas,p_L1_Cuotas&gt;0),PMT(p_L1_Tasa/12,p_L1_Cuotas,-p_L1_Monto)-J$22*p_L1_Tasa/12,0)</f>
        <v>0</v>
      </c>
      <c r="L23" s="13" t="n">
        <f aca="false">IF(AND(L$21&gt;p_L1_Gracia,L$21&lt;=p_L1_Gracia+p_L1_Cuotas,p_L1_Cuotas&gt;0),PMT(p_L1_Tasa/12,p_L1_Cuotas,-p_L1_Monto)-K$22*p_L1_Tasa/12,0)</f>
        <v>0</v>
      </c>
      <c r="M23" s="13" t="n">
        <f aca="false">IF(AND(M$21&gt;p_L1_Gracia,M$21&lt;=p_L1_Gracia+p_L1_Cuotas,p_L1_Cuotas&gt;0),PMT(p_L1_Tasa/12,p_L1_Cuotas,-p_L1_Monto)-L$22*p_L1_Tasa/12,0)</f>
        <v>42123.3040946878</v>
      </c>
      <c r="N23" s="13" t="n">
        <f aca="false">IF(AND(N$21&gt;p_L1_Gracia,N$21&lt;=p_L1_Gracia+p_L1_Cuotas,p_L1_Cuotas&gt;0),PMT(p_L1_Tasa/12,p_L1_Cuotas,-p_L1_Monto)-M$22*p_L1_Tasa/12,0)</f>
        <v>42439.2288753979</v>
      </c>
      <c r="O23" s="13" t="n">
        <f aca="false">IF(AND(O$21&gt;p_L1_Gracia,O$21&lt;=p_L1_Gracia+p_L1_Cuotas,p_L1_Cuotas&gt;0),PMT(p_L1_Tasa/12,p_L1_Cuotas,-p_L1_Monto)-N$22*p_L1_Tasa/12,0)</f>
        <v>42757.5230919634</v>
      </c>
      <c r="P23" s="13" t="n">
        <f aca="false">IF(AND(P$21&gt;p_L1_Gracia,P$21&lt;=p_L1_Gracia+p_L1_Cuotas,p_L1_Cuotas&gt;0),PMT(p_L1_Tasa/12,p_L1_Cuotas,-p_L1_Monto)-O$22*p_L1_Tasa/12,0)</f>
        <v>43078.2045151531</v>
      </c>
      <c r="Q23" s="13" t="n">
        <f aca="false">IF(AND(Q$21&gt;p_L1_Gracia,Q$21&lt;=p_L1_Gracia+p_L1_Cuotas,p_L1_Cuotas&gt;0),PMT(p_L1_Tasa/12,p_L1_Cuotas,-p_L1_Monto)-P$22*p_L1_Tasa/12,0)</f>
        <v>43401.2910490168</v>
      </c>
      <c r="R23" s="13" t="n">
        <f aca="false">IF(AND(R$21&gt;p_L1_Gracia,R$21&lt;=p_L1_Gracia+p_L1_Cuotas,p_L1_Cuotas&gt;0),PMT(p_L1_Tasa/12,p_L1_Cuotas,-p_L1_Monto)-Q$22*p_L1_Tasa/12,0)</f>
        <v>43726.8007318844</v>
      </c>
      <c r="S23" s="13" t="n">
        <f aca="false">IF(AND(S$21&gt;p_L1_Gracia,S$21&lt;=p_L1_Gracia+p_L1_Cuotas,p_L1_Cuotas&gt;0),PMT(p_L1_Tasa/12,p_L1_Cuotas,-p_L1_Monto)-R$22*p_L1_Tasa/12,0)</f>
        <v>44054.7517373735</v>
      </c>
      <c r="T23" s="13" t="n">
        <f aca="false">IF(AND(T$21&gt;p_L1_Gracia,T$21&lt;=p_L1_Gracia+p_L1_Cuotas,p_L1_Cuotas&gt;0),PMT(p_L1_Tasa/12,p_L1_Cuotas,-p_L1_Monto)-S$22*p_L1_Tasa/12,0)</f>
        <v>44385.1623754038</v>
      </c>
      <c r="U23" s="13" t="n">
        <f aca="false">IF(AND(U$21&gt;p_L1_Gracia,U$21&lt;=p_L1_Gracia+p_L1_Cuotas,p_L1_Cuotas&gt;0),PMT(p_L1_Tasa/12,p_L1_Cuotas,-p_L1_Monto)-T$22*p_L1_Tasa/12,0)</f>
        <v>44718.0510932194</v>
      </c>
      <c r="V23" s="13" t="n">
        <f aca="false">IF(AND(V$21&gt;p_L1_Gracia,V$21&lt;=p_L1_Gracia+p_L1_Cuotas,p_L1_Cuotas&gt;0),PMT(p_L1_Tasa/12,p_L1_Cuotas,-p_L1_Monto)-U$22*p_L1_Tasa/12,0)</f>
        <v>45053.4364764185</v>
      </c>
      <c r="W23" s="13" t="n">
        <f aca="false">IF(AND(W$21&gt;p_L1_Gracia,W$21&lt;=p_L1_Gracia+p_L1_Cuotas,p_L1_Cuotas&gt;0),PMT(p_L1_Tasa/12,p_L1_Cuotas,-p_L1_Monto)-V$22*p_L1_Tasa/12,0)</f>
        <v>45391.3372499916</v>
      </c>
      <c r="X23" s="13" t="n">
        <f aca="false">IF(AND(X$21&gt;p_L1_Gracia,X$21&lt;=p_L1_Gracia+p_L1_Cuotas,p_L1_Cuotas&gt;0),PMT(p_L1_Tasa/12,p_L1_Cuotas,-p_L1_Monto)-W$22*p_L1_Tasa/12,0)</f>
        <v>45731.7722793666</v>
      </c>
      <c r="Y23" s="13" t="n">
        <f aca="false">IF(AND(Y$21&gt;p_L1_Gracia,Y$21&lt;=p_L1_Gracia+p_L1_Cuotas,p_L1_Cuotas&gt;0),PMT(p_L1_Tasa/12,p_L1_Cuotas,-p_L1_Monto)-X$22*p_L1_Tasa/12,0)</f>
        <v>46074.7605714618</v>
      </c>
      <c r="Z23" s="13" t="n">
        <f aca="false">IF(AND(Z$21&gt;p_L1_Gracia,Z$21&lt;=p_L1_Gracia+p_L1_Cuotas,p_L1_Cuotas&gt;0),PMT(p_L1_Tasa/12,p_L1_Cuotas,-p_L1_Monto)-Y$22*p_L1_Tasa/12,0)</f>
        <v>46420.3212757478</v>
      </c>
      <c r="AA23" s="13" t="n">
        <f aca="false">IF(AND(AA$21&gt;p_L1_Gracia,AA$21&lt;=p_L1_Gracia+p_L1_Cuotas,p_L1_Cuotas&gt;0),PMT(p_L1_Tasa/12,p_L1_Cuotas,-p_L1_Monto)-Z$22*p_L1_Tasa/12,0)</f>
        <v>46768.4736853159</v>
      </c>
      <c r="AB23" s="13" t="n">
        <f aca="false">IF(AND(AB$21&gt;p_L1_Gracia,AB$21&lt;=p_L1_Gracia+p_L1_Cuotas,p_L1_Cuotas&gt;0),PMT(p_L1_Tasa/12,p_L1_Cuotas,-p_L1_Monto)-AA$22*p_L1_Tasa/12,0)</f>
        <v>47119.2372379558</v>
      </c>
      <c r="AC23" s="13" t="n">
        <f aca="false">IF(AND(AC$21&gt;p_L1_Gracia,AC$21&lt;=p_L1_Gracia+p_L1_Cuotas,p_L1_Cuotas&gt;0),PMT(p_L1_Tasa/12,p_L1_Cuotas,-p_L1_Monto)-AB$22*p_L1_Tasa/12,0)</f>
        <v>47472.6315172404</v>
      </c>
      <c r="AD23" s="13" t="n">
        <f aca="false">IF(AND(AD$21&gt;p_L1_Gracia,AD$21&lt;=p_L1_Gracia+p_L1_Cuotas,p_L1_Cuotas&gt;0),PMT(p_L1_Tasa/12,p_L1_Cuotas,-p_L1_Monto)-AC$22*p_L1_Tasa/12,0)</f>
        <v>47828.6762536197</v>
      </c>
      <c r="AE23" s="13" t="n">
        <f aca="false">IF(AND(AE$21&gt;p_L1_Gracia,AE$21&lt;=p_L1_Gracia+p_L1_Cuotas,p_L1_Cuotas&gt;0),PMT(p_L1_Tasa/12,p_L1_Cuotas,-p_L1_Monto)-AD$22*p_L1_Tasa/12,0)</f>
        <v>48187.3913255219</v>
      </c>
      <c r="AF23" s="13" t="n">
        <f aca="false">IF(AND(AF$21&gt;p_L1_Gracia,AF$21&lt;=p_L1_Gracia+p_L1_Cuotas,p_L1_Cuotas&gt;0),PMT(p_L1_Tasa/12,p_L1_Cuotas,-p_L1_Monto)-AE$22*p_L1_Tasa/12,0)</f>
        <v>48548.7967604633</v>
      </c>
      <c r="AG23" s="13" t="n">
        <f aca="false">IF(AND(AG$21&gt;p_L1_Gracia,AG$21&lt;=p_L1_Gracia+p_L1_Cuotas,p_L1_Cuotas&gt;0),PMT(p_L1_Tasa/12,p_L1_Cuotas,-p_L1_Monto)-AF$22*p_L1_Tasa/12,0)</f>
        <v>48912.9127361668</v>
      </c>
      <c r="AH23" s="13" t="n">
        <f aca="false">IF(AND(AH$21&gt;p_L1_Gracia,AH$21&lt;=p_L1_Gracia+p_L1_Cuotas,p_L1_Cuotas&gt;0),PMT(p_L1_Tasa/12,p_L1_Cuotas,-p_L1_Monto)-AG$22*p_L1_Tasa/12,0)</f>
        <v>49279.759581688</v>
      </c>
      <c r="AI23" s="13" t="n">
        <f aca="false">IF(AND(AI$21&gt;p_L1_Gracia,AI$21&lt;=p_L1_Gracia+p_L1_Cuotas,p_L1_Cuotas&gt;0),PMT(p_L1_Tasa/12,p_L1_Cuotas,-p_L1_Monto)-AH$22*p_L1_Tasa/12,0)</f>
        <v>49649.3577785507</v>
      </c>
      <c r="AJ23" s="13" t="n">
        <f aca="false">IF(AND(AJ$21&gt;p_L1_Gracia,AJ$21&lt;=p_L1_Gracia+p_L1_Cuotas,p_L1_Cuotas&gt;0),PMT(p_L1_Tasa/12,p_L1_Cuotas,-p_L1_Monto)-AI$22*p_L1_Tasa/12,0)</f>
        <v>50021.7279618898</v>
      </c>
      <c r="AK23" s="13" t="n">
        <f aca="false">IF(AND(AK$21&gt;p_L1_Gracia,AK$21&lt;=p_L1_Gracia+p_L1_Cuotas,p_L1_Cuotas&gt;0),PMT(p_L1_Tasa/12,p_L1_Cuotas,-p_L1_Monto)-AJ$22*p_L1_Tasa/12,0)</f>
        <v>50396.890921604</v>
      </c>
      <c r="AL23" s="13" t="n">
        <f aca="false">IF(AND(AL$21&gt;p_L1_Gracia,AL$21&lt;=p_L1_Gracia+p_L1_Cuotas,p_L1_Cuotas&gt;0),PMT(p_L1_Tasa/12,p_L1_Cuotas,-p_L1_Monto)-AK$22*p_L1_Tasa/12,0)</f>
        <v>50774.867603516</v>
      </c>
      <c r="AM23" s="13" t="n">
        <f aca="false">IF(AND(AM$21&gt;p_L1_Gracia,AM$21&lt;=p_L1_Gracia+p_L1_Cuotas,p_L1_Cuotas&gt;0),PMT(p_L1_Tasa/12,p_L1_Cuotas,-p_L1_Monto)-AL$22*p_L1_Tasa/12,0)</f>
        <v>51155.6791105424</v>
      </c>
      <c r="AN23" s="13" t="n">
        <f aca="false">IF(AND(AN$21&gt;p_L1_Gracia,AN$21&lt;=p_L1_Gracia+p_L1_Cuotas,p_L1_Cuotas&gt;0),PMT(p_L1_Tasa/12,p_L1_Cuotas,-p_L1_Monto)-AM$22*p_L1_Tasa/12,0)</f>
        <v>51539.3467038715</v>
      </c>
      <c r="AO23" s="13" t="n">
        <f aca="false">IF(AND(AO$21&gt;p_L1_Gracia,AO$21&lt;=p_L1_Gracia+p_L1_Cuotas,p_L1_Cuotas&gt;0),PMT(p_L1_Tasa/12,p_L1_Cuotas,-p_L1_Monto)-AN$22*p_L1_Tasa/12,0)</f>
        <v>51925.8918041505</v>
      </c>
      <c r="AP23" s="13" t="n">
        <f aca="false">IF(AND(AP$21&gt;p_L1_Gracia,AP$21&lt;=p_L1_Gracia+p_L1_Cuotas,p_L1_Cuotas&gt;0),PMT(p_L1_Tasa/12,p_L1_Cuotas,-p_L1_Monto)-AO$22*p_L1_Tasa/12,0)</f>
        <v>52315.3359926816</v>
      </c>
      <c r="AQ23" s="13" t="n">
        <f aca="false">IF(AND(AQ$21&gt;p_L1_Gracia,AQ$21&lt;=p_L1_Gracia+p_L1_Cuotas,p_L1_Cuotas&gt;0),PMT(p_L1_Tasa/12,p_L1_Cuotas,-p_L1_Monto)-AP$22*p_L1_Tasa/12,0)</f>
        <v>52707.7010126267</v>
      </c>
      <c r="AR23" s="13" t="n">
        <f aca="false">IF(AND(AR$21&gt;p_L1_Gracia,AR$21&lt;=p_L1_Gracia+p_L1_Cuotas,p_L1_Cuotas&gt;0),PMT(p_L1_Tasa/12,p_L1_Cuotas,-p_L1_Monto)-AQ$22*p_L1_Tasa/12,0)</f>
        <v>53103.0087702214</v>
      </c>
      <c r="AS23" s="13" t="n">
        <f aca="false">IF(AND(AS$21&gt;p_L1_Gracia,AS$21&lt;=p_L1_Gracia+p_L1_Cuotas,p_L1_Cuotas&gt;0),PMT(p_L1_Tasa/12,p_L1_Cuotas,-p_L1_Monto)-AR$22*p_L1_Tasa/12,0)</f>
        <v>53501.2813359981</v>
      </c>
      <c r="AT23" s="13" t="n">
        <f aca="false">IF(AND(AT$21&gt;p_L1_Gracia,AT$21&lt;=p_L1_Gracia+p_L1_Cuotas,p_L1_Cuotas&gt;0),PMT(p_L1_Tasa/12,p_L1_Cuotas,-p_L1_Monto)-AS$22*p_L1_Tasa/12,0)</f>
        <v>53902.5409460181</v>
      </c>
      <c r="AU23" s="13" t="n">
        <f aca="false">IF(AND(AU$21&gt;p_L1_Gracia,AU$21&lt;=p_L1_Gracia+p_L1_Cuotas,p_L1_Cuotas&gt;0),PMT(p_L1_Tasa/12,p_L1_Cuotas,-p_L1_Monto)-AT$22*p_L1_Tasa/12,0)</f>
        <v>54306.8100031132</v>
      </c>
      <c r="AV23" s="13" t="n">
        <f aca="false">IF(AND(AV$21&gt;p_L1_Gracia,AV$21&lt;=p_L1_Gracia+p_L1_Cuotas,p_L1_Cuotas&gt;0),PMT(p_L1_Tasa/12,p_L1_Cuotas,-p_L1_Monto)-AU$22*p_L1_Tasa/12,0)</f>
        <v>54714.1110781366</v>
      </c>
      <c r="AW23" s="13" t="n">
        <f aca="false">IF(AND(AW$21&gt;p_L1_Gracia,AW$21&lt;=p_L1_Gracia+p_L1_Cuotas,p_L1_Cuotas&gt;0),PMT(p_L1_Tasa/12,p_L1_Cuotas,-p_L1_Monto)-AV$22*p_L1_Tasa/12,0)</f>
        <v>55124.4669112226</v>
      </c>
      <c r="AX23" s="13" t="n">
        <f aca="false">IF(AND(AX$21&gt;p_L1_Gracia,AX$21&lt;=p_L1_Gracia+p_L1_Cuotas,p_L1_Cuotas&gt;0),PMT(p_L1_Tasa/12,p_L1_Cuotas,-p_L1_Monto)-AW$22*p_L1_Tasa/12,0)</f>
        <v>55537.9004130568</v>
      </c>
      <c r="AY23" s="13" t="n">
        <f aca="false">IF(AND(AY$21&gt;p_L1_Gracia,AY$21&lt;=p_L1_Gracia+p_L1_Cuotas,p_L1_Cuotas&gt;0),PMT(p_L1_Tasa/12,p_L1_Cuotas,-p_L1_Monto)-AX$22*p_L1_Tasa/12,0)</f>
        <v>55954.4346661547</v>
      </c>
      <c r="AZ23" s="13" t="n">
        <f aca="false">IF(AND(AZ$21&gt;p_L1_Gracia,AZ$21&lt;=p_L1_Gracia+p_L1_Cuotas,p_L1_Cuotas&gt;0),PMT(p_L1_Tasa/12,p_L1_Cuotas,-p_L1_Monto)-AY$22*p_L1_Tasa/12,0)</f>
        <v>56374.0929261509</v>
      </c>
      <c r="BA23" s="13" t="n">
        <f aca="false">IF(AND(BA$21&gt;p_L1_Gracia,BA$21&lt;=p_L1_Gracia+p_L1_Cuotas,p_L1_Cuotas&gt;0),PMT(p_L1_Tasa/12,p_L1_Cuotas,-p_L1_Monto)-AZ$22*p_L1_Tasa/12,0)</f>
        <v>56796.898623097</v>
      </c>
      <c r="BB23" s="13" t="n">
        <f aca="false">IF(AND(BB$21&gt;p_L1_Gracia,BB$21&lt;=p_L1_Gracia+p_L1_Cuotas,p_L1_Cuotas&gt;0),PMT(p_L1_Tasa/12,p_L1_Cuotas,-p_L1_Monto)-BA$22*p_L1_Tasa/12,0)</f>
        <v>57222.8753627702</v>
      </c>
      <c r="BC23" s="13" t="n">
        <f aca="false">IF(AND(BC$21&gt;p_L1_Gracia,BC$21&lt;=p_L1_Gracia+p_L1_Cuotas,p_L1_Cuotas&gt;0),PMT(p_L1_Tasa/12,p_L1_Cuotas,-p_L1_Monto)-BB$22*p_L1_Tasa/12,0)</f>
        <v>57652.046927991</v>
      </c>
      <c r="BD23" s="13" t="n">
        <f aca="false">IF(AND(BD$21&gt;p_L1_Gracia,BD$21&lt;=p_L1_Gracia+p_L1_Cuotas,p_L1_Cuotas&gt;0),PMT(p_L1_Tasa/12,p_L1_Cuotas,-p_L1_Monto)-BC$22*p_L1_Tasa/12,0)</f>
        <v>58084.4372799509</v>
      </c>
      <c r="BE23" s="13" t="n">
        <f aca="false">IF(AND(BE$21&gt;p_L1_Gracia,BE$21&lt;=p_L1_Gracia+p_L1_Cuotas,p_L1_Cuotas&gt;0),PMT(p_L1_Tasa/12,p_L1_Cuotas,-p_L1_Monto)-BD$22*p_L1_Tasa/12,0)</f>
        <v>58520.0705595506</v>
      </c>
      <c r="BF23" s="13" t="n">
        <f aca="false">IF(AND(BF$21&gt;p_L1_Gracia,BF$21&lt;=p_L1_Gracia+p_L1_Cuotas,p_L1_Cuotas&gt;0),PMT(p_L1_Tasa/12,p_L1_Cuotas,-p_L1_Monto)-BE$22*p_L1_Tasa/12,0)</f>
        <v>58958.9710887472</v>
      </c>
      <c r="BG23" s="13" t="n">
        <f aca="false">IF(AND(BG$21&gt;p_L1_Gracia,BG$21&lt;=p_L1_Gracia+p_L1_Cuotas,p_L1_Cuotas&gt;0),PMT(p_L1_Tasa/12,p_L1_Cuotas,-p_L1_Monto)-BF$22*p_L1_Tasa/12,0)</f>
        <v>59401.1633719128</v>
      </c>
      <c r="BH23" s="13" t="n">
        <f aca="false">IF(AND(BH$21&gt;p_L1_Gracia,BH$21&lt;=p_L1_Gracia+p_L1_Cuotas,p_L1_Cuotas&gt;0),PMT(p_L1_Tasa/12,p_L1_Cuotas,-p_L1_Monto)-BG$22*p_L1_Tasa/12,0)</f>
        <v>59846.6720972021</v>
      </c>
      <c r="BI23" s="13" t="n">
        <f aca="false">IF(AND(BI$21&gt;p_L1_Gracia,BI$21&lt;=p_L1_Gracia+p_L1_Cuotas,p_L1_Cuotas&gt;0),PMT(p_L1_Tasa/12,p_L1_Cuotas,-p_L1_Monto)-BH$22*p_L1_Tasa/12,0)</f>
        <v>60295.5221379312</v>
      </c>
      <c r="BJ23" s="13" t="n">
        <f aca="false">IF(AND(BJ$21&gt;p_L1_Gracia,BJ$21&lt;=p_L1_Gracia+p_L1_Cuotas,p_L1_Cuotas&gt;0),PMT(p_L1_Tasa/12,p_L1_Cuotas,-p_L1_Monto)-BI$22*p_L1_Tasa/12,0)</f>
        <v>60747.7385539656</v>
      </c>
      <c r="BK23" s="13" t="n">
        <f aca="false">IF(AND(BK$21&gt;p_L1_Gracia,BK$21&lt;=p_L1_Gracia+p_L1_Cuotas,p_L1_Cuotas&gt;0),PMT(p_L1_Tasa/12,p_L1_Cuotas,-p_L1_Monto)-BJ$22*p_L1_Tasa/12,0)</f>
        <v>61203.3465931204</v>
      </c>
      <c r="BL23" s="13" t="n">
        <f aca="false">IF(AND(BL$21&gt;p_L1_Gracia,BL$21&lt;=p_L1_Gracia+p_L1_Cuotas,p_L1_Cuotas&gt;0),PMT(p_L1_Tasa/12,p_L1_Cuotas,-p_L1_Monto)-BK$22*p_L1_Tasa/12,0)</f>
        <v>61662.3716925688</v>
      </c>
      <c r="BM23" s="13" t="n">
        <f aca="false">IF(AND(BM$21&gt;p_L1_Gracia,BM$21&lt;=p_L1_Gracia+p_L1_Cuotas,p_L1_Cuotas&gt;0),PMT(p_L1_Tasa/12,p_L1_Cuotas,-p_L1_Monto)-BL$22*p_L1_Tasa/12,0)</f>
        <v>62124.839480263</v>
      </c>
      <c r="BN23" s="13" t="n">
        <f aca="false">IF(AND(BN$21&gt;p_L1_Gracia,BN$21&lt;=p_L1_Gracia+p_L1_Cuotas,p_L1_Cuotas&gt;0),PMT(p_L1_Tasa/12,p_L1_Cuotas,-p_L1_Monto)-BM$22*p_L1_Tasa/12,0)</f>
        <v>62590.775776365</v>
      </c>
      <c r="BO23" s="13" t="n">
        <f aca="false">IF(AND(BO$21&gt;p_L1_Gracia,BO$21&lt;=p_L1_Gracia+p_L1_Cuotas,p_L1_Cuotas&gt;0),PMT(p_L1_Tasa/12,p_L1_Cuotas,-p_L1_Monto)-BN$22*p_L1_Tasa/12,0)</f>
        <v>0</v>
      </c>
      <c r="BP23" s="13" t="n">
        <f aca="false">IF(AND(BP$21&gt;p_L1_Gracia,BP$21&lt;=p_L1_Gracia+p_L1_Cuotas,p_L1_Cuotas&gt;0),PMT(p_L1_Tasa/12,p_L1_Cuotas,-p_L1_Monto)-BO$22*p_L1_Tasa/12,0)</f>
        <v>0</v>
      </c>
      <c r="BQ23" s="13" t="n">
        <f aca="false">IF(AND(BQ$21&gt;p_L1_Gracia,BQ$21&lt;=p_L1_Gracia+p_L1_Cuotas,p_L1_Cuotas&gt;0),PMT(p_L1_Tasa/12,p_L1_Cuotas,-p_L1_Monto)-BP$22*p_L1_Tasa/12,0)</f>
        <v>0</v>
      </c>
      <c r="BR23" s="13" t="n">
        <f aca="false">IF(AND(BR$21&gt;p_L1_Gracia,BR$21&lt;=p_L1_Gracia+p_L1_Cuotas,p_L1_Cuotas&gt;0),PMT(p_L1_Tasa/12,p_L1_Cuotas,-p_L1_Monto)-BQ$22*p_L1_Tasa/12,0)</f>
        <v>0</v>
      </c>
      <c r="BS23" s="13" t="n">
        <f aca="false">IF(AND(BS$21&gt;p_L1_Gracia,BS$21&lt;=p_L1_Gracia+p_L1_Cuotas,p_L1_Cuotas&gt;0),PMT(p_L1_Tasa/12,p_L1_Cuotas,-p_L1_Monto)-BR$22*p_L1_Tasa/12,0)</f>
        <v>0</v>
      </c>
      <c r="BT23" s="13" t="n">
        <f aca="false">IF(AND(BT$21&gt;p_L1_Gracia,BT$21&lt;=p_L1_Gracia+p_L1_Cuotas,p_L1_Cuotas&gt;0),PMT(p_L1_Tasa/12,p_L1_Cuotas,-p_L1_Monto)-BS$22*p_L1_Tasa/12,0)</f>
        <v>0</v>
      </c>
      <c r="BU23" s="13" t="n">
        <f aca="false">IF(AND(BU$21&gt;p_L1_Gracia,BU$21&lt;=p_L1_Gracia+p_L1_Cuotas,p_L1_Cuotas&gt;0),PMT(p_L1_Tasa/12,p_L1_Cuotas,-p_L1_Monto)-BT$22*p_L1_Tasa/12,0)</f>
        <v>0</v>
      </c>
      <c r="BV23" s="13" t="n">
        <f aca="false">IF(AND(BV$21&gt;p_L1_Gracia,BV$21&lt;=p_L1_Gracia+p_L1_Cuotas,p_L1_Cuotas&gt;0),PMT(p_L1_Tasa/12,p_L1_Cuotas,-p_L1_Monto)-BU$22*p_L1_Tasa/12,0)</f>
        <v>0</v>
      </c>
      <c r="BW23" s="13" t="n">
        <f aca="false">IF(AND(BW$21&gt;p_L1_Gracia,BW$21&lt;=p_L1_Gracia+p_L1_Cuotas,p_L1_Cuotas&gt;0),PMT(p_L1_Tasa/12,p_L1_Cuotas,-p_L1_Monto)-BV$22*p_L1_Tasa/12,0)</f>
        <v>0</v>
      </c>
      <c r="BX23" s="13" t="n">
        <f aca="false">IF(AND(BX$21&gt;p_L1_Gracia,BX$21&lt;=p_L1_Gracia+p_L1_Cuotas,p_L1_Cuotas&gt;0),PMT(p_L1_Tasa/12,p_L1_Cuotas,-p_L1_Monto)-BW$22*p_L1_Tasa/12,0)</f>
        <v>0</v>
      </c>
      <c r="BY23" s="13" t="n">
        <f aca="false">IF(AND(BY$21&gt;p_L1_Gracia,BY$21&lt;=p_L1_Gracia+p_L1_Cuotas,p_L1_Cuotas&gt;0),PMT(p_L1_Tasa/12,p_L1_Cuotas,-p_L1_Monto)-BX$22*p_L1_Tasa/12,0)</f>
        <v>0</v>
      </c>
      <c r="BZ23" s="13" t="n">
        <f aca="false">IF(AND(BZ$21&gt;p_L1_Gracia,BZ$21&lt;=p_L1_Gracia+p_L1_Cuotas,p_L1_Cuotas&gt;0),PMT(p_L1_Tasa/12,p_L1_Cuotas,-p_L1_Monto)-BY$22*p_L1_Tasa/12,0)</f>
        <v>0</v>
      </c>
      <c r="CA23" s="13" t="n">
        <f aca="false">IF(AND(CA$21&gt;p_L1_Gracia,CA$21&lt;=p_L1_Gracia+p_L1_Cuotas,p_L1_Cuotas&gt;0),PMT(p_L1_Tasa/12,p_L1_Cuotas,-p_L1_Monto)-BZ$22*p_L1_Tasa/12,0)</f>
        <v>0</v>
      </c>
      <c r="CB23" s="13" t="n">
        <f aca="false">IF(AND(CB$21&gt;p_L1_Gracia,CB$21&lt;=p_L1_Gracia+p_L1_Cuotas,p_L1_Cuotas&gt;0),PMT(p_L1_Tasa/12,p_L1_Cuotas,-p_L1_Monto)-CA$22*p_L1_Tasa/12,0)</f>
        <v>0</v>
      </c>
      <c r="CC23" s="13" t="n">
        <f aca="false">IF(AND(CC$21&gt;p_L1_Gracia,CC$21&lt;=p_L1_Gracia+p_L1_Cuotas,p_L1_Cuotas&gt;0),PMT(p_L1_Tasa/12,p_L1_Cuotas,-p_L1_Monto)-CB$22*p_L1_Tasa/12,0)</f>
        <v>0</v>
      </c>
      <c r="CD23" s="13" t="n">
        <f aca="false">IF(AND(CD$21&gt;p_L1_Gracia,CD$21&lt;=p_L1_Gracia+p_L1_Cuotas,p_L1_Cuotas&gt;0),PMT(p_L1_Tasa/12,p_L1_Cuotas,-p_L1_Monto)-CC$22*p_L1_Tasa/12,0)</f>
        <v>0</v>
      </c>
      <c r="CE23" s="13" t="n">
        <f aca="false">IF(AND(CE$21&gt;p_L1_Gracia,CE$21&lt;=p_L1_Gracia+p_L1_Cuotas,p_L1_Cuotas&gt;0),PMT(p_L1_Tasa/12,p_L1_Cuotas,-p_L1_Monto)-CD$22*p_L1_Tasa/12,0)</f>
        <v>0</v>
      </c>
      <c r="CF23" s="13" t="n">
        <f aca="false">IF(AND(CF$21&gt;p_L1_Gracia,CF$21&lt;=p_L1_Gracia+p_L1_Cuotas,p_L1_Cuotas&gt;0),PMT(p_L1_Tasa/12,p_L1_Cuotas,-p_L1_Monto)-CE$22*p_L1_Tasa/12,0)</f>
        <v>0</v>
      </c>
      <c r="CG23" s="13" t="n">
        <f aca="false">IF(AND(CG$21&gt;p_L1_Gracia,CG$21&lt;=p_L1_Gracia+p_L1_Cuotas,p_L1_Cuotas&gt;0),PMT(p_L1_Tasa/12,p_L1_Cuotas,-p_L1_Monto)-CF$22*p_L1_Tasa/12,0)</f>
        <v>0</v>
      </c>
      <c r="CH23" s="13" t="n">
        <f aca="false">IF(AND(CH$21&gt;p_L1_Gracia,CH$21&lt;=p_L1_Gracia+p_L1_Cuotas,p_L1_Cuotas&gt;0),PMT(p_L1_Tasa/12,p_L1_Cuotas,-p_L1_Monto)-CG$22*p_L1_Tasa/12,0)</f>
        <v>0</v>
      </c>
      <c r="CI23" s="13" t="n">
        <f aca="false">IF(AND(CI$21&gt;p_L1_Gracia,CI$21&lt;=p_L1_Gracia+p_L1_Cuotas,p_L1_Cuotas&gt;0),PMT(p_L1_Tasa/12,p_L1_Cuotas,-p_L1_Monto)-CH$22*p_L1_Tasa/12,0)</f>
        <v>0</v>
      </c>
      <c r="CJ23" s="13" t="n">
        <f aca="false">IF(AND(CJ$21&gt;p_L1_Gracia,CJ$21&lt;=p_L1_Gracia+p_L1_Cuotas,p_L1_Cuotas&gt;0),PMT(p_L1_Tasa/12,p_L1_Cuotas,-p_L1_Monto)-CI$22*p_L1_Tasa/12,0)</f>
        <v>0</v>
      </c>
      <c r="CK23" s="13" t="n">
        <f aca="false">IF(AND(CK$21&gt;p_L1_Gracia,CK$21&lt;=p_L1_Gracia+p_L1_Cuotas,p_L1_Cuotas&gt;0),PMT(p_L1_Tasa/12,p_L1_Cuotas,-p_L1_Monto)-CJ$22*p_L1_Tasa/12,0)</f>
        <v>0</v>
      </c>
      <c r="CL23" s="13" t="n">
        <f aca="false">IF(AND(CL$21&gt;p_L1_Gracia,CL$21&lt;=p_L1_Gracia+p_L1_Cuotas,p_L1_Cuotas&gt;0),PMT(p_L1_Tasa/12,p_L1_Cuotas,-p_L1_Monto)-CK$22*p_L1_Tasa/12,0)</f>
        <v>0</v>
      </c>
      <c r="CM23" s="13" t="n">
        <f aca="false">IF(AND(CM$21&gt;p_L1_Gracia,CM$21&lt;=p_L1_Gracia+p_L1_Cuotas,p_L1_Cuotas&gt;0),PMT(p_L1_Tasa/12,p_L1_Cuotas,-p_L1_Monto)-CL$22*p_L1_Tasa/12,0)</f>
        <v>0</v>
      </c>
      <c r="CN23" s="13" t="n">
        <f aca="false">IF(AND(CN$21&gt;p_L1_Gracia,CN$21&lt;=p_L1_Gracia+p_L1_Cuotas,p_L1_Cuotas&gt;0),PMT(p_L1_Tasa/12,p_L1_Cuotas,-p_L1_Monto)-CM$22*p_L1_Tasa/12,0)</f>
        <v>0</v>
      </c>
      <c r="CO23" s="13" t="n">
        <f aca="false">IF(AND(CO$21&gt;p_L1_Gracia,CO$21&lt;=p_L1_Gracia+p_L1_Cuotas,p_L1_Cuotas&gt;0),PMT(p_L1_Tasa/12,p_L1_Cuotas,-p_L1_Monto)-CN$22*p_L1_Tasa/12,0)</f>
        <v>0</v>
      </c>
      <c r="CP23" s="13" t="n">
        <f aca="false">IF(AND(CP$21&gt;p_L1_Gracia,CP$21&lt;=p_L1_Gracia+p_L1_Cuotas,p_L1_Cuotas&gt;0),PMT(p_L1_Tasa/12,p_L1_Cuotas,-p_L1_Monto)-CO$22*p_L1_Tasa/12,0)</f>
        <v>0</v>
      </c>
      <c r="CQ23" s="13" t="n">
        <f aca="false">IF(AND(CQ$21&gt;p_L1_Gracia,CQ$21&lt;=p_L1_Gracia+p_L1_Cuotas,p_L1_Cuotas&gt;0),PMT(p_L1_Tasa/12,p_L1_Cuotas,-p_L1_Monto)-CP$22*p_L1_Tasa/12,0)</f>
        <v>0</v>
      </c>
      <c r="CR23" s="13" t="n">
        <f aca="false">IF(AND(CR$21&gt;p_L1_Gracia,CR$21&lt;=p_L1_Gracia+p_L1_Cuotas,p_L1_Cuotas&gt;0),PMT(p_L1_Tasa/12,p_L1_Cuotas,-p_L1_Monto)-CQ$22*p_L1_Tasa/12,0)</f>
        <v>0</v>
      </c>
      <c r="CS23" s="13" t="n">
        <f aca="false">IF(AND(CS$21&gt;p_L1_Gracia,CS$21&lt;=p_L1_Gracia+p_L1_Cuotas,p_L1_Cuotas&gt;0),PMT(p_L1_Tasa/12,p_L1_Cuotas,-p_L1_Monto)-CR$22*p_L1_Tasa/12,0)</f>
        <v>0</v>
      </c>
      <c r="CT23" s="13" t="n">
        <f aca="false">IF(AND(CT$21&gt;p_L1_Gracia,CT$21&lt;=p_L1_Gracia+p_L1_Cuotas,p_L1_Cuotas&gt;0),PMT(p_L1_Tasa/12,p_L1_Cuotas,-p_L1_Monto)-CS$22*p_L1_Tasa/12,0)</f>
        <v>0</v>
      </c>
      <c r="CU23" s="13" t="n">
        <f aca="false">IF(AND(CU$21&gt;p_L1_Gracia,CU$21&lt;=p_L1_Gracia+p_L1_Cuotas,p_L1_Cuotas&gt;0),PMT(p_L1_Tasa/12,p_L1_Cuotas,-p_L1_Monto)-CT$22*p_L1_Tasa/12,0)</f>
        <v>0</v>
      </c>
      <c r="CV23" s="13" t="n">
        <f aca="false">IF(AND(CV$21&gt;p_L1_Gracia,CV$21&lt;=p_L1_Gracia+p_L1_Cuotas,p_L1_Cuotas&gt;0),PMT(p_L1_Tasa/12,p_L1_Cuotas,-p_L1_Monto)-CU$22*p_L1_Tasa/12,0)</f>
        <v>0</v>
      </c>
      <c r="CW23" s="13" t="n">
        <f aca="false">IF(AND(CW$21&gt;p_L1_Gracia,CW$21&lt;=p_L1_Gracia+p_L1_Cuotas,p_L1_Cuotas&gt;0),PMT(p_L1_Tasa/12,p_L1_Cuotas,-p_L1_Monto)-CV$22*p_L1_Tasa/12,0)</f>
        <v>0</v>
      </c>
      <c r="CX23" s="13" t="n">
        <f aca="false">IF(AND(CX$21&gt;p_L1_Gracia,CX$21&lt;=p_L1_Gracia+p_L1_Cuotas,p_L1_Cuotas&gt;0),PMT(p_L1_Tasa/12,p_L1_Cuotas,-p_L1_Monto)-CW$22*p_L1_Tasa/12,0)</f>
        <v>0</v>
      </c>
      <c r="CY23" s="13" t="n">
        <f aca="false">IF(AND(CY$21&gt;p_L1_Gracia,CY$21&lt;=p_L1_Gracia+p_L1_Cuotas,p_L1_Cuotas&gt;0),PMT(p_L1_Tasa/12,p_L1_Cuotas,-p_L1_Monto)-CX$22*p_L1_Tasa/12,0)</f>
        <v>0</v>
      </c>
      <c r="CZ23" s="13" t="n">
        <f aca="false">IF(AND(CZ$21&gt;p_L1_Gracia,CZ$21&lt;=p_L1_Gracia+p_L1_Cuotas,p_L1_Cuotas&gt;0),PMT(p_L1_Tasa/12,p_L1_Cuotas,-p_L1_Monto)-CY$22*p_L1_Tasa/12,0)</f>
        <v>0</v>
      </c>
      <c r="DA23" s="13" t="n">
        <f aca="false">IF(AND(DA$21&gt;p_L1_Gracia,DA$21&lt;=p_L1_Gracia+p_L1_Cuotas,p_L1_Cuotas&gt;0),PMT(p_L1_Tasa/12,p_L1_Cuotas,-p_L1_Monto)-CZ$22*p_L1_Tasa/12,0)</f>
        <v>0</v>
      </c>
      <c r="DB23" s="13" t="n">
        <f aca="false">IF(AND(DB$21&gt;p_L1_Gracia,DB$21&lt;=p_L1_Gracia+p_L1_Cuotas,p_L1_Cuotas&gt;0),PMT(p_L1_Tasa/12,p_L1_Cuotas,-p_L1_Monto)-DA$22*p_L1_Tasa/12,0)</f>
        <v>0</v>
      </c>
      <c r="DC23" s="13" t="n">
        <f aca="false">IF(AND(DC$21&gt;p_L1_Gracia,DC$21&lt;=p_L1_Gracia+p_L1_Cuotas,p_L1_Cuotas&gt;0),PMT(p_L1_Tasa/12,p_L1_Cuotas,-p_L1_Monto)-DB$22*p_L1_Tasa/12,0)</f>
        <v>0</v>
      </c>
      <c r="DD23" s="13" t="n">
        <f aca="false">IF(AND(DD$21&gt;p_L1_Gracia,DD$21&lt;=p_L1_Gracia+p_L1_Cuotas,p_L1_Cuotas&gt;0),PMT(p_L1_Tasa/12,p_L1_Cuotas,-p_L1_Monto)-DC$22*p_L1_Tasa/12,0)</f>
        <v>0</v>
      </c>
      <c r="DE23" s="13" t="n">
        <f aca="false">IF(AND(DE$21&gt;p_L1_Gracia,DE$21&lt;=p_L1_Gracia+p_L1_Cuotas,p_L1_Cuotas&gt;0),PMT(p_L1_Tasa/12,p_L1_Cuotas,-p_L1_Monto)-DD$22*p_L1_Tasa/12,0)</f>
        <v>0</v>
      </c>
      <c r="DF23" s="13" t="n">
        <f aca="false">IF(AND(DF$21&gt;p_L1_Gracia,DF$21&lt;=p_L1_Gracia+p_L1_Cuotas,p_L1_Cuotas&gt;0),PMT(p_L1_Tasa/12,p_L1_Cuotas,-p_L1_Monto)-DE$22*p_L1_Tasa/12,0)</f>
        <v>0</v>
      </c>
      <c r="DG23" s="13" t="n">
        <f aca="false">IF(AND(DG$21&gt;p_L1_Gracia,DG$21&lt;=p_L1_Gracia+p_L1_Cuotas,p_L1_Cuotas&gt;0),PMT(p_L1_Tasa/12,p_L1_Cuotas,-p_L1_Monto)-DF$22*p_L1_Tasa/12,0)</f>
        <v>0</v>
      </c>
      <c r="DH23" s="13" t="n">
        <f aca="false">IF(AND(DH$21&gt;p_L1_Gracia,DH$21&lt;=p_L1_Gracia+p_L1_Cuotas,p_L1_Cuotas&gt;0),PMT(p_L1_Tasa/12,p_L1_Cuotas,-p_L1_Monto)-DG$22*p_L1_Tasa/12,0)</f>
        <v>0</v>
      </c>
      <c r="DI23" s="13" t="n">
        <f aca="false">IF(AND(DI$21&gt;p_L1_Gracia,DI$21&lt;=p_L1_Gracia+p_L1_Cuotas,p_L1_Cuotas&gt;0),PMT(p_L1_Tasa/12,p_L1_Cuotas,-p_L1_Monto)-DH$22*p_L1_Tasa/12,0)</f>
        <v>0</v>
      </c>
      <c r="DJ23" s="13" t="n">
        <f aca="false">IF(AND(DJ$21&gt;p_L1_Gracia,DJ$21&lt;=p_L1_Gracia+p_L1_Cuotas,p_L1_Cuotas&gt;0),PMT(p_L1_Tasa/12,p_L1_Cuotas,-p_L1_Monto)-DI$22*p_L1_Tasa/12,0)</f>
        <v>0</v>
      </c>
      <c r="DK23" s="13" t="n">
        <f aca="false">IF(AND(DK$21&gt;p_L1_Gracia,DK$21&lt;=p_L1_Gracia+p_L1_Cuotas,p_L1_Cuotas&gt;0),PMT(p_L1_Tasa/12,p_L1_Cuotas,-p_L1_Monto)-DJ$22*p_L1_Tasa/12,0)</f>
        <v>0</v>
      </c>
      <c r="DL23" s="13" t="n">
        <f aca="false">IF(AND(DL$21&gt;p_L1_Gracia,DL$21&lt;=p_L1_Gracia+p_L1_Cuotas,p_L1_Cuotas&gt;0),PMT(p_L1_Tasa/12,p_L1_Cuotas,-p_L1_Monto)-DK$22*p_L1_Tasa/12,0)</f>
        <v>0</v>
      </c>
      <c r="DM23" s="13" t="n">
        <f aca="false">IF(AND(DM$21&gt;p_L1_Gracia,DM$21&lt;=p_L1_Gracia+p_L1_Cuotas,p_L1_Cuotas&gt;0),PMT(p_L1_Tasa/12,p_L1_Cuotas,-p_L1_Monto)-DL$22*p_L1_Tasa/12,0)</f>
        <v>0</v>
      </c>
      <c r="DN23" s="13" t="n">
        <f aca="false">IF(AND(DN$21&gt;p_L1_Gracia,DN$21&lt;=p_L1_Gracia+p_L1_Cuotas,p_L1_Cuotas&gt;0),PMT(p_L1_Tasa/12,p_L1_Cuotas,-p_L1_Monto)-DM$22*p_L1_Tasa/12,0)</f>
        <v>0</v>
      </c>
      <c r="DO23" s="13" t="n">
        <f aca="false">IF(AND(DO$21&gt;p_L1_Gracia,DO$21&lt;=p_L1_Gracia+p_L1_Cuotas,p_L1_Cuotas&gt;0),PMT(p_L1_Tasa/12,p_L1_Cuotas,-p_L1_Monto)-DN$22*p_L1_Tasa/12,0)</f>
        <v>0</v>
      </c>
      <c r="DP23" s="13" t="n">
        <f aca="false">IF(AND(DP$21&gt;p_L1_Gracia,DP$21&lt;=p_L1_Gracia+p_L1_Cuotas,p_L1_Cuotas&gt;0),PMT(p_L1_Tasa/12,p_L1_Cuotas,-p_L1_Monto)-DO$22*p_L1_Tasa/12,0)</f>
        <v>0</v>
      </c>
      <c r="DQ23" s="13" t="n">
        <f aca="false">IF(AND(DQ$21&gt;p_L1_Gracia,DQ$21&lt;=p_L1_Gracia+p_L1_Cuotas,p_L1_Cuotas&gt;0),PMT(p_L1_Tasa/12,p_L1_Cuotas,-p_L1_Monto)-DP$22*p_L1_Tasa/12,0)</f>
        <v>0</v>
      </c>
      <c r="DR23" s="13" t="n">
        <f aca="false">IF(AND(DR$21&gt;p_L1_Gracia,DR$21&lt;=p_L1_Gracia+p_L1_Cuotas,p_L1_Cuotas&gt;0),PMT(p_L1_Tasa/12,p_L1_Cuotas,-p_L1_Monto)-DQ$22*p_L1_Tasa/12,0)</f>
        <v>0</v>
      </c>
      <c r="DS23" s="13" t="n">
        <f aca="false">IF(AND(DS$21&gt;p_L1_Gracia,DS$21&lt;=p_L1_Gracia+p_L1_Cuotas,p_L1_Cuotas&gt;0),PMT(p_L1_Tasa/12,p_L1_Cuotas,-p_L1_Monto)-DR$22*p_L1_Tasa/12,0)</f>
        <v>0</v>
      </c>
      <c r="DT23" s="13" t="n">
        <f aca="false">IF(AND(DT$21&gt;p_L1_Gracia,DT$21&lt;=p_L1_Gracia+p_L1_Cuotas,p_L1_Cuotas&gt;0),PMT(p_L1_Tasa/12,p_L1_Cuotas,-p_L1_Monto)-DS$22*p_L1_Tasa/12,0)</f>
        <v>0</v>
      </c>
      <c r="DU23" s="13" t="n">
        <f aca="false">IF(AND(DU$21&gt;p_L1_Gracia,DU$21&lt;=p_L1_Gracia+p_L1_Cuotas,p_L1_Cuotas&gt;0),PMT(p_L1_Tasa/12,p_L1_Cuotas,-p_L1_Monto)-DT$22*p_L1_Tasa/12,0)</f>
        <v>0</v>
      </c>
      <c r="DV23" s="13" t="n">
        <f aca="false">IF(AND(DV$21&gt;p_L1_Gracia,DV$21&lt;=p_L1_Gracia+p_L1_Cuotas,p_L1_Cuotas&gt;0),PMT(p_L1_Tasa/12,p_L1_Cuotas,-p_L1_Monto)-DU$22*p_L1_Tasa/12,0)</f>
        <v>0</v>
      </c>
      <c r="DW23" s="13" t="n">
        <f aca="false">IF(AND(DW$21&gt;p_L1_Gracia,DW$21&lt;=p_L1_Gracia+p_L1_Cuotas,p_L1_Cuotas&gt;0),PMT(p_L1_Tasa/12,p_L1_Cuotas,-p_L1_Monto)-DV$22*p_L1_Tasa/12,0)</f>
        <v>0</v>
      </c>
      <c r="DX23" s="13" t="n">
        <f aca="false">IF(AND(DX$21&gt;p_L1_Gracia,DX$21&lt;=p_L1_Gracia+p_L1_Cuotas,p_L1_Cuotas&gt;0),PMT(p_L1_Tasa/12,p_L1_Cuotas,-p_L1_Monto)-DW$22*p_L1_Tasa/12,0)</f>
        <v>0</v>
      </c>
      <c r="DY23" s="13" t="n">
        <f aca="false">IF(AND(DY$21&gt;p_L1_Gracia,DY$21&lt;=p_L1_Gracia+p_L1_Cuotas,p_L1_Cuotas&gt;0),PMT(p_L1_Tasa/12,p_L1_Cuotas,-p_L1_Monto)-DX$22*p_L1_Tasa/12,0)</f>
        <v>0</v>
      </c>
      <c r="DZ23" s="13" t="n">
        <f aca="false">IF(AND(DZ$21&gt;p_L1_Gracia,DZ$21&lt;=p_L1_Gracia+p_L1_Cuotas,p_L1_Cuotas&gt;0),PMT(p_L1_Tasa/12,p_L1_Cuotas,-p_L1_Monto)-DY$22*p_L1_Tasa/12,0)</f>
        <v>0</v>
      </c>
      <c r="EA23" s="13" t="n">
        <f aca="false">IF(AND(EA$21&gt;p_L1_Gracia,EA$21&lt;=p_L1_Gracia+p_L1_Cuotas,p_L1_Cuotas&gt;0),PMT(p_L1_Tasa/12,p_L1_Cuotas,-p_L1_Monto)-DZ$22*p_L1_Tasa/12,0)</f>
        <v>0</v>
      </c>
      <c r="EB23" s="13" t="n">
        <f aca="false">IF(AND(EB$21&gt;p_L1_Gracia,EB$21&lt;=p_L1_Gracia+p_L1_Cuotas,p_L1_Cuotas&gt;0),PMT(p_L1_Tasa/12,p_L1_Cuotas,-p_L1_Monto)-EA$22*p_L1_Tasa/12,0)</f>
        <v>0</v>
      </c>
      <c r="EC23" s="13" t="n">
        <f aca="false">IF(AND(EC$21&gt;p_L1_Gracia,EC$21&lt;=p_L1_Gracia+p_L1_Cuotas,p_L1_Cuotas&gt;0),PMT(p_L1_Tasa/12,p_L1_Cuotas,-p_L1_Monto)-EB$22*p_L1_Tasa/12,0)</f>
        <v>0</v>
      </c>
      <c r="ED23" s="13" t="n">
        <f aca="false">IF(AND(ED$21&gt;p_L1_Gracia,ED$21&lt;=p_L1_Gracia+p_L1_Cuotas,p_L1_Cuotas&gt;0),PMT(p_L1_Tasa/12,p_L1_Cuotas,-p_L1_Monto)-EC$22*p_L1_Tasa/12,0)</f>
        <v>0</v>
      </c>
      <c r="EE23" s="13" t="n">
        <f aca="false">IF(AND(EE$21&gt;p_L1_Gracia,EE$21&lt;=p_L1_Gracia+p_L1_Cuotas,p_L1_Cuotas&gt;0),PMT(p_L1_Tasa/12,p_L1_Cuotas,-p_L1_Monto)-ED$22*p_L1_Tasa/12,0)</f>
        <v>0</v>
      </c>
      <c r="EF23" s="13" t="n">
        <f aca="false">IF(AND(EF$21&gt;p_L1_Gracia,EF$21&lt;=p_L1_Gracia+p_L1_Cuotas,p_L1_Cuotas&gt;0),PMT(p_L1_Tasa/12,p_L1_Cuotas,-p_L1_Monto)-EE$22*p_L1_Tasa/12,0)</f>
        <v>0</v>
      </c>
      <c r="EG23" s="13" t="n">
        <f aca="false">IF(AND(EG$21&gt;p_L1_Gracia,EG$21&lt;=p_L1_Gracia+p_L1_Cuotas,p_L1_Cuotas&gt;0),PMT(p_L1_Tasa/12,p_L1_Cuotas,-p_L1_Monto)-EF$22*p_L1_Tasa/12,0)</f>
        <v>0</v>
      </c>
      <c r="EH23" s="13" t="n">
        <f aca="false">IF(AND(EH$21&gt;p_L1_Gracia,EH$21&lt;=p_L1_Gracia+p_L1_Cuotas,p_L1_Cuotas&gt;0),PMT(p_L1_Tasa/12,p_L1_Cuotas,-p_L1_Monto)-EG$22*p_L1_Tasa/12,0)</f>
        <v>0</v>
      </c>
      <c r="EI23" s="13" t="n">
        <f aca="false">IF(AND(EI$21&gt;p_L1_Gracia,EI$21&lt;=p_L1_Gracia+p_L1_Cuotas,p_L1_Cuotas&gt;0),PMT(p_L1_Tasa/12,p_L1_Cuotas,-p_L1_Monto)-EH$22*p_L1_Tasa/12,0)</f>
        <v>0</v>
      </c>
      <c r="EJ23" s="13" t="n">
        <f aca="false">IF(AND(EJ$21&gt;p_L1_Gracia,EJ$21&lt;=p_L1_Gracia+p_L1_Cuotas,p_L1_Cuotas&gt;0),PMT(p_L1_Tasa/12,p_L1_Cuotas,-p_L1_Monto)-EI$22*p_L1_Tasa/12,0)</f>
        <v>0</v>
      </c>
      <c r="EK23" s="13" t="n">
        <f aca="false">IF(AND(EK$21&gt;p_L1_Gracia,EK$21&lt;=p_L1_Gracia+p_L1_Cuotas,p_L1_Cuotas&gt;0),PMT(p_L1_Tasa/12,p_L1_Cuotas,-p_L1_Monto)-EJ$22*p_L1_Tasa/12,0)</f>
        <v>0</v>
      </c>
      <c r="EL23" s="13" t="n">
        <f aca="false">IF(AND(EL$21&gt;p_L1_Gracia,EL$21&lt;=p_L1_Gracia+p_L1_Cuotas,p_L1_Cuotas&gt;0),PMT(p_L1_Tasa/12,p_L1_Cuotas,-p_L1_Monto)-EK$22*p_L1_Tasa/12,0)</f>
        <v>0</v>
      </c>
      <c r="EM23" s="13" t="n">
        <f aca="false">IF(AND(EM$21&gt;p_L1_Gracia,EM$21&lt;=p_L1_Gracia+p_L1_Cuotas,p_L1_Cuotas&gt;0),PMT(p_L1_Tasa/12,p_L1_Cuotas,-p_L1_Monto)-EL$22*p_L1_Tasa/12,0)</f>
        <v>0</v>
      </c>
      <c r="EN23" s="13" t="n">
        <f aca="false">IF(AND(EN$21&gt;p_L1_Gracia,EN$21&lt;=p_L1_Gracia+p_L1_Cuotas,p_L1_Cuotas&gt;0),PMT(p_L1_Tasa/12,p_L1_Cuotas,-p_L1_Monto)-EM$22*p_L1_Tasa/12,0)</f>
        <v>0</v>
      </c>
      <c r="EO23" s="13" t="n">
        <f aca="false">IF(AND(EO$21&gt;p_L1_Gracia,EO$21&lt;=p_L1_Gracia+p_L1_Cuotas,p_L1_Cuotas&gt;0),PMT(p_L1_Tasa/12,p_L1_Cuotas,-p_L1_Monto)-EN$22*p_L1_Tasa/12,0)</f>
        <v>0</v>
      </c>
      <c r="EP23" s="13" t="n">
        <f aca="false">IF(AND(EP$21&gt;p_L1_Gracia,EP$21&lt;=p_L1_Gracia+p_L1_Cuotas,p_L1_Cuotas&gt;0),PMT(p_L1_Tasa/12,p_L1_Cuotas,-p_L1_Monto)-EO$22*p_L1_Tasa/12,0)</f>
        <v>0</v>
      </c>
      <c r="EQ23" s="13" t="n">
        <f aca="false">IF(AND(EQ$21&gt;p_L1_Gracia,EQ$21&lt;=p_L1_Gracia+p_L1_Cuotas,p_L1_Cuotas&gt;0),PMT(p_L1_Tasa/12,p_L1_Cuotas,-p_L1_Monto)-EP$22*p_L1_Tasa/12,0)</f>
        <v>0</v>
      </c>
      <c r="ER23" s="13" t="n">
        <f aca="false">IF(AND(ER$21&gt;p_L1_Gracia,ER$21&lt;=p_L1_Gracia+p_L1_Cuotas,p_L1_Cuotas&gt;0),PMT(p_L1_Tasa/12,p_L1_Cuotas,-p_L1_Monto)-EQ$22*p_L1_Tasa/12,0)</f>
        <v>0</v>
      </c>
      <c r="ES23" s="13" t="n">
        <f aca="false">IF(AND(ES$21&gt;p_L1_Gracia,ES$21&lt;=p_L1_Gracia+p_L1_Cuotas,p_L1_Cuotas&gt;0),PMT(p_L1_Tasa/12,p_L1_Cuotas,-p_L1_Monto)-ER$22*p_L1_Tasa/12,0)</f>
        <v>0</v>
      </c>
      <c r="ET23" s="13" t="n">
        <f aca="false">IF(AND(ET$21&gt;p_L1_Gracia,ET$21&lt;=p_L1_Gracia+p_L1_Cuotas,p_L1_Cuotas&gt;0),PMT(p_L1_Tasa/12,p_L1_Cuotas,-p_L1_Monto)-ES$22*p_L1_Tasa/12,0)</f>
        <v>0</v>
      </c>
      <c r="EU23" s="13" t="n">
        <f aca="false">IF(AND(EU$21&gt;p_L1_Gracia,EU$21&lt;=p_L1_Gracia+p_L1_Cuotas,p_L1_Cuotas&gt;0),PMT(p_L1_Tasa/12,p_L1_Cuotas,-p_L1_Monto)-ET$22*p_L1_Tasa/12,0)</f>
        <v>0</v>
      </c>
      <c r="EV23" s="13" t="n">
        <f aca="false">IF(AND(EV$21&gt;p_L1_Gracia,EV$21&lt;=p_L1_Gracia+p_L1_Cuotas,p_L1_Cuotas&gt;0),PMT(p_L1_Tasa/12,p_L1_Cuotas,-p_L1_Monto)-EU$22*p_L1_Tasa/12,0)</f>
        <v>0</v>
      </c>
      <c r="EW23" s="13" t="n">
        <f aca="false">IF(AND(EW$21&gt;p_L1_Gracia,EW$21&lt;=p_L1_Gracia+p_L1_Cuotas,p_L1_Cuotas&gt;0),PMT(p_L1_Tasa/12,p_L1_Cuotas,-p_L1_Monto)-EV$22*p_L1_Tasa/12,0)</f>
        <v>0</v>
      </c>
      <c r="EX23" s="13" t="n">
        <f aca="false">IF(AND(EX$21&gt;p_L1_Gracia,EX$21&lt;=p_L1_Gracia+p_L1_Cuotas,p_L1_Cuotas&gt;0),PMT(p_L1_Tasa/12,p_L1_Cuotas,-p_L1_Monto)-EW$22*p_L1_Tasa/12,0)</f>
        <v>0</v>
      </c>
      <c r="EY23" s="13" t="n">
        <f aca="false">IF(AND(EY$21&gt;p_L1_Gracia,EY$21&lt;=p_L1_Gracia+p_L1_Cuotas,p_L1_Cuotas&gt;0),PMT(p_L1_Tasa/12,p_L1_Cuotas,-p_L1_Monto)-EX$22*p_L1_Tasa/12,0)</f>
        <v>0</v>
      </c>
      <c r="EZ23" s="13" t="n">
        <f aca="false">IF(AND(EZ$21&gt;p_L1_Gracia,EZ$21&lt;=p_L1_Gracia+p_L1_Cuotas,p_L1_Cuotas&gt;0),PMT(p_L1_Tasa/12,p_L1_Cuotas,-p_L1_Monto)-EY$22*p_L1_Tasa/12,0)</f>
        <v>0</v>
      </c>
      <c r="FA23" s="13" t="n">
        <f aca="false">IF(AND(FA$21&gt;p_L1_Gracia,FA$21&lt;=p_L1_Gracia+p_L1_Cuotas,p_L1_Cuotas&gt;0),PMT(p_L1_Tasa/12,p_L1_Cuotas,-p_L1_Monto)-EZ$22*p_L1_Tasa/12,0)</f>
        <v>0</v>
      </c>
      <c r="FB23" s="13" t="n">
        <f aca="false">IF(AND(FB$21&gt;p_L1_Gracia,FB$21&lt;=p_L1_Gracia+p_L1_Cuotas,p_L1_Cuotas&gt;0),PMT(p_L1_Tasa/12,p_L1_Cuotas,-p_L1_Monto)-FA$22*p_L1_Tasa/12,0)</f>
        <v>0</v>
      </c>
      <c r="FC23" s="13" t="n">
        <f aca="false">IF(AND(FC$21&gt;p_L1_Gracia,FC$21&lt;=p_L1_Gracia+p_L1_Cuotas,p_L1_Cuotas&gt;0),PMT(p_L1_Tasa/12,p_L1_Cuotas,-p_L1_Monto)-FB$22*p_L1_Tasa/12,0)</f>
        <v>0</v>
      </c>
      <c r="FD23" s="13" t="n">
        <f aca="false">IF(AND(FD$21&gt;p_L1_Gracia,FD$21&lt;=p_L1_Gracia+p_L1_Cuotas,p_L1_Cuotas&gt;0),PMT(p_L1_Tasa/12,p_L1_Cuotas,-p_L1_Monto)-FC$22*p_L1_Tasa/12,0)</f>
        <v>0</v>
      </c>
      <c r="FE23" s="13" t="n">
        <f aca="false">IF(AND(FE$21&gt;p_L1_Gracia,FE$21&lt;=p_L1_Gracia+p_L1_Cuotas,p_L1_Cuotas&gt;0),PMT(p_L1_Tasa/12,p_L1_Cuotas,-p_L1_Monto)-FD$22*p_L1_Tasa/12,0)</f>
        <v>0</v>
      </c>
      <c r="FF23" s="13" t="n">
        <f aca="false">IF(AND(FF$21&gt;p_L1_Gracia,FF$21&lt;=p_L1_Gracia+p_L1_Cuotas,p_L1_Cuotas&gt;0),PMT(p_L1_Tasa/12,p_L1_Cuotas,-p_L1_Monto)-FE$22*p_L1_Tasa/12,0)</f>
        <v>0</v>
      </c>
    </row>
    <row r="24" customFormat="false" ht="15" hidden="false" customHeight="false" outlineLevel="0" collapsed="false">
      <c r="A24" s="2" t="s">
        <v>1404</v>
      </c>
      <c r="B24" s="8" t="s">
        <v>1405</v>
      </c>
      <c r="C24" s="8" t="s">
        <v>255</v>
      </c>
      <c r="E24" s="65" t="n">
        <f aca="false">SUM($F24:$FF24)</f>
        <v>2791587</v>
      </c>
      <c r="F24" s="13" t="n">
        <f aca="false">IF(F$9=1,SUMIFS(dr_USD,dr_Mes,0,dr_Cod,"DESEMB_P1",dr_Est,"&lt;&gt;Excluido"),IF(F$21=0,p_L1_Monto,0))</f>
        <v>2791587</v>
      </c>
      <c r="G24" s="13" t="n">
        <f aca="false">IF(G$9=1,SUMIFS(dr_USD,dr_Mes,1,dr_Cod,"DESEMB_P1",dr_Est,"&lt;&gt;Excluido"),IF(G$21=0,p_L1_Monto,0))</f>
        <v>0</v>
      </c>
      <c r="H24" s="13" t="n">
        <f aca="false">IF(H$9=1,SUMIFS(dr_USD,dr_Mes,2,dr_Cod,"DESEMB_P1",dr_Est,"&lt;&gt;Excluido"),IF(H$21=0,p_L1_Monto,0))</f>
        <v>0</v>
      </c>
      <c r="I24" s="13" t="n">
        <f aca="false">IF(I$9=1,SUMIFS(dr_USD,dr_Mes,3,dr_Cod,"DESEMB_P1",dr_Est,"&lt;&gt;Excluido"),IF(I$21=0,p_L1_Monto,0))</f>
        <v>0</v>
      </c>
      <c r="J24" s="13" t="n">
        <f aca="false">IF(J$9=1,SUMIFS(dr_USD,dr_Mes,4,dr_Cod,"DESEMB_P1",dr_Est,"&lt;&gt;Excluido"),IF(J$21=0,p_L1_Monto,0))</f>
        <v>0</v>
      </c>
      <c r="K24" s="13" t="n">
        <f aca="false">IF(K$9=1,SUMIFS(dr_USD,dr_Mes,5,dr_Cod,"DESEMB_P1",dr_Est,"&lt;&gt;Excluido"),IF(K$21=0,p_L1_Monto,0))</f>
        <v>0</v>
      </c>
      <c r="L24" s="13" t="n">
        <f aca="false">IF(L$9=1,SUMIFS(dr_USD,dr_Mes,6,dr_Cod,"DESEMB_P1",dr_Est,"&lt;&gt;Excluido"),IF(L$21=0,p_L1_Monto,0))</f>
        <v>0</v>
      </c>
      <c r="M24" s="13" t="n">
        <f aca="false">IF(M$9=1,SUMIFS(dr_USD,dr_Mes,7,dr_Cod,"DESEMB_P1",dr_Est,"&lt;&gt;Excluido"),IF(M$21=0,p_L1_Monto,0))</f>
        <v>0</v>
      </c>
      <c r="N24" s="13" t="n">
        <f aca="false">IF(N$9=1,SUMIFS(dr_USD,dr_Mes,8,dr_Cod,"DESEMB_P1",dr_Est,"&lt;&gt;Excluido"),IF(N$21=0,p_L1_Monto,0))</f>
        <v>0</v>
      </c>
      <c r="O24" s="13" t="n">
        <f aca="false">IF(O$9=1,SUMIFS(dr_USD,dr_Mes,9,dr_Cod,"DESEMB_P1",dr_Est,"&lt;&gt;Excluido"),IF(O$21=0,p_L1_Monto,0))</f>
        <v>0</v>
      </c>
      <c r="P24" s="13" t="n">
        <f aca="false">IF(P$9=1,SUMIFS(dr_USD,dr_Mes,10,dr_Cod,"DESEMB_P1",dr_Est,"&lt;&gt;Excluido"),IF(P$21=0,p_L1_Monto,0))</f>
        <v>0</v>
      </c>
      <c r="Q24" s="13" t="n">
        <f aca="false">IF(Q$9=1,SUMIFS(dr_USD,dr_Mes,11,dr_Cod,"DESEMB_P1",dr_Est,"&lt;&gt;Excluido"),IF(Q$21=0,p_L1_Monto,0))</f>
        <v>0</v>
      </c>
      <c r="R24" s="13" t="n">
        <f aca="false">IF(R$9=1,SUMIFS(dr_USD,dr_Mes,12,dr_Cod,"DESEMB_P1",dr_Est,"&lt;&gt;Excluido"),IF(R$21=0,p_L1_Monto,0))</f>
        <v>0</v>
      </c>
      <c r="S24" s="13" t="n">
        <f aca="false">IF(S$9=1,SUMIFS(dr_USD,dr_Mes,13,dr_Cod,"DESEMB_P1",dr_Est,"&lt;&gt;Excluido"),IF(S$21=0,p_L1_Monto,0))</f>
        <v>0</v>
      </c>
      <c r="T24" s="13" t="n">
        <f aca="false">IF(T$9=1,SUMIFS(dr_USD,dr_Mes,14,dr_Cod,"DESEMB_P1",dr_Est,"&lt;&gt;Excluido"),IF(T$21=0,p_L1_Monto,0))</f>
        <v>0</v>
      </c>
      <c r="U24" s="13" t="n">
        <f aca="false">IF(U$9=1,SUMIFS(dr_USD,dr_Mes,15,dr_Cod,"DESEMB_P1",dr_Est,"&lt;&gt;Excluido"),IF(U$21=0,p_L1_Monto,0))</f>
        <v>0</v>
      </c>
      <c r="V24" s="13" t="n">
        <f aca="false">IF(V$9=1,SUMIFS(dr_USD,dr_Mes,16,dr_Cod,"DESEMB_P1",dr_Est,"&lt;&gt;Excluido"),IF(V$21=0,p_L1_Monto,0))</f>
        <v>0</v>
      </c>
      <c r="W24" s="13" t="n">
        <f aca="false">IF(W$9=1,SUMIFS(dr_USD,dr_Mes,17,dr_Cod,"DESEMB_P1",dr_Est,"&lt;&gt;Excluido"),IF(W$21=0,p_L1_Monto,0))</f>
        <v>0</v>
      </c>
      <c r="X24" s="13" t="n">
        <f aca="false">IF(X$9=1,SUMIFS(dr_USD,dr_Mes,18,dr_Cod,"DESEMB_P1",dr_Est,"&lt;&gt;Excluido"),IF(X$21=0,p_L1_Monto,0))</f>
        <v>0</v>
      </c>
      <c r="Y24" s="13" t="n">
        <f aca="false">IF(Y$9=1,SUMIFS(dr_USD,dr_Mes,19,dr_Cod,"DESEMB_P1",dr_Est,"&lt;&gt;Excluido"),IF(Y$21=0,p_L1_Monto,0))</f>
        <v>0</v>
      </c>
      <c r="Z24" s="13" t="n">
        <f aca="false">IF(Z$9=1,SUMIFS(dr_USD,dr_Mes,20,dr_Cod,"DESEMB_P1",dr_Est,"&lt;&gt;Excluido"),IF(Z$21=0,p_L1_Monto,0))</f>
        <v>0</v>
      </c>
      <c r="AA24" s="13" t="n">
        <f aca="false">IF(AA$9=1,SUMIFS(dr_USD,dr_Mes,21,dr_Cod,"DESEMB_P1",dr_Est,"&lt;&gt;Excluido"),IF(AA$21=0,p_L1_Monto,0))</f>
        <v>0</v>
      </c>
      <c r="AB24" s="13" t="n">
        <f aca="false">IF(AB$9=1,SUMIFS(dr_USD,dr_Mes,22,dr_Cod,"DESEMB_P1",dr_Est,"&lt;&gt;Excluido"),IF(AB$21=0,p_L1_Monto,0))</f>
        <v>0</v>
      </c>
      <c r="AC24" s="13" t="n">
        <f aca="false">IF(AC$9=1,SUMIFS(dr_USD,dr_Mes,23,dr_Cod,"DESEMB_P1",dr_Est,"&lt;&gt;Excluido"),IF(AC$21=0,p_L1_Monto,0))</f>
        <v>0</v>
      </c>
      <c r="AD24" s="13" t="n">
        <f aca="false">IF(AD$9=1,SUMIFS(dr_USD,dr_Mes,24,dr_Cod,"DESEMB_P1",dr_Est,"&lt;&gt;Excluido"),IF(AD$21=0,p_L1_Monto,0))</f>
        <v>0</v>
      </c>
      <c r="AE24" s="13" t="n">
        <f aca="false">IF(AE$9=1,SUMIFS(dr_USD,dr_Mes,25,dr_Cod,"DESEMB_P1",dr_Est,"&lt;&gt;Excluido"),IF(AE$21=0,p_L1_Monto,0))</f>
        <v>0</v>
      </c>
      <c r="AF24" s="13" t="n">
        <f aca="false">IF(AF$9=1,SUMIFS(dr_USD,dr_Mes,26,dr_Cod,"DESEMB_P1",dr_Est,"&lt;&gt;Excluido"),IF(AF$21=0,p_L1_Monto,0))</f>
        <v>0</v>
      </c>
      <c r="AG24" s="13" t="n">
        <f aca="false">IF(AG$9=1,SUMIFS(dr_USD,dr_Mes,27,dr_Cod,"DESEMB_P1",dr_Est,"&lt;&gt;Excluido"),IF(AG$21=0,p_L1_Monto,0))</f>
        <v>0</v>
      </c>
      <c r="AH24" s="13" t="n">
        <f aca="false">IF(AH$9=1,SUMIFS(dr_USD,dr_Mes,28,dr_Cod,"DESEMB_P1",dr_Est,"&lt;&gt;Excluido"),IF(AH$21=0,p_L1_Monto,0))</f>
        <v>0</v>
      </c>
      <c r="AI24" s="13" t="n">
        <f aca="false">IF(AI$9=1,SUMIFS(dr_USD,dr_Mes,29,dr_Cod,"DESEMB_P1",dr_Est,"&lt;&gt;Excluido"),IF(AI$21=0,p_L1_Monto,0))</f>
        <v>0</v>
      </c>
      <c r="AJ24" s="13" t="n">
        <f aca="false">IF(AJ$9=1,SUMIFS(dr_USD,dr_Mes,30,dr_Cod,"DESEMB_P1",dr_Est,"&lt;&gt;Excluido"),IF(AJ$21=0,p_L1_Monto,0))</f>
        <v>0</v>
      </c>
      <c r="AK24" s="13" t="n">
        <f aca="false">IF(AK$9=1,SUMIFS(dr_USD,dr_Mes,31,dr_Cod,"DESEMB_P1",dr_Est,"&lt;&gt;Excluido"),IF(AK$21=0,p_L1_Monto,0))</f>
        <v>0</v>
      </c>
      <c r="AL24" s="13" t="n">
        <f aca="false">IF(AL$9=1,SUMIFS(dr_USD,dr_Mes,32,dr_Cod,"DESEMB_P1",dr_Est,"&lt;&gt;Excluido"),IF(AL$21=0,p_L1_Monto,0))</f>
        <v>0</v>
      </c>
      <c r="AM24" s="13" t="n">
        <f aca="false">IF(AM$9=1,SUMIFS(dr_USD,dr_Mes,33,dr_Cod,"DESEMB_P1",dr_Est,"&lt;&gt;Excluido"),IF(AM$21=0,p_L1_Monto,0))</f>
        <v>0</v>
      </c>
      <c r="AN24" s="13" t="n">
        <f aca="false">IF(AN$9=1,SUMIFS(dr_USD,dr_Mes,34,dr_Cod,"DESEMB_P1",dr_Est,"&lt;&gt;Excluido"),IF(AN$21=0,p_L1_Monto,0))</f>
        <v>0</v>
      </c>
      <c r="AO24" s="13" t="n">
        <f aca="false">IF(AO$9=1,SUMIFS(dr_USD,dr_Mes,35,dr_Cod,"DESEMB_P1",dr_Est,"&lt;&gt;Excluido"),IF(AO$21=0,p_L1_Monto,0))</f>
        <v>0</v>
      </c>
      <c r="AP24" s="13" t="n">
        <f aca="false">IF(AP$9=1,SUMIFS(dr_USD,dr_Mes,36,dr_Cod,"DESEMB_P1",dr_Est,"&lt;&gt;Excluido"),IF(AP$21=0,p_L1_Monto,0))</f>
        <v>0</v>
      </c>
      <c r="AQ24" s="13" t="n">
        <f aca="false">IF(AQ$9=1,SUMIFS(dr_USD,dr_Mes,37,dr_Cod,"DESEMB_P1",dr_Est,"&lt;&gt;Excluido"),IF(AQ$21=0,p_L1_Monto,0))</f>
        <v>0</v>
      </c>
      <c r="AR24" s="13" t="n">
        <f aca="false">IF(AR$9=1,SUMIFS(dr_USD,dr_Mes,38,dr_Cod,"DESEMB_P1",dr_Est,"&lt;&gt;Excluido"),IF(AR$21=0,p_L1_Monto,0))</f>
        <v>0</v>
      </c>
      <c r="AS24" s="13" t="n">
        <f aca="false">IF(AS$9=1,SUMIFS(dr_USD,dr_Mes,39,dr_Cod,"DESEMB_P1",dr_Est,"&lt;&gt;Excluido"),IF(AS$21=0,p_L1_Monto,0))</f>
        <v>0</v>
      </c>
      <c r="AT24" s="13" t="n">
        <f aca="false">IF(AT$9=1,SUMIFS(dr_USD,dr_Mes,40,dr_Cod,"DESEMB_P1",dr_Est,"&lt;&gt;Excluido"),IF(AT$21=0,p_L1_Monto,0))</f>
        <v>0</v>
      </c>
      <c r="AU24" s="13" t="n">
        <f aca="false">IF(AU$9=1,SUMIFS(dr_USD,dr_Mes,41,dr_Cod,"DESEMB_P1",dr_Est,"&lt;&gt;Excluido"),IF(AU$21=0,p_L1_Monto,0))</f>
        <v>0</v>
      </c>
      <c r="AV24" s="13" t="n">
        <f aca="false">IF(AV$9=1,SUMIFS(dr_USD,dr_Mes,42,dr_Cod,"DESEMB_P1",dr_Est,"&lt;&gt;Excluido"),IF(AV$21=0,p_L1_Monto,0))</f>
        <v>0</v>
      </c>
      <c r="AW24" s="13" t="n">
        <f aca="false">IF(AW$9=1,SUMIFS(dr_USD,dr_Mes,43,dr_Cod,"DESEMB_P1",dr_Est,"&lt;&gt;Excluido"),IF(AW$21=0,p_L1_Monto,0))</f>
        <v>0</v>
      </c>
      <c r="AX24" s="13" t="n">
        <f aca="false">IF(AX$9=1,SUMIFS(dr_USD,dr_Mes,44,dr_Cod,"DESEMB_P1",dr_Est,"&lt;&gt;Excluido"),IF(AX$21=0,p_L1_Monto,0))</f>
        <v>0</v>
      </c>
      <c r="AY24" s="13" t="n">
        <f aca="false">IF(AY$9=1,SUMIFS(dr_USD,dr_Mes,45,dr_Cod,"DESEMB_P1",dr_Est,"&lt;&gt;Excluido"),IF(AY$21=0,p_L1_Monto,0))</f>
        <v>0</v>
      </c>
      <c r="AZ24" s="13" t="n">
        <f aca="false">IF(AZ$9=1,SUMIFS(dr_USD,dr_Mes,46,dr_Cod,"DESEMB_P1",dr_Est,"&lt;&gt;Excluido"),IF(AZ$21=0,p_L1_Monto,0))</f>
        <v>0</v>
      </c>
      <c r="BA24" s="13" t="n">
        <f aca="false">IF(BA$9=1,SUMIFS(dr_USD,dr_Mes,47,dr_Cod,"DESEMB_P1",dr_Est,"&lt;&gt;Excluido"),IF(BA$21=0,p_L1_Monto,0))</f>
        <v>0</v>
      </c>
      <c r="BB24" s="13" t="n">
        <f aca="false">IF(BB$9=1,SUMIFS(dr_USD,dr_Mes,48,dr_Cod,"DESEMB_P1",dr_Est,"&lt;&gt;Excluido"),IF(BB$21=0,p_L1_Monto,0))</f>
        <v>0</v>
      </c>
      <c r="BC24" s="13" t="n">
        <f aca="false">IF(BC$9=1,SUMIFS(dr_USD,dr_Mes,49,dr_Cod,"DESEMB_P1",dr_Est,"&lt;&gt;Excluido"),IF(BC$21=0,p_L1_Monto,0))</f>
        <v>0</v>
      </c>
      <c r="BD24" s="13" t="n">
        <f aca="false">IF(BD$9=1,SUMIFS(dr_USD,dr_Mes,50,dr_Cod,"DESEMB_P1",dr_Est,"&lt;&gt;Excluido"),IF(BD$21=0,p_L1_Monto,0))</f>
        <v>0</v>
      </c>
      <c r="BE24" s="13" t="n">
        <f aca="false">IF(BE$9=1,SUMIFS(dr_USD,dr_Mes,51,dr_Cod,"DESEMB_P1",dr_Est,"&lt;&gt;Excluido"),IF(BE$21=0,p_L1_Monto,0))</f>
        <v>0</v>
      </c>
      <c r="BF24" s="13" t="n">
        <f aca="false">IF(BF$9=1,SUMIFS(dr_USD,dr_Mes,52,dr_Cod,"DESEMB_P1",dr_Est,"&lt;&gt;Excluido"),IF(BF$21=0,p_L1_Monto,0))</f>
        <v>0</v>
      </c>
      <c r="BG24" s="13" t="n">
        <f aca="false">IF(BG$9=1,SUMIFS(dr_USD,dr_Mes,53,dr_Cod,"DESEMB_P1",dr_Est,"&lt;&gt;Excluido"),IF(BG$21=0,p_L1_Monto,0))</f>
        <v>0</v>
      </c>
      <c r="BH24" s="13" t="n">
        <f aca="false">IF(BH$9=1,SUMIFS(dr_USD,dr_Mes,54,dr_Cod,"DESEMB_P1",dr_Est,"&lt;&gt;Excluido"),IF(BH$21=0,p_L1_Monto,0))</f>
        <v>0</v>
      </c>
      <c r="BI24" s="13" t="n">
        <f aca="false">IF(BI$9=1,SUMIFS(dr_USD,dr_Mes,55,dr_Cod,"DESEMB_P1",dr_Est,"&lt;&gt;Excluido"),IF(BI$21=0,p_L1_Monto,0))</f>
        <v>0</v>
      </c>
      <c r="BJ24" s="13" t="n">
        <f aca="false">IF(BJ$9=1,SUMIFS(dr_USD,dr_Mes,56,dr_Cod,"DESEMB_P1",dr_Est,"&lt;&gt;Excluido"),IF(BJ$21=0,p_L1_Monto,0))</f>
        <v>0</v>
      </c>
      <c r="BK24" s="13" t="n">
        <f aca="false">IF(BK$9=1,SUMIFS(dr_USD,dr_Mes,57,dr_Cod,"DESEMB_P1",dr_Est,"&lt;&gt;Excluido"),IF(BK$21=0,p_L1_Monto,0))</f>
        <v>0</v>
      </c>
      <c r="BL24" s="13" t="n">
        <f aca="false">IF(BL$9=1,SUMIFS(dr_USD,dr_Mes,58,dr_Cod,"DESEMB_P1",dr_Est,"&lt;&gt;Excluido"),IF(BL$21=0,p_L1_Monto,0))</f>
        <v>0</v>
      </c>
      <c r="BM24" s="13" t="n">
        <f aca="false">IF(BM$9=1,SUMIFS(dr_USD,dr_Mes,59,dr_Cod,"DESEMB_P1",dr_Est,"&lt;&gt;Excluido"),IF(BM$21=0,p_L1_Monto,0))</f>
        <v>0</v>
      </c>
      <c r="BN24" s="13" t="n">
        <f aca="false">IF(BN$9=1,SUMIFS(dr_USD,dr_Mes,60,dr_Cod,"DESEMB_P1",dr_Est,"&lt;&gt;Excluido"),IF(BN$21=0,p_L1_Monto,0))</f>
        <v>0</v>
      </c>
      <c r="BO24" s="13" t="n">
        <f aca="false">IF(BO$9=1,SUMIFS(dr_USD,dr_Mes,61,dr_Cod,"DESEMB_P1",dr_Est,"&lt;&gt;Excluido"),IF(BO$21=0,p_L1_Monto,0))</f>
        <v>0</v>
      </c>
      <c r="BP24" s="13" t="n">
        <f aca="false">IF(BP$9=1,SUMIFS(dr_USD,dr_Mes,62,dr_Cod,"DESEMB_P1",dr_Est,"&lt;&gt;Excluido"),IF(BP$21=0,p_L1_Monto,0))</f>
        <v>0</v>
      </c>
      <c r="BQ24" s="13" t="n">
        <f aca="false">IF(BQ$9=1,SUMIFS(dr_USD,dr_Mes,63,dr_Cod,"DESEMB_P1",dr_Est,"&lt;&gt;Excluido"),IF(BQ$21=0,p_L1_Monto,0))</f>
        <v>0</v>
      </c>
      <c r="BR24" s="13" t="n">
        <f aca="false">IF(BR$9=1,SUMIFS(dr_USD,dr_Mes,64,dr_Cod,"DESEMB_P1",dr_Est,"&lt;&gt;Excluido"),IF(BR$21=0,p_L1_Monto,0))</f>
        <v>0</v>
      </c>
      <c r="BS24" s="13" t="n">
        <f aca="false">IF(BS$9=1,SUMIFS(dr_USD,dr_Mes,65,dr_Cod,"DESEMB_P1",dr_Est,"&lt;&gt;Excluido"),IF(BS$21=0,p_L1_Monto,0))</f>
        <v>0</v>
      </c>
      <c r="BT24" s="13" t="n">
        <f aca="false">IF(BT$9=1,SUMIFS(dr_USD,dr_Mes,66,dr_Cod,"DESEMB_P1",dr_Est,"&lt;&gt;Excluido"),IF(BT$21=0,p_L1_Monto,0))</f>
        <v>0</v>
      </c>
      <c r="BU24" s="13" t="n">
        <f aca="false">IF(BU$9=1,SUMIFS(dr_USD,dr_Mes,67,dr_Cod,"DESEMB_P1",dr_Est,"&lt;&gt;Excluido"),IF(BU$21=0,p_L1_Monto,0))</f>
        <v>0</v>
      </c>
      <c r="BV24" s="13" t="n">
        <f aca="false">IF(BV$9=1,SUMIFS(dr_USD,dr_Mes,68,dr_Cod,"DESEMB_P1",dr_Est,"&lt;&gt;Excluido"),IF(BV$21=0,p_L1_Monto,0))</f>
        <v>0</v>
      </c>
      <c r="BW24" s="13" t="n">
        <f aca="false">IF(BW$9=1,SUMIFS(dr_USD,dr_Mes,69,dr_Cod,"DESEMB_P1",dr_Est,"&lt;&gt;Excluido"),IF(BW$21=0,p_L1_Monto,0))</f>
        <v>0</v>
      </c>
      <c r="BX24" s="13" t="n">
        <f aca="false">IF(BX$9=1,SUMIFS(dr_USD,dr_Mes,70,dr_Cod,"DESEMB_P1",dr_Est,"&lt;&gt;Excluido"),IF(BX$21=0,p_L1_Monto,0))</f>
        <v>0</v>
      </c>
      <c r="BY24" s="13" t="n">
        <f aca="false">IF(BY$9=1,SUMIFS(dr_USD,dr_Mes,71,dr_Cod,"DESEMB_P1",dr_Est,"&lt;&gt;Excluido"),IF(BY$21=0,p_L1_Monto,0))</f>
        <v>0</v>
      </c>
      <c r="BZ24" s="13" t="n">
        <f aca="false">IF(BZ$9=1,SUMIFS(dr_USD,dr_Mes,72,dr_Cod,"DESEMB_P1",dr_Est,"&lt;&gt;Excluido"),IF(BZ$21=0,p_L1_Monto,0))</f>
        <v>0</v>
      </c>
      <c r="CA24" s="13" t="n">
        <f aca="false">IF(CA$9=1,SUMIFS(dr_USD,dr_Mes,73,dr_Cod,"DESEMB_P1",dr_Est,"&lt;&gt;Excluido"),IF(CA$21=0,p_L1_Monto,0))</f>
        <v>0</v>
      </c>
      <c r="CB24" s="13" t="n">
        <f aca="false">IF(CB$9=1,SUMIFS(dr_USD,dr_Mes,74,dr_Cod,"DESEMB_P1",dr_Est,"&lt;&gt;Excluido"),IF(CB$21=0,p_L1_Monto,0))</f>
        <v>0</v>
      </c>
      <c r="CC24" s="13" t="n">
        <f aca="false">IF(CC$9=1,SUMIFS(dr_USD,dr_Mes,75,dr_Cod,"DESEMB_P1",dr_Est,"&lt;&gt;Excluido"),IF(CC$21=0,p_L1_Monto,0))</f>
        <v>0</v>
      </c>
      <c r="CD24" s="13" t="n">
        <f aca="false">IF(CD$9=1,SUMIFS(dr_USD,dr_Mes,76,dr_Cod,"DESEMB_P1",dr_Est,"&lt;&gt;Excluido"),IF(CD$21=0,p_L1_Monto,0))</f>
        <v>0</v>
      </c>
      <c r="CE24" s="13" t="n">
        <f aca="false">IF(CE$9=1,SUMIFS(dr_USD,dr_Mes,77,dr_Cod,"DESEMB_P1",dr_Est,"&lt;&gt;Excluido"),IF(CE$21=0,p_L1_Monto,0))</f>
        <v>0</v>
      </c>
      <c r="CF24" s="13" t="n">
        <f aca="false">IF(CF$9=1,SUMIFS(dr_USD,dr_Mes,78,dr_Cod,"DESEMB_P1",dr_Est,"&lt;&gt;Excluido"),IF(CF$21=0,p_L1_Monto,0))</f>
        <v>0</v>
      </c>
      <c r="CG24" s="13" t="n">
        <f aca="false">IF(CG$9=1,SUMIFS(dr_USD,dr_Mes,79,dr_Cod,"DESEMB_P1",dr_Est,"&lt;&gt;Excluido"),IF(CG$21=0,p_L1_Monto,0))</f>
        <v>0</v>
      </c>
      <c r="CH24" s="13" t="n">
        <f aca="false">IF(CH$9=1,SUMIFS(dr_USD,dr_Mes,80,dr_Cod,"DESEMB_P1",dr_Est,"&lt;&gt;Excluido"),IF(CH$21=0,p_L1_Monto,0))</f>
        <v>0</v>
      </c>
      <c r="CI24" s="13" t="n">
        <f aca="false">IF(CI$9=1,SUMIFS(dr_USD,dr_Mes,81,dr_Cod,"DESEMB_P1",dr_Est,"&lt;&gt;Excluido"),IF(CI$21=0,p_L1_Monto,0))</f>
        <v>0</v>
      </c>
      <c r="CJ24" s="13" t="n">
        <f aca="false">IF(CJ$9=1,SUMIFS(dr_USD,dr_Mes,82,dr_Cod,"DESEMB_P1",dr_Est,"&lt;&gt;Excluido"),IF(CJ$21=0,p_L1_Monto,0))</f>
        <v>0</v>
      </c>
      <c r="CK24" s="13" t="n">
        <f aca="false">IF(CK$9=1,SUMIFS(dr_USD,dr_Mes,83,dr_Cod,"DESEMB_P1",dr_Est,"&lt;&gt;Excluido"),IF(CK$21=0,p_L1_Monto,0))</f>
        <v>0</v>
      </c>
      <c r="CL24" s="13" t="n">
        <f aca="false">IF(CL$9=1,SUMIFS(dr_USD,dr_Mes,84,dr_Cod,"DESEMB_P1",dr_Est,"&lt;&gt;Excluido"),IF(CL$21=0,p_L1_Monto,0))</f>
        <v>0</v>
      </c>
      <c r="CM24" s="13" t="n">
        <f aca="false">IF(CM$9=1,SUMIFS(dr_USD,dr_Mes,85,dr_Cod,"DESEMB_P1",dr_Est,"&lt;&gt;Excluido"),IF(CM$21=0,p_L1_Monto,0))</f>
        <v>0</v>
      </c>
      <c r="CN24" s="13" t="n">
        <f aca="false">IF(CN$9=1,SUMIFS(dr_USD,dr_Mes,86,dr_Cod,"DESEMB_P1",dr_Est,"&lt;&gt;Excluido"),IF(CN$21=0,p_L1_Monto,0))</f>
        <v>0</v>
      </c>
      <c r="CO24" s="13" t="n">
        <f aca="false">IF(CO$9=1,SUMIFS(dr_USD,dr_Mes,87,dr_Cod,"DESEMB_P1",dr_Est,"&lt;&gt;Excluido"),IF(CO$21=0,p_L1_Monto,0))</f>
        <v>0</v>
      </c>
      <c r="CP24" s="13" t="n">
        <f aca="false">IF(CP$9=1,SUMIFS(dr_USD,dr_Mes,88,dr_Cod,"DESEMB_P1",dr_Est,"&lt;&gt;Excluido"),IF(CP$21=0,p_L1_Monto,0))</f>
        <v>0</v>
      </c>
      <c r="CQ24" s="13" t="n">
        <f aca="false">IF(CQ$9=1,SUMIFS(dr_USD,dr_Mes,89,dr_Cod,"DESEMB_P1",dr_Est,"&lt;&gt;Excluido"),IF(CQ$21=0,p_L1_Monto,0))</f>
        <v>0</v>
      </c>
      <c r="CR24" s="13" t="n">
        <f aca="false">IF(CR$9=1,SUMIFS(dr_USD,dr_Mes,90,dr_Cod,"DESEMB_P1",dr_Est,"&lt;&gt;Excluido"),IF(CR$21=0,p_L1_Monto,0))</f>
        <v>0</v>
      </c>
      <c r="CS24" s="13" t="n">
        <f aca="false">IF(CS$9=1,SUMIFS(dr_USD,dr_Mes,91,dr_Cod,"DESEMB_P1",dr_Est,"&lt;&gt;Excluido"),IF(CS$21=0,p_L1_Monto,0))</f>
        <v>0</v>
      </c>
      <c r="CT24" s="13" t="n">
        <f aca="false">IF(CT$9=1,SUMIFS(dr_USD,dr_Mes,92,dr_Cod,"DESEMB_P1",dr_Est,"&lt;&gt;Excluido"),IF(CT$21=0,p_L1_Monto,0))</f>
        <v>0</v>
      </c>
      <c r="CU24" s="13" t="n">
        <f aca="false">IF(CU$9=1,SUMIFS(dr_USD,dr_Mes,93,dr_Cod,"DESEMB_P1",dr_Est,"&lt;&gt;Excluido"),IF(CU$21=0,p_L1_Monto,0))</f>
        <v>0</v>
      </c>
      <c r="CV24" s="13" t="n">
        <f aca="false">IF(CV$9=1,SUMIFS(dr_USD,dr_Mes,94,dr_Cod,"DESEMB_P1",dr_Est,"&lt;&gt;Excluido"),IF(CV$21=0,p_L1_Monto,0))</f>
        <v>0</v>
      </c>
      <c r="CW24" s="13" t="n">
        <f aca="false">IF(CW$9=1,SUMIFS(dr_USD,dr_Mes,95,dr_Cod,"DESEMB_P1",dr_Est,"&lt;&gt;Excluido"),IF(CW$21=0,p_L1_Monto,0))</f>
        <v>0</v>
      </c>
      <c r="CX24" s="13" t="n">
        <f aca="false">IF(CX$9=1,SUMIFS(dr_USD,dr_Mes,96,dr_Cod,"DESEMB_P1",dr_Est,"&lt;&gt;Excluido"),IF(CX$21=0,p_L1_Monto,0))</f>
        <v>0</v>
      </c>
      <c r="CY24" s="13" t="n">
        <f aca="false">IF(CY$9=1,SUMIFS(dr_USD,dr_Mes,97,dr_Cod,"DESEMB_P1",dr_Est,"&lt;&gt;Excluido"),IF(CY$21=0,p_L1_Monto,0))</f>
        <v>0</v>
      </c>
      <c r="CZ24" s="13" t="n">
        <f aca="false">IF(CZ$9=1,SUMIFS(dr_USD,dr_Mes,98,dr_Cod,"DESEMB_P1",dr_Est,"&lt;&gt;Excluido"),IF(CZ$21=0,p_L1_Monto,0))</f>
        <v>0</v>
      </c>
      <c r="DA24" s="13" t="n">
        <f aca="false">IF(DA$9=1,SUMIFS(dr_USD,dr_Mes,99,dr_Cod,"DESEMB_P1",dr_Est,"&lt;&gt;Excluido"),IF(DA$21=0,p_L1_Monto,0))</f>
        <v>0</v>
      </c>
      <c r="DB24" s="13" t="n">
        <f aca="false">IF(DB$9=1,SUMIFS(dr_USD,dr_Mes,100,dr_Cod,"DESEMB_P1",dr_Est,"&lt;&gt;Excluido"),IF(DB$21=0,p_L1_Monto,0))</f>
        <v>0</v>
      </c>
      <c r="DC24" s="13" t="n">
        <f aca="false">IF(DC$9=1,SUMIFS(dr_USD,dr_Mes,101,dr_Cod,"DESEMB_P1",dr_Est,"&lt;&gt;Excluido"),IF(DC$21=0,p_L1_Monto,0))</f>
        <v>0</v>
      </c>
      <c r="DD24" s="13" t="n">
        <f aca="false">IF(DD$9=1,SUMIFS(dr_USD,dr_Mes,102,dr_Cod,"DESEMB_P1",dr_Est,"&lt;&gt;Excluido"),IF(DD$21=0,p_L1_Monto,0))</f>
        <v>0</v>
      </c>
      <c r="DE24" s="13" t="n">
        <f aca="false">IF(DE$9=1,SUMIFS(dr_USD,dr_Mes,103,dr_Cod,"DESEMB_P1",dr_Est,"&lt;&gt;Excluido"),IF(DE$21=0,p_L1_Monto,0))</f>
        <v>0</v>
      </c>
      <c r="DF24" s="13" t="n">
        <f aca="false">IF(DF$9=1,SUMIFS(dr_USD,dr_Mes,104,dr_Cod,"DESEMB_P1",dr_Est,"&lt;&gt;Excluido"),IF(DF$21=0,p_L1_Monto,0))</f>
        <v>0</v>
      </c>
      <c r="DG24" s="13" t="n">
        <f aca="false">IF(DG$9=1,SUMIFS(dr_USD,dr_Mes,105,dr_Cod,"DESEMB_P1",dr_Est,"&lt;&gt;Excluido"),IF(DG$21=0,p_L1_Monto,0))</f>
        <v>0</v>
      </c>
      <c r="DH24" s="13" t="n">
        <f aca="false">IF(DH$9=1,SUMIFS(dr_USD,dr_Mes,106,dr_Cod,"DESEMB_P1",dr_Est,"&lt;&gt;Excluido"),IF(DH$21=0,p_L1_Monto,0))</f>
        <v>0</v>
      </c>
      <c r="DI24" s="13" t="n">
        <f aca="false">IF(DI$9=1,SUMIFS(dr_USD,dr_Mes,107,dr_Cod,"DESEMB_P1",dr_Est,"&lt;&gt;Excluido"),IF(DI$21=0,p_L1_Monto,0))</f>
        <v>0</v>
      </c>
      <c r="DJ24" s="13" t="n">
        <f aca="false">IF(DJ$9=1,SUMIFS(dr_USD,dr_Mes,108,dr_Cod,"DESEMB_P1",dr_Est,"&lt;&gt;Excluido"),IF(DJ$21=0,p_L1_Monto,0))</f>
        <v>0</v>
      </c>
      <c r="DK24" s="13" t="n">
        <f aca="false">IF(DK$9=1,SUMIFS(dr_USD,dr_Mes,109,dr_Cod,"DESEMB_P1",dr_Est,"&lt;&gt;Excluido"),IF(DK$21=0,p_L1_Monto,0))</f>
        <v>0</v>
      </c>
      <c r="DL24" s="13" t="n">
        <f aca="false">IF(DL$9=1,SUMIFS(dr_USD,dr_Mes,110,dr_Cod,"DESEMB_P1",dr_Est,"&lt;&gt;Excluido"),IF(DL$21=0,p_L1_Monto,0))</f>
        <v>0</v>
      </c>
      <c r="DM24" s="13" t="n">
        <f aca="false">IF(DM$9=1,SUMIFS(dr_USD,dr_Mes,111,dr_Cod,"DESEMB_P1",dr_Est,"&lt;&gt;Excluido"),IF(DM$21=0,p_L1_Monto,0))</f>
        <v>0</v>
      </c>
      <c r="DN24" s="13" t="n">
        <f aca="false">IF(DN$9=1,SUMIFS(dr_USD,dr_Mes,112,dr_Cod,"DESEMB_P1",dr_Est,"&lt;&gt;Excluido"),IF(DN$21=0,p_L1_Monto,0))</f>
        <v>0</v>
      </c>
      <c r="DO24" s="13" t="n">
        <f aca="false">IF(DO$9=1,SUMIFS(dr_USD,dr_Mes,113,dr_Cod,"DESEMB_P1",dr_Est,"&lt;&gt;Excluido"),IF(DO$21=0,p_L1_Monto,0))</f>
        <v>0</v>
      </c>
      <c r="DP24" s="13" t="n">
        <f aca="false">IF(DP$9=1,SUMIFS(dr_USD,dr_Mes,114,dr_Cod,"DESEMB_P1",dr_Est,"&lt;&gt;Excluido"),IF(DP$21=0,p_L1_Monto,0))</f>
        <v>0</v>
      </c>
      <c r="DQ24" s="13" t="n">
        <f aca="false">IF(DQ$9=1,SUMIFS(dr_USD,dr_Mes,115,dr_Cod,"DESEMB_P1",dr_Est,"&lt;&gt;Excluido"),IF(DQ$21=0,p_L1_Monto,0))</f>
        <v>0</v>
      </c>
      <c r="DR24" s="13" t="n">
        <f aca="false">IF(DR$9=1,SUMIFS(dr_USD,dr_Mes,116,dr_Cod,"DESEMB_P1",dr_Est,"&lt;&gt;Excluido"),IF(DR$21=0,p_L1_Monto,0))</f>
        <v>0</v>
      </c>
      <c r="DS24" s="13" t="n">
        <f aca="false">IF(DS$9=1,SUMIFS(dr_USD,dr_Mes,117,dr_Cod,"DESEMB_P1",dr_Est,"&lt;&gt;Excluido"),IF(DS$21=0,p_L1_Monto,0))</f>
        <v>0</v>
      </c>
      <c r="DT24" s="13" t="n">
        <f aca="false">IF(DT$9=1,SUMIFS(dr_USD,dr_Mes,118,dr_Cod,"DESEMB_P1",dr_Est,"&lt;&gt;Excluido"),IF(DT$21=0,p_L1_Monto,0))</f>
        <v>0</v>
      </c>
      <c r="DU24" s="13" t="n">
        <f aca="false">IF(DU$9=1,SUMIFS(dr_USD,dr_Mes,119,dr_Cod,"DESEMB_P1",dr_Est,"&lt;&gt;Excluido"),IF(DU$21=0,p_L1_Monto,0))</f>
        <v>0</v>
      </c>
      <c r="DV24" s="13" t="n">
        <f aca="false">IF(DV$9=1,SUMIFS(dr_USD,dr_Mes,120,dr_Cod,"DESEMB_P1",dr_Est,"&lt;&gt;Excluido"),IF(DV$21=0,p_L1_Monto,0))</f>
        <v>0</v>
      </c>
      <c r="DW24" s="13" t="n">
        <f aca="false">IF(DW$9=1,SUMIFS(dr_USD,dr_Mes,121,dr_Cod,"DESEMB_P1",dr_Est,"&lt;&gt;Excluido"),IF(DW$21=0,p_L1_Monto,0))</f>
        <v>0</v>
      </c>
      <c r="DX24" s="13" t="n">
        <f aca="false">IF(DX$9=1,SUMIFS(dr_USD,dr_Mes,122,dr_Cod,"DESEMB_P1",dr_Est,"&lt;&gt;Excluido"),IF(DX$21=0,p_L1_Monto,0))</f>
        <v>0</v>
      </c>
      <c r="DY24" s="13" t="n">
        <f aca="false">IF(DY$9=1,SUMIFS(dr_USD,dr_Mes,123,dr_Cod,"DESEMB_P1",dr_Est,"&lt;&gt;Excluido"),IF(DY$21=0,p_L1_Monto,0))</f>
        <v>0</v>
      </c>
      <c r="DZ24" s="13" t="n">
        <f aca="false">IF(DZ$9=1,SUMIFS(dr_USD,dr_Mes,124,dr_Cod,"DESEMB_P1",dr_Est,"&lt;&gt;Excluido"),IF(DZ$21=0,p_L1_Monto,0))</f>
        <v>0</v>
      </c>
      <c r="EA24" s="13" t="n">
        <f aca="false">IF(EA$9=1,SUMIFS(dr_USD,dr_Mes,125,dr_Cod,"DESEMB_P1",dr_Est,"&lt;&gt;Excluido"),IF(EA$21=0,p_L1_Monto,0))</f>
        <v>0</v>
      </c>
      <c r="EB24" s="13" t="n">
        <f aca="false">IF(EB$9=1,SUMIFS(dr_USD,dr_Mes,126,dr_Cod,"DESEMB_P1",dr_Est,"&lt;&gt;Excluido"),IF(EB$21=0,p_L1_Monto,0))</f>
        <v>0</v>
      </c>
      <c r="EC24" s="13" t="n">
        <f aca="false">IF(EC$9=1,SUMIFS(dr_USD,dr_Mes,127,dr_Cod,"DESEMB_P1",dr_Est,"&lt;&gt;Excluido"),IF(EC$21=0,p_L1_Monto,0))</f>
        <v>0</v>
      </c>
      <c r="ED24" s="13" t="n">
        <f aca="false">IF(ED$9=1,SUMIFS(dr_USD,dr_Mes,128,dr_Cod,"DESEMB_P1",dr_Est,"&lt;&gt;Excluido"),IF(ED$21=0,p_L1_Monto,0))</f>
        <v>0</v>
      </c>
      <c r="EE24" s="13" t="n">
        <f aca="false">IF(EE$9=1,SUMIFS(dr_USD,dr_Mes,129,dr_Cod,"DESEMB_P1",dr_Est,"&lt;&gt;Excluido"),IF(EE$21=0,p_L1_Monto,0))</f>
        <v>0</v>
      </c>
      <c r="EF24" s="13" t="n">
        <f aca="false">IF(EF$9=1,SUMIFS(dr_USD,dr_Mes,130,dr_Cod,"DESEMB_P1",dr_Est,"&lt;&gt;Excluido"),IF(EF$21=0,p_L1_Monto,0))</f>
        <v>0</v>
      </c>
      <c r="EG24" s="13" t="n">
        <f aca="false">IF(EG$9=1,SUMIFS(dr_USD,dr_Mes,131,dr_Cod,"DESEMB_P1",dr_Est,"&lt;&gt;Excluido"),IF(EG$21=0,p_L1_Monto,0))</f>
        <v>0</v>
      </c>
      <c r="EH24" s="13" t="n">
        <f aca="false">IF(EH$9=1,SUMIFS(dr_USD,dr_Mes,132,dr_Cod,"DESEMB_P1",dr_Est,"&lt;&gt;Excluido"),IF(EH$21=0,p_L1_Monto,0))</f>
        <v>0</v>
      </c>
      <c r="EI24" s="13" t="n">
        <f aca="false">IF(EI$9=1,SUMIFS(dr_USD,dr_Mes,133,dr_Cod,"DESEMB_P1",dr_Est,"&lt;&gt;Excluido"),IF(EI$21=0,p_L1_Monto,0))</f>
        <v>0</v>
      </c>
      <c r="EJ24" s="13" t="n">
        <f aca="false">IF(EJ$9=1,SUMIFS(dr_USD,dr_Mes,134,dr_Cod,"DESEMB_P1",dr_Est,"&lt;&gt;Excluido"),IF(EJ$21=0,p_L1_Monto,0))</f>
        <v>0</v>
      </c>
      <c r="EK24" s="13" t="n">
        <f aca="false">IF(EK$9=1,SUMIFS(dr_USD,dr_Mes,135,dr_Cod,"DESEMB_P1",dr_Est,"&lt;&gt;Excluido"),IF(EK$21=0,p_L1_Monto,0))</f>
        <v>0</v>
      </c>
      <c r="EL24" s="13" t="n">
        <f aca="false">IF(EL$9=1,SUMIFS(dr_USD,dr_Mes,136,dr_Cod,"DESEMB_P1",dr_Est,"&lt;&gt;Excluido"),IF(EL$21=0,p_L1_Monto,0))</f>
        <v>0</v>
      </c>
      <c r="EM24" s="13" t="n">
        <f aca="false">IF(EM$9=1,SUMIFS(dr_USD,dr_Mes,137,dr_Cod,"DESEMB_P1",dr_Est,"&lt;&gt;Excluido"),IF(EM$21=0,p_L1_Monto,0))</f>
        <v>0</v>
      </c>
      <c r="EN24" s="13" t="n">
        <f aca="false">IF(EN$9=1,SUMIFS(dr_USD,dr_Mes,138,dr_Cod,"DESEMB_P1",dr_Est,"&lt;&gt;Excluido"),IF(EN$21=0,p_L1_Monto,0))</f>
        <v>0</v>
      </c>
      <c r="EO24" s="13" t="n">
        <f aca="false">IF(EO$9=1,SUMIFS(dr_USD,dr_Mes,139,dr_Cod,"DESEMB_P1",dr_Est,"&lt;&gt;Excluido"),IF(EO$21=0,p_L1_Monto,0))</f>
        <v>0</v>
      </c>
      <c r="EP24" s="13" t="n">
        <f aca="false">IF(EP$9=1,SUMIFS(dr_USD,dr_Mes,140,dr_Cod,"DESEMB_P1",dr_Est,"&lt;&gt;Excluido"),IF(EP$21=0,p_L1_Monto,0))</f>
        <v>0</v>
      </c>
      <c r="EQ24" s="13" t="n">
        <f aca="false">IF(EQ$9=1,SUMIFS(dr_USD,dr_Mes,141,dr_Cod,"DESEMB_P1",dr_Est,"&lt;&gt;Excluido"),IF(EQ$21=0,p_L1_Monto,0))</f>
        <v>0</v>
      </c>
      <c r="ER24" s="13" t="n">
        <f aca="false">IF(ER$9=1,SUMIFS(dr_USD,dr_Mes,142,dr_Cod,"DESEMB_P1",dr_Est,"&lt;&gt;Excluido"),IF(ER$21=0,p_L1_Monto,0))</f>
        <v>0</v>
      </c>
      <c r="ES24" s="13" t="n">
        <f aca="false">IF(ES$9=1,SUMIFS(dr_USD,dr_Mes,143,dr_Cod,"DESEMB_P1",dr_Est,"&lt;&gt;Excluido"),IF(ES$21=0,p_L1_Monto,0))</f>
        <v>0</v>
      </c>
      <c r="ET24" s="13" t="n">
        <f aca="false">IF(ET$9=1,SUMIFS(dr_USD,dr_Mes,144,dr_Cod,"DESEMB_P1",dr_Est,"&lt;&gt;Excluido"),IF(ET$21=0,p_L1_Monto,0))</f>
        <v>0</v>
      </c>
      <c r="EU24" s="13" t="n">
        <f aca="false">IF(EU$9=1,SUMIFS(dr_USD,dr_Mes,145,dr_Cod,"DESEMB_P1",dr_Est,"&lt;&gt;Excluido"),IF(EU$21=0,p_L1_Monto,0))</f>
        <v>0</v>
      </c>
      <c r="EV24" s="13" t="n">
        <f aca="false">IF(EV$9=1,SUMIFS(dr_USD,dr_Mes,146,dr_Cod,"DESEMB_P1",dr_Est,"&lt;&gt;Excluido"),IF(EV$21=0,p_L1_Monto,0))</f>
        <v>0</v>
      </c>
      <c r="EW24" s="13" t="n">
        <f aca="false">IF(EW$9=1,SUMIFS(dr_USD,dr_Mes,147,dr_Cod,"DESEMB_P1",dr_Est,"&lt;&gt;Excluido"),IF(EW$21=0,p_L1_Monto,0))</f>
        <v>0</v>
      </c>
      <c r="EX24" s="13" t="n">
        <f aca="false">IF(EX$9=1,SUMIFS(dr_USD,dr_Mes,148,dr_Cod,"DESEMB_P1",dr_Est,"&lt;&gt;Excluido"),IF(EX$21=0,p_L1_Monto,0))</f>
        <v>0</v>
      </c>
      <c r="EY24" s="13" t="n">
        <f aca="false">IF(EY$9=1,SUMIFS(dr_USD,dr_Mes,149,dr_Cod,"DESEMB_P1",dr_Est,"&lt;&gt;Excluido"),IF(EY$21=0,p_L1_Monto,0))</f>
        <v>0</v>
      </c>
      <c r="EZ24" s="13" t="n">
        <f aca="false">IF(EZ$9=1,SUMIFS(dr_USD,dr_Mes,150,dr_Cod,"DESEMB_P1",dr_Est,"&lt;&gt;Excluido"),IF(EZ$21=0,p_L1_Monto,0))</f>
        <v>0</v>
      </c>
      <c r="FA24" s="13" t="n">
        <f aca="false">IF(FA$9=1,SUMIFS(dr_USD,dr_Mes,151,dr_Cod,"DESEMB_P1",dr_Est,"&lt;&gt;Excluido"),IF(FA$21=0,p_L1_Monto,0))</f>
        <v>0</v>
      </c>
      <c r="FB24" s="13" t="n">
        <f aca="false">IF(FB$9=1,SUMIFS(dr_USD,dr_Mes,152,dr_Cod,"DESEMB_P1",dr_Est,"&lt;&gt;Excluido"),IF(FB$21=0,p_L1_Monto,0))</f>
        <v>0</v>
      </c>
      <c r="FC24" s="13" t="n">
        <f aca="false">IF(FC$9=1,SUMIFS(dr_USD,dr_Mes,153,dr_Cod,"DESEMB_P1",dr_Est,"&lt;&gt;Excluido"),IF(FC$21=0,p_L1_Monto,0))</f>
        <v>0</v>
      </c>
      <c r="FD24" s="13" t="n">
        <f aca="false">IF(FD$9=1,SUMIFS(dr_USD,dr_Mes,154,dr_Cod,"DESEMB_P1",dr_Est,"&lt;&gt;Excluido"),IF(FD$21=0,p_L1_Monto,0))</f>
        <v>0</v>
      </c>
      <c r="FE24" s="13" t="n">
        <f aca="false">IF(FE$9=1,SUMIFS(dr_USD,dr_Mes,155,dr_Cod,"DESEMB_P1",dr_Est,"&lt;&gt;Excluido"),IF(FE$21=0,p_L1_Monto,0))</f>
        <v>0</v>
      </c>
      <c r="FF24" s="13" t="n">
        <f aca="false">IF(FF$9=1,SUMIFS(dr_USD,dr_Mes,156,dr_Cod,"DESEMB_P1",dr_Est,"&lt;&gt;Excluido"),IF(FF$21=0,p_L1_Monto,0))</f>
        <v>0</v>
      </c>
    </row>
    <row r="25" customFormat="false" ht="15" hidden="false" customHeight="false" outlineLevel="0" collapsed="false">
      <c r="A25" s="2" t="s">
        <v>1406</v>
      </c>
      <c r="B25" s="8" t="s">
        <v>1407</v>
      </c>
      <c r="C25" s="8" t="s">
        <v>255</v>
      </c>
      <c r="F25" s="13" t="n">
        <f aca="false">0</f>
        <v>0</v>
      </c>
      <c r="G25" s="13" t="n">
        <f aca="false">F$31</f>
        <v>2791587</v>
      </c>
      <c r="H25" s="13" t="n">
        <f aca="false">G$31</f>
        <v>2791587</v>
      </c>
      <c r="I25" s="13" t="n">
        <f aca="false">H$31</f>
        <v>2791587</v>
      </c>
      <c r="J25" s="13" t="n">
        <f aca="false">I$31</f>
        <v>2791587</v>
      </c>
      <c r="K25" s="13" t="n">
        <f aca="false">J$31</f>
        <v>2791587</v>
      </c>
      <c r="L25" s="13" t="n">
        <f aca="false">K$31</f>
        <v>2791587</v>
      </c>
      <c r="M25" s="13" t="n">
        <f aca="false">L$31</f>
        <v>2791587</v>
      </c>
      <c r="N25" s="13" t="n">
        <f aca="false">M$31</f>
        <v>2749463.69590531</v>
      </c>
      <c r="O25" s="13" t="n">
        <f aca="false">N$31</f>
        <v>2707024.46702991</v>
      </c>
      <c r="P25" s="13" t="n">
        <f aca="false">O$31</f>
        <v>2664266.94393795</v>
      </c>
      <c r="Q25" s="13" t="n">
        <f aca="false">P$31</f>
        <v>2621188.7394228</v>
      </c>
      <c r="R25" s="13" t="n">
        <f aca="false">Q$31</f>
        <v>2577787.44837378</v>
      </c>
      <c r="S25" s="13" t="n">
        <f aca="false">R$31</f>
        <v>2534060.6476419</v>
      </c>
      <c r="T25" s="13" t="n">
        <f aca="false">S$31</f>
        <v>2490005.89590452</v>
      </c>
      <c r="U25" s="13" t="n">
        <f aca="false">T$31</f>
        <v>2445620.73352912</v>
      </c>
      <c r="V25" s="13" t="n">
        <f aca="false">U$31</f>
        <v>2400902.6824359</v>
      </c>
      <c r="W25" s="13" t="n">
        <f aca="false">V$31</f>
        <v>2355849.24595948</v>
      </c>
      <c r="X25" s="13" t="n">
        <f aca="false">W$31</f>
        <v>2310457.90870949</v>
      </c>
      <c r="Y25" s="13" t="n">
        <f aca="false">X$31</f>
        <v>2264726.13643012</v>
      </c>
      <c r="Z25" s="13" t="n">
        <f aca="false">Y$31</f>
        <v>2218651.37585866</v>
      </c>
      <c r="AA25" s="13" t="n">
        <f aca="false">Z$31</f>
        <v>2172231.05458292</v>
      </c>
      <c r="AB25" s="13" t="n">
        <f aca="false">AA$31</f>
        <v>2125462.5808976</v>
      </c>
      <c r="AC25" s="13" t="n">
        <f aca="false">AB$31</f>
        <v>2078343.34365964</v>
      </c>
      <c r="AD25" s="13" t="n">
        <f aca="false">AC$31</f>
        <v>2030870.7121424</v>
      </c>
      <c r="AE25" s="13" t="n">
        <f aca="false">AD$31</f>
        <v>1983042.03588878</v>
      </c>
      <c r="AF25" s="13" t="n">
        <f aca="false">AE$31</f>
        <v>1934854.64456326</v>
      </c>
      <c r="AG25" s="13" t="n">
        <f aca="false">AF$31</f>
        <v>1886305.8478028</v>
      </c>
      <c r="AH25" s="13" t="n">
        <f aca="false">AG$31</f>
        <v>1837392.93506663</v>
      </c>
      <c r="AI25" s="13" t="n">
        <f aca="false">AH$31</f>
        <v>1788113.17548494</v>
      </c>
      <c r="AJ25" s="13" t="n">
        <f aca="false">AI$31</f>
        <v>1738463.81770639</v>
      </c>
      <c r="AK25" s="13" t="n">
        <f aca="false">AJ$31</f>
        <v>1688442.0897445</v>
      </c>
      <c r="AL25" s="13" t="n">
        <f aca="false">AK$31</f>
        <v>1638045.1988229</v>
      </c>
      <c r="AM25" s="13" t="n">
        <f aca="false">AL$31</f>
        <v>1587270.33121938</v>
      </c>
      <c r="AN25" s="13" t="n">
        <f aca="false">AM$31</f>
        <v>1536114.65210884</v>
      </c>
      <c r="AO25" s="13" t="n">
        <f aca="false">AN$31</f>
        <v>1484575.30540497</v>
      </c>
      <c r="AP25" s="13" t="n">
        <f aca="false">AO$31</f>
        <v>1432649.41360082</v>
      </c>
      <c r="AQ25" s="13" t="n">
        <f aca="false">AP$31</f>
        <v>1380334.07760814</v>
      </c>
      <c r="AR25" s="13" t="n">
        <f aca="false">AQ$31</f>
        <v>1327626.37659551</v>
      </c>
      <c r="AS25" s="13" t="n">
        <f aca="false">AR$31</f>
        <v>1274523.36782529</v>
      </c>
      <c r="AT25" s="13" t="n">
        <f aca="false">AS$31</f>
        <v>1221022.08648929</v>
      </c>
      <c r="AU25" s="13" t="n">
        <f aca="false">AT$31</f>
        <v>1167119.54554327</v>
      </c>
      <c r="AV25" s="13" t="n">
        <f aca="false">AU$31</f>
        <v>1112812.73554016</v>
      </c>
      <c r="AW25" s="13" t="n">
        <f aca="false">AV$31</f>
        <v>1058098.62446202</v>
      </c>
      <c r="AX25" s="13" t="n">
        <f aca="false">AW$31</f>
        <v>1002974.1575508</v>
      </c>
      <c r="AY25" s="13" t="n">
        <f aca="false">AX$31</f>
        <v>947436.257137743</v>
      </c>
      <c r="AZ25" s="13" t="n">
        <f aca="false">AY$31</f>
        <v>891481.822471588</v>
      </c>
      <c r="BA25" s="13" t="n">
        <f aca="false">AZ$31</f>
        <v>835107.729545437</v>
      </c>
      <c r="BB25" s="13" t="n">
        <f aca="false">BA$31</f>
        <v>778310.83092234</v>
      </c>
      <c r="BC25" s="13" t="n">
        <f aca="false">BB$31</f>
        <v>721087.95555957</v>
      </c>
      <c r="BD25" s="13" t="n">
        <f aca="false">BC$31</f>
        <v>663435.908631579</v>
      </c>
      <c r="BE25" s="13" t="n">
        <f aca="false">BD$31</f>
        <v>605351.471351628</v>
      </c>
      <c r="BF25" s="13" t="n">
        <f aca="false">BE$31</f>
        <v>546831.400792078</v>
      </c>
      <c r="BG25" s="13" t="n">
        <f aca="false">BF$31</f>
        <v>487872.429703331</v>
      </c>
      <c r="BH25" s="13" t="n">
        <f aca="false">BG$31</f>
        <v>428471.266331418</v>
      </c>
      <c r="BI25" s="13" t="n">
        <f aca="false">BH$31</f>
        <v>368624.594234216</v>
      </c>
      <c r="BJ25" s="13" t="n">
        <f aca="false">BI$31</f>
        <v>308329.072096285</v>
      </c>
      <c r="BK25" s="13" t="n">
        <f aca="false">BJ$31</f>
        <v>247581.333542319</v>
      </c>
      <c r="BL25" s="13" t="n">
        <f aca="false">BK$31</f>
        <v>186377.986949199</v>
      </c>
      <c r="BM25" s="13" t="n">
        <f aca="false">BL$31</f>
        <v>124715.61525663</v>
      </c>
      <c r="BN25" s="13" t="n">
        <f aca="false">BM$31</f>
        <v>62590.7757763667</v>
      </c>
      <c r="BO25" s="13" t="n">
        <f aca="false">BN$31</f>
        <v>0</v>
      </c>
      <c r="BP25" s="13" t="n">
        <f aca="false">BO$31</f>
        <v>0</v>
      </c>
      <c r="BQ25" s="13" t="n">
        <f aca="false">BP$31</f>
        <v>0</v>
      </c>
      <c r="BR25" s="13" t="n">
        <f aca="false">BQ$31</f>
        <v>0</v>
      </c>
      <c r="BS25" s="13" t="n">
        <f aca="false">BR$31</f>
        <v>0</v>
      </c>
      <c r="BT25" s="13" t="n">
        <f aca="false">BS$31</f>
        <v>0</v>
      </c>
      <c r="BU25" s="13" t="n">
        <f aca="false">BT$31</f>
        <v>0</v>
      </c>
      <c r="BV25" s="13" t="n">
        <f aca="false">BU$31</f>
        <v>0</v>
      </c>
      <c r="BW25" s="13" t="n">
        <f aca="false">BV$31</f>
        <v>0</v>
      </c>
      <c r="BX25" s="13" t="n">
        <f aca="false">BW$31</f>
        <v>0</v>
      </c>
      <c r="BY25" s="13" t="n">
        <f aca="false">BX$31</f>
        <v>0</v>
      </c>
      <c r="BZ25" s="13" t="n">
        <f aca="false">BY$31</f>
        <v>0</v>
      </c>
      <c r="CA25" s="13" t="n">
        <f aca="false">BZ$31</f>
        <v>0</v>
      </c>
      <c r="CB25" s="13" t="n">
        <f aca="false">CA$31</f>
        <v>0</v>
      </c>
      <c r="CC25" s="13" t="n">
        <f aca="false">CB$31</f>
        <v>0</v>
      </c>
      <c r="CD25" s="13" t="n">
        <f aca="false">CC$31</f>
        <v>0</v>
      </c>
      <c r="CE25" s="13" t="n">
        <f aca="false">CD$31</f>
        <v>0</v>
      </c>
      <c r="CF25" s="13" t="n">
        <f aca="false">CE$31</f>
        <v>0</v>
      </c>
      <c r="CG25" s="13" t="n">
        <f aca="false">CF$31</f>
        <v>0</v>
      </c>
      <c r="CH25" s="13" t="n">
        <f aca="false">CG$31</f>
        <v>0</v>
      </c>
      <c r="CI25" s="13" t="n">
        <f aca="false">CH$31</f>
        <v>0</v>
      </c>
      <c r="CJ25" s="13" t="n">
        <f aca="false">CI$31</f>
        <v>0</v>
      </c>
      <c r="CK25" s="13" t="n">
        <f aca="false">CJ$31</f>
        <v>0</v>
      </c>
      <c r="CL25" s="13" t="n">
        <f aca="false">CK$31</f>
        <v>0</v>
      </c>
      <c r="CM25" s="13" t="n">
        <f aca="false">CL$31</f>
        <v>0</v>
      </c>
      <c r="CN25" s="13" t="n">
        <f aca="false">CM$31</f>
        <v>0</v>
      </c>
      <c r="CO25" s="13" t="n">
        <f aca="false">CN$31</f>
        <v>0</v>
      </c>
      <c r="CP25" s="13" t="n">
        <f aca="false">CO$31</f>
        <v>0</v>
      </c>
      <c r="CQ25" s="13" t="n">
        <f aca="false">CP$31</f>
        <v>0</v>
      </c>
      <c r="CR25" s="13" t="n">
        <f aca="false">CQ$31</f>
        <v>0</v>
      </c>
      <c r="CS25" s="13" t="n">
        <f aca="false">CR$31</f>
        <v>0</v>
      </c>
      <c r="CT25" s="13" t="n">
        <f aca="false">CS$31</f>
        <v>0</v>
      </c>
      <c r="CU25" s="13" t="n">
        <f aca="false">CT$31</f>
        <v>0</v>
      </c>
      <c r="CV25" s="13" t="n">
        <f aca="false">CU$31</f>
        <v>0</v>
      </c>
      <c r="CW25" s="13" t="n">
        <f aca="false">CV$31</f>
        <v>0</v>
      </c>
      <c r="CX25" s="13" t="n">
        <f aca="false">CW$31</f>
        <v>0</v>
      </c>
      <c r="CY25" s="13" t="n">
        <f aca="false">CX$31</f>
        <v>0</v>
      </c>
      <c r="CZ25" s="13" t="n">
        <f aca="false">CY$31</f>
        <v>0</v>
      </c>
      <c r="DA25" s="13" t="n">
        <f aca="false">CZ$31</f>
        <v>0</v>
      </c>
      <c r="DB25" s="13" t="n">
        <f aca="false">DA$31</f>
        <v>0</v>
      </c>
      <c r="DC25" s="13" t="n">
        <f aca="false">DB$31</f>
        <v>0</v>
      </c>
      <c r="DD25" s="13" t="n">
        <f aca="false">DC$31</f>
        <v>0</v>
      </c>
      <c r="DE25" s="13" t="n">
        <f aca="false">DD$31</f>
        <v>0</v>
      </c>
      <c r="DF25" s="13" t="n">
        <f aca="false">DE$31</f>
        <v>0</v>
      </c>
      <c r="DG25" s="13" t="n">
        <f aca="false">DF$31</f>
        <v>0</v>
      </c>
      <c r="DH25" s="13" t="n">
        <f aca="false">DG$31</f>
        <v>0</v>
      </c>
      <c r="DI25" s="13" t="n">
        <f aca="false">DH$31</f>
        <v>0</v>
      </c>
      <c r="DJ25" s="13" t="n">
        <f aca="false">DI$31</f>
        <v>0</v>
      </c>
      <c r="DK25" s="13" t="n">
        <f aca="false">DJ$31</f>
        <v>0</v>
      </c>
      <c r="DL25" s="13" t="n">
        <f aca="false">DK$31</f>
        <v>0</v>
      </c>
      <c r="DM25" s="13" t="n">
        <f aca="false">DL$31</f>
        <v>0</v>
      </c>
      <c r="DN25" s="13" t="n">
        <f aca="false">DM$31</f>
        <v>0</v>
      </c>
      <c r="DO25" s="13" t="n">
        <f aca="false">DN$31</f>
        <v>0</v>
      </c>
      <c r="DP25" s="13" t="n">
        <f aca="false">DO$31</f>
        <v>0</v>
      </c>
      <c r="DQ25" s="13" t="n">
        <f aca="false">DP$31</f>
        <v>0</v>
      </c>
      <c r="DR25" s="13" t="n">
        <f aca="false">DQ$31</f>
        <v>0</v>
      </c>
      <c r="DS25" s="13" t="n">
        <f aca="false">DR$31</f>
        <v>0</v>
      </c>
      <c r="DT25" s="13" t="n">
        <f aca="false">DS$31</f>
        <v>0</v>
      </c>
      <c r="DU25" s="13" t="n">
        <f aca="false">DT$31</f>
        <v>0</v>
      </c>
      <c r="DV25" s="13" t="n">
        <f aca="false">DU$31</f>
        <v>0</v>
      </c>
      <c r="DW25" s="13" t="n">
        <f aca="false">DV$31</f>
        <v>0</v>
      </c>
      <c r="DX25" s="13" t="n">
        <f aca="false">DW$31</f>
        <v>0</v>
      </c>
      <c r="DY25" s="13" t="n">
        <f aca="false">DX$31</f>
        <v>0</v>
      </c>
      <c r="DZ25" s="13" t="n">
        <f aca="false">DY$31</f>
        <v>0</v>
      </c>
      <c r="EA25" s="13" t="n">
        <f aca="false">DZ$31</f>
        <v>0</v>
      </c>
      <c r="EB25" s="13" t="n">
        <f aca="false">EA$31</f>
        <v>0</v>
      </c>
      <c r="EC25" s="13" t="n">
        <f aca="false">EB$31</f>
        <v>0</v>
      </c>
      <c r="ED25" s="13" t="n">
        <f aca="false">EC$31</f>
        <v>0</v>
      </c>
      <c r="EE25" s="13" t="n">
        <f aca="false">ED$31</f>
        <v>0</v>
      </c>
      <c r="EF25" s="13" t="n">
        <f aca="false">EE$31</f>
        <v>0</v>
      </c>
      <c r="EG25" s="13" t="n">
        <f aca="false">EF$31</f>
        <v>0</v>
      </c>
      <c r="EH25" s="13" t="n">
        <f aca="false">EG$31</f>
        <v>0</v>
      </c>
      <c r="EI25" s="13" t="n">
        <f aca="false">EH$31</f>
        <v>0</v>
      </c>
      <c r="EJ25" s="13" t="n">
        <f aca="false">EI$31</f>
        <v>0</v>
      </c>
      <c r="EK25" s="13" t="n">
        <f aca="false">EJ$31</f>
        <v>0</v>
      </c>
      <c r="EL25" s="13" t="n">
        <f aca="false">EK$31</f>
        <v>0</v>
      </c>
      <c r="EM25" s="13" t="n">
        <f aca="false">EL$31</f>
        <v>0</v>
      </c>
      <c r="EN25" s="13" t="n">
        <f aca="false">EM$31</f>
        <v>0</v>
      </c>
      <c r="EO25" s="13" t="n">
        <f aca="false">EN$31</f>
        <v>0</v>
      </c>
      <c r="EP25" s="13" t="n">
        <f aca="false">EO$31</f>
        <v>0</v>
      </c>
      <c r="EQ25" s="13" t="n">
        <f aca="false">EP$31</f>
        <v>0</v>
      </c>
      <c r="ER25" s="13" t="n">
        <f aca="false">EQ$31</f>
        <v>0</v>
      </c>
      <c r="ES25" s="13" t="n">
        <f aca="false">ER$31</f>
        <v>0</v>
      </c>
      <c r="ET25" s="13" t="n">
        <f aca="false">ES$31</f>
        <v>0</v>
      </c>
      <c r="EU25" s="13" t="n">
        <f aca="false">ET$31</f>
        <v>0</v>
      </c>
      <c r="EV25" s="13" t="n">
        <f aca="false">EU$31</f>
        <v>0</v>
      </c>
      <c r="EW25" s="13" t="n">
        <f aca="false">EV$31</f>
        <v>0</v>
      </c>
      <c r="EX25" s="13" t="n">
        <f aca="false">EW$31</f>
        <v>0</v>
      </c>
      <c r="EY25" s="13" t="n">
        <f aca="false">EX$31</f>
        <v>0</v>
      </c>
      <c r="EZ25" s="13" t="n">
        <f aca="false">EY$31</f>
        <v>0</v>
      </c>
      <c r="FA25" s="13" t="n">
        <f aca="false">EZ$31</f>
        <v>0</v>
      </c>
      <c r="FB25" s="13" t="n">
        <f aca="false">FA$31</f>
        <v>0</v>
      </c>
      <c r="FC25" s="13" t="n">
        <f aca="false">FB$31</f>
        <v>0</v>
      </c>
      <c r="FD25" s="13" t="n">
        <f aca="false">FC$31</f>
        <v>0</v>
      </c>
      <c r="FE25" s="13" t="n">
        <f aca="false">FD$31</f>
        <v>0</v>
      </c>
      <c r="FF25" s="13" t="n">
        <f aca="false">FE$31</f>
        <v>0</v>
      </c>
    </row>
    <row r="26" customFormat="false" ht="15" hidden="false" customHeight="false" outlineLevel="0" collapsed="false">
      <c r="A26" s="2" t="s">
        <v>1408</v>
      </c>
      <c r="B26" s="8" t="s">
        <v>1409</v>
      </c>
      <c r="C26" s="8" t="s">
        <v>255</v>
      </c>
      <c r="E26" s="65" t="n">
        <f aca="false">SUM($F26:$FF26)</f>
        <v>739285.57111314</v>
      </c>
      <c r="F26" s="13" t="n">
        <f aca="false">IF(F$9=1,SUMIFS(dr_USD,dr_Mes,0,dr_Cod,"INT_P1",dr_Est,"&lt;&gt;Excluido"),F$25*p_L1_Tasa/12*Calendario!F$13)</f>
        <v>0</v>
      </c>
      <c r="G26" s="13" t="n">
        <f aca="false">IF(G$9=1,SUMIFS(dr_USD,dr_Mes,1,dr_Cod,"INT_P1",dr_Est,"&lt;&gt;Excluido"),G$25*p_L1_Tasa/12*Calendario!G$13)</f>
        <v>20936.9025</v>
      </c>
      <c r="H26" s="13" t="n">
        <f aca="false">IF(H$9=1,SUMIFS(dr_USD,dr_Mes,2,dr_Cod,"INT_P1",dr_Est,"&lt;&gt;Excluido"),H$25*p_L1_Tasa/12*Calendario!H$13)</f>
        <v>20936.9025</v>
      </c>
      <c r="I26" s="13" t="n">
        <f aca="false">IF(I$9=1,SUMIFS(dr_USD,dr_Mes,3,dr_Cod,"INT_P1",dr_Est,"&lt;&gt;Excluido"),I$25*p_L1_Tasa/12*Calendario!I$13)</f>
        <v>20936.9025</v>
      </c>
      <c r="J26" s="13" t="n">
        <f aca="false">IF(J$9=1,SUMIFS(dr_USD,dr_Mes,4,dr_Cod,"INT_P1",dr_Est,"&lt;&gt;Excluido"),J$25*p_L1_Tasa/12*Calendario!J$13)</f>
        <v>20936.9025</v>
      </c>
      <c r="K26" s="13" t="n">
        <f aca="false">IF(K$9=1,SUMIFS(dr_USD,dr_Mes,5,dr_Cod,"INT_P1",dr_Est,"&lt;&gt;Excluido"),K$25*p_L1_Tasa/12*Calendario!K$13)</f>
        <v>20936.9025</v>
      </c>
      <c r="L26" s="13" t="n">
        <f aca="false">IF(L$9=1,SUMIFS(dr_USD,dr_Mes,6,dr_Cod,"INT_P1",dr_Est,"&lt;&gt;Excluido"),L$25*p_L1_Tasa/12*Calendario!L$13)</f>
        <v>20936.9025</v>
      </c>
      <c r="M26" s="13" t="n">
        <f aca="false">IF(M$9=1,SUMIFS(dr_USD,dr_Mes,7,dr_Cod,"INT_P1",dr_Est,"&lt;&gt;Excluido"),M$25*p_L1_Tasa/12*Calendario!M$13)</f>
        <v>20936.9025</v>
      </c>
      <c r="N26" s="13" t="n">
        <f aca="false">IF(N$9=1,SUMIFS(dr_USD,dr_Mes,8,dr_Cod,"INT_P1",dr_Est,"&lt;&gt;Excluido"),N$25*p_L1_Tasa/12*Calendario!N$13)</f>
        <v>20620.9777192898</v>
      </c>
      <c r="O26" s="13" t="n">
        <f aca="false">IF(O$9=1,SUMIFS(dr_USD,dr_Mes,9,dr_Cod,"INT_P1",dr_Est,"&lt;&gt;Excluido"),O$25*p_L1_Tasa/12*Calendario!O$13)</f>
        <v>20302.6835027244</v>
      </c>
      <c r="P26" s="13" t="n">
        <f aca="false">IF(P$9=1,SUMIFS(dr_USD,dr_Mes,10,dr_Cod,"INT_P1",dr_Est,"&lt;&gt;Excluido"),P$25*p_L1_Tasa/12*Calendario!P$13)</f>
        <v>19982.0020795346</v>
      </c>
      <c r="Q26" s="13" t="n">
        <f aca="false">IF(Q$9=1,SUMIFS(dr_USD,dr_Mes,11,dr_Cod,"INT_P1",dr_Est,"&lt;&gt;Excluido"),Q$25*p_L1_Tasa/12*Calendario!Q$13)</f>
        <v>19658.915545671</v>
      </c>
      <c r="R26" s="13" t="n">
        <f aca="false">IF(R$9=1,SUMIFS(dr_USD,dr_Mes,12,dr_Cod,"INT_P1",dr_Est,"&lt;&gt;Excluido"),R$25*p_L1_Tasa/12*Calendario!R$13)</f>
        <v>19333.4058628034</v>
      </c>
      <c r="S26" s="13" t="n">
        <f aca="false">IF(S$9=1,SUMIFS(dr_USD,dr_Mes,13,dr_Cod,"INT_P1",dr_Est,"&lt;&gt;Excluido"),S$25*p_L1_Tasa/12*Calendario!S$13)</f>
        <v>19005.4548573142</v>
      </c>
      <c r="T26" s="13" t="n">
        <f aca="false">IF(T$9=1,SUMIFS(dr_USD,dr_Mes,14,dr_Cod,"INT_P1",dr_Est,"&lt;&gt;Excluido"),T$25*p_L1_Tasa/12*Calendario!T$13)</f>
        <v>18675.0442192839</v>
      </c>
      <c r="U26" s="13" t="n">
        <f aca="false">IF(U$9=1,SUMIFS(dr_USD,dr_Mes,15,dr_Cod,"INT_P1",dr_Est,"&lt;&gt;Excluido"),U$25*p_L1_Tasa/12*Calendario!U$13)</f>
        <v>18342.1555014684</v>
      </c>
      <c r="V26" s="13" t="n">
        <f aca="false">IF(V$9=1,SUMIFS(dr_USD,dr_Mes,16,dr_Cod,"INT_P1",dr_Est,"&lt;&gt;Excluido"),V$25*p_L1_Tasa/12*Calendario!V$13)</f>
        <v>18006.7701182693</v>
      </c>
      <c r="W26" s="13" t="n">
        <f aca="false">IF(W$9=1,SUMIFS(dr_USD,dr_Mes,17,dr_Cod,"INT_P1",dr_Est,"&lt;&gt;Excluido"),W$25*p_L1_Tasa/12*Calendario!W$13)</f>
        <v>17668.8693446961</v>
      </c>
      <c r="X26" s="13" t="n">
        <f aca="false">IF(X$9=1,SUMIFS(dr_USD,dr_Mes,18,dr_Cod,"INT_P1",dr_Est,"&lt;&gt;Excluido"),X$25*p_L1_Tasa/12*Calendario!X$13)</f>
        <v>17328.4343153212</v>
      </c>
      <c r="Y26" s="13" t="n">
        <f aca="false">IF(Y$9=1,SUMIFS(dr_USD,dr_Mes,19,dr_Cod,"INT_P1",dr_Est,"&lt;&gt;Excluido"),Y$25*p_L1_Tasa/12*Calendario!Y$13)</f>
        <v>16985.4460232259</v>
      </c>
      <c r="Z26" s="13" t="n">
        <f aca="false">IF(Z$9=1,SUMIFS(dr_USD,dr_Mes,20,dr_Cod,"INT_P1",dr_Est,"&lt;&gt;Excluido"),Z$25*p_L1_Tasa/12*Calendario!Z$13)</f>
        <v>16639.88531894</v>
      </c>
      <c r="AA26" s="13" t="n">
        <f aca="false">IF(AA$9=1,SUMIFS(dr_USD,dr_Mes,21,dr_Cod,"INT_P1",dr_Est,"&lt;&gt;Excluido"),AA$25*p_L1_Tasa/12*Calendario!AA$13)</f>
        <v>16291.7329093719</v>
      </c>
      <c r="AB26" s="13" t="n">
        <f aca="false">IF(AB$9=1,SUMIFS(dr_USD,dr_Mes,22,dr_Cod,"INT_P1",dr_Est,"&lt;&gt;Excluido"),AB$25*p_L1_Tasa/12*Calendario!AB$13)</f>
        <v>15940.969356732</v>
      </c>
      <c r="AC26" s="13" t="n">
        <f aca="false">IF(AC$9=1,SUMIFS(dr_USD,dr_Mes,23,dr_Cod,"INT_P1",dr_Est,"&lt;&gt;Excluido"),AC$25*p_L1_Tasa/12*Calendario!AC$13)</f>
        <v>15587.5750774473</v>
      </c>
      <c r="AD26" s="13" t="n">
        <f aca="false">IF(AD$9=1,SUMIFS(dr_USD,dr_Mes,24,dr_Cod,"INT_P1",dr_Est,"&lt;&gt;Excluido"),AD$25*p_L1_Tasa/12*Calendario!AD$13)</f>
        <v>15231.530341068</v>
      </c>
      <c r="AE26" s="13" t="n">
        <f aca="false">IF(AE$9=1,SUMIFS(dr_USD,dr_Mes,25,dr_Cod,"INT_P1",dr_Est,"&lt;&gt;Excluido"),AE$25*p_L1_Tasa/12*Calendario!AE$13)</f>
        <v>14872.8152691659</v>
      </c>
      <c r="AF26" s="13" t="n">
        <f aca="false">IF(AF$9=1,SUMIFS(dr_USD,dr_Mes,26,dr_Cod,"INT_P1",dr_Est,"&lt;&gt;Excluido"),AF$25*p_L1_Tasa/12*Calendario!AF$13)</f>
        <v>14511.4098342245</v>
      </c>
      <c r="AG26" s="13" t="n">
        <f aca="false">IF(AG$9=1,SUMIFS(dr_USD,dr_Mes,27,dr_Cod,"INT_P1",dr_Est,"&lt;&gt;Excluido"),AG$25*p_L1_Tasa/12*Calendario!AG$13)</f>
        <v>14147.293858521</v>
      </c>
      <c r="AH26" s="13" t="n">
        <f aca="false">IF(AH$9=1,SUMIFS(dr_USD,dr_Mes,28,dr_Cod,"INT_P1",dr_Est,"&lt;&gt;Excluido"),AH$25*p_L1_Tasa/12*Calendario!AH$13)</f>
        <v>13780.4470129997</v>
      </c>
      <c r="AI26" s="13" t="n">
        <f aca="false">IF(AI$9=1,SUMIFS(dr_USD,dr_Mes,29,dr_Cod,"INT_P1",dr_Est,"&lt;&gt;Excluido"),AI$25*p_L1_Tasa/12*Calendario!AI$13)</f>
        <v>13410.8488161371</v>
      </c>
      <c r="AJ26" s="13" t="n">
        <f aca="false">IF(AJ$9=1,SUMIFS(dr_USD,dr_Mes,30,dr_Cod,"INT_P1",dr_Est,"&lt;&gt;Excluido"),AJ$25*p_L1_Tasa/12*Calendario!AJ$13)</f>
        <v>13038.4786327979</v>
      </c>
      <c r="AK26" s="13" t="n">
        <f aca="false">IF(AK$9=1,SUMIFS(dr_USD,dr_Mes,31,dr_Cod,"INT_P1",dr_Est,"&lt;&gt;Excluido"),AK$25*p_L1_Tasa/12*Calendario!AK$13)</f>
        <v>12663.3156730838</v>
      </c>
      <c r="AL26" s="13" t="n">
        <f aca="false">IF(AL$9=1,SUMIFS(dr_USD,dr_Mes,32,dr_Cod,"INT_P1",dr_Est,"&lt;&gt;Excluido"),AL$25*p_L1_Tasa/12*Calendario!AL$13)</f>
        <v>12285.3389911717</v>
      </c>
      <c r="AM26" s="13" t="n">
        <f aca="false">IF(AM$9=1,SUMIFS(dr_USD,dr_Mes,33,dr_Cod,"INT_P1",dr_Est,"&lt;&gt;Excluido"),AM$25*p_L1_Tasa/12*Calendario!AM$13)</f>
        <v>11904.5274841454</v>
      </c>
      <c r="AN26" s="13" t="n">
        <f aca="false">IF(AN$9=1,SUMIFS(dr_USD,dr_Mes,34,dr_Cod,"INT_P1",dr_Est,"&lt;&gt;Excluido"),AN$25*p_L1_Tasa/12*Calendario!AN$13)</f>
        <v>11520.8598908163</v>
      </c>
      <c r="AO26" s="13" t="n">
        <f aca="false">IF(AO$9=1,SUMIFS(dr_USD,dr_Mes,35,dr_Cod,"INT_P1",dr_Est,"&lt;&gt;Excluido"),AO$25*p_L1_Tasa/12*Calendario!AO$13)</f>
        <v>11134.3147905373</v>
      </c>
      <c r="AP26" s="13" t="n">
        <f aca="false">IF(AP$9=1,SUMIFS(dr_USD,dr_Mes,36,dr_Cod,"INT_P1",dr_Est,"&lt;&gt;Excluido"),AP$25*p_L1_Tasa/12*Calendario!AP$13)</f>
        <v>10744.8706020061</v>
      </c>
      <c r="AQ26" s="13" t="n">
        <f aca="false">IF(AQ$9=1,SUMIFS(dr_USD,dr_Mes,37,dr_Cod,"INT_P1",dr_Est,"&lt;&gt;Excluido"),AQ$25*p_L1_Tasa/12*Calendario!AQ$13)</f>
        <v>10352.505582061</v>
      </c>
      <c r="AR26" s="13" t="n">
        <f aca="false">IF(AR$9=1,SUMIFS(dr_USD,dr_Mes,38,dr_Cod,"INT_P1",dr_Est,"&lt;&gt;Excluido"),AR$25*p_L1_Tasa/12*Calendario!AR$13)</f>
        <v>9957.19782446632</v>
      </c>
      <c r="AS26" s="13" t="n">
        <f aca="false">IF(AS$9=1,SUMIFS(dr_USD,dr_Mes,39,dr_Cod,"INT_P1",dr_Est,"&lt;&gt;Excluido"),AS$25*p_L1_Tasa/12*Calendario!AS$13)</f>
        <v>9558.92525868966</v>
      </c>
      <c r="AT26" s="13" t="n">
        <f aca="false">IF(AT$9=1,SUMIFS(dr_USD,dr_Mes,40,dr_Cod,"INT_P1",dr_Est,"&lt;&gt;Excluido"),AT$25*p_L1_Tasa/12*Calendario!AT$13)</f>
        <v>9157.66564866968</v>
      </c>
      <c r="AU26" s="13" t="n">
        <f aca="false">IF(AU$9=1,SUMIFS(dr_USD,dr_Mes,41,dr_Cod,"INT_P1",dr_Est,"&lt;&gt;Excluido"),AU$25*p_L1_Tasa/12*Calendario!AU$13)</f>
        <v>8753.39659157454</v>
      </c>
      <c r="AV26" s="13" t="n">
        <f aca="false">IF(AV$9=1,SUMIFS(dr_USD,dr_Mes,42,dr_Cod,"INT_P1",dr_Est,"&lt;&gt;Excluido"),AV$25*p_L1_Tasa/12*Calendario!AV$13)</f>
        <v>8346.09551655119</v>
      </c>
      <c r="AW26" s="13" t="n">
        <f aca="false">IF(AW$9=1,SUMIFS(dr_USD,dr_Mes,43,dr_Cod,"INT_P1",dr_Est,"&lt;&gt;Excluido"),AW$25*p_L1_Tasa/12*Calendario!AW$13)</f>
        <v>7935.73968346517</v>
      </c>
      <c r="AX26" s="13" t="n">
        <f aca="false">IF(AX$9=1,SUMIFS(dr_USD,dr_Mes,44,dr_Cod,"INT_P1",dr_Est,"&lt;&gt;Excluido"),AX$25*p_L1_Tasa/12*Calendario!AX$13)</f>
        <v>7522.306181631</v>
      </c>
      <c r="AY26" s="13" t="n">
        <f aca="false">IF(AY$9=1,SUMIFS(dr_USD,dr_Mes,45,dr_Cod,"INT_P1",dr_Est,"&lt;&gt;Excluido"),AY$25*p_L1_Tasa/12*Calendario!AY$13)</f>
        <v>7105.77192853307</v>
      </c>
      <c r="AZ26" s="13" t="n">
        <f aca="false">IF(AZ$9=1,SUMIFS(dr_USD,dr_Mes,46,dr_Cod,"INT_P1",dr_Est,"&lt;&gt;Excluido"),AZ$25*p_L1_Tasa/12*Calendario!AZ$13)</f>
        <v>6686.11366853691</v>
      </c>
      <c r="BA26" s="13" t="n">
        <f aca="false">IF(BA$9=1,SUMIFS(dr_USD,dr_Mes,47,dr_Cod,"INT_P1",dr_Est,"&lt;&gt;Excluido"),BA$25*p_L1_Tasa/12*Calendario!BA$13)</f>
        <v>6263.30797159078</v>
      </c>
      <c r="BB26" s="13" t="n">
        <f aca="false">IF(BB$9=1,SUMIFS(dr_USD,dr_Mes,48,dr_Cod,"INT_P1",dr_Est,"&lt;&gt;Excluido"),BB$25*p_L1_Tasa/12*Calendario!BB$13)</f>
        <v>5837.33123191755</v>
      </c>
      <c r="BC26" s="13" t="n">
        <f aca="false">IF(BC$9=1,SUMIFS(dr_USD,dr_Mes,49,dr_Cod,"INT_P1",dr_Est,"&lt;&gt;Excluido"),BC$25*p_L1_Tasa/12*Calendario!BC$13)</f>
        <v>5408.15966669678</v>
      </c>
      <c r="BD26" s="13" t="n">
        <f aca="false">IF(BD$9=1,SUMIFS(dr_USD,dr_Mes,50,dr_Cod,"INT_P1",dr_Est,"&lt;&gt;Excluido"),BD$25*p_L1_Tasa/12*Calendario!BD$13)</f>
        <v>4975.76931473684</v>
      </c>
      <c r="BE26" s="13" t="n">
        <f aca="false">IF(BE$9=1,SUMIFS(dr_USD,dr_Mes,51,dr_Cod,"INT_P1",dr_Est,"&lt;&gt;Excluido"),BE$25*p_L1_Tasa/12*Calendario!BE$13)</f>
        <v>4540.13603513721</v>
      </c>
      <c r="BF26" s="13" t="n">
        <f aca="false">IF(BF$9=1,SUMIFS(dr_USD,dr_Mes,52,dr_Cod,"INT_P1",dr_Est,"&lt;&gt;Excluido"),BF$25*p_L1_Tasa/12*Calendario!BF$13)</f>
        <v>4101.23550594058</v>
      </c>
      <c r="BG26" s="13" t="n">
        <f aca="false">IF(BG$9=1,SUMIFS(dr_USD,dr_Mes,53,dr_Cod,"INT_P1",dr_Est,"&lt;&gt;Excluido"),BG$25*p_L1_Tasa/12*Calendario!BG$13)</f>
        <v>3659.04322277498</v>
      </c>
      <c r="BH26" s="13" t="n">
        <f aca="false">IF(BH$9=1,SUMIFS(dr_USD,dr_Mes,54,dr_Cod,"INT_P1",dr_Est,"&lt;&gt;Excluido"),BH$25*p_L1_Tasa/12*Calendario!BH$13)</f>
        <v>3213.53449748563</v>
      </c>
      <c r="BI26" s="13" t="n">
        <f aca="false">IF(BI$9=1,SUMIFS(dr_USD,dr_Mes,55,dr_Cod,"INT_P1",dr_Est,"&lt;&gt;Excluido"),BI$25*p_L1_Tasa/12*Calendario!BI$13)</f>
        <v>2764.68445675662</v>
      </c>
      <c r="BJ26" s="13" t="n">
        <f aca="false">IF(BJ$9=1,SUMIFS(dr_USD,dr_Mes,56,dr_Cod,"INT_P1",dr_Est,"&lt;&gt;Excluido"),BJ$25*p_L1_Tasa/12*Calendario!BJ$13)</f>
        <v>2312.46804072213</v>
      </c>
      <c r="BK26" s="13" t="n">
        <f aca="false">IF(BK$9=1,SUMIFS(dr_USD,dr_Mes,57,dr_Cod,"INT_P1",dr_Est,"&lt;&gt;Excluido"),BK$25*p_L1_Tasa/12*Calendario!BK$13)</f>
        <v>1856.86000156739</v>
      </c>
      <c r="BL26" s="13" t="n">
        <f aca="false">IF(BL$9=1,SUMIFS(dr_USD,dr_Mes,58,dr_Cod,"INT_P1",dr_Est,"&lt;&gt;Excluido"),BL$25*p_L1_Tasa/12*Calendario!BL$13)</f>
        <v>1397.83490211899</v>
      </c>
      <c r="BM26" s="13" t="n">
        <f aca="false">IF(BM$9=1,SUMIFS(dr_USD,dr_Mes,59,dr_Cod,"INT_P1",dr_Est,"&lt;&gt;Excluido"),BM$25*p_L1_Tasa/12*Calendario!BM$13)</f>
        <v>935.367114424723</v>
      </c>
      <c r="BN26" s="13" t="n">
        <f aca="false">IF(BN$9=1,SUMIFS(dr_USD,dr_Mes,60,dr_Cod,"INT_P1",dr_Est,"&lt;&gt;Excluido"),BN$25*p_L1_Tasa/12*Calendario!BN$13)</f>
        <v>469.43081832275</v>
      </c>
      <c r="BO26" s="13" t="n">
        <f aca="false">IF(BO$9=1,SUMIFS(dr_USD,dr_Mes,61,dr_Cod,"INT_P1",dr_Est,"&lt;&gt;Excluido"),BO$25*p_L1_Tasa/12*Calendario!BO$13)</f>
        <v>0</v>
      </c>
      <c r="BP26" s="13" t="n">
        <f aca="false">IF(BP$9=1,SUMIFS(dr_USD,dr_Mes,62,dr_Cod,"INT_P1",dr_Est,"&lt;&gt;Excluido"),BP$25*p_L1_Tasa/12*Calendario!BP$13)</f>
        <v>0</v>
      </c>
      <c r="BQ26" s="13" t="n">
        <f aca="false">IF(BQ$9=1,SUMIFS(dr_USD,dr_Mes,63,dr_Cod,"INT_P1",dr_Est,"&lt;&gt;Excluido"),BQ$25*p_L1_Tasa/12*Calendario!BQ$13)</f>
        <v>0</v>
      </c>
      <c r="BR26" s="13" t="n">
        <f aca="false">IF(BR$9=1,SUMIFS(dr_USD,dr_Mes,64,dr_Cod,"INT_P1",dr_Est,"&lt;&gt;Excluido"),BR$25*p_L1_Tasa/12*Calendario!BR$13)</f>
        <v>0</v>
      </c>
      <c r="BS26" s="13" t="n">
        <f aca="false">IF(BS$9=1,SUMIFS(dr_USD,dr_Mes,65,dr_Cod,"INT_P1",dr_Est,"&lt;&gt;Excluido"),BS$25*p_L1_Tasa/12*Calendario!BS$13)</f>
        <v>0</v>
      </c>
      <c r="BT26" s="13" t="n">
        <f aca="false">IF(BT$9=1,SUMIFS(dr_USD,dr_Mes,66,dr_Cod,"INT_P1",dr_Est,"&lt;&gt;Excluido"),BT$25*p_L1_Tasa/12*Calendario!BT$13)</f>
        <v>0</v>
      </c>
      <c r="BU26" s="13" t="n">
        <f aca="false">IF(BU$9=1,SUMIFS(dr_USD,dr_Mes,67,dr_Cod,"INT_P1",dr_Est,"&lt;&gt;Excluido"),BU$25*p_L1_Tasa/12*Calendario!BU$13)</f>
        <v>0</v>
      </c>
      <c r="BV26" s="13" t="n">
        <f aca="false">IF(BV$9=1,SUMIFS(dr_USD,dr_Mes,68,dr_Cod,"INT_P1",dr_Est,"&lt;&gt;Excluido"),BV$25*p_L1_Tasa/12*Calendario!BV$13)</f>
        <v>0</v>
      </c>
      <c r="BW26" s="13" t="n">
        <f aca="false">IF(BW$9=1,SUMIFS(dr_USD,dr_Mes,69,dr_Cod,"INT_P1",dr_Est,"&lt;&gt;Excluido"),BW$25*p_L1_Tasa/12*Calendario!BW$13)</f>
        <v>0</v>
      </c>
      <c r="BX26" s="13" t="n">
        <f aca="false">IF(BX$9=1,SUMIFS(dr_USD,dr_Mes,70,dr_Cod,"INT_P1",dr_Est,"&lt;&gt;Excluido"),BX$25*p_L1_Tasa/12*Calendario!BX$13)</f>
        <v>0</v>
      </c>
      <c r="BY26" s="13" t="n">
        <f aca="false">IF(BY$9=1,SUMIFS(dr_USD,dr_Mes,71,dr_Cod,"INT_P1",dr_Est,"&lt;&gt;Excluido"),BY$25*p_L1_Tasa/12*Calendario!BY$13)</f>
        <v>0</v>
      </c>
      <c r="BZ26" s="13" t="n">
        <f aca="false">IF(BZ$9=1,SUMIFS(dr_USD,dr_Mes,72,dr_Cod,"INT_P1",dr_Est,"&lt;&gt;Excluido"),BZ$25*p_L1_Tasa/12*Calendario!BZ$13)</f>
        <v>0</v>
      </c>
      <c r="CA26" s="13" t="n">
        <f aca="false">IF(CA$9=1,SUMIFS(dr_USD,dr_Mes,73,dr_Cod,"INT_P1",dr_Est,"&lt;&gt;Excluido"),CA$25*p_L1_Tasa/12*Calendario!CA$13)</f>
        <v>0</v>
      </c>
      <c r="CB26" s="13" t="n">
        <f aca="false">IF(CB$9=1,SUMIFS(dr_USD,dr_Mes,74,dr_Cod,"INT_P1",dr_Est,"&lt;&gt;Excluido"),CB$25*p_L1_Tasa/12*Calendario!CB$13)</f>
        <v>0</v>
      </c>
      <c r="CC26" s="13" t="n">
        <f aca="false">IF(CC$9=1,SUMIFS(dr_USD,dr_Mes,75,dr_Cod,"INT_P1",dr_Est,"&lt;&gt;Excluido"),CC$25*p_L1_Tasa/12*Calendario!CC$13)</f>
        <v>0</v>
      </c>
      <c r="CD26" s="13" t="n">
        <f aca="false">IF(CD$9=1,SUMIFS(dr_USD,dr_Mes,76,dr_Cod,"INT_P1",dr_Est,"&lt;&gt;Excluido"),CD$25*p_L1_Tasa/12*Calendario!CD$13)</f>
        <v>0</v>
      </c>
      <c r="CE26" s="13" t="n">
        <f aca="false">IF(CE$9=1,SUMIFS(dr_USD,dr_Mes,77,dr_Cod,"INT_P1",dr_Est,"&lt;&gt;Excluido"),CE$25*p_L1_Tasa/12*Calendario!CE$13)</f>
        <v>0</v>
      </c>
      <c r="CF26" s="13" t="n">
        <f aca="false">IF(CF$9=1,SUMIFS(dr_USD,dr_Mes,78,dr_Cod,"INT_P1",dr_Est,"&lt;&gt;Excluido"),CF$25*p_L1_Tasa/12*Calendario!CF$13)</f>
        <v>0</v>
      </c>
      <c r="CG26" s="13" t="n">
        <f aca="false">IF(CG$9=1,SUMIFS(dr_USD,dr_Mes,79,dr_Cod,"INT_P1",dr_Est,"&lt;&gt;Excluido"),CG$25*p_L1_Tasa/12*Calendario!CG$13)</f>
        <v>0</v>
      </c>
      <c r="CH26" s="13" t="n">
        <f aca="false">IF(CH$9=1,SUMIFS(dr_USD,dr_Mes,80,dr_Cod,"INT_P1",dr_Est,"&lt;&gt;Excluido"),CH$25*p_L1_Tasa/12*Calendario!CH$13)</f>
        <v>0</v>
      </c>
      <c r="CI26" s="13" t="n">
        <f aca="false">IF(CI$9=1,SUMIFS(dr_USD,dr_Mes,81,dr_Cod,"INT_P1",dr_Est,"&lt;&gt;Excluido"),CI$25*p_L1_Tasa/12*Calendario!CI$13)</f>
        <v>0</v>
      </c>
      <c r="CJ26" s="13" t="n">
        <f aca="false">IF(CJ$9=1,SUMIFS(dr_USD,dr_Mes,82,dr_Cod,"INT_P1",dr_Est,"&lt;&gt;Excluido"),CJ$25*p_L1_Tasa/12*Calendario!CJ$13)</f>
        <v>0</v>
      </c>
      <c r="CK26" s="13" t="n">
        <f aca="false">IF(CK$9=1,SUMIFS(dr_USD,dr_Mes,83,dr_Cod,"INT_P1",dr_Est,"&lt;&gt;Excluido"),CK$25*p_L1_Tasa/12*Calendario!CK$13)</f>
        <v>0</v>
      </c>
      <c r="CL26" s="13" t="n">
        <f aca="false">IF(CL$9=1,SUMIFS(dr_USD,dr_Mes,84,dr_Cod,"INT_P1",dr_Est,"&lt;&gt;Excluido"),CL$25*p_L1_Tasa/12*Calendario!CL$13)</f>
        <v>0</v>
      </c>
      <c r="CM26" s="13" t="n">
        <f aca="false">IF(CM$9=1,SUMIFS(dr_USD,dr_Mes,85,dr_Cod,"INT_P1",dr_Est,"&lt;&gt;Excluido"),CM$25*p_L1_Tasa/12*Calendario!CM$13)</f>
        <v>0</v>
      </c>
      <c r="CN26" s="13" t="n">
        <f aca="false">IF(CN$9=1,SUMIFS(dr_USD,dr_Mes,86,dr_Cod,"INT_P1",dr_Est,"&lt;&gt;Excluido"),CN$25*p_L1_Tasa/12*Calendario!CN$13)</f>
        <v>0</v>
      </c>
      <c r="CO26" s="13" t="n">
        <f aca="false">IF(CO$9=1,SUMIFS(dr_USD,dr_Mes,87,dr_Cod,"INT_P1",dr_Est,"&lt;&gt;Excluido"),CO$25*p_L1_Tasa/12*Calendario!CO$13)</f>
        <v>0</v>
      </c>
      <c r="CP26" s="13" t="n">
        <f aca="false">IF(CP$9=1,SUMIFS(dr_USD,dr_Mes,88,dr_Cod,"INT_P1",dr_Est,"&lt;&gt;Excluido"),CP$25*p_L1_Tasa/12*Calendario!CP$13)</f>
        <v>0</v>
      </c>
      <c r="CQ26" s="13" t="n">
        <f aca="false">IF(CQ$9=1,SUMIFS(dr_USD,dr_Mes,89,dr_Cod,"INT_P1",dr_Est,"&lt;&gt;Excluido"),CQ$25*p_L1_Tasa/12*Calendario!CQ$13)</f>
        <v>0</v>
      </c>
      <c r="CR26" s="13" t="n">
        <f aca="false">IF(CR$9=1,SUMIFS(dr_USD,dr_Mes,90,dr_Cod,"INT_P1",dr_Est,"&lt;&gt;Excluido"),CR$25*p_L1_Tasa/12*Calendario!CR$13)</f>
        <v>0</v>
      </c>
      <c r="CS26" s="13" t="n">
        <f aca="false">IF(CS$9=1,SUMIFS(dr_USD,dr_Mes,91,dr_Cod,"INT_P1",dr_Est,"&lt;&gt;Excluido"),CS$25*p_L1_Tasa/12*Calendario!CS$13)</f>
        <v>0</v>
      </c>
      <c r="CT26" s="13" t="n">
        <f aca="false">IF(CT$9=1,SUMIFS(dr_USD,dr_Mes,92,dr_Cod,"INT_P1",dr_Est,"&lt;&gt;Excluido"),CT$25*p_L1_Tasa/12*Calendario!CT$13)</f>
        <v>0</v>
      </c>
      <c r="CU26" s="13" t="n">
        <f aca="false">IF(CU$9=1,SUMIFS(dr_USD,dr_Mes,93,dr_Cod,"INT_P1",dr_Est,"&lt;&gt;Excluido"),CU$25*p_L1_Tasa/12*Calendario!CU$13)</f>
        <v>0</v>
      </c>
      <c r="CV26" s="13" t="n">
        <f aca="false">IF(CV$9=1,SUMIFS(dr_USD,dr_Mes,94,dr_Cod,"INT_P1",dr_Est,"&lt;&gt;Excluido"),CV$25*p_L1_Tasa/12*Calendario!CV$13)</f>
        <v>0</v>
      </c>
      <c r="CW26" s="13" t="n">
        <f aca="false">IF(CW$9=1,SUMIFS(dr_USD,dr_Mes,95,dr_Cod,"INT_P1",dr_Est,"&lt;&gt;Excluido"),CW$25*p_L1_Tasa/12*Calendario!CW$13)</f>
        <v>0</v>
      </c>
      <c r="CX26" s="13" t="n">
        <f aca="false">IF(CX$9=1,SUMIFS(dr_USD,dr_Mes,96,dr_Cod,"INT_P1",dr_Est,"&lt;&gt;Excluido"),CX$25*p_L1_Tasa/12*Calendario!CX$13)</f>
        <v>0</v>
      </c>
      <c r="CY26" s="13" t="n">
        <f aca="false">IF(CY$9=1,SUMIFS(dr_USD,dr_Mes,97,dr_Cod,"INT_P1",dr_Est,"&lt;&gt;Excluido"),CY$25*p_L1_Tasa/12*Calendario!CY$13)</f>
        <v>0</v>
      </c>
      <c r="CZ26" s="13" t="n">
        <f aca="false">IF(CZ$9=1,SUMIFS(dr_USD,dr_Mes,98,dr_Cod,"INT_P1",dr_Est,"&lt;&gt;Excluido"),CZ$25*p_L1_Tasa/12*Calendario!CZ$13)</f>
        <v>0</v>
      </c>
      <c r="DA26" s="13" t="n">
        <f aca="false">IF(DA$9=1,SUMIFS(dr_USD,dr_Mes,99,dr_Cod,"INT_P1",dr_Est,"&lt;&gt;Excluido"),DA$25*p_L1_Tasa/12*Calendario!DA$13)</f>
        <v>0</v>
      </c>
      <c r="DB26" s="13" t="n">
        <f aca="false">IF(DB$9=1,SUMIFS(dr_USD,dr_Mes,100,dr_Cod,"INT_P1",dr_Est,"&lt;&gt;Excluido"),DB$25*p_L1_Tasa/12*Calendario!DB$13)</f>
        <v>0</v>
      </c>
      <c r="DC26" s="13" t="n">
        <f aca="false">IF(DC$9=1,SUMIFS(dr_USD,dr_Mes,101,dr_Cod,"INT_P1",dr_Est,"&lt;&gt;Excluido"),DC$25*p_L1_Tasa/12*Calendario!DC$13)</f>
        <v>0</v>
      </c>
      <c r="DD26" s="13" t="n">
        <f aca="false">IF(DD$9=1,SUMIFS(dr_USD,dr_Mes,102,dr_Cod,"INT_P1",dr_Est,"&lt;&gt;Excluido"),DD$25*p_L1_Tasa/12*Calendario!DD$13)</f>
        <v>0</v>
      </c>
      <c r="DE26" s="13" t="n">
        <f aca="false">IF(DE$9=1,SUMIFS(dr_USD,dr_Mes,103,dr_Cod,"INT_P1",dr_Est,"&lt;&gt;Excluido"),DE$25*p_L1_Tasa/12*Calendario!DE$13)</f>
        <v>0</v>
      </c>
      <c r="DF26" s="13" t="n">
        <f aca="false">IF(DF$9=1,SUMIFS(dr_USD,dr_Mes,104,dr_Cod,"INT_P1",dr_Est,"&lt;&gt;Excluido"),DF$25*p_L1_Tasa/12*Calendario!DF$13)</f>
        <v>0</v>
      </c>
      <c r="DG26" s="13" t="n">
        <f aca="false">IF(DG$9=1,SUMIFS(dr_USD,dr_Mes,105,dr_Cod,"INT_P1",dr_Est,"&lt;&gt;Excluido"),DG$25*p_L1_Tasa/12*Calendario!DG$13)</f>
        <v>0</v>
      </c>
      <c r="DH26" s="13" t="n">
        <f aca="false">IF(DH$9=1,SUMIFS(dr_USD,dr_Mes,106,dr_Cod,"INT_P1",dr_Est,"&lt;&gt;Excluido"),DH$25*p_L1_Tasa/12*Calendario!DH$13)</f>
        <v>0</v>
      </c>
      <c r="DI26" s="13" t="n">
        <f aca="false">IF(DI$9=1,SUMIFS(dr_USD,dr_Mes,107,dr_Cod,"INT_P1",dr_Est,"&lt;&gt;Excluido"),DI$25*p_L1_Tasa/12*Calendario!DI$13)</f>
        <v>0</v>
      </c>
      <c r="DJ26" s="13" t="n">
        <f aca="false">IF(DJ$9=1,SUMIFS(dr_USD,dr_Mes,108,dr_Cod,"INT_P1",dr_Est,"&lt;&gt;Excluido"),DJ$25*p_L1_Tasa/12*Calendario!DJ$13)</f>
        <v>0</v>
      </c>
      <c r="DK26" s="13" t="n">
        <f aca="false">IF(DK$9=1,SUMIFS(dr_USD,dr_Mes,109,dr_Cod,"INT_P1",dr_Est,"&lt;&gt;Excluido"),DK$25*p_L1_Tasa/12*Calendario!DK$13)</f>
        <v>0</v>
      </c>
      <c r="DL26" s="13" t="n">
        <f aca="false">IF(DL$9=1,SUMIFS(dr_USD,dr_Mes,110,dr_Cod,"INT_P1",dr_Est,"&lt;&gt;Excluido"),DL$25*p_L1_Tasa/12*Calendario!DL$13)</f>
        <v>0</v>
      </c>
      <c r="DM26" s="13" t="n">
        <f aca="false">IF(DM$9=1,SUMIFS(dr_USD,dr_Mes,111,dr_Cod,"INT_P1",dr_Est,"&lt;&gt;Excluido"),DM$25*p_L1_Tasa/12*Calendario!DM$13)</f>
        <v>0</v>
      </c>
      <c r="DN26" s="13" t="n">
        <f aca="false">IF(DN$9=1,SUMIFS(dr_USD,dr_Mes,112,dr_Cod,"INT_P1",dr_Est,"&lt;&gt;Excluido"),DN$25*p_L1_Tasa/12*Calendario!DN$13)</f>
        <v>0</v>
      </c>
      <c r="DO26" s="13" t="n">
        <f aca="false">IF(DO$9=1,SUMIFS(dr_USD,dr_Mes,113,dr_Cod,"INT_P1",dr_Est,"&lt;&gt;Excluido"),DO$25*p_L1_Tasa/12*Calendario!DO$13)</f>
        <v>0</v>
      </c>
      <c r="DP26" s="13" t="n">
        <f aca="false">IF(DP$9=1,SUMIFS(dr_USD,dr_Mes,114,dr_Cod,"INT_P1",dr_Est,"&lt;&gt;Excluido"),DP$25*p_L1_Tasa/12*Calendario!DP$13)</f>
        <v>0</v>
      </c>
      <c r="DQ26" s="13" t="n">
        <f aca="false">IF(DQ$9=1,SUMIFS(dr_USD,dr_Mes,115,dr_Cod,"INT_P1",dr_Est,"&lt;&gt;Excluido"),DQ$25*p_L1_Tasa/12*Calendario!DQ$13)</f>
        <v>0</v>
      </c>
      <c r="DR26" s="13" t="n">
        <f aca="false">IF(DR$9=1,SUMIFS(dr_USD,dr_Mes,116,dr_Cod,"INT_P1",dr_Est,"&lt;&gt;Excluido"),DR$25*p_L1_Tasa/12*Calendario!DR$13)</f>
        <v>0</v>
      </c>
      <c r="DS26" s="13" t="n">
        <f aca="false">IF(DS$9=1,SUMIFS(dr_USD,dr_Mes,117,dr_Cod,"INT_P1",dr_Est,"&lt;&gt;Excluido"),DS$25*p_L1_Tasa/12*Calendario!DS$13)</f>
        <v>0</v>
      </c>
      <c r="DT26" s="13" t="n">
        <f aca="false">IF(DT$9=1,SUMIFS(dr_USD,dr_Mes,118,dr_Cod,"INT_P1",dr_Est,"&lt;&gt;Excluido"),DT$25*p_L1_Tasa/12*Calendario!DT$13)</f>
        <v>0</v>
      </c>
      <c r="DU26" s="13" t="n">
        <f aca="false">IF(DU$9=1,SUMIFS(dr_USD,dr_Mes,119,dr_Cod,"INT_P1",dr_Est,"&lt;&gt;Excluido"),DU$25*p_L1_Tasa/12*Calendario!DU$13)</f>
        <v>0</v>
      </c>
      <c r="DV26" s="13" t="n">
        <f aca="false">IF(DV$9=1,SUMIFS(dr_USD,dr_Mes,120,dr_Cod,"INT_P1",dr_Est,"&lt;&gt;Excluido"),DV$25*p_L1_Tasa/12*Calendario!DV$13)</f>
        <v>0</v>
      </c>
      <c r="DW26" s="13" t="n">
        <f aca="false">IF(DW$9=1,SUMIFS(dr_USD,dr_Mes,121,dr_Cod,"INT_P1",dr_Est,"&lt;&gt;Excluido"),DW$25*p_L1_Tasa/12*Calendario!DW$13)</f>
        <v>0</v>
      </c>
      <c r="DX26" s="13" t="n">
        <f aca="false">IF(DX$9=1,SUMIFS(dr_USD,dr_Mes,122,dr_Cod,"INT_P1",dr_Est,"&lt;&gt;Excluido"),DX$25*p_L1_Tasa/12*Calendario!DX$13)</f>
        <v>0</v>
      </c>
      <c r="DY26" s="13" t="n">
        <f aca="false">IF(DY$9=1,SUMIFS(dr_USD,dr_Mes,123,dr_Cod,"INT_P1",dr_Est,"&lt;&gt;Excluido"),DY$25*p_L1_Tasa/12*Calendario!DY$13)</f>
        <v>0</v>
      </c>
      <c r="DZ26" s="13" t="n">
        <f aca="false">IF(DZ$9=1,SUMIFS(dr_USD,dr_Mes,124,dr_Cod,"INT_P1",dr_Est,"&lt;&gt;Excluido"),DZ$25*p_L1_Tasa/12*Calendario!DZ$13)</f>
        <v>0</v>
      </c>
      <c r="EA26" s="13" t="n">
        <f aca="false">IF(EA$9=1,SUMIFS(dr_USD,dr_Mes,125,dr_Cod,"INT_P1",dr_Est,"&lt;&gt;Excluido"),EA$25*p_L1_Tasa/12*Calendario!EA$13)</f>
        <v>0</v>
      </c>
      <c r="EB26" s="13" t="n">
        <f aca="false">IF(EB$9=1,SUMIFS(dr_USD,dr_Mes,126,dr_Cod,"INT_P1",dr_Est,"&lt;&gt;Excluido"),EB$25*p_L1_Tasa/12*Calendario!EB$13)</f>
        <v>0</v>
      </c>
      <c r="EC26" s="13" t="n">
        <f aca="false">IF(EC$9=1,SUMIFS(dr_USD,dr_Mes,127,dr_Cod,"INT_P1",dr_Est,"&lt;&gt;Excluido"),EC$25*p_L1_Tasa/12*Calendario!EC$13)</f>
        <v>0</v>
      </c>
      <c r="ED26" s="13" t="n">
        <f aca="false">IF(ED$9=1,SUMIFS(dr_USD,dr_Mes,128,dr_Cod,"INT_P1",dr_Est,"&lt;&gt;Excluido"),ED$25*p_L1_Tasa/12*Calendario!ED$13)</f>
        <v>0</v>
      </c>
      <c r="EE26" s="13" t="n">
        <f aca="false">IF(EE$9=1,SUMIFS(dr_USD,dr_Mes,129,dr_Cod,"INT_P1",dr_Est,"&lt;&gt;Excluido"),EE$25*p_L1_Tasa/12*Calendario!EE$13)</f>
        <v>0</v>
      </c>
      <c r="EF26" s="13" t="n">
        <f aca="false">IF(EF$9=1,SUMIFS(dr_USD,dr_Mes,130,dr_Cod,"INT_P1",dr_Est,"&lt;&gt;Excluido"),EF$25*p_L1_Tasa/12*Calendario!EF$13)</f>
        <v>0</v>
      </c>
      <c r="EG26" s="13" t="n">
        <f aca="false">IF(EG$9=1,SUMIFS(dr_USD,dr_Mes,131,dr_Cod,"INT_P1",dr_Est,"&lt;&gt;Excluido"),EG$25*p_L1_Tasa/12*Calendario!EG$13)</f>
        <v>0</v>
      </c>
      <c r="EH26" s="13" t="n">
        <f aca="false">IF(EH$9=1,SUMIFS(dr_USD,dr_Mes,132,dr_Cod,"INT_P1",dr_Est,"&lt;&gt;Excluido"),EH$25*p_L1_Tasa/12*Calendario!EH$13)</f>
        <v>0</v>
      </c>
      <c r="EI26" s="13" t="n">
        <f aca="false">IF(EI$9=1,SUMIFS(dr_USD,dr_Mes,133,dr_Cod,"INT_P1",dr_Est,"&lt;&gt;Excluido"),EI$25*p_L1_Tasa/12*Calendario!EI$13)</f>
        <v>0</v>
      </c>
      <c r="EJ26" s="13" t="n">
        <f aca="false">IF(EJ$9=1,SUMIFS(dr_USD,dr_Mes,134,dr_Cod,"INT_P1",dr_Est,"&lt;&gt;Excluido"),EJ$25*p_L1_Tasa/12*Calendario!EJ$13)</f>
        <v>0</v>
      </c>
      <c r="EK26" s="13" t="n">
        <f aca="false">IF(EK$9=1,SUMIFS(dr_USD,dr_Mes,135,dr_Cod,"INT_P1",dr_Est,"&lt;&gt;Excluido"),EK$25*p_L1_Tasa/12*Calendario!EK$13)</f>
        <v>0</v>
      </c>
      <c r="EL26" s="13" t="n">
        <f aca="false">IF(EL$9=1,SUMIFS(dr_USD,dr_Mes,136,dr_Cod,"INT_P1",dr_Est,"&lt;&gt;Excluido"),EL$25*p_L1_Tasa/12*Calendario!EL$13)</f>
        <v>0</v>
      </c>
      <c r="EM26" s="13" t="n">
        <f aca="false">IF(EM$9=1,SUMIFS(dr_USD,dr_Mes,137,dr_Cod,"INT_P1",dr_Est,"&lt;&gt;Excluido"),EM$25*p_L1_Tasa/12*Calendario!EM$13)</f>
        <v>0</v>
      </c>
      <c r="EN26" s="13" t="n">
        <f aca="false">IF(EN$9=1,SUMIFS(dr_USD,dr_Mes,138,dr_Cod,"INT_P1",dr_Est,"&lt;&gt;Excluido"),EN$25*p_L1_Tasa/12*Calendario!EN$13)</f>
        <v>0</v>
      </c>
      <c r="EO26" s="13" t="n">
        <f aca="false">IF(EO$9=1,SUMIFS(dr_USD,dr_Mes,139,dr_Cod,"INT_P1",dr_Est,"&lt;&gt;Excluido"),EO$25*p_L1_Tasa/12*Calendario!EO$13)</f>
        <v>0</v>
      </c>
      <c r="EP26" s="13" t="n">
        <f aca="false">IF(EP$9=1,SUMIFS(dr_USD,dr_Mes,140,dr_Cod,"INT_P1",dr_Est,"&lt;&gt;Excluido"),EP$25*p_L1_Tasa/12*Calendario!EP$13)</f>
        <v>0</v>
      </c>
      <c r="EQ26" s="13" t="n">
        <f aca="false">IF(EQ$9=1,SUMIFS(dr_USD,dr_Mes,141,dr_Cod,"INT_P1",dr_Est,"&lt;&gt;Excluido"),EQ$25*p_L1_Tasa/12*Calendario!EQ$13)</f>
        <v>0</v>
      </c>
      <c r="ER26" s="13" t="n">
        <f aca="false">IF(ER$9=1,SUMIFS(dr_USD,dr_Mes,142,dr_Cod,"INT_P1",dr_Est,"&lt;&gt;Excluido"),ER$25*p_L1_Tasa/12*Calendario!ER$13)</f>
        <v>0</v>
      </c>
      <c r="ES26" s="13" t="n">
        <f aca="false">IF(ES$9=1,SUMIFS(dr_USD,dr_Mes,143,dr_Cod,"INT_P1",dr_Est,"&lt;&gt;Excluido"),ES$25*p_L1_Tasa/12*Calendario!ES$13)</f>
        <v>0</v>
      </c>
      <c r="ET26" s="13" t="n">
        <f aca="false">IF(ET$9=1,SUMIFS(dr_USD,dr_Mes,144,dr_Cod,"INT_P1",dr_Est,"&lt;&gt;Excluido"),ET$25*p_L1_Tasa/12*Calendario!ET$13)</f>
        <v>0</v>
      </c>
      <c r="EU26" s="13" t="n">
        <f aca="false">IF(EU$9=1,SUMIFS(dr_USD,dr_Mes,145,dr_Cod,"INT_P1",dr_Est,"&lt;&gt;Excluido"),EU$25*p_L1_Tasa/12*Calendario!EU$13)</f>
        <v>0</v>
      </c>
      <c r="EV26" s="13" t="n">
        <f aca="false">IF(EV$9=1,SUMIFS(dr_USD,dr_Mes,146,dr_Cod,"INT_P1",dr_Est,"&lt;&gt;Excluido"),EV$25*p_L1_Tasa/12*Calendario!EV$13)</f>
        <v>0</v>
      </c>
      <c r="EW26" s="13" t="n">
        <f aca="false">IF(EW$9=1,SUMIFS(dr_USD,dr_Mes,147,dr_Cod,"INT_P1",dr_Est,"&lt;&gt;Excluido"),EW$25*p_L1_Tasa/12*Calendario!EW$13)</f>
        <v>0</v>
      </c>
      <c r="EX26" s="13" t="n">
        <f aca="false">IF(EX$9=1,SUMIFS(dr_USD,dr_Mes,148,dr_Cod,"INT_P1",dr_Est,"&lt;&gt;Excluido"),EX$25*p_L1_Tasa/12*Calendario!EX$13)</f>
        <v>0</v>
      </c>
      <c r="EY26" s="13" t="n">
        <f aca="false">IF(EY$9=1,SUMIFS(dr_USD,dr_Mes,149,dr_Cod,"INT_P1",dr_Est,"&lt;&gt;Excluido"),EY$25*p_L1_Tasa/12*Calendario!EY$13)</f>
        <v>0</v>
      </c>
      <c r="EZ26" s="13" t="n">
        <f aca="false">IF(EZ$9=1,SUMIFS(dr_USD,dr_Mes,150,dr_Cod,"INT_P1",dr_Est,"&lt;&gt;Excluido"),EZ$25*p_L1_Tasa/12*Calendario!EZ$13)</f>
        <v>0</v>
      </c>
      <c r="FA26" s="13" t="n">
        <f aca="false">IF(FA$9=1,SUMIFS(dr_USD,dr_Mes,151,dr_Cod,"INT_P1",dr_Est,"&lt;&gt;Excluido"),FA$25*p_L1_Tasa/12*Calendario!FA$13)</f>
        <v>0</v>
      </c>
      <c r="FB26" s="13" t="n">
        <f aca="false">IF(FB$9=1,SUMIFS(dr_USD,dr_Mes,152,dr_Cod,"INT_P1",dr_Est,"&lt;&gt;Excluido"),FB$25*p_L1_Tasa/12*Calendario!FB$13)</f>
        <v>0</v>
      </c>
      <c r="FC26" s="13" t="n">
        <f aca="false">IF(FC$9=1,SUMIFS(dr_USD,dr_Mes,153,dr_Cod,"INT_P1",dr_Est,"&lt;&gt;Excluido"),FC$25*p_L1_Tasa/12*Calendario!FC$13)</f>
        <v>0</v>
      </c>
      <c r="FD26" s="13" t="n">
        <f aca="false">IF(FD$9=1,SUMIFS(dr_USD,dr_Mes,154,dr_Cod,"INT_P1",dr_Est,"&lt;&gt;Excluido"),FD$25*p_L1_Tasa/12*Calendario!FD$13)</f>
        <v>0</v>
      </c>
      <c r="FE26" s="13" t="n">
        <f aca="false">IF(FE$9=1,SUMIFS(dr_USD,dr_Mes,155,dr_Cod,"INT_P1",dr_Est,"&lt;&gt;Excluido"),FE$25*p_L1_Tasa/12*Calendario!FE$13)</f>
        <v>0</v>
      </c>
      <c r="FF26" s="13" t="n">
        <f aca="false">IF(FF$9=1,SUMIFS(dr_USD,dr_Mes,156,dr_Cod,"INT_P1",dr_Est,"&lt;&gt;Excluido"),FF$25*p_L1_Tasa/12*Calendario!FF$13)</f>
        <v>0</v>
      </c>
    </row>
    <row r="27" customFormat="false" ht="15" hidden="false" customHeight="false" outlineLevel="0" collapsed="false">
      <c r="A27" s="2" t="s">
        <v>1410</v>
      </c>
      <c r="B27" s="8" t="s">
        <v>1411</v>
      </c>
      <c r="C27" s="8" t="s">
        <v>255</v>
      </c>
      <c r="E27" s="65" t="n">
        <f aca="false">SUM($F27:$FF27)</f>
        <v>2791587</v>
      </c>
      <c r="F27" s="13" t="n">
        <f aca="false">IF(F$9=1,SUMIFS(dr_USD,dr_Mes,0,dr_Cod,"AMORT_P1",dr_Est,"&lt;&gt;Excluido"),IF(F$21&lt;=p_L1_Gracia,0,IF(F$21&gt;=p_L1_Gracia+p_L1_Cuotas,F$25,MIN(F$25,F$23)))*Calendario!F$13)</f>
        <v>0</v>
      </c>
      <c r="G27" s="13" t="n">
        <f aca="false">IF(G$9=1,SUMIFS(dr_USD,dr_Mes,1,dr_Cod,"AMORT_P1",dr_Est,"&lt;&gt;Excluido"),IF(G$21&lt;=p_L1_Gracia,0,IF(G$21&gt;=p_L1_Gracia+p_L1_Cuotas,G$25,MIN(G$25,G$23)))*Calendario!G$13)</f>
        <v>0</v>
      </c>
      <c r="H27" s="13" t="n">
        <f aca="false">IF(H$9=1,SUMIFS(dr_USD,dr_Mes,2,dr_Cod,"AMORT_P1",dr_Est,"&lt;&gt;Excluido"),IF(H$21&lt;=p_L1_Gracia,0,IF(H$21&gt;=p_L1_Gracia+p_L1_Cuotas,H$25,MIN(H$25,H$23)))*Calendario!H$13)</f>
        <v>0</v>
      </c>
      <c r="I27" s="13" t="n">
        <f aca="false">IF(I$9=1,SUMIFS(dr_USD,dr_Mes,3,dr_Cod,"AMORT_P1",dr_Est,"&lt;&gt;Excluido"),IF(I$21&lt;=p_L1_Gracia,0,IF(I$21&gt;=p_L1_Gracia+p_L1_Cuotas,I$25,MIN(I$25,I$23)))*Calendario!I$13)</f>
        <v>0</v>
      </c>
      <c r="J27" s="13" t="n">
        <f aca="false">IF(J$9=1,SUMIFS(dr_USD,dr_Mes,4,dr_Cod,"AMORT_P1",dr_Est,"&lt;&gt;Excluido"),IF(J$21&lt;=p_L1_Gracia,0,IF(J$21&gt;=p_L1_Gracia+p_L1_Cuotas,J$25,MIN(J$25,J$23)))*Calendario!J$13)</f>
        <v>0</v>
      </c>
      <c r="K27" s="13" t="n">
        <f aca="false">IF(K$9=1,SUMIFS(dr_USD,dr_Mes,5,dr_Cod,"AMORT_P1",dr_Est,"&lt;&gt;Excluido"),IF(K$21&lt;=p_L1_Gracia,0,IF(K$21&gt;=p_L1_Gracia+p_L1_Cuotas,K$25,MIN(K$25,K$23)))*Calendario!K$13)</f>
        <v>0</v>
      </c>
      <c r="L27" s="13" t="n">
        <f aca="false">IF(L$9=1,SUMIFS(dr_USD,dr_Mes,6,dr_Cod,"AMORT_P1",dr_Est,"&lt;&gt;Excluido"),IF(L$21&lt;=p_L1_Gracia,0,IF(L$21&gt;=p_L1_Gracia+p_L1_Cuotas,L$25,MIN(L$25,L$23)))*Calendario!L$13)</f>
        <v>0</v>
      </c>
      <c r="M27" s="13" t="n">
        <f aca="false">IF(M$9=1,SUMIFS(dr_USD,dr_Mes,7,dr_Cod,"AMORT_P1",dr_Est,"&lt;&gt;Excluido"),IF(M$21&lt;=p_L1_Gracia,0,IF(M$21&gt;=p_L1_Gracia+p_L1_Cuotas,M$25,MIN(M$25,M$23)))*Calendario!M$13)</f>
        <v>42123.3040946878</v>
      </c>
      <c r="N27" s="13" t="n">
        <f aca="false">IF(N$9=1,SUMIFS(dr_USD,dr_Mes,8,dr_Cod,"AMORT_P1",dr_Est,"&lt;&gt;Excluido"),IF(N$21&lt;=p_L1_Gracia,0,IF(N$21&gt;=p_L1_Gracia+p_L1_Cuotas,N$25,MIN(N$25,N$23)))*Calendario!N$13)</f>
        <v>42439.2288753979</v>
      </c>
      <c r="O27" s="13" t="n">
        <f aca="false">IF(O$9=1,SUMIFS(dr_USD,dr_Mes,9,dr_Cod,"AMORT_P1",dr_Est,"&lt;&gt;Excluido"),IF(O$21&lt;=p_L1_Gracia,0,IF(O$21&gt;=p_L1_Gracia+p_L1_Cuotas,O$25,MIN(O$25,O$23)))*Calendario!O$13)</f>
        <v>42757.5230919634</v>
      </c>
      <c r="P27" s="13" t="n">
        <f aca="false">IF(P$9=1,SUMIFS(dr_USD,dr_Mes,10,dr_Cod,"AMORT_P1",dr_Est,"&lt;&gt;Excluido"),IF(P$21&lt;=p_L1_Gracia,0,IF(P$21&gt;=p_L1_Gracia+p_L1_Cuotas,P$25,MIN(P$25,P$23)))*Calendario!P$13)</f>
        <v>43078.2045151531</v>
      </c>
      <c r="Q27" s="13" t="n">
        <f aca="false">IF(Q$9=1,SUMIFS(dr_USD,dr_Mes,11,dr_Cod,"AMORT_P1",dr_Est,"&lt;&gt;Excluido"),IF(Q$21&lt;=p_L1_Gracia,0,IF(Q$21&gt;=p_L1_Gracia+p_L1_Cuotas,Q$25,MIN(Q$25,Q$23)))*Calendario!Q$13)</f>
        <v>43401.2910490168</v>
      </c>
      <c r="R27" s="13" t="n">
        <f aca="false">IF(R$9=1,SUMIFS(dr_USD,dr_Mes,12,dr_Cod,"AMORT_P1",dr_Est,"&lt;&gt;Excluido"),IF(R$21&lt;=p_L1_Gracia,0,IF(R$21&gt;=p_L1_Gracia+p_L1_Cuotas,R$25,MIN(R$25,R$23)))*Calendario!R$13)</f>
        <v>43726.8007318844</v>
      </c>
      <c r="S27" s="13" t="n">
        <f aca="false">IF(S$9=1,SUMIFS(dr_USD,dr_Mes,13,dr_Cod,"AMORT_P1",dr_Est,"&lt;&gt;Excluido"),IF(S$21&lt;=p_L1_Gracia,0,IF(S$21&gt;=p_L1_Gracia+p_L1_Cuotas,S$25,MIN(S$25,S$23)))*Calendario!S$13)</f>
        <v>44054.7517373735</v>
      </c>
      <c r="T27" s="13" t="n">
        <f aca="false">IF(T$9=1,SUMIFS(dr_USD,dr_Mes,14,dr_Cod,"AMORT_P1",dr_Est,"&lt;&gt;Excluido"),IF(T$21&lt;=p_L1_Gracia,0,IF(T$21&gt;=p_L1_Gracia+p_L1_Cuotas,T$25,MIN(T$25,T$23)))*Calendario!T$13)</f>
        <v>44385.1623754038</v>
      </c>
      <c r="U27" s="13" t="n">
        <f aca="false">IF(U$9=1,SUMIFS(dr_USD,dr_Mes,15,dr_Cod,"AMORT_P1",dr_Est,"&lt;&gt;Excluido"),IF(U$21&lt;=p_L1_Gracia,0,IF(U$21&gt;=p_L1_Gracia+p_L1_Cuotas,U$25,MIN(U$25,U$23)))*Calendario!U$13)</f>
        <v>44718.0510932194</v>
      </c>
      <c r="V27" s="13" t="n">
        <f aca="false">IF(V$9=1,SUMIFS(dr_USD,dr_Mes,16,dr_Cod,"AMORT_P1",dr_Est,"&lt;&gt;Excluido"),IF(V$21&lt;=p_L1_Gracia,0,IF(V$21&gt;=p_L1_Gracia+p_L1_Cuotas,V$25,MIN(V$25,V$23)))*Calendario!V$13)</f>
        <v>45053.4364764185</v>
      </c>
      <c r="W27" s="13" t="n">
        <f aca="false">IF(W$9=1,SUMIFS(dr_USD,dr_Mes,17,dr_Cod,"AMORT_P1",dr_Est,"&lt;&gt;Excluido"),IF(W$21&lt;=p_L1_Gracia,0,IF(W$21&gt;=p_L1_Gracia+p_L1_Cuotas,W$25,MIN(W$25,W$23)))*Calendario!W$13)</f>
        <v>45391.3372499916</v>
      </c>
      <c r="X27" s="13" t="n">
        <f aca="false">IF(X$9=1,SUMIFS(dr_USD,dr_Mes,18,dr_Cod,"AMORT_P1",dr_Est,"&lt;&gt;Excluido"),IF(X$21&lt;=p_L1_Gracia,0,IF(X$21&gt;=p_L1_Gracia+p_L1_Cuotas,X$25,MIN(X$25,X$23)))*Calendario!X$13)</f>
        <v>45731.7722793666</v>
      </c>
      <c r="Y27" s="13" t="n">
        <f aca="false">IF(Y$9=1,SUMIFS(dr_USD,dr_Mes,19,dr_Cod,"AMORT_P1",dr_Est,"&lt;&gt;Excluido"),IF(Y$21&lt;=p_L1_Gracia,0,IF(Y$21&gt;=p_L1_Gracia+p_L1_Cuotas,Y$25,MIN(Y$25,Y$23)))*Calendario!Y$13)</f>
        <v>46074.7605714618</v>
      </c>
      <c r="Z27" s="13" t="n">
        <f aca="false">IF(Z$9=1,SUMIFS(dr_USD,dr_Mes,20,dr_Cod,"AMORT_P1",dr_Est,"&lt;&gt;Excluido"),IF(Z$21&lt;=p_L1_Gracia,0,IF(Z$21&gt;=p_L1_Gracia+p_L1_Cuotas,Z$25,MIN(Z$25,Z$23)))*Calendario!Z$13)</f>
        <v>46420.3212757478</v>
      </c>
      <c r="AA27" s="13" t="n">
        <f aca="false">IF(AA$9=1,SUMIFS(dr_USD,dr_Mes,21,dr_Cod,"AMORT_P1",dr_Est,"&lt;&gt;Excluido"),IF(AA$21&lt;=p_L1_Gracia,0,IF(AA$21&gt;=p_L1_Gracia+p_L1_Cuotas,AA$25,MIN(AA$25,AA$23)))*Calendario!AA$13)</f>
        <v>46768.4736853159</v>
      </c>
      <c r="AB27" s="13" t="n">
        <f aca="false">IF(AB$9=1,SUMIFS(dr_USD,dr_Mes,22,dr_Cod,"AMORT_P1",dr_Est,"&lt;&gt;Excluido"),IF(AB$21&lt;=p_L1_Gracia,0,IF(AB$21&gt;=p_L1_Gracia+p_L1_Cuotas,AB$25,MIN(AB$25,AB$23)))*Calendario!AB$13)</f>
        <v>47119.2372379558</v>
      </c>
      <c r="AC27" s="13" t="n">
        <f aca="false">IF(AC$9=1,SUMIFS(dr_USD,dr_Mes,23,dr_Cod,"AMORT_P1",dr_Est,"&lt;&gt;Excluido"),IF(AC$21&lt;=p_L1_Gracia,0,IF(AC$21&gt;=p_L1_Gracia+p_L1_Cuotas,AC$25,MIN(AC$25,AC$23)))*Calendario!AC$13)</f>
        <v>47472.6315172404</v>
      </c>
      <c r="AD27" s="13" t="n">
        <f aca="false">IF(AD$9=1,SUMIFS(dr_USD,dr_Mes,24,dr_Cod,"AMORT_P1",dr_Est,"&lt;&gt;Excluido"),IF(AD$21&lt;=p_L1_Gracia,0,IF(AD$21&gt;=p_L1_Gracia+p_L1_Cuotas,AD$25,MIN(AD$25,AD$23)))*Calendario!AD$13)</f>
        <v>47828.6762536197</v>
      </c>
      <c r="AE27" s="13" t="n">
        <f aca="false">IF(AE$9=1,SUMIFS(dr_USD,dr_Mes,25,dr_Cod,"AMORT_P1",dr_Est,"&lt;&gt;Excluido"),IF(AE$21&lt;=p_L1_Gracia,0,IF(AE$21&gt;=p_L1_Gracia+p_L1_Cuotas,AE$25,MIN(AE$25,AE$23)))*Calendario!AE$13)</f>
        <v>48187.3913255219</v>
      </c>
      <c r="AF27" s="13" t="n">
        <f aca="false">IF(AF$9=1,SUMIFS(dr_USD,dr_Mes,26,dr_Cod,"AMORT_P1",dr_Est,"&lt;&gt;Excluido"),IF(AF$21&lt;=p_L1_Gracia,0,IF(AF$21&gt;=p_L1_Gracia+p_L1_Cuotas,AF$25,MIN(AF$25,AF$23)))*Calendario!AF$13)</f>
        <v>48548.7967604633</v>
      </c>
      <c r="AG27" s="13" t="n">
        <f aca="false">IF(AG$9=1,SUMIFS(dr_USD,dr_Mes,27,dr_Cod,"AMORT_P1",dr_Est,"&lt;&gt;Excluido"),IF(AG$21&lt;=p_L1_Gracia,0,IF(AG$21&gt;=p_L1_Gracia+p_L1_Cuotas,AG$25,MIN(AG$25,AG$23)))*Calendario!AG$13)</f>
        <v>48912.9127361668</v>
      </c>
      <c r="AH27" s="13" t="n">
        <f aca="false">IF(AH$9=1,SUMIFS(dr_USD,dr_Mes,28,dr_Cod,"AMORT_P1",dr_Est,"&lt;&gt;Excluido"),IF(AH$21&lt;=p_L1_Gracia,0,IF(AH$21&gt;=p_L1_Gracia+p_L1_Cuotas,AH$25,MIN(AH$25,AH$23)))*Calendario!AH$13)</f>
        <v>49279.759581688</v>
      </c>
      <c r="AI27" s="13" t="n">
        <f aca="false">IF(AI$9=1,SUMIFS(dr_USD,dr_Mes,29,dr_Cod,"AMORT_P1",dr_Est,"&lt;&gt;Excluido"),IF(AI$21&lt;=p_L1_Gracia,0,IF(AI$21&gt;=p_L1_Gracia+p_L1_Cuotas,AI$25,MIN(AI$25,AI$23)))*Calendario!AI$13)</f>
        <v>49649.3577785507</v>
      </c>
      <c r="AJ27" s="13" t="n">
        <f aca="false">IF(AJ$9=1,SUMIFS(dr_USD,dr_Mes,30,dr_Cod,"AMORT_P1",dr_Est,"&lt;&gt;Excluido"),IF(AJ$21&lt;=p_L1_Gracia,0,IF(AJ$21&gt;=p_L1_Gracia+p_L1_Cuotas,AJ$25,MIN(AJ$25,AJ$23)))*Calendario!AJ$13)</f>
        <v>50021.7279618898</v>
      </c>
      <c r="AK27" s="13" t="n">
        <f aca="false">IF(AK$9=1,SUMIFS(dr_USD,dr_Mes,31,dr_Cod,"AMORT_P1",dr_Est,"&lt;&gt;Excluido"),IF(AK$21&lt;=p_L1_Gracia,0,IF(AK$21&gt;=p_L1_Gracia+p_L1_Cuotas,AK$25,MIN(AK$25,AK$23)))*Calendario!AK$13)</f>
        <v>50396.890921604</v>
      </c>
      <c r="AL27" s="13" t="n">
        <f aca="false">IF(AL$9=1,SUMIFS(dr_USD,dr_Mes,32,dr_Cod,"AMORT_P1",dr_Est,"&lt;&gt;Excluido"),IF(AL$21&lt;=p_L1_Gracia,0,IF(AL$21&gt;=p_L1_Gracia+p_L1_Cuotas,AL$25,MIN(AL$25,AL$23)))*Calendario!AL$13)</f>
        <v>50774.867603516</v>
      </c>
      <c r="AM27" s="13" t="n">
        <f aca="false">IF(AM$9=1,SUMIFS(dr_USD,dr_Mes,33,dr_Cod,"AMORT_P1",dr_Est,"&lt;&gt;Excluido"),IF(AM$21&lt;=p_L1_Gracia,0,IF(AM$21&gt;=p_L1_Gracia+p_L1_Cuotas,AM$25,MIN(AM$25,AM$23)))*Calendario!AM$13)</f>
        <v>51155.6791105424</v>
      </c>
      <c r="AN27" s="13" t="n">
        <f aca="false">IF(AN$9=1,SUMIFS(dr_USD,dr_Mes,34,dr_Cod,"AMORT_P1",dr_Est,"&lt;&gt;Excluido"),IF(AN$21&lt;=p_L1_Gracia,0,IF(AN$21&gt;=p_L1_Gracia+p_L1_Cuotas,AN$25,MIN(AN$25,AN$23)))*Calendario!AN$13)</f>
        <v>51539.3467038715</v>
      </c>
      <c r="AO27" s="13" t="n">
        <f aca="false">IF(AO$9=1,SUMIFS(dr_USD,dr_Mes,35,dr_Cod,"AMORT_P1",dr_Est,"&lt;&gt;Excluido"),IF(AO$21&lt;=p_L1_Gracia,0,IF(AO$21&gt;=p_L1_Gracia+p_L1_Cuotas,AO$25,MIN(AO$25,AO$23)))*Calendario!AO$13)</f>
        <v>51925.8918041505</v>
      </c>
      <c r="AP27" s="13" t="n">
        <f aca="false">IF(AP$9=1,SUMIFS(dr_USD,dr_Mes,36,dr_Cod,"AMORT_P1",dr_Est,"&lt;&gt;Excluido"),IF(AP$21&lt;=p_L1_Gracia,0,IF(AP$21&gt;=p_L1_Gracia+p_L1_Cuotas,AP$25,MIN(AP$25,AP$23)))*Calendario!AP$13)</f>
        <v>52315.3359926816</v>
      </c>
      <c r="AQ27" s="13" t="n">
        <f aca="false">IF(AQ$9=1,SUMIFS(dr_USD,dr_Mes,37,dr_Cod,"AMORT_P1",dr_Est,"&lt;&gt;Excluido"),IF(AQ$21&lt;=p_L1_Gracia,0,IF(AQ$21&gt;=p_L1_Gracia+p_L1_Cuotas,AQ$25,MIN(AQ$25,AQ$23)))*Calendario!AQ$13)</f>
        <v>52707.7010126267</v>
      </c>
      <c r="AR27" s="13" t="n">
        <f aca="false">IF(AR$9=1,SUMIFS(dr_USD,dr_Mes,38,dr_Cod,"AMORT_P1",dr_Est,"&lt;&gt;Excluido"),IF(AR$21&lt;=p_L1_Gracia,0,IF(AR$21&gt;=p_L1_Gracia+p_L1_Cuotas,AR$25,MIN(AR$25,AR$23)))*Calendario!AR$13)</f>
        <v>53103.0087702214</v>
      </c>
      <c r="AS27" s="13" t="n">
        <f aca="false">IF(AS$9=1,SUMIFS(dr_USD,dr_Mes,39,dr_Cod,"AMORT_P1",dr_Est,"&lt;&gt;Excluido"),IF(AS$21&lt;=p_L1_Gracia,0,IF(AS$21&gt;=p_L1_Gracia+p_L1_Cuotas,AS$25,MIN(AS$25,AS$23)))*Calendario!AS$13)</f>
        <v>53501.2813359981</v>
      </c>
      <c r="AT27" s="13" t="n">
        <f aca="false">IF(AT$9=1,SUMIFS(dr_USD,dr_Mes,40,dr_Cod,"AMORT_P1",dr_Est,"&lt;&gt;Excluido"),IF(AT$21&lt;=p_L1_Gracia,0,IF(AT$21&gt;=p_L1_Gracia+p_L1_Cuotas,AT$25,MIN(AT$25,AT$23)))*Calendario!AT$13)</f>
        <v>53902.5409460181</v>
      </c>
      <c r="AU27" s="13" t="n">
        <f aca="false">IF(AU$9=1,SUMIFS(dr_USD,dr_Mes,41,dr_Cod,"AMORT_P1",dr_Est,"&lt;&gt;Excluido"),IF(AU$21&lt;=p_L1_Gracia,0,IF(AU$21&gt;=p_L1_Gracia+p_L1_Cuotas,AU$25,MIN(AU$25,AU$23)))*Calendario!AU$13)</f>
        <v>54306.8100031132</v>
      </c>
      <c r="AV27" s="13" t="n">
        <f aca="false">IF(AV$9=1,SUMIFS(dr_USD,dr_Mes,42,dr_Cod,"AMORT_P1",dr_Est,"&lt;&gt;Excluido"),IF(AV$21&lt;=p_L1_Gracia,0,IF(AV$21&gt;=p_L1_Gracia+p_L1_Cuotas,AV$25,MIN(AV$25,AV$23)))*Calendario!AV$13)</f>
        <v>54714.1110781366</v>
      </c>
      <c r="AW27" s="13" t="n">
        <f aca="false">IF(AW$9=1,SUMIFS(dr_USD,dr_Mes,43,dr_Cod,"AMORT_P1",dr_Est,"&lt;&gt;Excluido"),IF(AW$21&lt;=p_L1_Gracia,0,IF(AW$21&gt;=p_L1_Gracia+p_L1_Cuotas,AW$25,MIN(AW$25,AW$23)))*Calendario!AW$13)</f>
        <v>55124.4669112226</v>
      </c>
      <c r="AX27" s="13" t="n">
        <f aca="false">IF(AX$9=1,SUMIFS(dr_USD,dr_Mes,44,dr_Cod,"AMORT_P1",dr_Est,"&lt;&gt;Excluido"),IF(AX$21&lt;=p_L1_Gracia,0,IF(AX$21&gt;=p_L1_Gracia+p_L1_Cuotas,AX$25,MIN(AX$25,AX$23)))*Calendario!AX$13)</f>
        <v>55537.9004130568</v>
      </c>
      <c r="AY27" s="13" t="n">
        <f aca="false">IF(AY$9=1,SUMIFS(dr_USD,dr_Mes,45,dr_Cod,"AMORT_P1",dr_Est,"&lt;&gt;Excluido"),IF(AY$21&lt;=p_L1_Gracia,0,IF(AY$21&gt;=p_L1_Gracia+p_L1_Cuotas,AY$25,MIN(AY$25,AY$23)))*Calendario!AY$13)</f>
        <v>55954.4346661547</v>
      </c>
      <c r="AZ27" s="13" t="n">
        <f aca="false">IF(AZ$9=1,SUMIFS(dr_USD,dr_Mes,46,dr_Cod,"AMORT_P1",dr_Est,"&lt;&gt;Excluido"),IF(AZ$21&lt;=p_L1_Gracia,0,IF(AZ$21&gt;=p_L1_Gracia+p_L1_Cuotas,AZ$25,MIN(AZ$25,AZ$23)))*Calendario!AZ$13)</f>
        <v>56374.0929261509</v>
      </c>
      <c r="BA27" s="13" t="n">
        <f aca="false">IF(BA$9=1,SUMIFS(dr_USD,dr_Mes,47,dr_Cod,"AMORT_P1",dr_Est,"&lt;&gt;Excluido"),IF(BA$21&lt;=p_L1_Gracia,0,IF(BA$21&gt;=p_L1_Gracia+p_L1_Cuotas,BA$25,MIN(BA$25,BA$23)))*Calendario!BA$13)</f>
        <v>56796.898623097</v>
      </c>
      <c r="BB27" s="13" t="n">
        <f aca="false">IF(BB$9=1,SUMIFS(dr_USD,dr_Mes,48,dr_Cod,"AMORT_P1",dr_Est,"&lt;&gt;Excluido"),IF(BB$21&lt;=p_L1_Gracia,0,IF(BB$21&gt;=p_L1_Gracia+p_L1_Cuotas,BB$25,MIN(BB$25,BB$23)))*Calendario!BB$13)</f>
        <v>57222.8753627702</v>
      </c>
      <c r="BC27" s="13" t="n">
        <f aca="false">IF(BC$9=1,SUMIFS(dr_USD,dr_Mes,49,dr_Cod,"AMORT_P1",dr_Est,"&lt;&gt;Excluido"),IF(BC$21&lt;=p_L1_Gracia,0,IF(BC$21&gt;=p_L1_Gracia+p_L1_Cuotas,BC$25,MIN(BC$25,BC$23)))*Calendario!BC$13)</f>
        <v>57652.046927991</v>
      </c>
      <c r="BD27" s="13" t="n">
        <f aca="false">IF(BD$9=1,SUMIFS(dr_USD,dr_Mes,50,dr_Cod,"AMORT_P1",dr_Est,"&lt;&gt;Excluido"),IF(BD$21&lt;=p_L1_Gracia,0,IF(BD$21&gt;=p_L1_Gracia+p_L1_Cuotas,BD$25,MIN(BD$25,BD$23)))*Calendario!BD$13)</f>
        <v>58084.4372799509</v>
      </c>
      <c r="BE27" s="13" t="n">
        <f aca="false">IF(BE$9=1,SUMIFS(dr_USD,dr_Mes,51,dr_Cod,"AMORT_P1",dr_Est,"&lt;&gt;Excluido"),IF(BE$21&lt;=p_L1_Gracia,0,IF(BE$21&gt;=p_L1_Gracia+p_L1_Cuotas,BE$25,MIN(BE$25,BE$23)))*Calendario!BE$13)</f>
        <v>58520.0705595506</v>
      </c>
      <c r="BF27" s="13" t="n">
        <f aca="false">IF(BF$9=1,SUMIFS(dr_USD,dr_Mes,52,dr_Cod,"AMORT_P1",dr_Est,"&lt;&gt;Excluido"),IF(BF$21&lt;=p_L1_Gracia,0,IF(BF$21&gt;=p_L1_Gracia+p_L1_Cuotas,BF$25,MIN(BF$25,BF$23)))*Calendario!BF$13)</f>
        <v>58958.9710887472</v>
      </c>
      <c r="BG27" s="13" t="n">
        <f aca="false">IF(BG$9=1,SUMIFS(dr_USD,dr_Mes,53,dr_Cod,"AMORT_P1",dr_Est,"&lt;&gt;Excluido"),IF(BG$21&lt;=p_L1_Gracia,0,IF(BG$21&gt;=p_L1_Gracia+p_L1_Cuotas,BG$25,MIN(BG$25,BG$23)))*Calendario!BG$13)</f>
        <v>59401.1633719128</v>
      </c>
      <c r="BH27" s="13" t="n">
        <f aca="false">IF(BH$9=1,SUMIFS(dr_USD,dr_Mes,54,dr_Cod,"AMORT_P1",dr_Est,"&lt;&gt;Excluido"),IF(BH$21&lt;=p_L1_Gracia,0,IF(BH$21&gt;=p_L1_Gracia+p_L1_Cuotas,BH$25,MIN(BH$25,BH$23)))*Calendario!BH$13)</f>
        <v>59846.6720972021</v>
      </c>
      <c r="BI27" s="13" t="n">
        <f aca="false">IF(BI$9=1,SUMIFS(dr_USD,dr_Mes,55,dr_Cod,"AMORT_P1",dr_Est,"&lt;&gt;Excluido"),IF(BI$21&lt;=p_L1_Gracia,0,IF(BI$21&gt;=p_L1_Gracia+p_L1_Cuotas,BI$25,MIN(BI$25,BI$23)))*Calendario!BI$13)</f>
        <v>60295.5221379312</v>
      </c>
      <c r="BJ27" s="13" t="n">
        <f aca="false">IF(BJ$9=1,SUMIFS(dr_USD,dr_Mes,56,dr_Cod,"AMORT_P1",dr_Est,"&lt;&gt;Excluido"),IF(BJ$21&lt;=p_L1_Gracia,0,IF(BJ$21&gt;=p_L1_Gracia+p_L1_Cuotas,BJ$25,MIN(BJ$25,BJ$23)))*Calendario!BJ$13)</f>
        <v>60747.7385539656</v>
      </c>
      <c r="BK27" s="13" t="n">
        <f aca="false">IF(BK$9=1,SUMIFS(dr_USD,dr_Mes,57,dr_Cod,"AMORT_P1",dr_Est,"&lt;&gt;Excluido"),IF(BK$21&lt;=p_L1_Gracia,0,IF(BK$21&gt;=p_L1_Gracia+p_L1_Cuotas,BK$25,MIN(BK$25,BK$23)))*Calendario!BK$13)</f>
        <v>61203.3465931204</v>
      </c>
      <c r="BL27" s="13" t="n">
        <f aca="false">IF(BL$9=1,SUMIFS(dr_USD,dr_Mes,58,dr_Cod,"AMORT_P1",dr_Est,"&lt;&gt;Excluido"),IF(BL$21&lt;=p_L1_Gracia,0,IF(BL$21&gt;=p_L1_Gracia+p_L1_Cuotas,BL$25,MIN(BL$25,BL$23)))*Calendario!BL$13)</f>
        <v>61662.3716925688</v>
      </c>
      <c r="BM27" s="13" t="n">
        <f aca="false">IF(BM$9=1,SUMIFS(dr_USD,dr_Mes,59,dr_Cod,"AMORT_P1",dr_Est,"&lt;&gt;Excluido"),IF(BM$21&lt;=p_L1_Gracia,0,IF(BM$21&gt;=p_L1_Gracia+p_L1_Cuotas,BM$25,MIN(BM$25,BM$23)))*Calendario!BM$13)</f>
        <v>62124.839480263</v>
      </c>
      <c r="BN27" s="13" t="n">
        <f aca="false">IF(BN$9=1,SUMIFS(dr_USD,dr_Mes,60,dr_Cod,"AMORT_P1",dr_Est,"&lt;&gt;Excluido"),IF(BN$21&lt;=p_L1_Gracia,0,IF(BN$21&gt;=p_L1_Gracia+p_L1_Cuotas,BN$25,MIN(BN$25,BN$23)))*Calendario!BN$13)</f>
        <v>62590.7757763667</v>
      </c>
      <c r="BO27" s="13" t="n">
        <f aca="false">IF(BO$9=1,SUMIFS(dr_USD,dr_Mes,61,dr_Cod,"AMORT_P1",dr_Est,"&lt;&gt;Excluido"),IF(BO$21&lt;=p_L1_Gracia,0,IF(BO$21&gt;=p_L1_Gracia+p_L1_Cuotas,BO$25,MIN(BO$25,BO$23)))*Calendario!BO$13)</f>
        <v>0</v>
      </c>
      <c r="BP27" s="13" t="n">
        <f aca="false">IF(BP$9=1,SUMIFS(dr_USD,dr_Mes,62,dr_Cod,"AMORT_P1",dr_Est,"&lt;&gt;Excluido"),IF(BP$21&lt;=p_L1_Gracia,0,IF(BP$21&gt;=p_L1_Gracia+p_L1_Cuotas,BP$25,MIN(BP$25,BP$23)))*Calendario!BP$13)</f>
        <v>0</v>
      </c>
      <c r="BQ27" s="13" t="n">
        <f aca="false">IF(BQ$9=1,SUMIFS(dr_USD,dr_Mes,63,dr_Cod,"AMORT_P1",dr_Est,"&lt;&gt;Excluido"),IF(BQ$21&lt;=p_L1_Gracia,0,IF(BQ$21&gt;=p_L1_Gracia+p_L1_Cuotas,BQ$25,MIN(BQ$25,BQ$23)))*Calendario!BQ$13)</f>
        <v>0</v>
      </c>
      <c r="BR27" s="13" t="n">
        <f aca="false">IF(BR$9=1,SUMIFS(dr_USD,dr_Mes,64,dr_Cod,"AMORT_P1",dr_Est,"&lt;&gt;Excluido"),IF(BR$21&lt;=p_L1_Gracia,0,IF(BR$21&gt;=p_L1_Gracia+p_L1_Cuotas,BR$25,MIN(BR$25,BR$23)))*Calendario!BR$13)</f>
        <v>0</v>
      </c>
      <c r="BS27" s="13" t="n">
        <f aca="false">IF(BS$9=1,SUMIFS(dr_USD,dr_Mes,65,dr_Cod,"AMORT_P1",dr_Est,"&lt;&gt;Excluido"),IF(BS$21&lt;=p_L1_Gracia,0,IF(BS$21&gt;=p_L1_Gracia+p_L1_Cuotas,BS$25,MIN(BS$25,BS$23)))*Calendario!BS$13)</f>
        <v>0</v>
      </c>
      <c r="BT27" s="13" t="n">
        <f aca="false">IF(BT$9=1,SUMIFS(dr_USD,dr_Mes,66,dr_Cod,"AMORT_P1",dr_Est,"&lt;&gt;Excluido"),IF(BT$21&lt;=p_L1_Gracia,0,IF(BT$21&gt;=p_L1_Gracia+p_L1_Cuotas,BT$25,MIN(BT$25,BT$23)))*Calendario!BT$13)</f>
        <v>0</v>
      </c>
      <c r="BU27" s="13" t="n">
        <f aca="false">IF(BU$9=1,SUMIFS(dr_USD,dr_Mes,67,dr_Cod,"AMORT_P1",dr_Est,"&lt;&gt;Excluido"),IF(BU$21&lt;=p_L1_Gracia,0,IF(BU$21&gt;=p_L1_Gracia+p_L1_Cuotas,BU$25,MIN(BU$25,BU$23)))*Calendario!BU$13)</f>
        <v>0</v>
      </c>
      <c r="BV27" s="13" t="n">
        <f aca="false">IF(BV$9=1,SUMIFS(dr_USD,dr_Mes,68,dr_Cod,"AMORT_P1",dr_Est,"&lt;&gt;Excluido"),IF(BV$21&lt;=p_L1_Gracia,0,IF(BV$21&gt;=p_L1_Gracia+p_L1_Cuotas,BV$25,MIN(BV$25,BV$23)))*Calendario!BV$13)</f>
        <v>0</v>
      </c>
      <c r="BW27" s="13" t="n">
        <f aca="false">IF(BW$9=1,SUMIFS(dr_USD,dr_Mes,69,dr_Cod,"AMORT_P1",dr_Est,"&lt;&gt;Excluido"),IF(BW$21&lt;=p_L1_Gracia,0,IF(BW$21&gt;=p_L1_Gracia+p_L1_Cuotas,BW$25,MIN(BW$25,BW$23)))*Calendario!BW$13)</f>
        <v>0</v>
      </c>
      <c r="BX27" s="13" t="n">
        <f aca="false">IF(BX$9=1,SUMIFS(dr_USD,dr_Mes,70,dr_Cod,"AMORT_P1",dr_Est,"&lt;&gt;Excluido"),IF(BX$21&lt;=p_L1_Gracia,0,IF(BX$21&gt;=p_L1_Gracia+p_L1_Cuotas,BX$25,MIN(BX$25,BX$23)))*Calendario!BX$13)</f>
        <v>0</v>
      </c>
      <c r="BY27" s="13" t="n">
        <f aca="false">IF(BY$9=1,SUMIFS(dr_USD,dr_Mes,71,dr_Cod,"AMORT_P1",dr_Est,"&lt;&gt;Excluido"),IF(BY$21&lt;=p_L1_Gracia,0,IF(BY$21&gt;=p_L1_Gracia+p_L1_Cuotas,BY$25,MIN(BY$25,BY$23)))*Calendario!BY$13)</f>
        <v>0</v>
      </c>
      <c r="BZ27" s="13" t="n">
        <f aca="false">IF(BZ$9=1,SUMIFS(dr_USD,dr_Mes,72,dr_Cod,"AMORT_P1",dr_Est,"&lt;&gt;Excluido"),IF(BZ$21&lt;=p_L1_Gracia,0,IF(BZ$21&gt;=p_L1_Gracia+p_L1_Cuotas,BZ$25,MIN(BZ$25,BZ$23)))*Calendario!BZ$13)</f>
        <v>0</v>
      </c>
      <c r="CA27" s="13" t="n">
        <f aca="false">IF(CA$9=1,SUMIFS(dr_USD,dr_Mes,73,dr_Cod,"AMORT_P1",dr_Est,"&lt;&gt;Excluido"),IF(CA$21&lt;=p_L1_Gracia,0,IF(CA$21&gt;=p_L1_Gracia+p_L1_Cuotas,CA$25,MIN(CA$25,CA$23)))*Calendario!CA$13)</f>
        <v>0</v>
      </c>
      <c r="CB27" s="13" t="n">
        <f aca="false">IF(CB$9=1,SUMIFS(dr_USD,dr_Mes,74,dr_Cod,"AMORT_P1",dr_Est,"&lt;&gt;Excluido"),IF(CB$21&lt;=p_L1_Gracia,0,IF(CB$21&gt;=p_L1_Gracia+p_L1_Cuotas,CB$25,MIN(CB$25,CB$23)))*Calendario!CB$13)</f>
        <v>0</v>
      </c>
      <c r="CC27" s="13" t="n">
        <f aca="false">IF(CC$9=1,SUMIFS(dr_USD,dr_Mes,75,dr_Cod,"AMORT_P1",dr_Est,"&lt;&gt;Excluido"),IF(CC$21&lt;=p_L1_Gracia,0,IF(CC$21&gt;=p_L1_Gracia+p_L1_Cuotas,CC$25,MIN(CC$25,CC$23)))*Calendario!CC$13)</f>
        <v>0</v>
      </c>
      <c r="CD27" s="13" t="n">
        <f aca="false">IF(CD$9=1,SUMIFS(dr_USD,dr_Mes,76,dr_Cod,"AMORT_P1",dr_Est,"&lt;&gt;Excluido"),IF(CD$21&lt;=p_L1_Gracia,0,IF(CD$21&gt;=p_L1_Gracia+p_L1_Cuotas,CD$25,MIN(CD$25,CD$23)))*Calendario!CD$13)</f>
        <v>0</v>
      </c>
      <c r="CE27" s="13" t="n">
        <f aca="false">IF(CE$9=1,SUMIFS(dr_USD,dr_Mes,77,dr_Cod,"AMORT_P1",dr_Est,"&lt;&gt;Excluido"),IF(CE$21&lt;=p_L1_Gracia,0,IF(CE$21&gt;=p_L1_Gracia+p_L1_Cuotas,CE$25,MIN(CE$25,CE$23)))*Calendario!CE$13)</f>
        <v>0</v>
      </c>
      <c r="CF27" s="13" t="n">
        <f aca="false">IF(CF$9=1,SUMIFS(dr_USD,dr_Mes,78,dr_Cod,"AMORT_P1",dr_Est,"&lt;&gt;Excluido"),IF(CF$21&lt;=p_L1_Gracia,0,IF(CF$21&gt;=p_L1_Gracia+p_L1_Cuotas,CF$25,MIN(CF$25,CF$23)))*Calendario!CF$13)</f>
        <v>0</v>
      </c>
      <c r="CG27" s="13" t="n">
        <f aca="false">IF(CG$9=1,SUMIFS(dr_USD,dr_Mes,79,dr_Cod,"AMORT_P1",dr_Est,"&lt;&gt;Excluido"),IF(CG$21&lt;=p_L1_Gracia,0,IF(CG$21&gt;=p_L1_Gracia+p_L1_Cuotas,CG$25,MIN(CG$25,CG$23)))*Calendario!CG$13)</f>
        <v>0</v>
      </c>
      <c r="CH27" s="13" t="n">
        <f aca="false">IF(CH$9=1,SUMIFS(dr_USD,dr_Mes,80,dr_Cod,"AMORT_P1",dr_Est,"&lt;&gt;Excluido"),IF(CH$21&lt;=p_L1_Gracia,0,IF(CH$21&gt;=p_L1_Gracia+p_L1_Cuotas,CH$25,MIN(CH$25,CH$23)))*Calendario!CH$13)</f>
        <v>0</v>
      </c>
      <c r="CI27" s="13" t="n">
        <f aca="false">IF(CI$9=1,SUMIFS(dr_USD,dr_Mes,81,dr_Cod,"AMORT_P1",dr_Est,"&lt;&gt;Excluido"),IF(CI$21&lt;=p_L1_Gracia,0,IF(CI$21&gt;=p_L1_Gracia+p_L1_Cuotas,CI$25,MIN(CI$25,CI$23)))*Calendario!CI$13)</f>
        <v>0</v>
      </c>
      <c r="CJ27" s="13" t="n">
        <f aca="false">IF(CJ$9=1,SUMIFS(dr_USD,dr_Mes,82,dr_Cod,"AMORT_P1",dr_Est,"&lt;&gt;Excluido"),IF(CJ$21&lt;=p_L1_Gracia,0,IF(CJ$21&gt;=p_L1_Gracia+p_L1_Cuotas,CJ$25,MIN(CJ$25,CJ$23)))*Calendario!CJ$13)</f>
        <v>0</v>
      </c>
      <c r="CK27" s="13" t="n">
        <f aca="false">IF(CK$9=1,SUMIFS(dr_USD,dr_Mes,83,dr_Cod,"AMORT_P1",dr_Est,"&lt;&gt;Excluido"),IF(CK$21&lt;=p_L1_Gracia,0,IF(CK$21&gt;=p_L1_Gracia+p_L1_Cuotas,CK$25,MIN(CK$25,CK$23)))*Calendario!CK$13)</f>
        <v>0</v>
      </c>
      <c r="CL27" s="13" t="n">
        <f aca="false">IF(CL$9=1,SUMIFS(dr_USD,dr_Mes,84,dr_Cod,"AMORT_P1",dr_Est,"&lt;&gt;Excluido"),IF(CL$21&lt;=p_L1_Gracia,0,IF(CL$21&gt;=p_L1_Gracia+p_L1_Cuotas,CL$25,MIN(CL$25,CL$23)))*Calendario!CL$13)</f>
        <v>0</v>
      </c>
      <c r="CM27" s="13" t="n">
        <f aca="false">IF(CM$9=1,SUMIFS(dr_USD,dr_Mes,85,dr_Cod,"AMORT_P1",dr_Est,"&lt;&gt;Excluido"),IF(CM$21&lt;=p_L1_Gracia,0,IF(CM$21&gt;=p_L1_Gracia+p_L1_Cuotas,CM$25,MIN(CM$25,CM$23)))*Calendario!CM$13)</f>
        <v>0</v>
      </c>
      <c r="CN27" s="13" t="n">
        <f aca="false">IF(CN$9=1,SUMIFS(dr_USD,dr_Mes,86,dr_Cod,"AMORT_P1",dr_Est,"&lt;&gt;Excluido"),IF(CN$21&lt;=p_L1_Gracia,0,IF(CN$21&gt;=p_L1_Gracia+p_L1_Cuotas,CN$25,MIN(CN$25,CN$23)))*Calendario!CN$13)</f>
        <v>0</v>
      </c>
      <c r="CO27" s="13" t="n">
        <f aca="false">IF(CO$9=1,SUMIFS(dr_USD,dr_Mes,87,dr_Cod,"AMORT_P1",dr_Est,"&lt;&gt;Excluido"),IF(CO$21&lt;=p_L1_Gracia,0,IF(CO$21&gt;=p_L1_Gracia+p_L1_Cuotas,CO$25,MIN(CO$25,CO$23)))*Calendario!CO$13)</f>
        <v>0</v>
      </c>
      <c r="CP27" s="13" t="n">
        <f aca="false">IF(CP$9=1,SUMIFS(dr_USD,dr_Mes,88,dr_Cod,"AMORT_P1",dr_Est,"&lt;&gt;Excluido"),IF(CP$21&lt;=p_L1_Gracia,0,IF(CP$21&gt;=p_L1_Gracia+p_L1_Cuotas,CP$25,MIN(CP$25,CP$23)))*Calendario!CP$13)</f>
        <v>0</v>
      </c>
      <c r="CQ27" s="13" t="n">
        <f aca="false">IF(CQ$9=1,SUMIFS(dr_USD,dr_Mes,89,dr_Cod,"AMORT_P1",dr_Est,"&lt;&gt;Excluido"),IF(CQ$21&lt;=p_L1_Gracia,0,IF(CQ$21&gt;=p_L1_Gracia+p_L1_Cuotas,CQ$25,MIN(CQ$25,CQ$23)))*Calendario!CQ$13)</f>
        <v>0</v>
      </c>
      <c r="CR27" s="13" t="n">
        <f aca="false">IF(CR$9=1,SUMIFS(dr_USD,dr_Mes,90,dr_Cod,"AMORT_P1",dr_Est,"&lt;&gt;Excluido"),IF(CR$21&lt;=p_L1_Gracia,0,IF(CR$21&gt;=p_L1_Gracia+p_L1_Cuotas,CR$25,MIN(CR$25,CR$23)))*Calendario!CR$13)</f>
        <v>0</v>
      </c>
      <c r="CS27" s="13" t="n">
        <f aca="false">IF(CS$9=1,SUMIFS(dr_USD,dr_Mes,91,dr_Cod,"AMORT_P1",dr_Est,"&lt;&gt;Excluido"),IF(CS$21&lt;=p_L1_Gracia,0,IF(CS$21&gt;=p_L1_Gracia+p_L1_Cuotas,CS$25,MIN(CS$25,CS$23)))*Calendario!CS$13)</f>
        <v>0</v>
      </c>
      <c r="CT27" s="13" t="n">
        <f aca="false">IF(CT$9=1,SUMIFS(dr_USD,dr_Mes,92,dr_Cod,"AMORT_P1",dr_Est,"&lt;&gt;Excluido"),IF(CT$21&lt;=p_L1_Gracia,0,IF(CT$21&gt;=p_L1_Gracia+p_L1_Cuotas,CT$25,MIN(CT$25,CT$23)))*Calendario!CT$13)</f>
        <v>0</v>
      </c>
      <c r="CU27" s="13" t="n">
        <f aca="false">IF(CU$9=1,SUMIFS(dr_USD,dr_Mes,93,dr_Cod,"AMORT_P1",dr_Est,"&lt;&gt;Excluido"),IF(CU$21&lt;=p_L1_Gracia,0,IF(CU$21&gt;=p_L1_Gracia+p_L1_Cuotas,CU$25,MIN(CU$25,CU$23)))*Calendario!CU$13)</f>
        <v>0</v>
      </c>
      <c r="CV27" s="13" t="n">
        <f aca="false">IF(CV$9=1,SUMIFS(dr_USD,dr_Mes,94,dr_Cod,"AMORT_P1",dr_Est,"&lt;&gt;Excluido"),IF(CV$21&lt;=p_L1_Gracia,0,IF(CV$21&gt;=p_L1_Gracia+p_L1_Cuotas,CV$25,MIN(CV$25,CV$23)))*Calendario!CV$13)</f>
        <v>0</v>
      </c>
      <c r="CW27" s="13" t="n">
        <f aca="false">IF(CW$9=1,SUMIFS(dr_USD,dr_Mes,95,dr_Cod,"AMORT_P1",dr_Est,"&lt;&gt;Excluido"),IF(CW$21&lt;=p_L1_Gracia,0,IF(CW$21&gt;=p_L1_Gracia+p_L1_Cuotas,CW$25,MIN(CW$25,CW$23)))*Calendario!CW$13)</f>
        <v>0</v>
      </c>
      <c r="CX27" s="13" t="n">
        <f aca="false">IF(CX$9=1,SUMIFS(dr_USD,dr_Mes,96,dr_Cod,"AMORT_P1",dr_Est,"&lt;&gt;Excluido"),IF(CX$21&lt;=p_L1_Gracia,0,IF(CX$21&gt;=p_L1_Gracia+p_L1_Cuotas,CX$25,MIN(CX$25,CX$23)))*Calendario!CX$13)</f>
        <v>0</v>
      </c>
      <c r="CY27" s="13" t="n">
        <f aca="false">IF(CY$9=1,SUMIFS(dr_USD,dr_Mes,97,dr_Cod,"AMORT_P1",dr_Est,"&lt;&gt;Excluido"),IF(CY$21&lt;=p_L1_Gracia,0,IF(CY$21&gt;=p_L1_Gracia+p_L1_Cuotas,CY$25,MIN(CY$25,CY$23)))*Calendario!CY$13)</f>
        <v>0</v>
      </c>
      <c r="CZ27" s="13" t="n">
        <f aca="false">IF(CZ$9=1,SUMIFS(dr_USD,dr_Mes,98,dr_Cod,"AMORT_P1",dr_Est,"&lt;&gt;Excluido"),IF(CZ$21&lt;=p_L1_Gracia,0,IF(CZ$21&gt;=p_L1_Gracia+p_L1_Cuotas,CZ$25,MIN(CZ$25,CZ$23)))*Calendario!CZ$13)</f>
        <v>0</v>
      </c>
      <c r="DA27" s="13" t="n">
        <f aca="false">IF(DA$9=1,SUMIFS(dr_USD,dr_Mes,99,dr_Cod,"AMORT_P1",dr_Est,"&lt;&gt;Excluido"),IF(DA$21&lt;=p_L1_Gracia,0,IF(DA$21&gt;=p_L1_Gracia+p_L1_Cuotas,DA$25,MIN(DA$25,DA$23)))*Calendario!DA$13)</f>
        <v>0</v>
      </c>
      <c r="DB27" s="13" t="n">
        <f aca="false">IF(DB$9=1,SUMIFS(dr_USD,dr_Mes,100,dr_Cod,"AMORT_P1",dr_Est,"&lt;&gt;Excluido"),IF(DB$21&lt;=p_L1_Gracia,0,IF(DB$21&gt;=p_L1_Gracia+p_L1_Cuotas,DB$25,MIN(DB$25,DB$23)))*Calendario!DB$13)</f>
        <v>0</v>
      </c>
      <c r="DC27" s="13" t="n">
        <f aca="false">IF(DC$9=1,SUMIFS(dr_USD,dr_Mes,101,dr_Cod,"AMORT_P1",dr_Est,"&lt;&gt;Excluido"),IF(DC$21&lt;=p_L1_Gracia,0,IF(DC$21&gt;=p_L1_Gracia+p_L1_Cuotas,DC$25,MIN(DC$25,DC$23)))*Calendario!DC$13)</f>
        <v>0</v>
      </c>
      <c r="DD27" s="13" t="n">
        <f aca="false">IF(DD$9=1,SUMIFS(dr_USD,dr_Mes,102,dr_Cod,"AMORT_P1",dr_Est,"&lt;&gt;Excluido"),IF(DD$21&lt;=p_L1_Gracia,0,IF(DD$21&gt;=p_L1_Gracia+p_L1_Cuotas,DD$25,MIN(DD$25,DD$23)))*Calendario!DD$13)</f>
        <v>0</v>
      </c>
      <c r="DE27" s="13" t="n">
        <f aca="false">IF(DE$9=1,SUMIFS(dr_USD,dr_Mes,103,dr_Cod,"AMORT_P1",dr_Est,"&lt;&gt;Excluido"),IF(DE$21&lt;=p_L1_Gracia,0,IF(DE$21&gt;=p_L1_Gracia+p_L1_Cuotas,DE$25,MIN(DE$25,DE$23)))*Calendario!DE$13)</f>
        <v>0</v>
      </c>
      <c r="DF27" s="13" t="n">
        <f aca="false">IF(DF$9=1,SUMIFS(dr_USD,dr_Mes,104,dr_Cod,"AMORT_P1",dr_Est,"&lt;&gt;Excluido"),IF(DF$21&lt;=p_L1_Gracia,0,IF(DF$21&gt;=p_L1_Gracia+p_L1_Cuotas,DF$25,MIN(DF$25,DF$23)))*Calendario!DF$13)</f>
        <v>0</v>
      </c>
      <c r="DG27" s="13" t="n">
        <f aca="false">IF(DG$9=1,SUMIFS(dr_USD,dr_Mes,105,dr_Cod,"AMORT_P1",dr_Est,"&lt;&gt;Excluido"),IF(DG$21&lt;=p_L1_Gracia,0,IF(DG$21&gt;=p_L1_Gracia+p_L1_Cuotas,DG$25,MIN(DG$25,DG$23)))*Calendario!DG$13)</f>
        <v>0</v>
      </c>
      <c r="DH27" s="13" t="n">
        <f aca="false">IF(DH$9=1,SUMIFS(dr_USD,dr_Mes,106,dr_Cod,"AMORT_P1",dr_Est,"&lt;&gt;Excluido"),IF(DH$21&lt;=p_L1_Gracia,0,IF(DH$21&gt;=p_L1_Gracia+p_L1_Cuotas,DH$25,MIN(DH$25,DH$23)))*Calendario!DH$13)</f>
        <v>0</v>
      </c>
      <c r="DI27" s="13" t="n">
        <f aca="false">IF(DI$9=1,SUMIFS(dr_USD,dr_Mes,107,dr_Cod,"AMORT_P1",dr_Est,"&lt;&gt;Excluido"),IF(DI$21&lt;=p_L1_Gracia,0,IF(DI$21&gt;=p_L1_Gracia+p_L1_Cuotas,DI$25,MIN(DI$25,DI$23)))*Calendario!DI$13)</f>
        <v>0</v>
      </c>
      <c r="DJ27" s="13" t="n">
        <f aca="false">IF(DJ$9=1,SUMIFS(dr_USD,dr_Mes,108,dr_Cod,"AMORT_P1",dr_Est,"&lt;&gt;Excluido"),IF(DJ$21&lt;=p_L1_Gracia,0,IF(DJ$21&gt;=p_L1_Gracia+p_L1_Cuotas,DJ$25,MIN(DJ$25,DJ$23)))*Calendario!DJ$13)</f>
        <v>0</v>
      </c>
      <c r="DK27" s="13" t="n">
        <f aca="false">IF(DK$9=1,SUMIFS(dr_USD,dr_Mes,109,dr_Cod,"AMORT_P1",dr_Est,"&lt;&gt;Excluido"),IF(DK$21&lt;=p_L1_Gracia,0,IF(DK$21&gt;=p_L1_Gracia+p_L1_Cuotas,DK$25,MIN(DK$25,DK$23)))*Calendario!DK$13)</f>
        <v>0</v>
      </c>
      <c r="DL27" s="13" t="n">
        <f aca="false">IF(DL$9=1,SUMIFS(dr_USD,dr_Mes,110,dr_Cod,"AMORT_P1",dr_Est,"&lt;&gt;Excluido"),IF(DL$21&lt;=p_L1_Gracia,0,IF(DL$21&gt;=p_L1_Gracia+p_L1_Cuotas,DL$25,MIN(DL$25,DL$23)))*Calendario!DL$13)</f>
        <v>0</v>
      </c>
      <c r="DM27" s="13" t="n">
        <f aca="false">IF(DM$9=1,SUMIFS(dr_USD,dr_Mes,111,dr_Cod,"AMORT_P1",dr_Est,"&lt;&gt;Excluido"),IF(DM$21&lt;=p_L1_Gracia,0,IF(DM$21&gt;=p_L1_Gracia+p_L1_Cuotas,DM$25,MIN(DM$25,DM$23)))*Calendario!DM$13)</f>
        <v>0</v>
      </c>
      <c r="DN27" s="13" t="n">
        <f aca="false">IF(DN$9=1,SUMIFS(dr_USD,dr_Mes,112,dr_Cod,"AMORT_P1",dr_Est,"&lt;&gt;Excluido"),IF(DN$21&lt;=p_L1_Gracia,0,IF(DN$21&gt;=p_L1_Gracia+p_L1_Cuotas,DN$25,MIN(DN$25,DN$23)))*Calendario!DN$13)</f>
        <v>0</v>
      </c>
      <c r="DO27" s="13" t="n">
        <f aca="false">IF(DO$9=1,SUMIFS(dr_USD,dr_Mes,113,dr_Cod,"AMORT_P1",dr_Est,"&lt;&gt;Excluido"),IF(DO$21&lt;=p_L1_Gracia,0,IF(DO$21&gt;=p_L1_Gracia+p_L1_Cuotas,DO$25,MIN(DO$25,DO$23)))*Calendario!DO$13)</f>
        <v>0</v>
      </c>
      <c r="DP27" s="13" t="n">
        <f aca="false">IF(DP$9=1,SUMIFS(dr_USD,dr_Mes,114,dr_Cod,"AMORT_P1",dr_Est,"&lt;&gt;Excluido"),IF(DP$21&lt;=p_L1_Gracia,0,IF(DP$21&gt;=p_L1_Gracia+p_L1_Cuotas,DP$25,MIN(DP$25,DP$23)))*Calendario!DP$13)</f>
        <v>0</v>
      </c>
      <c r="DQ27" s="13" t="n">
        <f aca="false">IF(DQ$9=1,SUMIFS(dr_USD,dr_Mes,115,dr_Cod,"AMORT_P1",dr_Est,"&lt;&gt;Excluido"),IF(DQ$21&lt;=p_L1_Gracia,0,IF(DQ$21&gt;=p_L1_Gracia+p_L1_Cuotas,DQ$25,MIN(DQ$25,DQ$23)))*Calendario!DQ$13)</f>
        <v>0</v>
      </c>
      <c r="DR27" s="13" t="n">
        <f aca="false">IF(DR$9=1,SUMIFS(dr_USD,dr_Mes,116,dr_Cod,"AMORT_P1",dr_Est,"&lt;&gt;Excluido"),IF(DR$21&lt;=p_L1_Gracia,0,IF(DR$21&gt;=p_L1_Gracia+p_L1_Cuotas,DR$25,MIN(DR$25,DR$23)))*Calendario!DR$13)</f>
        <v>0</v>
      </c>
      <c r="DS27" s="13" t="n">
        <f aca="false">IF(DS$9=1,SUMIFS(dr_USD,dr_Mes,117,dr_Cod,"AMORT_P1",dr_Est,"&lt;&gt;Excluido"),IF(DS$21&lt;=p_L1_Gracia,0,IF(DS$21&gt;=p_L1_Gracia+p_L1_Cuotas,DS$25,MIN(DS$25,DS$23)))*Calendario!DS$13)</f>
        <v>0</v>
      </c>
      <c r="DT27" s="13" t="n">
        <f aca="false">IF(DT$9=1,SUMIFS(dr_USD,dr_Mes,118,dr_Cod,"AMORT_P1",dr_Est,"&lt;&gt;Excluido"),IF(DT$21&lt;=p_L1_Gracia,0,IF(DT$21&gt;=p_L1_Gracia+p_L1_Cuotas,DT$25,MIN(DT$25,DT$23)))*Calendario!DT$13)</f>
        <v>0</v>
      </c>
      <c r="DU27" s="13" t="n">
        <f aca="false">IF(DU$9=1,SUMIFS(dr_USD,dr_Mes,119,dr_Cod,"AMORT_P1",dr_Est,"&lt;&gt;Excluido"),IF(DU$21&lt;=p_L1_Gracia,0,IF(DU$21&gt;=p_L1_Gracia+p_L1_Cuotas,DU$25,MIN(DU$25,DU$23)))*Calendario!DU$13)</f>
        <v>0</v>
      </c>
      <c r="DV27" s="13" t="n">
        <f aca="false">IF(DV$9=1,SUMIFS(dr_USD,dr_Mes,120,dr_Cod,"AMORT_P1",dr_Est,"&lt;&gt;Excluido"),IF(DV$21&lt;=p_L1_Gracia,0,IF(DV$21&gt;=p_L1_Gracia+p_L1_Cuotas,DV$25,MIN(DV$25,DV$23)))*Calendario!DV$13)</f>
        <v>0</v>
      </c>
      <c r="DW27" s="13" t="n">
        <f aca="false">IF(DW$9=1,SUMIFS(dr_USD,dr_Mes,121,dr_Cod,"AMORT_P1",dr_Est,"&lt;&gt;Excluido"),IF(DW$21&lt;=p_L1_Gracia,0,IF(DW$21&gt;=p_L1_Gracia+p_L1_Cuotas,DW$25,MIN(DW$25,DW$23)))*Calendario!DW$13)</f>
        <v>0</v>
      </c>
      <c r="DX27" s="13" t="n">
        <f aca="false">IF(DX$9=1,SUMIFS(dr_USD,dr_Mes,122,dr_Cod,"AMORT_P1",dr_Est,"&lt;&gt;Excluido"),IF(DX$21&lt;=p_L1_Gracia,0,IF(DX$21&gt;=p_L1_Gracia+p_L1_Cuotas,DX$25,MIN(DX$25,DX$23)))*Calendario!DX$13)</f>
        <v>0</v>
      </c>
      <c r="DY27" s="13" t="n">
        <f aca="false">IF(DY$9=1,SUMIFS(dr_USD,dr_Mes,123,dr_Cod,"AMORT_P1",dr_Est,"&lt;&gt;Excluido"),IF(DY$21&lt;=p_L1_Gracia,0,IF(DY$21&gt;=p_L1_Gracia+p_L1_Cuotas,DY$25,MIN(DY$25,DY$23)))*Calendario!DY$13)</f>
        <v>0</v>
      </c>
      <c r="DZ27" s="13" t="n">
        <f aca="false">IF(DZ$9=1,SUMIFS(dr_USD,dr_Mes,124,dr_Cod,"AMORT_P1",dr_Est,"&lt;&gt;Excluido"),IF(DZ$21&lt;=p_L1_Gracia,0,IF(DZ$21&gt;=p_L1_Gracia+p_L1_Cuotas,DZ$25,MIN(DZ$25,DZ$23)))*Calendario!DZ$13)</f>
        <v>0</v>
      </c>
      <c r="EA27" s="13" t="n">
        <f aca="false">IF(EA$9=1,SUMIFS(dr_USD,dr_Mes,125,dr_Cod,"AMORT_P1",dr_Est,"&lt;&gt;Excluido"),IF(EA$21&lt;=p_L1_Gracia,0,IF(EA$21&gt;=p_L1_Gracia+p_L1_Cuotas,EA$25,MIN(EA$25,EA$23)))*Calendario!EA$13)</f>
        <v>0</v>
      </c>
      <c r="EB27" s="13" t="n">
        <f aca="false">IF(EB$9=1,SUMIFS(dr_USD,dr_Mes,126,dr_Cod,"AMORT_P1",dr_Est,"&lt;&gt;Excluido"),IF(EB$21&lt;=p_L1_Gracia,0,IF(EB$21&gt;=p_L1_Gracia+p_L1_Cuotas,EB$25,MIN(EB$25,EB$23)))*Calendario!EB$13)</f>
        <v>0</v>
      </c>
      <c r="EC27" s="13" t="n">
        <f aca="false">IF(EC$9=1,SUMIFS(dr_USD,dr_Mes,127,dr_Cod,"AMORT_P1",dr_Est,"&lt;&gt;Excluido"),IF(EC$21&lt;=p_L1_Gracia,0,IF(EC$21&gt;=p_L1_Gracia+p_L1_Cuotas,EC$25,MIN(EC$25,EC$23)))*Calendario!EC$13)</f>
        <v>0</v>
      </c>
      <c r="ED27" s="13" t="n">
        <f aca="false">IF(ED$9=1,SUMIFS(dr_USD,dr_Mes,128,dr_Cod,"AMORT_P1",dr_Est,"&lt;&gt;Excluido"),IF(ED$21&lt;=p_L1_Gracia,0,IF(ED$21&gt;=p_L1_Gracia+p_L1_Cuotas,ED$25,MIN(ED$25,ED$23)))*Calendario!ED$13)</f>
        <v>0</v>
      </c>
      <c r="EE27" s="13" t="n">
        <f aca="false">IF(EE$9=1,SUMIFS(dr_USD,dr_Mes,129,dr_Cod,"AMORT_P1",dr_Est,"&lt;&gt;Excluido"),IF(EE$21&lt;=p_L1_Gracia,0,IF(EE$21&gt;=p_L1_Gracia+p_L1_Cuotas,EE$25,MIN(EE$25,EE$23)))*Calendario!EE$13)</f>
        <v>0</v>
      </c>
      <c r="EF27" s="13" t="n">
        <f aca="false">IF(EF$9=1,SUMIFS(dr_USD,dr_Mes,130,dr_Cod,"AMORT_P1",dr_Est,"&lt;&gt;Excluido"),IF(EF$21&lt;=p_L1_Gracia,0,IF(EF$21&gt;=p_L1_Gracia+p_L1_Cuotas,EF$25,MIN(EF$25,EF$23)))*Calendario!EF$13)</f>
        <v>0</v>
      </c>
      <c r="EG27" s="13" t="n">
        <f aca="false">IF(EG$9=1,SUMIFS(dr_USD,dr_Mes,131,dr_Cod,"AMORT_P1",dr_Est,"&lt;&gt;Excluido"),IF(EG$21&lt;=p_L1_Gracia,0,IF(EG$21&gt;=p_L1_Gracia+p_L1_Cuotas,EG$25,MIN(EG$25,EG$23)))*Calendario!EG$13)</f>
        <v>0</v>
      </c>
      <c r="EH27" s="13" t="n">
        <f aca="false">IF(EH$9=1,SUMIFS(dr_USD,dr_Mes,132,dr_Cod,"AMORT_P1",dr_Est,"&lt;&gt;Excluido"),IF(EH$21&lt;=p_L1_Gracia,0,IF(EH$21&gt;=p_L1_Gracia+p_L1_Cuotas,EH$25,MIN(EH$25,EH$23)))*Calendario!EH$13)</f>
        <v>0</v>
      </c>
      <c r="EI27" s="13" t="n">
        <f aca="false">IF(EI$9=1,SUMIFS(dr_USD,dr_Mes,133,dr_Cod,"AMORT_P1",dr_Est,"&lt;&gt;Excluido"),IF(EI$21&lt;=p_L1_Gracia,0,IF(EI$21&gt;=p_L1_Gracia+p_L1_Cuotas,EI$25,MIN(EI$25,EI$23)))*Calendario!EI$13)</f>
        <v>0</v>
      </c>
      <c r="EJ27" s="13" t="n">
        <f aca="false">IF(EJ$9=1,SUMIFS(dr_USD,dr_Mes,134,dr_Cod,"AMORT_P1",dr_Est,"&lt;&gt;Excluido"),IF(EJ$21&lt;=p_L1_Gracia,0,IF(EJ$21&gt;=p_L1_Gracia+p_L1_Cuotas,EJ$25,MIN(EJ$25,EJ$23)))*Calendario!EJ$13)</f>
        <v>0</v>
      </c>
      <c r="EK27" s="13" t="n">
        <f aca="false">IF(EK$9=1,SUMIFS(dr_USD,dr_Mes,135,dr_Cod,"AMORT_P1",dr_Est,"&lt;&gt;Excluido"),IF(EK$21&lt;=p_L1_Gracia,0,IF(EK$21&gt;=p_L1_Gracia+p_L1_Cuotas,EK$25,MIN(EK$25,EK$23)))*Calendario!EK$13)</f>
        <v>0</v>
      </c>
      <c r="EL27" s="13" t="n">
        <f aca="false">IF(EL$9=1,SUMIFS(dr_USD,dr_Mes,136,dr_Cod,"AMORT_P1",dr_Est,"&lt;&gt;Excluido"),IF(EL$21&lt;=p_L1_Gracia,0,IF(EL$21&gt;=p_L1_Gracia+p_L1_Cuotas,EL$25,MIN(EL$25,EL$23)))*Calendario!EL$13)</f>
        <v>0</v>
      </c>
      <c r="EM27" s="13" t="n">
        <f aca="false">IF(EM$9=1,SUMIFS(dr_USD,dr_Mes,137,dr_Cod,"AMORT_P1",dr_Est,"&lt;&gt;Excluido"),IF(EM$21&lt;=p_L1_Gracia,0,IF(EM$21&gt;=p_L1_Gracia+p_L1_Cuotas,EM$25,MIN(EM$25,EM$23)))*Calendario!EM$13)</f>
        <v>0</v>
      </c>
      <c r="EN27" s="13" t="n">
        <f aca="false">IF(EN$9=1,SUMIFS(dr_USD,dr_Mes,138,dr_Cod,"AMORT_P1",dr_Est,"&lt;&gt;Excluido"),IF(EN$21&lt;=p_L1_Gracia,0,IF(EN$21&gt;=p_L1_Gracia+p_L1_Cuotas,EN$25,MIN(EN$25,EN$23)))*Calendario!EN$13)</f>
        <v>0</v>
      </c>
      <c r="EO27" s="13" t="n">
        <f aca="false">IF(EO$9=1,SUMIFS(dr_USD,dr_Mes,139,dr_Cod,"AMORT_P1",dr_Est,"&lt;&gt;Excluido"),IF(EO$21&lt;=p_L1_Gracia,0,IF(EO$21&gt;=p_L1_Gracia+p_L1_Cuotas,EO$25,MIN(EO$25,EO$23)))*Calendario!EO$13)</f>
        <v>0</v>
      </c>
      <c r="EP27" s="13" t="n">
        <f aca="false">IF(EP$9=1,SUMIFS(dr_USD,dr_Mes,140,dr_Cod,"AMORT_P1",dr_Est,"&lt;&gt;Excluido"),IF(EP$21&lt;=p_L1_Gracia,0,IF(EP$21&gt;=p_L1_Gracia+p_L1_Cuotas,EP$25,MIN(EP$25,EP$23)))*Calendario!EP$13)</f>
        <v>0</v>
      </c>
      <c r="EQ27" s="13" t="n">
        <f aca="false">IF(EQ$9=1,SUMIFS(dr_USD,dr_Mes,141,dr_Cod,"AMORT_P1",dr_Est,"&lt;&gt;Excluido"),IF(EQ$21&lt;=p_L1_Gracia,0,IF(EQ$21&gt;=p_L1_Gracia+p_L1_Cuotas,EQ$25,MIN(EQ$25,EQ$23)))*Calendario!EQ$13)</f>
        <v>0</v>
      </c>
      <c r="ER27" s="13" t="n">
        <f aca="false">IF(ER$9=1,SUMIFS(dr_USD,dr_Mes,142,dr_Cod,"AMORT_P1",dr_Est,"&lt;&gt;Excluido"),IF(ER$21&lt;=p_L1_Gracia,0,IF(ER$21&gt;=p_L1_Gracia+p_L1_Cuotas,ER$25,MIN(ER$25,ER$23)))*Calendario!ER$13)</f>
        <v>0</v>
      </c>
      <c r="ES27" s="13" t="n">
        <f aca="false">IF(ES$9=1,SUMIFS(dr_USD,dr_Mes,143,dr_Cod,"AMORT_P1",dr_Est,"&lt;&gt;Excluido"),IF(ES$21&lt;=p_L1_Gracia,0,IF(ES$21&gt;=p_L1_Gracia+p_L1_Cuotas,ES$25,MIN(ES$25,ES$23)))*Calendario!ES$13)</f>
        <v>0</v>
      </c>
      <c r="ET27" s="13" t="n">
        <f aca="false">IF(ET$9=1,SUMIFS(dr_USD,dr_Mes,144,dr_Cod,"AMORT_P1",dr_Est,"&lt;&gt;Excluido"),IF(ET$21&lt;=p_L1_Gracia,0,IF(ET$21&gt;=p_L1_Gracia+p_L1_Cuotas,ET$25,MIN(ET$25,ET$23)))*Calendario!ET$13)</f>
        <v>0</v>
      </c>
      <c r="EU27" s="13" t="n">
        <f aca="false">IF(EU$9=1,SUMIFS(dr_USD,dr_Mes,145,dr_Cod,"AMORT_P1",dr_Est,"&lt;&gt;Excluido"),IF(EU$21&lt;=p_L1_Gracia,0,IF(EU$21&gt;=p_L1_Gracia+p_L1_Cuotas,EU$25,MIN(EU$25,EU$23)))*Calendario!EU$13)</f>
        <v>0</v>
      </c>
      <c r="EV27" s="13" t="n">
        <f aca="false">IF(EV$9=1,SUMIFS(dr_USD,dr_Mes,146,dr_Cod,"AMORT_P1",dr_Est,"&lt;&gt;Excluido"),IF(EV$21&lt;=p_L1_Gracia,0,IF(EV$21&gt;=p_L1_Gracia+p_L1_Cuotas,EV$25,MIN(EV$25,EV$23)))*Calendario!EV$13)</f>
        <v>0</v>
      </c>
      <c r="EW27" s="13" t="n">
        <f aca="false">IF(EW$9=1,SUMIFS(dr_USD,dr_Mes,147,dr_Cod,"AMORT_P1",dr_Est,"&lt;&gt;Excluido"),IF(EW$21&lt;=p_L1_Gracia,0,IF(EW$21&gt;=p_L1_Gracia+p_L1_Cuotas,EW$25,MIN(EW$25,EW$23)))*Calendario!EW$13)</f>
        <v>0</v>
      </c>
      <c r="EX27" s="13" t="n">
        <f aca="false">IF(EX$9=1,SUMIFS(dr_USD,dr_Mes,148,dr_Cod,"AMORT_P1",dr_Est,"&lt;&gt;Excluido"),IF(EX$21&lt;=p_L1_Gracia,0,IF(EX$21&gt;=p_L1_Gracia+p_L1_Cuotas,EX$25,MIN(EX$25,EX$23)))*Calendario!EX$13)</f>
        <v>0</v>
      </c>
      <c r="EY27" s="13" t="n">
        <f aca="false">IF(EY$9=1,SUMIFS(dr_USD,dr_Mes,149,dr_Cod,"AMORT_P1",dr_Est,"&lt;&gt;Excluido"),IF(EY$21&lt;=p_L1_Gracia,0,IF(EY$21&gt;=p_L1_Gracia+p_L1_Cuotas,EY$25,MIN(EY$25,EY$23)))*Calendario!EY$13)</f>
        <v>0</v>
      </c>
      <c r="EZ27" s="13" t="n">
        <f aca="false">IF(EZ$9=1,SUMIFS(dr_USD,dr_Mes,150,dr_Cod,"AMORT_P1",dr_Est,"&lt;&gt;Excluido"),IF(EZ$21&lt;=p_L1_Gracia,0,IF(EZ$21&gt;=p_L1_Gracia+p_L1_Cuotas,EZ$25,MIN(EZ$25,EZ$23)))*Calendario!EZ$13)</f>
        <v>0</v>
      </c>
      <c r="FA27" s="13" t="n">
        <f aca="false">IF(FA$9=1,SUMIFS(dr_USD,dr_Mes,151,dr_Cod,"AMORT_P1",dr_Est,"&lt;&gt;Excluido"),IF(FA$21&lt;=p_L1_Gracia,0,IF(FA$21&gt;=p_L1_Gracia+p_L1_Cuotas,FA$25,MIN(FA$25,FA$23)))*Calendario!FA$13)</f>
        <v>0</v>
      </c>
      <c r="FB27" s="13" t="n">
        <f aca="false">IF(FB$9=1,SUMIFS(dr_USD,dr_Mes,152,dr_Cod,"AMORT_P1",dr_Est,"&lt;&gt;Excluido"),IF(FB$21&lt;=p_L1_Gracia,0,IF(FB$21&gt;=p_L1_Gracia+p_L1_Cuotas,FB$25,MIN(FB$25,FB$23)))*Calendario!FB$13)</f>
        <v>0</v>
      </c>
      <c r="FC27" s="13" t="n">
        <f aca="false">IF(FC$9=1,SUMIFS(dr_USD,dr_Mes,153,dr_Cod,"AMORT_P1",dr_Est,"&lt;&gt;Excluido"),IF(FC$21&lt;=p_L1_Gracia,0,IF(FC$21&gt;=p_L1_Gracia+p_L1_Cuotas,FC$25,MIN(FC$25,FC$23)))*Calendario!FC$13)</f>
        <v>0</v>
      </c>
      <c r="FD27" s="13" t="n">
        <f aca="false">IF(FD$9=1,SUMIFS(dr_USD,dr_Mes,154,dr_Cod,"AMORT_P1",dr_Est,"&lt;&gt;Excluido"),IF(FD$21&lt;=p_L1_Gracia,0,IF(FD$21&gt;=p_L1_Gracia+p_L1_Cuotas,FD$25,MIN(FD$25,FD$23)))*Calendario!FD$13)</f>
        <v>0</v>
      </c>
      <c r="FE27" s="13" t="n">
        <f aca="false">IF(FE$9=1,SUMIFS(dr_USD,dr_Mes,155,dr_Cod,"AMORT_P1",dr_Est,"&lt;&gt;Excluido"),IF(FE$21&lt;=p_L1_Gracia,0,IF(FE$21&gt;=p_L1_Gracia+p_L1_Cuotas,FE$25,MIN(FE$25,FE$23)))*Calendario!FE$13)</f>
        <v>0</v>
      </c>
      <c r="FF27" s="13" t="n">
        <f aca="false">IF(FF$9=1,SUMIFS(dr_USD,dr_Mes,156,dr_Cod,"AMORT_P1",dr_Est,"&lt;&gt;Excluido"),IF(FF$21&lt;=p_L1_Gracia,0,IF(FF$21&gt;=p_L1_Gracia+p_L1_Cuotas,FF$25,MIN(FF$25,FF$23)))*Calendario!FF$13)</f>
        <v>0</v>
      </c>
    </row>
    <row r="28" customFormat="false" ht="15" hidden="false" customHeight="false" outlineLevel="0" collapsed="false">
      <c r="A28" s="2" t="s">
        <v>1412</v>
      </c>
      <c r="B28" s="8" t="s">
        <v>1413</v>
      </c>
      <c r="C28" s="8" t="s">
        <v>255</v>
      </c>
      <c r="E28" s="65" t="n">
        <f aca="false">SUM($F28:$FF28)</f>
        <v>73928.557111314</v>
      </c>
      <c r="F28" s="13" t="n">
        <f aca="false">F$26*p_IVAint</f>
        <v>0</v>
      </c>
      <c r="G28" s="13" t="n">
        <f aca="false">G$26*p_IVAint</f>
        <v>2093.69025</v>
      </c>
      <c r="H28" s="13" t="n">
        <f aca="false">H$26*p_IVAint</f>
        <v>2093.69025</v>
      </c>
      <c r="I28" s="13" t="n">
        <f aca="false">I$26*p_IVAint</f>
        <v>2093.69025</v>
      </c>
      <c r="J28" s="13" t="n">
        <f aca="false">J$26*p_IVAint</f>
        <v>2093.69025</v>
      </c>
      <c r="K28" s="13" t="n">
        <f aca="false">K$26*p_IVAint</f>
        <v>2093.69025</v>
      </c>
      <c r="L28" s="13" t="n">
        <f aca="false">L$26*p_IVAint</f>
        <v>2093.69025</v>
      </c>
      <c r="M28" s="13" t="n">
        <f aca="false">M$26*p_IVAint</f>
        <v>2093.69025</v>
      </c>
      <c r="N28" s="13" t="n">
        <f aca="false">N$26*p_IVAint</f>
        <v>2062.09777192898</v>
      </c>
      <c r="O28" s="13" t="n">
        <f aca="false">O$26*p_IVAint</f>
        <v>2030.26835027244</v>
      </c>
      <c r="P28" s="13" t="n">
        <f aca="false">P$26*p_IVAint</f>
        <v>1998.20020795346</v>
      </c>
      <c r="Q28" s="13" t="n">
        <f aca="false">Q$26*p_IVAint</f>
        <v>1965.8915545671</v>
      </c>
      <c r="R28" s="13" t="n">
        <f aca="false">R$26*p_IVAint</f>
        <v>1933.34058628034</v>
      </c>
      <c r="S28" s="13" t="n">
        <f aca="false">S$26*p_IVAint</f>
        <v>1900.54548573142</v>
      </c>
      <c r="T28" s="13" t="n">
        <f aca="false">T$26*p_IVAint</f>
        <v>1867.50442192839</v>
      </c>
      <c r="U28" s="13" t="n">
        <f aca="false">U$26*p_IVAint</f>
        <v>1834.21555014684</v>
      </c>
      <c r="V28" s="13" t="n">
        <f aca="false">V$26*p_IVAint</f>
        <v>1800.67701182693</v>
      </c>
      <c r="W28" s="13" t="n">
        <f aca="false">W$26*p_IVAint</f>
        <v>1766.88693446961</v>
      </c>
      <c r="X28" s="13" t="n">
        <f aca="false">X$26*p_IVAint</f>
        <v>1732.84343153212</v>
      </c>
      <c r="Y28" s="13" t="n">
        <f aca="false">Y$26*p_IVAint</f>
        <v>1698.54460232259</v>
      </c>
      <c r="Z28" s="13" t="n">
        <f aca="false">Z$26*p_IVAint</f>
        <v>1663.988531894</v>
      </c>
      <c r="AA28" s="13" t="n">
        <f aca="false">AA$26*p_IVAint</f>
        <v>1629.17329093719</v>
      </c>
      <c r="AB28" s="13" t="n">
        <f aca="false">AB$26*p_IVAint</f>
        <v>1594.0969356732</v>
      </c>
      <c r="AC28" s="13" t="n">
        <f aca="false">AC$26*p_IVAint</f>
        <v>1558.75750774473</v>
      </c>
      <c r="AD28" s="13" t="n">
        <f aca="false">AD$26*p_IVAint</f>
        <v>1523.1530341068</v>
      </c>
      <c r="AE28" s="13" t="n">
        <f aca="false">AE$26*p_IVAint</f>
        <v>1487.28152691659</v>
      </c>
      <c r="AF28" s="13" t="n">
        <f aca="false">AF$26*p_IVAint</f>
        <v>1451.14098342245</v>
      </c>
      <c r="AG28" s="13" t="n">
        <f aca="false">AG$26*p_IVAint</f>
        <v>1414.7293858521</v>
      </c>
      <c r="AH28" s="13" t="n">
        <f aca="false">AH$26*p_IVAint</f>
        <v>1378.04470129997</v>
      </c>
      <c r="AI28" s="13" t="n">
        <f aca="false">AI$26*p_IVAint</f>
        <v>1341.08488161371</v>
      </c>
      <c r="AJ28" s="13" t="n">
        <f aca="false">AJ$26*p_IVAint</f>
        <v>1303.84786327979</v>
      </c>
      <c r="AK28" s="13" t="n">
        <f aca="false">AK$26*p_IVAint</f>
        <v>1266.33156730838</v>
      </c>
      <c r="AL28" s="13" t="n">
        <f aca="false">AL$26*p_IVAint</f>
        <v>1228.53389911717</v>
      </c>
      <c r="AM28" s="13" t="n">
        <f aca="false">AM$26*p_IVAint</f>
        <v>1190.45274841454</v>
      </c>
      <c r="AN28" s="13" t="n">
        <f aca="false">AN$26*p_IVAint</f>
        <v>1152.08598908163</v>
      </c>
      <c r="AO28" s="13" t="n">
        <f aca="false">AO$26*p_IVAint</f>
        <v>1113.43147905373</v>
      </c>
      <c r="AP28" s="13" t="n">
        <f aca="false">AP$26*p_IVAint</f>
        <v>1074.48706020061</v>
      </c>
      <c r="AQ28" s="13" t="n">
        <f aca="false">AQ$26*p_IVAint</f>
        <v>1035.2505582061</v>
      </c>
      <c r="AR28" s="13" t="n">
        <f aca="false">AR$26*p_IVAint</f>
        <v>995.719782446632</v>
      </c>
      <c r="AS28" s="13" t="n">
        <f aca="false">AS$26*p_IVAint</f>
        <v>955.892525868966</v>
      </c>
      <c r="AT28" s="13" t="n">
        <f aca="false">AT$26*p_IVAint</f>
        <v>915.766564866968</v>
      </c>
      <c r="AU28" s="13" t="n">
        <f aca="false">AU$26*p_IVAint</f>
        <v>875.339659157454</v>
      </c>
      <c r="AV28" s="13" t="n">
        <f aca="false">AV$26*p_IVAint</f>
        <v>834.609551655119</v>
      </c>
      <c r="AW28" s="13" t="n">
        <f aca="false">AW$26*p_IVAint</f>
        <v>793.573968346517</v>
      </c>
      <c r="AX28" s="13" t="n">
        <f aca="false">AX$26*p_IVAint</f>
        <v>752.2306181631</v>
      </c>
      <c r="AY28" s="13" t="n">
        <f aca="false">AY$26*p_IVAint</f>
        <v>710.577192853307</v>
      </c>
      <c r="AZ28" s="13" t="n">
        <f aca="false">AZ$26*p_IVAint</f>
        <v>668.611366853691</v>
      </c>
      <c r="BA28" s="13" t="n">
        <f aca="false">BA$26*p_IVAint</f>
        <v>626.330797159078</v>
      </c>
      <c r="BB28" s="13" t="n">
        <f aca="false">BB$26*p_IVAint</f>
        <v>583.733123191755</v>
      </c>
      <c r="BC28" s="13" t="n">
        <f aca="false">BC$26*p_IVAint</f>
        <v>540.815966669678</v>
      </c>
      <c r="BD28" s="13" t="n">
        <f aca="false">BD$26*p_IVAint</f>
        <v>497.576931473684</v>
      </c>
      <c r="BE28" s="13" t="n">
        <f aca="false">BE$26*p_IVAint</f>
        <v>454.013603513721</v>
      </c>
      <c r="BF28" s="13" t="n">
        <f aca="false">BF$26*p_IVAint</f>
        <v>410.123550594058</v>
      </c>
      <c r="BG28" s="13" t="n">
        <f aca="false">BG$26*p_IVAint</f>
        <v>365.904322277498</v>
      </c>
      <c r="BH28" s="13" t="n">
        <f aca="false">BH$26*p_IVAint</f>
        <v>321.353449748563</v>
      </c>
      <c r="BI28" s="13" t="n">
        <f aca="false">BI$26*p_IVAint</f>
        <v>276.468445675662</v>
      </c>
      <c r="BJ28" s="13" t="n">
        <f aca="false">BJ$26*p_IVAint</f>
        <v>231.246804072213</v>
      </c>
      <c r="BK28" s="13" t="n">
        <f aca="false">BK$26*p_IVAint</f>
        <v>185.686000156739</v>
      </c>
      <c r="BL28" s="13" t="n">
        <f aca="false">BL$26*p_IVAint</f>
        <v>139.783490211899</v>
      </c>
      <c r="BM28" s="13" t="n">
        <f aca="false">BM$26*p_IVAint</f>
        <v>93.5367114424723</v>
      </c>
      <c r="BN28" s="13" t="n">
        <f aca="false">BN$26*p_IVAint</f>
        <v>46.943081832275</v>
      </c>
      <c r="BO28" s="13" t="n">
        <f aca="false">BO$26*p_IVAint</f>
        <v>0</v>
      </c>
      <c r="BP28" s="13" t="n">
        <f aca="false">BP$26*p_IVAint</f>
        <v>0</v>
      </c>
      <c r="BQ28" s="13" t="n">
        <f aca="false">BQ$26*p_IVAint</f>
        <v>0</v>
      </c>
      <c r="BR28" s="13" t="n">
        <f aca="false">BR$26*p_IVAint</f>
        <v>0</v>
      </c>
      <c r="BS28" s="13" t="n">
        <f aca="false">BS$26*p_IVAint</f>
        <v>0</v>
      </c>
      <c r="BT28" s="13" t="n">
        <f aca="false">BT$26*p_IVAint</f>
        <v>0</v>
      </c>
      <c r="BU28" s="13" t="n">
        <f aca="false">BU$26*p_IVAint</f>
        <v>0</v>
      </c>
      <c r="BV28" s="13" t="n">
        <f aca="false">BV$26*p_IVAint</f>
        <v>0</v>
      </c>
      <c r="BW28" s="13" t="n">
        <f aca="false">BW$26*p_IVAint</f>
        <v>0</v>
      </c>
      <c r="BX28" s="13" t="n">
        <f aca="false">BX$26*p_IVAint</f>
        <v>0</v>
      </c>
      <c r="BY28" s="13" t="n">
        <f aca="false">BY$26*p_IVAint</f>
        <v>0</v>
      </c>
      <c r="BZ28" s="13" t="n">
        <f aca="false">BZ$26*p_IVAint</f>
        <v>0</v>
      </c>
      <c r="CA28" s="13" t="n">
        <f aca="false">CA$26*p_IVAint</f>
        <v>0</v>
      </c>
      <c r="CB28" s="13" t="n">
        <f aca="false">CB$26*p_IVAint</f>
        <v>0</v>
      </c>
      <c r="CC28" s="13" t="n">
        <f aca="false">CC$26*p_IVAint</f>
        <v>0</v>
      </c>
      <c r="CD28" s="13" t="n">
        <f aca="false">CD$26*p_IVAint</f>
        <v>0</v>
      </c>
      <c r="CE28" s="13" t="n">
        <f aca="false">CE$26*p_IVAint</f>
        <v>0</v>
      </c>
      <c r="CF28" s="13" t="n">
        <f aca="false">CF$26*p_IVAint</f>
        <v>0</v>
      </c>
      <c r="CG28" s="13" t="n">
        <f aca="false">CG$26*p_IVAint</f>
        <v>0</v>
      </c>
      <c r="CH28" s="13" t="n">
        <f aca="false">CH$26*p_IVAint</f>
        <v>0</v>
      </c>
      <c r="CI28" s="13" t="n">
        <f aca="false">CI$26*p_IVAint</f>
        <v>0</v>
      </c>
      <c r="CJ28" s="13" t="n">
        <f aca="false">CJ$26*p_IVAint</f>
        <v>0</v>
      </c>
      <c r="CK28" s="13" t="n">
        <f aca="false">CK$26*p_IVAint</f>
        <v>0</v>
      </c>
      <c r="CL28" s="13" t="n">
        <f aca="false">CL$26*p_IVAint</f>
        <v>0</v>
      </c>
      <c r="CM28" s="13" t="n">
        <f aca="false">CM$26*p_IVAint</f>
        <v>0</v>
      </c>
      <c r="CN28" s="13" t="n">
        <f aca="false">CN$26*p_IVAint</f>
        <v>0</v>
      </c>
      <c r="CO28" s="13" t="n">
        <f aca="false">CO$26*p_IVAint</f>
        <v>0</v>
      </c>
      <c r="CP28" s="13" t="n">
        <f aca="false">CP$26*p_IVAint</f>
        <v>0</v>
      </c>
      <c r="CQ28" s="13" t="n">
        <f aca="false">CQ$26*p_IVAint</f>
        <v>0</v>
      </c>
      <c r="CR28" s="13" t="n">
        <f aca="false">CR$26*p_IVAint</f>
        <v>0</v>
      </c>
      <c r="CS28" s="13" t="n">
        <f aca="false">CS$26*p_IVAint</f>
        <v>0</v>
      </c>
      <c r="CT28" s="13" t="n">
        <f aca="false">CT$26*p_IVAint</f>
        <v>0</v>
      </c>
      <c r="CU28" s="13" t="n">
        <f aca="false">CU$26*p_IVAint</f>
        <v>0</v>
      </c>
      <c r="CV28" s="13" t="n">
        <f aca="false">CV$26*p_IVAint</f>
        <v>0</v>
      </c>
      <c r="CW28" s="13" t="n">
        <f aca="false">CW$26*p_IVAint</f>
        <v>0</v>
      </c>
      <c r="CX28" s="13" t="n">
        <f aca="false">CX$26*p_IVAint</f>
        <v>0</v>
      </c>
      <c r="CY28" s="13" t="n">
        <f aca="false">CY$26*p_IVAint</f>
        <v>0</v>
      </c>
      <c r="CZ28" s="13" t="n">
        <f aca="false">CZ$26*p_IVAint</f>
        <v>0</v>
      </c>
      <c r="DA28" s="13" t="n">
        <f aca="false">DA$26*p_IVAint</f>
        <v>0</v>
      </c>
      <c r="DB28" s="13" t="n">
        <f aca="false">DB$26*p_IVAint</f>
        <v>0</v>
      </c>
      <c r="DC28" s="13" t="n">
        <f aca="false">DC$26*p_IVAint</f>
        <v>0</v>
      </c>
      <c r="DD28" s="13" t="n">
        <f aca="false">DD$26*p_IVAint</f>
        <v>0</v>
      </c>
      <c r="DE28" s="13" t="n">
        <f aca="false">DE$26*p_IVAint</f>
        <v>0</v>
      </c>
      <c r="DF28" s="13" t="n">
        <f aca="false">DF$26*p_IVAint</f>
        <v>0</v>
      </c>
      <c r="DG28" s="13" t="n">
        <f aca="false">DG$26*p_IVAint</f>
        <v>0</v>
      </c>
      <c r="DH28" s="13" t="n">
        <f aca="false">DH$26*p_IVAint</f>
        <v>0</v>
      </c>
      <c r="DI28" s="13" t="n">
        <f aca="false">DI$26*p_IVAint</f>
        <v>0</v>
      </c>
      <c r="DJ28" s="13" t="n">
        <f aca="false">DJ$26*p_IVAint</f>
        <v>0</v>
      </c>
      <c r="DK28" s="13" t="n">
        <f aca="false">DK$26*p_IVAint</f>
        <v>0</v>
      </c>
      <c r="DL28" s="13" t="n">
        <f aca="false">DL$26*p_IVAint</f>
        <v>0</v>
      </c>
      <c r="DM28" s="13" t="n">
        <f aca="false">DM$26*p_IVAint</f>
        <v>0</v>
      </c>
      <c r="DN28" s="13" t="n">
        <f aca="false">DN$26*p_IVAint</f>
        <v>0</v>
      </c>
      <c r="DO28" s="13" t="n">
        <f aca="false">DO$26*p_IVAint</f>
        <v>0</v>
      </c>
      <c r="DP28" s="13" t="n">
        <f aca="false">DP$26*p_IVAint</f>
        <v>0</v>
      </c>
      <c r="DQ28" s="13" t="n">
        <f aca="false">DQ$26*p_IVAint</f>
        <v>0</v>
      </c>
      <c r="DR28" s="13" t="n">
        <f aca="false">DR$26*p_IVAint</f>
        <v>0</v>
      </c>
      <c r="DS28" s="13" t="n">
        <f aca="false">DS$26*p_IVAint</f>
        <v>0</v>
      </c>
      <c r="DT28" s="13" t="n">
        <f aca="false">DT$26*p_IVAint</f>
        <v>0</v>
      </c>
      <c r="DU28" s="13" t="n">
        <f aca="false">DU$26*p_IVAint</f>
        <v>0</v>
      </c>
      <c r="DV28" s="13" t="n">
        <f aca="false">DV$26*p_IVAint</f>
        <v>0</v>
      </c>
      <c r="DW28" s="13" t="n">
        <f aca="false">DW$26*p_IVAint</f>
        <v>0</v>
      </c>
      <c r="DX28" s="13" t="n">
        <f aca="false">DX$26*p_IVAint</f>
        <v>0</v>
      </c>
      <c r="DY28" s="13" t="n">
        <f aca="false">DY$26*p_IVAint</f>
        <v>0</v>
      </c>
      <c r="DZ28" s="13" t="n">
        <f aca="false">DZ$26*p_IVAint</f>
        <v>0</v>
      </c>
      <c r="EA28" s="13" t="n">
        <f aca="false">EA$26*p_IVAint</f>
        <v>0</v>
      </c>
      <c r="EB28" s="13" t="n">
        <f aca="false">EB$26*p_IVAint</f>
        <v>0</v>
      </c>
      <c r="EC28" s="13" t="n">
        <f aca="false">EC$26*p_IVAint</f>
        <v>0</v>
      </c>
      <c r="ED28" s="13" t="n">
        <f aca="false">ED$26*p_IVAint</f>
        <v>0</v>
      </c>
      <c r="EE28" s="13" t="n">
        <f aca="false">EE$26*p_IVAint</f>
        <v>0</v>
      </c>
      <c r="EF28" s="13" t="n">
        <f aca="false">EF$26*p_IVAint</f>
        <v>0</v>
      </c>
      <c r="EG28" s="13" t="n">
        <f aca="false">EG$26*p_IVAint</f>
        <v>0</v>
      </c>
      <c r="EH28" s="13" t="n">
        <f aca="false">EH$26*p_IVAint</f>
        <v>0</v>
      </c>
      <c r="EI28" s="13" t="n">
        <f aca="false">EI$26*p_IVAint</f>
        <v>0</v>
      </c>
      <c r="EJ28" s="13" t="n">
        <f aca="false">EJ$26*p_IVAint</f>
        <v>0</v>
      </c>
      <c r="EK28" s="13" t="n">
        <f aca="false">EK$26*p_IVAint</f>
        <v>0</v>
      </c>
      <c r="EL28" s="13" t="n">
        <f aca="false">EL$26*p_IVAint</f>
        <v>0</v>
      </c>
      <c r="EM28" s="13" t="n">
        <f aca="false">EM$26*p_IVAint</f>
        <v>0</v>
      </c>
      <c r="EN28" s="13" t="n">
        <f aca="false">EN$26*p_IVAint</f>
        <v>0</v>
      </c>
      <c r="EO28" s="13" t="n">
        <f aca="false">EO$26*p_IVAint</f>
        <v>0</v>
      </c>
      <c r="EP28" s="13" t="n">
        <f aca="false">EP$26*p_IVAint</f>
        <v>0</v>
      </c>
      <c r="EQ28" s="13" t="n">
        <f aca="false">EQ$26*p_IVAint</f>
        <v>0</v>
      </c>
      <c r="ER28" s="13" t="n">
        <f aca="false">ER$26*p_IVAint</f>
        <v>0</v>
      </c>
      <c r="ES28" s="13" t="n">
        <f aca="false">ES$26*p_IVAint</f>
        <v>0</v>
      </c>
      <c r="ET28" s="13" t="n">
        <f aca="false">ET$26*p_IVAint</f>
        <v>0</v>
      </c>
      <c r="EU28" s="13" t="n">
        <f aca="false">EU$26*p_IVAint</f>
        <v>0</v>
      </c>
      <c r="EV28" s="13" t="n">
        <f aca="false">EV$26*p_IVAint</f>
        <v>0</v>
      </c>
      <c r="EW28" s="13" t="n">
        <f aca="false">EW$26*p_IVAint</f>
        <v>0</v>
      </c>
      <c r="EX28" s="13" t="n">
        <f aca="false">EX$26*p_IVAint</f>
        <v>0</v>
      </c>
      <c r="EY28" s="13" t="n">
        <f aca="false">EY$26*p_IVAint</f>
        <v>0</v>
      </c>
      <c r="EZ28" s="13" t="n">
        <f aca="false">EZ$26*p_IVAint</f>
        <v>0</v>
      </c>
      <c r="FA28" s="13" t="n">
        <f aca="false">FA$26*p_IVAint</f>
        <v>0</v>
      </c>
      <c r="FB28" s="13" t="n">
        <f aca="false">FB$26*p_IVAint</f>
        <v>0</v>
      </c>
      <c r="FC28" s="13" t="n">
        <f aca="false">FC$26*p_IVAint</f>
        <v>0</v>
      </c>
      <c r="FD28" s="13" t="n">
        <f aca="false">FD$26*p_IVAint</f>
        <v>0</v>
      </c>
      <c r="FE28" s="13" t="n">
        <f aca="false">FE$26*p_IVAint</f>
        <v>0</v>
      </c>
      <c r="FF28" s="13" t="n">
        <f aca="false">FF$26*p_IVAint</f>
        <v>0</v>
      </c>
    </row>
    <row r="29" customFormat="false" ht="15" hidden="false" customHeight="false" outlineLevel="0" collapsed="false">
      <c r="A29" s="2" t="s">
        <v>1414</v>
      </c>
      <c r="B29" s="8" t="s">
        <v>1415</v>
      </c>
      <c r="C29" s="8" t="s">
        <v>255</v>
      </c>
      <c r="E29" s="65" t="n">
        <f aca="false">SUM($F29:$FF29)</f>
        <v>0</v>
      </c>
      <c r="F29" s="13" t="n">
        <f aca="false">IF(F$21=0,p_L1_Monto*p_L1_Com,0)</f>
        <v>0</v>
      </c>
      <c r="G29" s="13" t="n">
        <f aca="false">IF(G$21=0,p_L1_Monto*p_L1_Com,0)</f>
        <v>0</v>
      </c>
      <c r="H29" s="13" t="n">
        <f aca="false">IF(H$21=0,p_L1_Monto*p_L1_Com,0)</f>
        <v>0</v>
      </c>
      <c r="I29" s="13" t="n">
        <f aca="false">IF(I$21=0,p_L1_Monto*p_L1_Com,0)</f>
        <v>0</v>
      </c>
      <c r="J29" s="13" t="n">
        <f aca="false">IF(J$21=0,p_L1_Monto*p_L1_Com,0)</f>
        <v>0</v>
      </c>
      <c r="K29" s="13" t="n">
        <f aca="false">IF(K$21=0,p_L1_Monto*p_L1_Com,0)</f>
        <v>0</v>
      </c>
      <c r="L29" s="13" t="n">
        <f aca="false">IF(L$21=0,p_L1_Monto*p_L1_Com,0)</f>
        <v>0</v>
      </c>
      <c r="M29" s="13" t="n">
        <f aca="false">IF(M$21=0,p_L1_Monto*p_L1_Com,0)</f>
        <v>0</v>
      </c>
      <c r="N29" s="13" t="n">
        <f aca="false">IF(N$21=0,p_L1_Monto*p_L1_Com,0)</f>
        <v>0</v>
      </c>
      <c r="O29" s="13" t="n">
        <f aca="false">IF(O$21=0,p_L1_Monto*p_L1_Com,0)</f>
        <v>0</v>
      </c>
      <c r="P29" s="13" t="n">
        <f aca="false">IF(P$21=0,p_L1_Monto*p_L1_Com,0)</f>
        <v>0</v>
      </c>
      <c r="Q29" s="13" t="n">
        <f aca="false">IF(Q$21=0,p_L1_Monto*p_L1_Com,0)</f>
        <v>0</v>
      </c>
      <c r="R29" s="13" t="n">
        <f aca="false">IF(R$21=0,p_L1_Monto*p_L1_Com,0)</f>
        <v>0</v>
      </c>
      <c r="S29" s="13" t="n">
        <f aca="false">IF(S$21=0,p_L1_Monto*p_L1_Com,0)</f>
        <v>0</v>
      </c>
      <c r="T29" s="13" t="n">
        <f aca="false">IF(T$21=0,p_L1_Monto*p_L1_Com,0)</f>
        <v>0</v>
      </c>
      <c r="U29" s="13" t="n">
        <f aca="false">IF(U$21=0,p_L1_Monto*p_L1_Com,0)</f>
        <v>0</v>
      </c>
      <c r="V29" s="13" t="n">
        <f aca="false">IF(V$21=0,p_L1_Monto*p_L1_Com,0)</f>
        <v>0</v>
      </c>
      <c r="W29" s="13" t="n">
        <f aca="false">IF(W$21=0,p_L1_Monto*p_L1_Com,0)</f>
        <v>0</v>
      </c>
      <c r="X29" s="13" t="n">
        <f aca="false">IF(X$21=0,p_L1_Monto*p_L1_Com,0)</f>
        <v>0</v>
      </c>
      <c r="Y29" s="13" t="n">
        <f aca="false">IF(Y$21=0,p_L1_Monto*p_L1_Com,0)</f>
        <v>0</v>
      </c>
      <c r="Z29" s="13" t="n">
        <f aca="false">IF(Z$21=0,p_L1_Monto*p_L1_Com,0)</f>
        <v>0</v>
      </c>
      <c r="AA29" s="13" t="n">
        <f aca="false">IF(AA$21=0,p_L1_Monto*p_L1_Com,0)</f>
        <v>0</v>
      </c>
      <c r="AB29" s="13" t="n">
        <f aca="false">IF(AB$21=0,p_L1_Monto*p_L1_Com,0)</f>
        <v>0</v>
      </c>
      <c r="AC29" s="13" t="n">
        <f aca="false">IF(AC$21=0,p_L1_Monto*p_L1_Com,0)</f>
        <v>0</v>
      </c>
      <c r="AD29" s="13" t="n">
        <f aca="false">IF(AD$21=0,p_L1_Monto*p_L1_Com,0)</f>
        <v>0</v>
      </c>
      <c r="AE29" s="13" t="n">
        <f aca="false">IF(AE$21=0,p_L1_Monto*p_L1_Com,0)</f>
        <v>0</v>
      </c>
      <c r="AF29" s="13" t="n">
        <f aca="false">IF(AF$21=0,p_L1_Monto*p_L1_Com,0)</f>
        <v>0</v>
      </c>
      <c r="AG29" s="13" t="n">
        <f aca="false">IF(AG$21=0,p_L1_Monto*p_L1_Com,0)</f>
        <v>0</v>
      </c>
      <c r="AH29" s="13" t="n">
        <f aca="false">IF(AH$21=0,p_L1_Monto*p_L1_Com,0)</f>
        <v>0</v>
      </c>
      <c r="AI29" s="13" t="n">
        <f aca="false">IF(AI$21=0,p_L1_Monto*p_L1_Com,0)</f>
        <v>0</v>
      </c>
      <c r="AJ29" s="13" t="n">
        <f aca="false">IF(AJ$21=0,p_L1_Monto*p_L1_Com,0)</f>
        <v>0</v>
      </c>
      <c r="AK29" s="13" t="n">
        <f aca="false">IF(AK$21=0,p_L1_Monto*p_L1_Com,0)</f>
        <v>0</v>
      </c>
      <c r="AL29" s="13" t="n">
        <f aca="false">IF(AL$21=0,p_L1_Monto*p_L1_Com,0)</f>
        <v>0</v>
      </c>
      <c r="AM29" s="13" t="n">
        <f aca="false">IF(AM$21=0,p_L1_Monto*p_L1_Com,0)</f>
        <v>0</v>
      </c>
      <c r="AN29" s="13" t="n">
        <f aca="false">IF(AN$21=0,p_L1_Monto*p_L1_Com,0)</f>
        <v>0</v>
      </c>
      <c r="AO29" s="13" t="n">
        <f aca="false">IF(AO$21=0,p_L1_Monto*p_L1_Com,0)</f>
        <v>0</v>
      </c>
      <c r="AP29" s="13" t="n">
        <f aca="false">IF(AP$21=0,p_L1_Monto*p_L1_Com,0)</f>
        <v>0</v>
      </c>
      <c r="AQ29" s="13" t="n">
        <f aca="false">IF(AQ$21=0,p_L1_Monto*p_L1_Com,0)</f>
        <v>0</v>
      </c>
      <c r="AR29" s="13" t="n">
        <f aca="false">IF(AR$21=0,p_L1_Monto*p_L1_Com,0)</f>
        <v>0</v>
      </c>
      <c r="AS29" s="13" t="n">
        <f aca="false">IF(AS$21=0,p_L1_Monto*p_L1_Com,0)</f>
        <v>0</v>
      </c>
      <c r="AT29" s="13" t="n">
        <f aca="false">IF(AT$21=0,p_L1_Monto*p_L1_Com,0)</f>
        <v>0</v>
      </c>
      <c r="AU29" s="13" t="n">
        <f aca="false">IF(AU$21=0,p_L1_Monto*p_L1_Com,0)</f>
        <v>0</v>
      </c>
      <c r="AV29" s="13" t="n">
        <f aca="false">IF(AV$21=0,p_L1_Monto*p_L1_Com,0)</f>
        <v>0</v>
      </c>
      <c r="AW29" s="13" t="n">
        <f aca="false">IF(AW$21=0,p_L1_Monto*p_L1_Com,0)</f>
        <v>0</v>
      </c>
      <c r="AX29" s="13" t="n">
        <f aca="false">IF(AX$21=0,p_L1_Monto*p_L1_Com,0)</f>
        <v>0</v>
      </c>
      <c r="AY29" s="13" t="n">
        <f aca="false">IF(AY$21=0,p_L1_Monto*p_L1_Com,0)</f>
        <v>0</v>
      </c>
      <c r="AZ29" s="13" t="n">
        <f aca="false">IF(AZ$21=0,p_L1_Monto*p_L1_Com,0)</f>
        <v>0</v>
      </c>
      <c r="BA29" s="13" t="n">
        <f aca="false">IF(BA$21=0,p_L1_Monto*p_L1_Com,0)</f>
        <v>0</v>
      </c>
      <c r="BB29" s="13" t="n">
        <f aca="false">IF(BB$21=0,p_L1_Monto*p_L1_Com,0)</f>
        <v>0</v>
      </c>
      <c r="BC29" s="13" t="n">
        <f aca="false">IF(BC$21=0,p_L1_Monto*p_L1_Com,0)</f>
        <v>0</v>
      </c>
      <c r="BD29" s="13" t="n">
        <f aca="false">IF(BD$21=0,p_L1_Monto*p_L1_Com,0)</f>
        <v>0</v>
      </c>
      <c r="BE29" s="13" t="n">
        <f aca="false">IF(BE$21=0,p_L1_Monto*p_L1_Com,0)</f>
        <v>0</v>
      </c>
      <c r="BF29" s="13" t="n">
        <f aca="false">IF(BF$21=0,p_L1_Monto*p_L1_Com,0)</f>
        <v>0</v>
      </c>
      <c r="BG29" s="13" t="n">
        <f aca="false">IF(BG$21=0,p_L1_Monto*p_L1_Com,0)</f>
        <v>0</v>
      </c>
      <c r="BH29" s="13" t="n">
        <f aca="false">IF(BH$21=0,p_L1_Monto*p_L1_Com,0)</f>
        <v>0</v>
      </c>
      <c r="BI29" s="13" t="n">
        <f aca="false">IF(BI$21=0,p_L1_Monto*p_L1_Com,0)</f>
        <v>0</v>
      </c>
      <c r="BJ29" s="13" t="n">
        <f aca="false">IF(BJ$21=0,p_L1_Monto*p_L1_Com,0)</f>
        <v>0</v>
      </c>
      <c r="BK29" s="13" t="n">
        <f aca="false">IF(BK$21=0,p_L1_Monto*p_L1_Com,0)</f>
        <v>0</v>
      </c>
      <c r="BL29" s="13" t="n">
        <f aca="false">IF(BL$21=0,p_L1_Monto*p_L1_Com,0)</f>
        <v>0</v>
      </c>
      <c r="BM29" s="13" t="n">
        <f aca="false">IF(BM$21=0,p_L1_Monto*p_L1_Com,0)</f>
        <v>0</v>
      </c>
      <c r="BN29" s="13" t="n">
        <f aca="false">IF(BN$21=0,p_L1_Monto*p_L1_Com,0)</f>
        <v>0</v>
      </c>
      <c r="BO29" s="13" t="n">
        <f aca="false">IF(BO$21=0,p_L1_Monto*p_L1_Com,0)</f>
        <v>0</v>
      </c>
      <c r="BP29" s="13" t="n">
        <f aca="false">IF(BP$21=0,p_L1_Monto*p_L1_Com,0)</f>
        <v>0</v>
      </c>
      <c r="BQ29" s="13" t="n">
        <f aca="false">IF(BQ$21=0,p_L1_Monto*p_L1_Com,0)</f>
        <v>0</v>
      </c>
      <c r="BR29" s="13" t="n">
        <f aca="false">IF(BR$21=0,p_L1_Monto*p_L1_Com,0)</f>
        <v>0</v>
      </c>
      <c r="BS29" s="13" t="n">
        <f aca="false">IF(BS$21=0,p_L1_Monto*p_L1_Com,0)</f>
        <v>0</v>
      </c>
      <c r="BT29" s="13" t="n">
        <f aca="false">IF(BT$21=0,p_L1_Monto*p_L1_Com,0)</f>
        <v>0</v>
      </c>
      <c r="BU29" s="13" t="n">
        <f aca="false">IF(BU$21=0,p_L1_Monto*p_L1_Com,0)</f>
        <v>0</v>
      </c>
      <c r="BV29" s="13" t="n">
        <f aca="false">IF(BV$21=0,p_L1_Monto*p_L1_Com,0)</f>
        <v>0</v>
      </c>
      <c r="BW29" s="13" t="n">
        <f aca="false">IF(BW$21=0,p_L1_Monto*p_L1_Com,0)</f>
        <v>0</v>
      </c>
      <c r="BX29" s="13" t="n">
        <f aca="false">IF(BX$21=0,p_L1_Monto*p_L1_Com,0)</f>
        <v>0</v>
      </c>
      <c r="BY29" s="13" t="n">
        <f aca="false">IF(BY$21=0,p_L1_Monto*p_L1_Com,0)</f>
        <v>0</v>
      </c>
      <c r="BZ29" s="13" t="n">
        <f aca="false">IF(BZ$21=0,p_L1_Monto*p_L1_Com,0)</f>
        <v>0</v>
      </c>
      <c r="CA29" s="13" t="n">
        <f aca="false">IF(CA$21=0,p_L1_Monto*p_L1_Com,0)</f>
        <v>0</v>
      </c>
      <c r="CB29" s="13" t="n">
        <f aca="false">IF(CB$21=0,p_L1_Monto*p_L1_Com,0)</f>
        <v>0</v>
      </c>
      <c r="CC29" s="13" t="n">
        <f aca="false">IF(CC$21=0,p_L1_Monto*p_L1_Com,0)</f>
        <v>0</v>
      </c>
      <c r="CD29" s="13" t="n">
        <f aca="false">IF(CD$21=0,p_L1_Monto*p_L1_Com,0)</f>
        <v>0</v>
      </c>
      <c r="CE29" s="13" t="n">
        <f aca="false">IF(CE$21=0,p_L1_Monto*p_L1_Com,0)</f>
        <v>0</v>
      </c>
      <c r="CF29" s="13" t="n">
        <f aca="false">IF(CF$21=0,p_L1_Monto*p_L1_Com,0)</f>
        <v>0</v>
      </c>
      <c r="CG29" s="13" t="n">
        <f aca="false">IF(CG$21=0,p_L1_Monto*p_L1_Com,0)</f>
        <v>0</v>
      </c>
      <c r="CH29" s="13" t="n">
        <f aca="false">IF(CH$21=0,p_L1_Monto*p_L1_Com,0)</f>
        <v>0</v>
      </c>
      <c r="CI29" s="13" t="n">
        <f aca="false">IF(CI$21=0,p_L1_Monto*p_L1_Com,0)</f>
        <v>0</v>
      </c>
      <c r="CJ29" s="13" t="n">
        <f aca="false">IF(CJ$21=0,p_L1_Monto*p_L1_Com,0)</f>
        <v>0</v>
      </c>
      <c r="CK29" s="13" t="n">
        <f aca="false">IF(CK$21=0,p_L1_Monto*p_L1_Com,0)</f>
        <v>0</v>
      </c>
      <c r="CL29" s="13" t="n">
        <f aca="false">IF(CL$21=0,p_L1_Monto*p_L1_Com,0)</f>
        <v>0</v>
      </c>
      <c r="CM29" s="13" t="n">
        <f aca="false">IF(CM$21=0,p_L1_Monto*p_L1_Com,0)</f>
        <v>0</v>
      </c>
      <c r="CN29" s="13" t="n">
        <f aca="false">IF(CN$21=0,p_L1_Monto*p_L1_Com,0)</f>
        <v>0</v>
      </c>
      <c r="CO29" s="13" t="n">
        <f aca="false">IF(CO$21=0,p_L1_Monto*p_L1_Com,0)</f>
        <v>0</v>
      </c>
      <c r="CP29" s="13" t="n">
        <f aca="false">IF(CP$21=0,p_L1_Monto*p_L1_Com,0)</f>
        <v>0</v>
      </c>
      <c r="CQ29" s="13" t="n">
        <f aca="false">IF(CQ$21=0,p_L1_Monto*p_L1_Com,0)</f>
        <v>0</v>
      </c>
      <c r="CR29" s="13" t="n">
        <f aca="false">IF(CR$21=0,p_L1_Monto*p_L1_Com,0)</f>
        <v>0</v>
      </c>
      <c r="CS29" s="13" t="n">
        <f aca="false">IF(CS$21=0,p_L1_Monto*p_L1_Com,0)</f>
        <v>0</v>
      </c>
      <c r="CT29" s="13" t="n">
        <f aca="false">IF(CT$21=0,p_L1_Monto*p_L1_Com,0)</f>
        <v>0</v>
      </c>
      <c r="CU29" s="13" t="n">
        <f aca="false">IF(CU$21=0,p_L1_Monto*p_L1_Com,0)</f>
        <v>0</v>
      </c>
      <c r="CV29" s="13" t="n">
        <f aca="false">IF(CV$21=0,p_L1_Monto*p_L1_Com,0)</f>
        <v>0</v>
      </c>
      <c r="CW29" s="13" t="n">
        <f aca="false">IF(CW$21=0,p_L1_Monto*p_L1_Com,0)</f>
        <v>0</v>
      </c>
      <c r="CX29" s="13" t="n">
        <f aca="false">IF(CX$21=0,p_L1_Monto*p_L1_Com,0)</f>
        <v>0</v>
      </c>
      <c r="CY29" s="13" t="n">
        <f aca="false">IF(CY$21=0,p_L1_Monto*p_L1_Com,0)</f>
        <v>0</v>
      </c>
      <c r="CZ29" s="13" t="n">
        <f aca="false">IF(CZ$21=0,p_L1_Monto*p_L1_Com,0)</f>
        <v>0</v>
      </c>
      <c r="DA29" s="13" t="n">
        <f aca="false">IF(DA$21=0,p_L1_Monto*p_L1_Com,0)</f>
        <v>0</v>
      </c>
      <c r="DB29" s="13" t="n">
        <f aca="false">IF(DB$21=0,p_L1_Monto*p_L1_Com,0)</f>
        <v>0</v>
      </c>
      <c r="DC29" s="13" t="n">
        <f aca="false">IF(DC$21=0,p_L1_Monto*p_L1_Com,0)</f>
        <v>0</v>
      </c>
      <c r="DD29" s="13" t="n">
        <f aca="false">IF(DD$21=0,p_L1_Monto*p_L1_Com,0)</f>
        <v>0</v>
      </c>
      <c r="DE29" s="13" t="n">
        <f aca="false">IF(DE$21=0,p_L1_Monto*p_L1_Com,0)</f>
        <v>0</v>
      </c>
      <c r="DF29" s="13" t="n">
        <f aca="false">IF(DF$21=0,p_L1_Monto*p_L1_Com,0)</f>
        <v>0</v>
      </c>
      <c r="DG29" s="13" t="n">
        <f aca="false">IF(DG$21=0,p_L1_Monto*p_L1_Com,0)</f>
        <v>0</v>
      </c>
      <c r="DH29" s="13" t="n">
        <f aca="false">IF(DH$21=0,p_L1_Monto*p_L1_Com,0)</f>
        <v>0</v>
      </c>
      <c r="DI29" s="13" t="n">
        <f aca="false">IF(DI$21=0,p_L1_Monto*p_L1_Com,0)</f>
        <v>0</v>
      </c>
      <c r="DJ29" s="13" t="n">
        <f aca="false">IF(DJ$21=0,p_L1_Monto*p_L1_Com,0)</f>
        <v>0</v>
      </c>
      <c r="DK29" s="13" t="n">
        <f aca="false">IF(DK$21=0,p_L1_Monto*p_L1_Com,0)</f>
        <v>0</v>
      </c>
      <c r="DL29" s="13" t="n">
        <f aca="false">IF(DL$21=0,p_L1_Monto*p_L1_Com,0)</f>
        <v>0</v>
      </c>
      <c r="DM29" s="13" t="n">
        <f aca="false">IF(DM$21=0,p_L1_Monto*p_L1_Com,0)</f>
        <v>0</v>
      </c>
      <c r="DN29" s="13" t="n">
        <f aca="false">IF(DN$21=0,p_L1_Monto*p_L1_Com,0)</f>
        <v>0</v>
      </c>
      <c r="DO29" s="13" t="n">
        <f aca="false">IF(DO$21=0,p_L1_Monto*p_L1_Com,0)</f>
        <v>0</v>
      </c>
      <c r="DP29" s="13" t="n">
        <f aca="false">IF(DP$21=0,p_L1_Monto*p_L1_Com,0)</f>
        <v>0</v>
      </c>
      <c r="DQ29" s="13" t="n">
        <f aca="false">IF(DQ$21=0,p_L1_Monto*p_L1_Com,0)</f>
        <v>0</v>
      </c>
      <c r="DR29" s="13" t="n">
        <f aca="false">IF(DR$21=0,p_L1_Monto*p_L1_Com,0)</f>
        <v>0</v>
      </c>
      <c r="DS29" s="13" t="n">
        <f aca="false">IF(DS$21=0,p_L1_Monto*p_L1_Com,0)</f>
        <v>0</v>
      </c>
      <c r="DT29" s="13" t="n">
        <f aca="false">IF(DT$21=0,p_L1_Monto*p_L1_Com,0)</f>
        <v>0</v>
      </c>
      <c r="DU29" s="13" t="n">
        <f aca="false">IF(DU$21=0,p_L1_Monto*p_L1_Com,0)</f>
        <v>0</v>
      </c>
      <c r="DV29" s="13" t="n">
        <f aca="false">IF(DV$21=0,p_L1_Monto*p_L1_Com,0)</f>
        <v>0</v>
      </c>
      <c r="DW29" s="13" t="n">
        <f aca="false">IF(DW$21=0,p_L1_Monto*p_L1_Com,0)</f>
        <v>0</v>
      </c>
      <c r="DX29" s="13" t="n">
        <f aca="false">IF(DX$21=0,p_L1_Monto*p_L1_Com,0)</f>
        <v>0</v>
      </c>
      <c r="DY29" s="13" t="n">
        <f aca="false">IF(DY$21=0,p_L1_Monto*p_L1_Com,0)</f>
        <v>0</v>
      </c>
      <c r="DZ29" s="13" t="n">
        <f aca="false">IF(DZ$21=0,p_L1_Monto*p_L1_Com,0)</f>
        <v>0</v>
      </c>
      <c r="EA29" s="13" t="n">
        <f aca="false">IF(EA$21=0,p_L1_Monto*p_L1_Com,0)</f>
        <v>0</v>
      </c>
      <c r="EB29" s="13" t="n">
        <f aca="false">IF(EB$21=0,p_L1_Monto*p_L1_Com,0)</f>
        <v>0</v>
      </c>
      <c r="EC29" s="13" t="n">
        <f aca="false">IF(EC$21=0,p_L1_Monto*p_L1_Com,0)</f>
        <v>0</v>
      </c>
      <c r="ED29" s="13" t="n">
        <f aca="false">IF(ED$21=0,p_L1_Monto*p_L1_Com,0)</f>
        <v>0</v>
      </c>
      <c r="EE29" s="13" t="n">
        <f aca="false">IF(EE$21=0,p_L1_Monto*p_L1_Com,0)</f>
        <v>0</v>
      </c>
      <c r="EF29" s="13" t="n">
        <f aca="false">IF(EF$21=0,p_L1_Monto*p_L1_Com,0)</f>
        <v>0</v>
      </c>
      <c r="EG29" s="13" t="n">
        <f aca="false">IF(EG$21=0,p_L1_Monto*p_L1_Com,0)</f>
        <v>0</v>
      </c>
      <c r="EH29" s="13" t="n">
        <f aca="false">IF(EH$21=0,p_L1_Monto*p_L1_Com,0)</f>
        <v>0</v>
      </c>
      <c r="EI29" s="13" t="n">
        <f aca="false">IF(EI$21=0,p_L1_Monto*p_L1_Com,0)</f>
        <v>0</v>
      </c>
      <c r="EJ29" s="13" t="n">
        <f aca="false">IF(EJ$21=0,p_L1_Monto*p_L1_Com,0)</f>
        <v>0</v>
      </c>
      <c r="EK29" s="13" t="n">
        <f aca="false">IF(EK$21=0,p_L1_Monto*p_L1_Com,0)</f>
        <v>0</v>
      </c>
      <c r="EL29" s="13" t="n">
        <f aca="false">IF(EL$21=0,p_L1_Monto*p_L1_Com,0)</f>
        <v>0</v>
      </c>
      <c r="EM29" s="13" t="n">
        <f aca="false">IF(EM$21=0,p_L1_Monto*p_L1_Com,0)</f>
        <v>0</v>
      </c>
      <c r="EN29" s="13" t="n">
        <f aca="false">IF(EN$21=0,p_L1_Monto*p_L1_Com,0)</f>
        <v>0</v>
      </c>
      <c r="EO29" s="13" t="n">
        <f aca="false">IF(EO$21=0,p_L1_Monto*p_L1_Com,0)</f>
        <v>0</v>
      </c>
      <c r="EP29" s="13" t="n">
        <f aca="false">IF(EP$21=0,p_L1_Monto*p_L1_Com,0)</f>
        <v>0</v>
      </c>
      <c r="EQ29" s="13" t="n">
        <f aca="false">IF(EQ$21=0,p_L1_Monto*p_L1_Com,0)</f>
        <v>0</v>
      </c>
      <c r="ER29" s="13" t="n">
        <f aca="false">IF(ER$21=0,p_L1_Monto*p_L1_Com,0)</f>
        <v>0</v>
      </c>
      <c r="ES29" s="13" t="n">
        <f aca="false">IF(ES$21=0,p_L1_Monto*p_L1_Com,0)</f>
        <v>0</v>
      </c>
      <c r="ET29" s="13" t="n">
        <f aca="false">IF(ET$21=0,p_L1_Monto*p_L1_Com,0)</f>
        <v>0</v>
      </c>
      <c r="EU29" s="13" t="n">
        <f aca="false">IF(EU$21=0,p_L1_Monto*p_L1_Com,0)</f>
        <v>0</v>
      </c>
      <c r="EV29" s="13" t="n">
        <f aca="false">IF(EV$21=0,p_L1_Monto*p_L1_Com,0)</f>
        <v>0</v>
      </c>
      <c r="EW29" s="13" t="n">
        <f aca="false">IF(EW$21=0,p_L1_Monto*p_L1_Com,0)</f>
        <v>0</v>
      </c>
      <c r="EX29" s="13" t="n">
        <f aca="false">IF(EX$21=0,p_L1_Monto*p_L1_Com,0)</f>
        <v>0</v>
      </c>
      <c r="EY29" s="13" t="n">
        <f aca="false">IF(EY$21=0,p_L1_Monto*p_L1_Com,0)</f>
        <v>0</v>
      </c>
      <c r="EZ29" s="13" t="n">
        <f aca="false">IF(EZ$21=0,p_L1_Monto*p_L1_Com,0)</f>
        <v>0</v>
      </c>
      <c r="FA29" s="13" t="n">
        <f aca="false">IF(FA$21=0,p_L1_Monto*p_L1_Com,0)</f>
        <v>0</v>
      </c>
      <c r="FB29" s="13" t="n">
        <f aca="false">IF(FB$21=0,p_L1_Monto*p_L1_Com,0)</f>
        <v>0</v>
      </c>
      <c r="FC29" s="13" t="n">
        <f aca="false">IF(FC$21=0,p_L1_Monto*p_L1_Com,0)</f>
        <v>0</v>
      </c>
      <c r="FD29" s="13" t="n">
        <f aca="false">IF(FD$21=0,p_L1_Monto*p_L1_Com,0)</f>
        <v>0</v>
      </c>
      <c r="FE29" s="13" t="n">
        <f aca="false">IF(FE$21=0,p_L1_Monto*p_L1_Com,0)</f>
        <v>0</v>
      </c>
      <c r="FF29" s="13" t="n">
        <f aca="false">IF(FF$21=0,p_L1_Monto*p_L1_Com,0)</f>
        <v>0</v>
      </c>
    </row>
    <row r="30" customFormat="false" ht="15" hidden="false" customHeight="false" outlineLevel="0" collapsed="false">
      <c r="A30" s="2" t="s">
        <v>1416</v>
      </c>
      <c r="B30" s="8" t="s">
        <v>1417</v>
      </c>
      <c r="C30" s="8" t="s">
        <v>255</v>
      </c>
      <c r="F30" s="13" t="n">
        <f aca="false">F$25+F$24-F$27</f>
        <v>2791587</v>
      </c>
      <c r="G30" s="13" t="n">
        <f aca="false">G$25+G$24-G$27</f>
        <v>2791587</v>
      </c>
      <c r="H30" s="13" t="n">
        <f aca="false">H$25+H$24-H$27</f>
        <v>2791587</v>
      </c>
      <c r="I30" s="13" t="n">
        <f aca="false">I$25+I$24-I$27</f>
        <v>2791587</v>
      </c>
      <c r="J30" s="13" t="n">
        <f aca="false">J$25+J$24-J$27</f>
        <v>2791587</v>
      </c>
      <c r="K30" s="13" t="n">
        <f aca="false">K$25+K$24-K$27</f>
        <v>2791587</v>
      </c>
      <c r="L30" s="13" t="n">
        <f aca="false">L$25+L$24-L$27</f>
        <v>2791587</v>
      </c>
      <c r="M30" s="13" t="n">
        <f aca="false">M$25+M$24-M$27</f>
        <v>2749463.69590531</v>
      </c>
      <c r="N30" s="13" t="n">
        <f aca="false">N$25+N$24-N$27</f>
        <v>2707024.46702991</v>
      </c>
      <c r="O30" s="13" t="n">
        <f aca="false">O$25+O$24-O$27</f>
        <v>2664266.94393795</v>
      </c>
      <c r="P30" s="13" t="n">
        <f aca="false">P$25+P$24-P$27</f>
        <v>2621188.7394228</v>
      </c>
      <c r="Q30" s="13" t="n">
        <f aca="false">Q$25+Q$24-Q$27</f>
        <v>2577787.44837378</v>
      </c>
      <c r="R30" s="13" t="n">
        <f aca="false">R$25+R$24-R$27</f>
        <v>2534060.6476419</v>
      </c>
      <c r="S30" s="13" t="n">
        <f aca="false">S$25+S$24-S$27</f>
        <v>2490005.89590452</v>
      </c>
      <c r="T30" s="13" t="n">
        <f aca="false">T$25+T$24-T$27</f>
        <v>2445620.73352912</v>
      </c>
      <c r="U30" s="13" t="n">
        <f aca="false">U$25+U$24-U$27</f>
        <v>2400902.6824359</v>
      </c>
      <c r="V30" s="13" t="n">
        <f aca="false">V$25+V$24-V$27</f>
        <v>2355849.24595948</v>
      </c>
      <c r="W30" s="13" t="n">
        <f aca="false">W$25+W$24-W$27</f>
        <v>2310457.90870949</v>
      </c>
      <c r="X30" s="13" t="n">
        <f aca="false">X$25+X$24-X$27</f>
        <v>2264726.13643012</v>
      </c>
      <c r="Y30" s="13" t="n">
        <f aca="false">Y$25+Y$24-Y$27</f>
        <v>2218651.37585866</v>
      </c>
      <c r="Z30" s="13" t="n">
        <f aca="false">Z$25+Z$24-Z$27</f>
        <v>2172231.05458292</v>
      </c>
      <c r="AA30" s="13" t="n">
        <f aca="false">AA$25+AA$24-AA$27</f>
        <v>2125462.5808976</v>
      </c>
      <c r="AB30" s="13" t="n">
        <f aca="false">AB$25+AB$24-AB$27</f>
        <v>2078343.34365964</v>
      </c>
      <c r="AC30" s="13" t="n">
        <f aca="false">AC$25+AC$24-AC$27</f>
        <v>2030870.7121424</v>
      </c>
      <c r="AD30" s="13" t="n">
        <f aca="false">AD$25+AD$24-AD$27</f>
        <v>1983042.03588878</v>
      </c>
      <c r="AE30" s="13" t="n">
        <f aca="false">AE$25+AE$24-AE$27</f>
        <v>1934854.64456326</v>
      </c>
      <c r="AF30" s="13" t="n">
        <f aca="false">AF$25+AF$24-AF$27</f>
        <v>1886305.8478028</v>
      </c>
      <c r="AG30" s="13" t="n">
        <f aca="false">AG$25+AG$24-AG$27</f>
        <v>1837392.93506663</v>
      </c>
      <c r="AH30" s="13" t="n">
        <f aca="false">AH$25+AH$24-AH$27</f>
        <v>1788113.17548494</v>
      </c>
      <c r="AI30" s="13" t="n">
        <f aca="false">AI$25+AI$24-AI$27</f>
        <v>1738463.81770639</v>
      </c>
      <c r="AJ30" s="13" t="n">
        <f aca="false">AJ$25+AJ$24-AJ$27</f>
        <v>1688442.0897445</v>
      </c>
      <c r="AK30" s="13" t="n">
        <f aca="false">AK$25+AK$24-AK$27</f>
        <v>1638045.1988229</v>
      </c>
      <c r="AL30" s="13" t="n">
        <f aca="false">AL$25+AL$24-AL$27</f>
        <v>1587270.33121938</v>
      </c>
      <c r="AM30" s="13" t="n">
        <f aca="false">AM$25+AM$24-AM$27</f>
        <v>1536114.65210884</v>
      </c>
      <c r="AN30" s="13" t="n">
        <f aca="false">AN$25+AN$24-AN$27</f>
        <v>1484575.30540497</v>
      </c>
      <c r="AO30" s="13" t="n">
        <f aca="false">AO$25+AO$24-AO$27</f>
        <v>1432649.41360082</v>
      </c>
      <c r="AP30" s="13" t="n">
        <f aca="false">AP$25+AP$24-AP$27</f>
        <v>1380334.07760814</v>
      </c>
      <c r="AQ30" s="13" t="n">
        <f aca="false">AQ$25+AQ$24-AQ$27</f>
        <v>1327626.37659551</v>
      </c>
      <c r="AR30" s="13" t="n">
        <f aca="false">AR$25+AR$24-AR$27</f>
        <v>1274523.36782529</v>
      </c>
      <c r="AS30" s="13" t="n">
        <f aca="false">AS$25+AS$24-AS$27</f>
        <v>1221022.08648929</v>
      </c>
      <c r="AT30" s="13" t="n">
        <f aca="false">AT$25+AT$24-AT$27</f>
        <v>1167119.54554327</v>
      </c>
      <c r="AU30" s="13" t="n">
        <f aca="false">AU$25+AU$24-AU$27</f>
        <v>1112812.73554016</v>
      </c>
      <c r="AV30" s="13" t="n">
        <f aca="false">AV$25+AV$24-AV$27</f>
        <v>1058098.62446202</v>
      </c>
      <c r="AW30" s="13" t="n">
        <f aca="false">AW$25+AW$24-AW$27</f>
        <v>1002974.1575508</v>
      </c>
      <c r="AX30" s="13" t="n">
        <f aca="false">AX$25+AX$24-AX$27</f>
        <v>947436.257137743</v>
      </c>
      <c r="AY30" s="13" t="n">
        <f aca="false">AY$25+AY$24-AY$27</f>
        <v>891481.822471588</v>
      </c>
      <c r="AZ30" s="13" t="n">
        <f aca="false">AZ$25+AZ$24-AZ$27</f>
        <v>835107.729545437</v>
      </c>
      <c r="BA30" s="13" t="n">
        <f aca="false">BA$25+BA$24-BA$27</f>
        <v>778310.83092234</v>
      </c>
      <c r="BB30" s="13" t="n">
        <f aca="false">BB$25+BB$24-BB$27</f>
        <v>721087.95555957</v>
      </c>
      <c r="BC30" s="13" t="n">
        <f aca="false">BC$25+BC$24-BC$27</f>
        <v>663435.908631579</v>
      </c>
      <c r="BD30" s="13" t="n">
        <f aca="false">BD$25+BD$24-BD$27</f>
        <v>605351.471351628</v>
      </c>
      <c r="BE30" s="13" t="n">
        <f aca="false">BE$25+BE$24-BE$27</f>
        <v>546831.400792078</v>
      </c>
      <c r="BF30" s="13" t="n">
        <f aca="false">BF$25+BF$24-BF$27</f>
        <v>487872.429703331</v>
      </c>
      <c r="BG30" s="13" t="n">
        <f aca="false">BG$25+BG$24-BG$27</f>
        <v>428471.266331418</v>
      </c>
      <c r="BH30" s="13" t="n">
        <f aca="false">BH$25+BH$24-BH$27</f>
        <v>368624.594234216</v>
      </c>
      <c r="BI30" s="13" t="n">
        <f aca="false">BI$25+BI$24-BI$27</f>
        <v>308329.072096285</v>
      </c>
      <c r="BJ30" s="13" t="n">
        <f aca="false">BJ$25+BJ$24-BJ$27</f>
        <v>247581.333542319</v>
      </c>
      <c r="BK30" s="13" t="n">
        <f aca="false">BK$25+BK$24-BK$27</f>
        <v>186377.986949199</v>
      </c>
      <c r="BL30" s="13" t="n">
        <f aca="false">BL$25+BL$24-BL$27</f>
        <v>124715.61525663</v>
      </c>
      <c r="BM30" s="13" t="n">
        <f aca="false">BM$25+BM$24-BM$27</f>
        <v>62590.7757763667</v>
      </c>
      <c r="BN30" s="13" t="n">
        <f aca="false">BN$25+BN$24-BN$27</f>
        <v>0</v>
      </c>
      <c r="BO30" s="13" t="n">
        <f aca="false">BO$25+BO$24-BO$27</f>
        <v>0</v>
      </c>
      <c r="BP30" s="13" t="n">
        <f aca="false">BP$25+BP$24-BP$27</f>
        <v>0</v>
      </c>
      <c r="BQ30" s="13" t="n">
        <f aca="false">BQ$25+BQ$24-BQ$27</f>
        <v>0</v>
      </c>
      <c r="BR30" s="13" t="n">
        <f aca="false">BR$25+BR$24-BR$27</f>
        <v>0</v>
      </c>
      <c r="BS30" s="13" t="n">
        <f aca="false">BS$25+BS$24-BS$27</f>
        <v>0</v>
      </c>
      <c r="BT30" s="13" t="n">
        <f aca="false">BT$25+BT$24-BT$27</f>
        <v>0</v>
      </c>
      <c r="BU30" s="13" t="n">
        <f aca="false">BU$25+BU$24-BU$27</f>
        <v>0</v>
      </c>
      <c r="BV30" s="13" t="n">
        <f aca="false">BV$25+BV$24-BV$27</f>
        <v>0</v>
      </c>
      <c r="BW30" s="13" t="n">
        <f aca="false">BW$25+BW$24-BW$27</f>
        <v>0</v>
      </c>
      <c r="BX30" s="13" t="n">
        <f aca="false">BX$25+BX$24-BX$27</f>
        <v>0</v>
      </c>
      <c r="BY30" s="13" t="n">
        <f aca="false">BY$25+BY$24-BY$27</f>
        <v>0</v>
      </c>
      <c r="BZ30" s="13" t="n">
        <f aca="false">BZ$25+BZ$24-BZ$27</f>
        <v>0</v>
      </c>
      <c r="CA30" s="13" t="n">
        <f aca="false">CA$25+CA$24-CA$27</f>
        <v>0</v>
      </c>
      <c r="CB30" s="13" t="n">
        <f aca="false">CB$25+CB$24-CB$27</f>
        <v>0</v>
      </c>
      <c r="CC30" s="13" t="n">
        <f aca="false">CC$25+CC$24-CC$27</f>
        <v>0</v>
      </c>
      <c r="CD30" s="13" t="n">
        <f aca="false">CD$25+CD$24-CD$27</f>
        <v>0</v>
      </c>
      <c r="CE30" s="13" t="n">
        <f aca="false">CE$25+CE$24-CE$27</f>
        <v>0</v>
      </c>
      <c r="CF30" s="13" t="n">
        <f aca="false">CF$25+CF$24-CF$27</f>
        <v>0</v>
      </c>
      <c r="CG30" s="13" t="n">
        <f aca="false">CG$25+CG$24-CG$27</f>
        <v>0</v>
      </c>
      <c r="CH30" s="13" t="n">
        <f aca="false">CH$25+CH$24-CH$27</f>
        <v>0</v>
      </c>
      <c r="CI30" s="13" t="n">
        <f aca="false">CI$25+CI$24-CI$27</f>
        <v>0</v>
      </c>
      <c r="CJ30" s="13" t="n">
        <f aca="false">CJ$25+CJ$24-CJ$27</f>
        <v>0</v>
      </c>
      <c r="CK30" s="13" t="n">
        <f aca="false">CK$25+CK$24-CK$27</f>
        <v>0</v>
      </c>
      <c r="CL30" s="13" t="n">
        <f aca="false">CL$25+CL$24-CL$27</f>
        <v>0</v>
      </c>
      <c r="CM30" s="13" t="n">
        <f aca="false">CM$25+CM$24-CM$27</f>
        <v>0</v>
      </c>
      <c r="CN30" s="13" t="n">
        <f aca="false">CN$25+CN$24-CN$27</f>
        <v>0</v>
      </c>
      <c r="CO30" s="13" t="n">
        <f aca="false">CO$25+CO$24-CO$27</f>
        <v>0</v>
      </c>
      <c r="CP30" s="13" t="n">
        <f aca="false">CP$25+CP$24-CP$27</f>
        <v>0</v>
      </c>
      <c r="CQ30" s="13" t="n">
        <f aca="false">CQ$25+CQ$24-CQ$27</f>
        <v>0</v>
      </c>
      <c r="CR30" s="13" t="n">
        <f aca="false">CR$25+CR$24-CR$27</f>
        <v>0</v>
      </c>
      <c r="CS30" s="13" t="n">
        <f aca="false">CS$25+CS$24-CS$27</f>
        <v>0</v>
      </c>
      <c r="CT30" s="13" t="n">
        <f aca="false">CT$25+CT$24-CT$27</f>
        <v>0</v>
      </c>
      <c r="CU30" s="13" t="n">
        <f aca="false">CU$25+CU$24-CU$27</f>
        <v>0</v>
      </c>
      <c r="CV30" s="13" t="n">
        <f aca="false">CV$25+CV$24-CV$27</f>
        <v>0</v>
      </c>
      <c r="CW30" s="13" t="n">
        <f aca="false">CW$25+CW$24-CW$27</f>
        <v>0</v>
      </c>
      <c r="CX30" s="13" t="n">
        <f aca="false">CX$25+CX$24-CX$27</f>
        <v>0</v>
      </c>
      <c r="CY30" s="13" t="n">
        <f aca="false">CY$25+CY$24-CY$27</f>
        <v>0</v>
      </c>
      <c r="CZ30" s="13" t="n">
        <f aca="false">CZ$25+CZ$24-CZ$27</f>
        <v>0</v>
      </c>
      <c r="DA30" s="13" t="n">
        <f aca="false">DA$25+DA$24-DA$27</f>
        <v>0</v>
      </c>
      <c r="DB30" s="13" t="n">
        <f aca="false">DB$25+DB$24-DB$27</f>
        <v>0</v>
      </c>
      <c r="DC30" s="13" t="n">
        <f aca="false">DC$25+DC$24-DC$27</f>
        <v>0</v>
      </c>
      <c r="DD30" s="13" t="n">
        <f aca="false">DD$25+DD$24-DD$27</f>
        <v>0</v>
      </c>
      <c r="DE30" s="13" t="n">
        <f aca="false">DE$25+DE$24-DE$27</f>
        <v>0</v>
      </c>
      <c r="DF30" s="13" t="n">
        <f aca="false">DF$25+DF$24-DF$27</f>
        <v>0</v>
      </c>
      <c r="DG30" s="13" t="n">
        <f aca="false">DG$25+DG$24-DG$27</f>
        <v>0</v>
      </c>
      <c r="DH30" s="13" t="n">
        <f aca="false">DH$25+DH$24-DH$27</f>
        <v>0</v>
      </c>
      <c r="DI30" s="13" t="n">
        <f aca="false">DI$25+DI$24-DI$27</f>
        <v>0</v>
      </c>
      <c r="DJ30" s="13" t="n">
        <f aca="false">DJ$25+DJ$24-DJ$27</f>
        <v>0</v>
      </c>
      <c r="DK30" s="13" t="n">
        <f aca="false">DK$25+DK$24-DK$27</f>
        <v>0</v>
      </c>
      <c r="DL30" s="13" t="n">
        <f aca="false">DL$25+DL$24-DL$27</f>
        <v>0</v>
      </c>
      <c r="DM30" s="13" t="n">
        <f aca="false">DM$25+DM$24-DM$27</f>
        <v>0</v>
      </c>
      <c r="DN30" s="13" t="n">
        <f aca="false">DN$25+DN$24-DN$27</f>
        <v>0</v>
      </c>
      <c r="DO30" s="13" t="n">
        <f aca="false">DO$25+DO$24-DO$27</f>
        <v>0</v>
      </c>
      <c r="DP30" s="13" t="n">
        <f aca="false">DP$25+DP$24-DP$27</f>
        <v>0</v>
      </c>
      <c r="DQ30" s="13" t="n">
        <f aca="false">DQ$25+DQ$24-DQ$27</f>
        <v>0</v>
      </c>
      <c r="DR30" s="13" t="n">
        <f aca="false">DR$25+DR$24-DR$27</f>
        <v>0</v>
      </c>
      <c r="DS30" s="13" t="n">
        <f aca="false">DS$25+DS$24-DS$27</f>
        <v>0</v>
      </c>
      <c r="DT30" s="13" t="n">
        <f aca="false">DT$25+DT$24-DT$27</f>
        <v>0</v>
      </c>
      <c r="DU30" s="13" t="n">
        <f aca="false">DU$25+DU$24-DU$27</f>
        <v>0</v>
      </c>
      <c r="DV30" s="13" t="n">
        <f aca="false">DV$25+DV$24-DV$27</f>
        <v>0</v>
      </c>
      <c r="DW30" s="13" t="n">
        <f aca="false">DW$25+DW$24-DW$27</f>
        <v>0</v>
      </c>
      <c r="DX30" s="13" t="n">
        <f aca="false">DX$25+DX$24-DX$27</f>
        <v>0</v>
      </c>
      <c r="DY30" s="13" t="n">
        <f aca="false">DY$25+DY$24-DY$27</f>
        <v>0</v>
      </c>
      <c r="DZ30" s="13" t="n">
        <f aca="false">DZ$25+DZ$24-DZ$27</f>
        <v>0</v>
      </c>
      <c r="EA30" s="13" t="n">
        <f aca="false">EA$25+EA$24-EA$27</f>
        <v>0</v>
      </c>
      <c r="EB30" s="13" t="n">
        <f aca="false">EB$25+EB$24-EB$27</f>
        <v>0</v>
      </c>
      <c r="EC30" s="13" t="n">
        <f aca="false">EC$25+EC$24-EC$27</f>
        <v>0</v>
      </c>
      <c r="ED30" s="13" t="n">
        <f aca="false">ED$25+ED$24-ED$27</f>
        <v>0</v>
      </c>
      <c r="EE30" s="13" t="n">
        <f aca="false">EE$25+EE$24-EE$27</f>
        <v>0</v>
      </c>
      <c r="EF30" s="13" t="n">
        <f aca="false">EF$25+EF$24-EF$27</f>
        <v>0</v>
      </c>
      <c r="EG30" s="13" t="n">
        <f aca="false">EG$25+EG$24-EG$27</f>
        <v>0</v>
      </c>
      <c r="EH30" s="13" t="n">
        <f aca="false">EH$25+EH$24-EH$27</f>
        <v>0</v>
      </c>
      <c r="EI30" s="13" t="n">
        <f aca="false">EI$25+EI$24-EI$27</f>
        <v>0</v>
      </c>
      <c r="EJ30" s="13" t="n">
        <f aca="false">EJ$25+EJ$24-EJ$27</f>
        <v>0</v>
      </c>
      <c r="EK30" s="13" t="n">
        <f aca="false">EK$25+EK$24-EK$27</f>
        <v>0</v>
      </c>
      <c r="EL30" s="13" t="n">
        <f aca="false">EL$25+EL$24-EL$27</f>
        <v>0</v>
      </c>
      <c r="EM30" s="13" t="n">
        <f aca="false">EM$25+EM$24-EM$27</f>
        <v>0</v>
      </c>
      <c r="EN30" s="13" t="n">
        <f aca="false">EN$25+EN$24-EN$27</f>
        <v>0</v>
      </c>
      <c r="EO30" s="13" t="n">
        <f aca="false">EO$25+EO$24-EO$27</f>
        <v>0</v>
      </c>
      <c r="EP30" s="13" t="n">
        <f aca="false">EP$25+EP$24-EP$27</f>
        <v>0</v>
      </c>
      <c r="EQ30" s="13" t="n">
        <f aca="false">EQ$25+EQ$24-EQ$27</f>
        <v>0</v>
      </c>
      <c r="ER30" s="13" t="n">
        <f aca="false">ER$25+ER$24-ER$27</f>
        <v>0</v>
      </c>
      <c r="ES30" s="13" t="n">
        <f aca="false">ES$25+ES$24-ES$27</f>
        <v>0</v>
      </c>
      <c r="ET30" s="13" t="n">
        <f aca="false">ET$25+ET$24-ET$27</f>
        <v>0</v>
      </c>
      <c r="EU30" s="13" t="n">
        <f aca="false">EU$25+EU$24-EU$27</f>
        <v>0</v>
      </c>
      <c r="EV30" s="13" t="n">
        <f aca="false">EV$25+EV$24-EV$27</f>
        <v>0</v>
      </c>
      <c r="EW30" s="13" t="n">
        <f aca="false">EW$25+EW$24-EW$27</f>
        <v>0</v>
      </c>
      <c r="EX30" s="13" t="n">
        <f aca="false">EX$25+EX$24-EX$27</f>
        <v>0</v>
      </c>
      <c r="EY30" s="13" t="n">
        <f aca="false">EY$25+EY$24-EY$27</f>
        <v>0</v>
      </c>
      <c r="EZ30" s="13" t="n">
        <f aca="false">EZ$25+EZ$24-EZ$27</f>
        <v>0</v>
      </c>
      <c r="FA30" s="13" t="n">
        <f aca="false">FA$25+FA$24-FA$27</f>
        <v>0</v>
      </c>
      <c r="FB30" s="13" t="n">
        <f aca="false">FB$25+FB$24-FB$27</f>
        <v>0</v>
      </c>
      <c r="FC30" s="13" t="n">
        <f aca="false">FC$25+FC$24-FC$27</f>
        <v>0</v>
      </c>
      <c r="FD30" s="13" t="n">
        <f aca="false">FD$25+FD$24-FD$27</f>
        <v>0</v>
      </c>
      <c r="FE30" s="13" t="n">
        <f aca="false">FE$25+FE$24-FE$27</f>
        <v>0</v>
      </c>
      <c r="FF30" s="13" t="n">
        <f aca="false">FF$25+FF$24-FF$27</f>
        <v>0</v>
      </c>
    </row>
    <row r="31" customFormat="false" ht="15" hidden="false" customHeight="false" outlineLevel="0" collapsed="false">
      <c r="A31" s="2" t="s">
        <v>1418</v>
      </c>
      <c r="B31" s="66" t="s">
        <v>1419</v>
      </c>
      <c r="C31" s="8" t="s">
        <v>255</v>
      </c>
      <c r="E31" s="67" t="n">
        <f aca="false">INDEX($F31:$FF31,1,p_MesFin+1)</f>
        <v>0</v>
      </c>
      <c r="F31" s="12" t="n">
        <f aca="false">IF(AND(0=p_MesCorte,ISNUMBER(r_S_DEUDA1)),r_S_DEUDA1,F$30)</f>
        <v>2791587</v>
      </c>
      <c r="G31" s="12" t="n">
        <f aca="false">IF(AND(1=p_MesCorte,ISNUMBER(r_S_DEUDA1)),r_S_DEUDA1,G$30)</f>
        <v>2791587</v>
      </c>
      <c r="H31" s="12" t="n">
        <f aca="false">IF(AND(2=p_MesCorte,ISNUMBER(r_S_DEUDA1)),r_S_DEUDA1,H$30)</f>
        <v>2791587</v>
      </c>
      <c r="I31" s="12" t="n">
        <f aca="false">IF(AND(3=p_MesCorte,ISNUMBER(r_S_DEUDA1)),r_S_DEUDA1,I$30)</f>
        <v>2791587</v>
      </c>
      <c r="J31" s="12" t="n">
        <f aca="false">IF(AND(4=p_MesCorte,ISNUMBER(r_S_DEUDA1)),r_S_DEUDA1,J$30)</f>
        <v>2791587</v>
      </c>
      <c r="K31" s="12" t="n">
        <f aca="false">IF(AND(5=p_MesCorte,ISNUMBER(r_S_DEUDA1)),r_S_DEUDA1,K$30)</f>
        <v>2791587</v>
      </c>
      <c r="L31" s="12" t="n">
        <f aca="false">IF(AND(6=p_MesCorte,ISNUMBER(r_S_DEUDA1)),r_S_DEUDA1,L$30)</f>
        <v>2791587</v>
      </c>
      <c r="M31" s="12" t="n">
        <f aca="false">IF(AND(7=p_MesCorte,ISNUMBER(r_S_DEUDA1)),r_S_DEUDA1,M$30)</f>
        <v>2749463.69590531</v>
      </c>
      <c r="N31" s="12" t="n">
        <f aca="false">IF(AND(8=p_MesCorte,ISNUMBER(r_S_DEUDA1)),r_S_DEUDA1,N$30)</f>
        <v>2707024.46702991</v>
      </c>
      <c r="O31" s="12" t="n">
        <f aca="false">IF(AND(9=p_MesCorte,ISNUMBER(r_S_DEUDA1)),r_S_DEUDA1,O$30)</f>
        <v>2664266.94393795</v>
      </c>
      <c r="P31" s="12" t="n">
        <f aca="false">IF(AND(10=p_MesCorte,ISNUMBER(r_S_DEUDA1)),r_S_DEUDA1,P$30)</f>
        <v>2621188.7394228</v>
      </c>
      <c r="Q31" s="12" t="n">
        <f aca="false">IF(AND(11=p_MesCorte,ISNUMBER(r_S_DEUDA1)),r_S_DEUDA1,Q$30)</f>
        <v>2577787.44837378</v>
      </c>
      <c r="R31" s="12" t="n">
        <f aca="false">IF(AND(12=p_MesCorte,ISNUMBER(r_S_DEUDA1)),r_S_DEUDA1,R$30)</f>
        <v>2534060.6476419</v>
      </c>
      <c r="S31" s="12" t="n">
        <f aca="false">IF(AND(13=p_MesCorte,ISNUMBER(r_S_DEUDA1)),r_S_DEUDA1,S$30)</f>
        <v>2490005.89590452</v>
      </c>
      <c r="T31" s="12" t="n">
        <f aca="false">IF(AND(14=p_MesCorte,ISNUMBER(r_S_DEUDA1)),r_S_DEUDA1,T$30)</f>
        <v>2445620.73352912</v>
      </c>
      <c r="U31" s="12" t="n">
        <f aca="false">IF(AND(15=p_MesCorte,ISNUMBER(r_S_DEUDA1)),r_S_DEUDA1,U$30)</f>
        <v>2400902.6824359</v>
      </c>
      <c r="V31" s="12" t="n">
        <f aca="false">IF(AND(16=p_MesCorte,ISNUMBER(r_S_DEUDA1)),r_S_DEUDA1,V$30)</f>
        <v>2355849.24595948</v>
      </c>
      <c r="W31" s="12" t="n">
        <f aca="false">IF(AND(17=p_MesCorte,ISNUMBER(r_S_DEUDA1)),r_S_DEUDA1,W$30)</f>
        <v>2310457.90870949</v>
      </c>
      <c r="X31" s="12" t="n">
        <f aca="false">IF(AND(18=p_MesCorte,ISNUMBER(r_S_DEUDA1)),r_S_DEUDA1,X$30)</f>
        <v>2264726.13643012</v>
      </c>
      <c r="Y31" s="12" t="n">
        <f aca="false">IF(AND(19=p_MesCorte,ISNUMBER(r_S_DEUDA1)),r_S_DEUDA1,Y$30)</f>
        <v>2218651.37585866</v>
      </c>
      <c r="Z31" s="12" t="n">
        <f aca="false">IF(AND(20=p_MesCorte,ISNUMBER(r_S_DEUDA1)),r_S_DEUDA1,Z$30)</f>
        <v>2172231.05458292</v>
      </c>
      <c r="AA31" s="12" t="n">
        <f aca="false">IF(AND(21=p_MesCorte,ISNUMBER(r_S_DEUDA1)),r_S_DEUDA1,AA$30)</f>
        <v>2125462.5808976</v>
      </c>
      <c r="AB31" s="12" t="n">
        <f aca="false">IF(AND(22=p_MesCorte,ISNUMBER(r_S_DEUDA1)),r_S_DEUDA1,AB$30)</f>
        <v>2078343.34365964</v>
      </c>
      <c r="AC31" s="12" t="n">
        <f aca="false">IF(AND(23=p_MesCorte,ISNUMBER(r_S_DEUDA1)),r_S_DEUDA1,AC$30)</f>
        <v>2030870.7121424</v>
      </c>
      <c r="AD31" s="12" t="n">
        <f aca="false">IF(AND(24=p_MesCorte,ISNUMBER(r_S_DEUDA1)),r_S_DEUDA1,AD$30)</f>
        <v>1983042.03588878</v>
      </c>
      <c r="AE31" s="12" t="n">
        <f aca="false">IF(AND(25=p_MesCorte,ISNUMBER(r_S_DEUDA1)),r_S_DEUDA1,AE$30)</f>
        <v>1934854.64456326</v>
      </c>
      <c r="AF31" s="12" t="n">
        <f aca="false">IF(AND(26=p_MesCorte,ISNUMBER(r_S_DEUDA1)),r_S_DEUDA1,AF$30)</f>
        <v>1886305.8478028</v>
      </c>
      <c r="AG31" s="12" t="n">
        <f aca="false">IF(AND(27=p_MesCorte,ISNUMBER(r_S_DEUDA1)),r_S_DEUDA1,AG$30)</f>
        <v>1837392.93506663</v>
      </c>
      <c r="AH31" s="12" t="n">
        <f aca="false">IF(AND(28=p_MesCorte,ISNUMBER(r_S_DEUDA1)),r_S_DEUDA1,AH$30)</f>
        <v>1788113.17548494</v>
      </c>
      <c r="AI31" s="12" t="n">
        <f aca="false">IF(AND(29=p_MesCorte,ISNUMBER(r_S_DEUDA1)),r_S_DEUDA1,AI$30)</f>
        <v>1738463.81770639</v>
      </c>
      <c r="AJ31" s="12" t="n">
        <f aca="false">IF(AND(30=p_MesCorte,ISNUMBER(r_S_DEUDA1)),r_S_DEUDA1,AJ$30)</f>
        <v>1688442.0897445</v>
      </c>
      <c r="AK31" s="12" t="n">
        <f aca="false">IF(AND(31=p_MesCorte,ISNUMBER(r_S_DEUDA1)),r_S_DEUDA1,AK$30)</f>
        <v>1638045.1988229</v>
      </c>
      <c r="AL31" s="12" t="n">
        <f aca="false">IF(AND(32=p_MesCorte,ISNUMBER(r_S_DEUDA1)),r_S_DEUDA1,AL$30)</f>
        <v>1587270.33121938</v>
      </c>
      <c r="AM31" s="12" t="n">
        <f aca="false">IF(AND(33=p_MesCorte,ISNUMBER(r_S_DEUDA1)),r_S_DEUDA1,AM$30)</f>
        <v>1536114.65210884</v>
      </c>
      <c r="AN31" s="12" t="n">
        <f aca="false">IF(AND(34=p_MesCorte,ISNUMBER(r_S_DEUDA1)),r_S_DEUDA1,AN$30)</f>
        <v>1484575.30540497</v>
      </c>
      <c r="AO31" s="12" t="n">
        <f aca="false">IF(AND(35=p_MesCorte,ISNUMBER(r_S_DEUDA1)),r_S_DEUDA1,AO$30)</f>
        <v>1432649.41360082</v>
      </c>
      <c r="AP31" s="12" t="n">
        <f aca="false">IF(AND(36=p_MesCorte,ISNUMBER(r_S_DEUDA1)),r_S_DEUDA1,AP$30)</f>
        <v>1380334.07760814</v>
      </c>
      <c r="AQ31" s="12" t="n">
        <f aca="false">IF(AND(37=p_MesCorte,ISNUMBER(r_S_DEUDA1)),r_S_DEUDA1,AQ$30)</f>
        <v>1327626.37659551</v>
      </c>
      <c r="AR31" s="12" t="n">
        <f aca="false">IF(AND(38=p_MesCorte,ISNUMBER(r_S_DEUDA1)),r_S_DEUDA1,AR$30)</f>
        <v>1274523.36782529</v>
      </c>
      <c r="AS31" s="12" t="n">
        <f aca="false">IF(AND(39=p_MesCorte,ISNUMBER(r_S_DEUDA1)),r_S_DEUDA1,AS$30)</f>
        <v>1221022.08648929</v>
      </c>
      <c r="AT31" s="12" t="n">
        <f aca="false">IF(AND(40=p_MesCorte,ISNUMBER(r_S_DEUDA1)),r_S_DEUDA1,AT$30)</f>
        <v>1167119.54554327</v>
      </c>
      <c r="AU31" s="12" t="n">
        <f aca="false">IF(AND(41=p_MesCorte,ISNUMBER(r_S_DEUDA1)),r_S_DEUDA1,AU$30)</f>
        <v>1112812.73554016</v>
      </c>
      <c r="AV31" s="12" t="n">
        <f aca="false">IF(AND(42=p_MesCorte,ISNUMBER(r_S_DEUDA1)),r_S_DEUDA1,AV$30)</f>
        <v>1058098.62446202</v>
      </c>
      <c r="AW31" s="12" t="n">
        <f aca="false">IF(AND(43=p_MesCorte,ISNUMBER(r_S_DEUDA1)),r_S_DEUDA1,AW$30)</f>
        <v>1002974.1575508</v>
      </c>
      <c r="AX31" s="12" t="n">
        <f aca="false">IF(AND(44=p_MesCorte,ISNUMBER(r_S_DEUDA1)),r_S_DEUDA1,AX$30)</f>
        <v>947436.257137743</v>
      </c>
      <c r="AY31" s="12" t="n">
        <f aca="false">IF(AND(45=p_MesCorte,ISNUMBER(r_S_DEUDA1)),r_S_DEUDA1,AY$30)</f>
        <v>891481.822471588</v>
      </c>
      <c r="AZ31" s="12" t="n">
        <f aca="false">IF(AND(46=p_MesCorte,ISNUMBER(r_S_DEUDA1)),r_S_DEUDA1,AZ$30)</f>
        <v>835107.729545437</v>
      </c>
      <c r="BA31" s="12" t="n">
        <f aca="false">IF(AND(47=p_MesCorte,ISNUMBER(r_S_DEUDA1)),r_S_DEUDA1,BA$30)</f>
        <v>778310.83092234</v>
      </c>
      <c r="BB31" s="12" t="n">
        <f aca="false">IF(AND(48=p_MesCorte,ISNUMBER(r_S_DEUDA1)),r_S_DEUDA1,BB$30)</f>
        <v>721087.95555957</v>
      </c>
      <c r="BC31" s="12" t="n">
        <f aca="false">IF(AND(49=p_MesCorte,ISNUMBER(r_S_DEUDA1)),r_S_DEUDA1,BC$30)</f>
        <v>663435.908631579</v>
      </c>
      <c r="BD31" s="12" t="n">
        <f aca="false">IF(AND(50=p_MesCorte,ISNUMBER(r_S_DEUDA1)),r_S_DEUDA1,BD$30)</f>
        <v>605351.471351628</v>
      </c>
      <c r="BE31" s="12" t="n">
        <f aca="false">IF(AND(51=p_MesCorte,ISNUMBER(r_S_DEUDA1)),r_S_DEUDA1,BE$30)</f>
        <v>546831.400792078</v>
      </c>
      <c r="BF31" s="12" t="n">
        <f aca="false">IF(AND(52=p_MesCorte,ISNUMBER(r_S_DEUDA1)),r_S_DEUDA1,BF$30)</f>
        <v>487872.429703331</v>
      </c>
      <c r="BG31" s="12" t="n">
        <f aca="false">IF(AND(53=p_MesCorte,ISNUMBER(r_S_DEUDA1)),r_S_DEUDA1,BG$30)</f>
        <v>428471.266331418</v>
      </c>
      <c r="BH31" s="12" t="n">
        <f aca="false">IF(AND(54=p_MesCorte,ISNUMBER(r_S_DEUDA1)),r_S_DEUDA1,BH$30)</f>
        <v>368624.594234216</v>
      </c>
      <c r="BI31" s="12" t="n">
        <f aca="false">IF(AND(55=p_MesCorte,ISNUMBER(r_S_DEUDA1)),r_S_DEUDA1,BI$30)</f>
        <v>308329.072096285</v>
      </c>
      <c r="BJ31" s="12" t="n">
        <f aca="false">IF(AND(56=p_MesCorte,ISNUMBER(r_S_DEUDA1)),r_S_DEUDA1,BJ$30)</f>
        <v>247581.333542319</v>
      </c>
      <c r="BK31" s="12" t="n">
        <f aca="false">IF(AND(57=p_MesCorte,ISNUMBER(r_S_DEUDA1)),r_S_DEUDA1,BK$30)</f>
        <v>186377.986949199</v>
      </c>
      <c r="BL31" s="12" t="n">
        <f aca="false">IF(AND(58=p_MesCorte,ISNUMBER(r_S_DEUDA1)),r_S_DEUDA1,BL$30)</f>
        <v>124715.61525663</v>
      </c>
      <c r="BM31" s="12" t="n">
        <f aca="false">IF(AND(59=p_MesCorte,ISNUMBER(r_S_DEUDA1)),r_S_DEUDA1,BM$30)</f>
        <v>62590.7757763667</v>
      </c>
      <c r="BN31" s="12" t="n">
        <f aca="false">IF(AND(60=p_MesCorte,ISNUMBER(r_S_DEUDA1)),r_S_DEUDA1,BN$30)</f>
        <v>0</v>
      </c>
      <c r="BO31" s="12" t="n">
        <f aca="false">IF(AND(61=p_MesCorte,ISNUMBER(r_S_DEUDA1)),r_S_DEUDA1,BO$30)</f>
        <v>0</v>
      </c>
      <c r="BP31" s="12" t="n">
        <f aca="false">IF(AND(62=p_MesCorte,ISNUMBER(r_S_DEUDA1)),r_S_DEUDA1,BP$30)</f>
        <v>0</v>
      </c>
      <c r="BQ31" s="12" t="n">
        <f aca="false">IF(AND(63=p_MesCorte,ISNUMBER(r_S_DEUDA1)),r_S_DEUDA1,BQ$30)</f>
        <v>0</v>
      </c>
      <c r="BR31" s="12" t="n">
        <f aca="false">IF(AND(64=p_MesCorte,ISNUMBER(r_S_DEUDA1)),r_S_DEUDA1,BR$30)</f>
        <v>0</v>
      </c>
      <c r="BS31" s="12" t="n">
        <f aca="false">IF(AND(65=p_MesCorte,ISNUMBER(r_S_DEUDA1)),r_S_DEUDA1,BS$30)</f>
        <v>0</v>
      </c>
      <c r="BT31" s="12" t="n">
        <f aca="false">IF(AND(66=p_MesCorte,ISNUMBER(r_S_DEUDA1)),r_S_DEUDA1,BT$30)</f>
        <v>0</v>
      </c>
      <c r="BU31" s="12" t="n">
        <f aca="false">IF(AND(67=p_MesCorte,ISNUMBER(r_S_DEUDA1)),r_S_DEUDA1,BU$30)</f>
        <v>0</v>
      </c>
      <c r="BV31" s="12" t="n">
        <f aca="false">IF(AND(68=p_MesCorte,ISNUMBER(r_S_DEUDA1)),r_S_DEUDA1,BV$30)</f>
        <v>0</v>
      </c>
      <c r="BW31" s="12" t="n">
        <f aca="false">IF(AND(69=p_MesCorte,ISNUMBER(r_S_DEUDA1)),r_S_DEUDA1,BW$30)</f>
        <v>0</v>
      </c>
      <c r="BX31" s="12" t="n">
        <f aca="false">IF(AND(70=p_MesCorte,ISNUMBER(r_S_DEUDA1)),r_S_DEUDA1,BX$30)</f>
        <v>0</v>
      </c>
      <c r="BY31" s="12" t="n">
        <f aca="false">IF(AND(71=p_MesCorte,ISNUMBER(r_S_DEUDA1)),r_S_DEUDA1,BY$30)</f>
        <v>0</v>
      </c>
      <c r="BZ31" s="12" t="n">
        <f aca="false">IF(AND(72=p_MesCorte,ISNUMBER(r_S_DEUDA1)),r_S_DEUDA1,BZ$30)</f>
        <v>0</v>
      </c>
      <c r="CA31" s="12" t="n">
        <f aca="false">IF(AND(73=p_MesCorte,ISNUMBER(r_S_DEUDA1)),r_S_DEUDA1,CA$30)</f>
        <v>0</v>
      </c>
      <c r="CB31" s="12" t="n">
        <f aca="false">IF(AND(74=p_MesCorte,ISNUMBER(r_S_DEUDA1)),r_S_DEUDA1,CB$30)</f>
        <v>0</v>
      </c>
      <c r="CC31" s="12" t="n">
        <f aca="false">IF(AND(75=p_MesCorte,ISNUMBER(r_S_DEUDA1)),r_S_DEUDA1,CC$30)</f>
        <v>0</v>
      </c>
      <c r="CD31" s="12" t="n">
        <f aca="false">IF(AND(76=p_MesCorte,ISNUMBER(r_S_DEUDA1)),r_S_DEUDA1,CD$30)</f>
        <v>0</v>
      </c>
      <c r="CE31" s="12" t="n">
        <f aca="false">IF(AND(77=p_MesCorte,ISNUMBER(r_S_DEUDA1)),r_S_DEUDA1,CE$30)</f>
        <v>0</v>
      </c>
      <c r="CF31" s="12" t="n">
        <f aca="false">IF(AND(78=p_MesCorte,ISNUMBER(r_S_DEUDA1)),r_S_DEUDA1,CF$30)</f>
        <v>0</v>
      </c>
      <c r="CG31" s="12" t="n">
        <f aca="false">IF(AND(79=p_MesCorte,ISNUMBER(r_S_DEUDA1)),r_S_DEUDA1,CG$30)</f>
        <v>0</v>
      </c>
      <c r="CH31" s="12" t="n">
        <f aca="false">IF(AND(80=p_MesCorte,ISNUMBER(r_S_DEUDA1)),r_S_DEUDA1,CH$30)</f>
        <v>0</v>
      </c>
      <c r="CI31" s="12" t="n">
        <f aca="false">IF(AND(81=p_MesCorte,ISNUMBER(r_S_DEUDA1)),r_S_DEUDA1,CI$30)</f>
        <v>0</v>
      </c>
      <c r="CJ31" s="12" t="n">
        <f aca="false">IF(AND(82=p_MesCorte,ISNUMBER(r_S_DEUDA1)),r_S_DEUDA1,CJ$30)</f>
        <v>0</v>
      </c>
      <c r="CK31" s="12" t="n">
        <f aca="false">IF(AND(83=p_MesCorte,ISNUMBER(r_S_DEUDA1)),r_S_DEUDA1,CK$30)</f>
        <v>0</v>
      </c>
      <c r="CL31" s="12" t="n">
        <f aca="false">IF(AND(84=p_MesCorte,ISNUMBER(r_S_DEUDA1)),r_S_DEUDA1,CL$30)</f>
        <v>0</v>
      </c>
      <c r="CM31" s="12" t="n">
        <f aca="false">IF(AND(85=p_MesCorte,ISNUMBER(r_S_DEUDA1)),r_S_DEUDA1,CM$30)</f>
        <v>0</v>
      </c>
      <c r="CN31" s="12" t="n">
        <f aca="false">IF(AND(86=p_MesCorte,ISNUMBER(r_S_DEUDA1)),r_S_DEUDA1,CN$30)</f>
        <v>0</v>
      </c>
      <c r="CO31" s="12" t="n">
        <f aca="false">IF(AND(87=p_MesCorte,ISNUMBER(r_S_DEUDA1)),r_S_DEUDA1,CO$30)</f>
        <v>0</v>
      </c>
      <c r="CP31" s="12" t="n">
        <f aca="false">IF(AND(88=p_MesCorte,ISNUMBER(r_S_DEUDA1)),r_S_DEUDA1,CP$30)</f>
        <v>0</v>
      </c>
      <c r="CQ31" s="12" t="n">
        <f aca="false">IF(AND(89=p_MesCorte,ISNUMBER(r_S_DEUDA1)),r_S_DEUDA1,CQ$30)</f>
        <v>0</v>
      </c>
      <c r="CR31" s="12" t="n">
        <f aca="false">IF(AND(90=p_MesCorte,ISNUMBER(r_S_DEUDA1)),r_S_DEUDA1,CR$30)</f>
        <v>0</v>
      </c>
      <c r="CS31" s="12" t="n">
        <f aca="false">IF(AND(91=p_MesCorte,ISNUMBER(r_S_DEUDA1)),r_S_DEUDA1,CS$30)</f>
        <v>0</v>
      </c>
      <c r="CT31" s="12" t="n">
        <f aca="false">IF(AND(92=p_MesCorte,ISNUMBER(r_S_DEUDA1)),r_S_DEUDA1,CT$30)</f>
        <v>0</v>
      </c>
      <c r="CU31" s="12" t="n">
        <f aca="false">IF(AND(93=p_MesCorte,ISNUMBER(r_S_DEUDA1)),r_S_DEUDA1,CU$30)</f>
        <v>0</v>
      </c>
      <c r="CV31" s="12" t="n">
        <f aca="false">IF(AND(94=p_MesCorte,ISNUMBER(r_S_DEUDA1)),r_S_DEUDA1,CV$30)</f>
        <v>0</v>
      </c>
      <c r="CW31" s="12" t="n">
        <f aca="false">IF(AND(95=p_MesCorte,ISNUMBER(r_S_DEUDA1)),r_S_DEUDA1,CW$30)</f>
        <v>0</v>
      </c>
      <c r="CX31" s="12" t="n">
        <f aca="false">IF(AND(96=p_MesCorte,ISNUMBER(r_S_DEUDA1)),r_S_DEUDA1,CX$30)</f>
        <v>0</v>
      </c>
      <c r="CY31" s="12" t="n">
        <f aca="false">IF(AND(97=p_MesCorte,ISNUMBER(r_S_DEUDA1)),r_S_DEUDA1,CY$30)</f>
        <v>0</v>
      </c>
      <c r="CZ31" s="12" t="n">
        <f aca="false">IF(AND(98=p_MesCorte,ISNUMBER(r_S_DEUDA1)),r_S_DEUDA1,CZ$30)</f>
        <v>0</v>
      </c>
      <c r="DA31" s="12" t="n">
        <f aca="false">IF(AND(99=p_MesCorte,ISNUMBER(r_S_DEUDA1)),r_S_DEUDA1,DA$30)</f>
        <v>0</v>
      </c>
      <c r="DB31" s="12" t="n">
        <f aca="false">IF(AND(100=p_MesCorte,ISNUMBER(r_S_DEUDA1)),r_S_DEUDA1,DB$30)</f>
        <v>0</v>
      </c>
      <c r="DC31" s="12" t="n">
        <f aca="false">IF(AND(101=p_MesCorte,ISNUMBER(r_S_DEUDA1)),r_S_DEUDA1,DC$30)</f>
        <v>0</v>
      </c>
      <c r="DD31" s="12" t="n">
        <f aca="false">IF(AND(102=p_MesCorte,ISNUMBER(r_S_DEUDA1)),r_S_DEUDA1,DD$30)</f>
        <v>0</v>
      </c>
      <c r="DE31" s="12" t="n">
        <f aca="false">IF(AND(103=p_MesCorte,ISNUMBER(r_S_DEUDA1)),r_S_DEUDA1,DE$30)</f>
        <v>0</v>
      </c>
      <c r="DF31" s="12" t="n">
        <f aca="false">IF(AND(104=p_MesCorte,ISNUMBER(r_S_DEUDA1)),r_S_DEUDA1,DF$30)</f>
        <v>0</v>
      </c>
      <c r="DG31" s="12" t="n">
        <f aca="false">IF(AND(105=p_MesCorte,ISNUMBER(r_S_DEUDA1)),r_S_DEUDA1,DG$30)</f>
        <v>0</v>
      </c>
      <c r="DH31" s="12" t="n">
        <f aca="false">IF(AND(106=p_MesCorte,ISNUMBER(r_S_DEUDA1)),r_S_DEUDA1,DH$30)</f>
        <v>0</v>
      </c>
      <c r="DI31" s="12" t="n">
        <f aca="false">IF(AND(107=p_MesCorte,ISNUMBER(r_S_DEUDA1)),r_S_DEUDA1,DI$30)</f>
        <v>0</v>
      </c>
      <c r="DJ31" s="12" t="n">
        <f aca="false">IF(AND(108=p_MesCorte,ISNUMBER(r_S_DEUDA1)),r_S_DEUDA1,DJ$30)</f>
        <v>0</v>
      </c>
      <c r="DK31" s="12" t="n">
        <f aca="false">IF(AND(109=p_MesCorte,ISNUMBER(r_S_DEUDA1)),r_S_DEUDA1,DK$30)</f>
        <v>0</v>
      </c>
      <c r="DL31" s="12" t="n">
        <f aca="false">IF(AND(110=p_MesCorte,ISNUMBER(r_S_DEUDA1)),r_S_DEUDA1,DL$30)</f>
        <v>0</v>
      </c>
      <c r="DM31" s="12" t="n">
        <f aca="false">IF(AND(111=p_MesCorte,ISNUMBER(r_S_DEUDA1)),r_S_DEUDA1,DM$30)</f>
        <v>0</v>
      </c>
      <c r="DN31" s="12" t="n">
        <f aca="false">IF(AND(112=p_MesCorte,ISNUMBER(r_S_DEUDA1)),r_S_DEUDA1,DN$30)</f>
        <v>0</v>
      </c>
      <c r="DO31" s="12" t="n">
        <f aca="false">IF(AND(113=p_MesCorte,ISNUMBER(r_S_DEUDA1)),r_S_DEUDA1,DO$30)</f>
        <v>0</v>
      </c>
      <c r="DP31" s="12" t="n">
        <f aca="false">IF(AND(114=p_MesCorte,ISNUMBER(r_S_DEUDA1)),r_S_DEUDA1,DP$30)</f>
        <v>0</v>
      </c>
      <c r="DQ31" s="12" t="n">
        <f aca="false">IF(AND(115=p_MesCorte,ISNUMBER(r_S_DEUDA1)),r_S_DEUDA1,DQ$30)</f>
        <v>0</v>
      </c>
      <c r="DR31" s="12" t="n">
        <f aca="false">IF(AND(116=p_MesCorte,ISNUMBER(r_S_DEUDA1)),r_S_DEUDA1,DR$30)</f>
        <v>0</v>
      </c>
      <c r="DS31" s="12" t="n">
        <f aca="false">IF(AND(117=p_MesCorte,ISNUMBER(r_S_DEUDA1)),r_S_DEUDA1,DS$30)</f>
        <v>0</v>
      </c>
      <c r="DT31" s="12" t="n">
        <f aca="false">IF(AND(118=p_MesCorte,ISNUMBER(r_S_DEUDA1)),r_S_DEUDA1,DT$30)</f>
        <v>0</v>
      </c>
      <c r="DU31" s="12" t="n">
        <f aca="false">IF(AND(119=p_MesCorte,ISNUMBER(r_S_DEUDA1)),r_S_DEUDA1,DU$30)</f>
        <v>0</v>
      </c>
      <c r="DV31" s="12" t="n">
        <f aca="false">IF(AND(120=p_MesCorte,ISNUMBER(r_S_DEUDA1)),r_S_DEUDA1,DV$30)</f>
        <v>0</v>
      </c>
      <c r="DW31" s="12" t="n">
        <f aca="false">IF(AND(121=p_MesCorte,ISNUMBER(r_S_DEUDA1)),r_S_DEUDA1,DW$30)</f>
        <v>0</v>
      </c>
      <c r="DX31" s="12" t="n">
        <f aca="false">IF(AND(122=p_MesCorte,ISNUMBER(r_S_DEUDA1)),r_S_DEUDA1,DX$30)</f>
        <v>0</v>
      </c>
      <c r="DY31" s="12" t="n">
        <f aca="false">IF(AND(123=p_MesCorte,ISNUMBER(r_S_DEUDA1)),r_S_DEUDA1,DY$30)</f>
        <v>0</v>
      </c>
      <c r="DZ31" s="12" t="n">
        <f aca="false">IF(AND(124=p_MesCorte,ISNUMBER(r_S_DEUDA1)),r_S_DEUDA1,DZ$30)</f>
        <v>0</v>
      </c>
      <c r="EA31" s="12" t="n">
        <f aca="false">IF(AND(125=p_MesCorte,ISNUMBER(r_S_DEUDA1)),r_S_DEUDA1,EA$30)</f>
        <v>0</v>
      </c>
      <c r="EB31" s="12" t="n">
        <f aca="false">IF(AND(126=p_MesCorte,ISNUMBER(r_S_DEUDA1)),r_S_DEUDA1,EB$30)</f>
        <v>0</v>
      </c>
      <c r="EC31" s="12" t="n">
        <f aca="false">IF(AND(127=p_MesCorte,ISNUMBER(r_S_DEUDA1)),r_S_DEUDA1,EC$30)</f>
        <v>0</v>
      </c>
      <c r="ED31" s="12" t="n">
        <f aca="false">IF(AND(128=p_MesCorte,ISNUMBER(r_S_DEUDA1)),r_S_DEUDA1,ED$30)</f>
        <v>0</v>
      </c>
      <c r="EE31" s="12" t="n">
        <f aca="false">IF(AND(129=p_MesCorte,ISNUMBER(r_S_DEUDA1)),r_S_DEUDA1,EE$30)</f>
        <v>0</v>
      </c>
      <c r="EF31" s="12" t="n">
        <f aca="false">IF(AND(130=p_MesCorte,ISNUMBER(r_S_DEUDA1)),r_S_DEUDA1,EF$30)</f>
        <v>0</v>
      </c>
      <c r="EG31" s="12" t="n">
        <f aca="false">IF(AND(131=p_MesCorte,ISNUMBER(r_S_DEUDA1)),r_S_DEUDA1,EG$30)</f>
        <v>0</v>
      </c>
      <c r="EH31" s="12" t="n">
        <f aca="false">IF(AND(132=p_MesCorte,ISNUMBER(r_S_DEUDA1)),r_S_DEUDA1,EH$30)</f>
        <v>0</v>
      </c>
      <c r="EI31" s="12" t="n">
        <f aca="false">IF(AND(133=p_MesCorte,ISNUMBER(r_S_DEUDA1)),r_S_DEUDA1,EI$30)</f>
        <v>0</v>
      </c>
      <c r="EJ31" s="12" t="n">
        <f aca="false">IF(AND(134=p_MesCorte,ISNUMBER(r_S_DEUDA1)),r_S_DEUDA1,EJ$30)</f>
        <v>0</v>
      </c>
      <c r="EK31" s="12" t="n">
        <f aca="false">IF(AND(135=p_MesCorte,ISNUMBER(r_S_DEUDA1)),r_S_DEUDA1,EK$30)</f>
        <v>0</v>
      </c>
      <c r="EL31" s="12" t="n">
        <f aca="false">IF(AND(136=p_MesCorte,ISNUMBER(r_S_DEUDA1)),r_S_DEUDA1,EL$30)</f>
        <v>0</v>
      </c>
      <c r="EM31" s="12" t="n">
        <f aca="false">IF(AND(137=p_MesCorte,ISNUMBER(r_S_DEUDA1)),r_S_DEUDA1,EM$30)</f>
        <v>0</v>
      </c>
      <c r="EN31" s="12" t="n">
        <f aca="false">IF(AND(138=p_MesCorte,ISNUMBER(r_S_DEUDA1)),r_S_DEUDA1,EN$30)</f>
        <v>0</v>
      </c>
      <c r="EO31" s="12" t="n">
        <f aca="false">IF(AND(139=p_MesCorte,ISNUMBER(r_S_DEUDA1)),r_S_DEUDA1,EO$30)</f>
        <v>0</v>
      </c>
      <c r="EP31" s="12" t="n">
        <f aca="false">IF(AND(140=p_MesCorte,ISNUMBER(r_S_DEUDA1)),r_S_DEUDA1,EP$30)</f>
        <v>0</v>
      </c>
      <c r="EQ31" s="12" t="n">
        <f aca="false">IF(AND(141=p_MesCorte,ISNUMBER(r_S_DEUDA1)),r_S_DEUDA1,EQ$30)</f>
        <v>0</v>
      </c>
      <c r="ER31" s="12" t="n">
        <f aca="false">IF(AND(142=p_MesCorte,ISNUMBER(r_S_DEUDA1)),r_S_DEUDA1,ER$30)</f>
        <v>0</v>
      </c>
      <c r="ES31" s="12" t="n">
        <f aca="false">IF(AND(143=p_MesCorte,ISNUMBER(r_S_DEUDA1)),r_S_DEUDA1,ES$30)</f>
        <v>0</v>
      </c>
      <c r="ET31" s="12" t="n">
        <f aca="false">IF(AND(144=p_MesCorte,ISNUMBER(r_S_DEUDA1)),r_S_DEUDA1,ET$30)</f>
        <v>0</v>
      </c>
      <c r="EU31" s="12" t="n">
        <f aca="false">IF(AND(145=p_MesCorte,ISNUMBER(r_S_DEUDA1)),r_S_DEUDA1,EU$30)</f>
        <v>0</v>
      </c>
      <c r="EV31" s="12" t="n">
        <f aca="false">IF(AND(146=p_MesCorte,ISNUMBER(r_S_DEUDA1)),r_S_DEUDA1,EV$30)</f>
        <v>0</v>
      </c>
      <c r="EW31" s="12" t="n">
        <f aca="false">IF(AND(147=p_MesCorte,ISNUMBER(r_S_DEUDA1)),r_S_DEUDA1,EW$30)</f>
        <v>0</v>
      </c>
      <c r="EX31" s="12" t="n">
        <f aca="false">IF(AND(148=p_MesCorte,ISNUMBER(r_S_DEUDA1)),r_S_DEUDA1,EX$30)</f>
        <v>0</v>
      </c>
      <c r="EY31" s="12" t="n">
        <f aca="false">IF(AND(149=p_MesCorte,ISNUMBER(r_S_DEUDA1)),r_S_DEUDA1,EY$30)</f>
        <v>0</v>
      </c>
      <c r="EZ31" s="12" t="n">
        <f aca="false">IF(AND(150=p_MesCorte,ISNUMBER(r_S_DEUDA1)),r_S_DEUDA1,EZ$30)</f>
        <v>0</v>
      </c>
      <c r="FA31" s="12" t="n">
        <f aca="false">IF(AND(151=p_MesCorte,ISNUMBER(r_S_DEUDA1)),r_S_DEUDA1,FA$30)</f>
        <v>0</v>
      </c>
      <c r="FB31" s="12" t="n">
        <f aca="false">IF(AND(152=p_MesCorte,ISNUMBER(r_S_DEUDA1)),r_S_DEUDA1,FB$30)</f>
        <v>0</v>
      </c>
      <c r="FC31" s="12" t="n">
        <f aca="false">IF(AND(153=p_MesCorte,ISNUMBER(r_S_DEUDA1)),r_S_DEUDA1,FC$30)</f>
        <v>0</v>
      </c>
      <c r="FD31" s="12" t="n">
        <f aca="false">IF(AND(154=p_MesCorte,ISNUMBER(r_S_DEUDA1)),r_S_DEUDA1,FD$30)</f>
        <v>0</v>
      </c>
      <c r="FE31" s="12" t="n">
        <f aca="false">IF(AND(155=p_MesCorte,ISNUMBER(r_S_DEUDA1)),r_S_DEUDA1,FE$30)</f>
        <v>0</v>
      </c>
      <c r="FF31" s="12" t="n">
        <f aca="false">IF(AND(156=p_MesCorte,ISNUMBER(r_S_DEUDA1)),r_S_DEUDA1,FF$30)</f>
        <v>0</v>
      </c>
    </row>
    <row r="32" customFormat="false" ht="15" hidden="false" customHeight="false" outlineLevel="0" collapsed="false">
      <c r="A32" s="2" t="s">
        <v>1420</v>
      </c>
      <c r="B32" s="8" t="s">
        <v>1308</v>
      </c>
      <c r="C32" s="8" t="s">
        <v>255</v>
      </c>
      <c r="E32" s="65" t="n">
        <f aca="false">SUM($F32:$FF32)</f>
        <v>0</v>
      </c>
      <c r="F32" s="13" t="n">
        <f aca="false">F$31-F$30</f>
        <v>0</v>
      </c>
      <c r="G32" s="13" t="n">
        <f aca="false">G$31-G$30</f>
        <v>0</v>
      </c>
      <c r="H32" s="13" t="n">
        <f aca="false">H$31-H$30</f>
        <v>0</v>
      </c>
      <c r="I32" s="13" t="n">
        <f aca="false">I$31-I$30</f>
        <v>0</v>
      </c>
      <c r="J32" s="13" t="n">
        <f aca="false">J$31-J$30</f>
        <v>0</v>
      </c>
      <c r="K32" s="13" t="n">
        <f aca="false">K$31-K$30</f>
        <v>0</v>
      </c>
      <c r="L32" s="13" t="n">
        <f aca="false">L$31-L$30</f>
        <v>0</v>
      </c>
      <c r="M32" s="13" t="n">
        <f aca="false">M$31-M$30</f>
        <v>0</v>
      </c>
      <c r="N32" s="13" t="n">
        <f aca="false">N$31-N$30</f>
        <v>0</v>
      </c>
      <c r="O32" s="13" t="n">
        <f aca="false">O$31-O$30</f>
        <v>0</v>
      </c>
      <c r="P32" s="13" t="n">
        <f aca="false">P$31-P$30</f>
        <v>0</v>
      </c>
      <c r="Q32" s="13" t="n">
        <f aca="false">Q$31-Q$30</f>
        <v>0</v>
      </c>
      <c r="R32" s="13" t="n">
        <f aca="false">R$31-R$30</f>
        <v>0</v>
      </c>
      <c r="S32" s="13" t="n">
        <f aca="false">S$31-S$30</f>
        <v>0</v>
      </c>
      <c r="T32" s="13" t="n">
        <f aca="false">T$31-T$30</f>
        <v>0</v>
      </c>
      <c r="U32" s="13" t="n">
        <f aca="false">U$31-U$30</f>
        <v>0</v>
      </c>
      <c r="V32" s="13" t="n">
        <f aca="false">V$31-V$30</f>
        <v>0</v>
      </c>
      <c r="W32" s="13" t="n">
        <f aca="false">W$31-W$30</f>
        <v>0</v>
      </c>
      <c r="X32" s="13" t="n">
        <f aca="false">X$31-X$30</f>
        <v>0</v>
      </c>
      <c r="Y32" s="13" t="n">
        <f aca="false">Y$31-Y$30</f>
        <v>0</v>
      </c>
      <c r="Z32" s="13" t="n">
        <f aca="false">Z$31-Z$30</f>
        <v>0</v>
      </c>
      <c r="AA32" s="13" t="n">
        <f aca="false">AA$31-AA$30</f>
        <v>0</v>
      </c>
      <c r="AB32" s="13" t="n">
        <f aca="false">AB$31-AB$30</f>
        <v>0</v>
      </c>
      <c r="AC32" s="13" t="n">
        <f aca="false">AC$31-AC$30</f>
        <v>0</v>
      </c>
      <c r="AD32" s="13" t="n">
        <f aca="false">AD$31-AD$30</f>
        <v>0</v>
      </c>
      <c r="AE32" s="13" t="n">
        <f aca="false">AE$31-AE$30</f>
        <v>0</v>
      </c>
      <c r="AF32" s="13" t="n">
        <f aca="false">AF$31-AF$30</f>
        <v>0</v>
      </c>
      <c r="AG32" s="13" t="n">
        <f aca="false">AG$31-AG$30</f>
        <v>0</v>
      </c>
      <c r="AH32" s="13" t="n">
        <f aca="false">AH$31-AH$30</f>
        <v>0</v>
      </c>
      <c r="AI32" s="13" t="n">
        <f aca="false">AI$31-AI$30</f>
        <v>0</v>
      </c>
      <c r="AJ32" s="13" t="n">
        <f aca="false">AJ$31-AJ$30</f>
        <v>0</v>
      </c>
      <c r="AK32" s="13" t="n">
        <f aca="false">AK$31-AK$30</f>
        <v>0</v>
      </c>
      <c r="AL32" s="13" t="n">
        <f aca="false">AL$31-AL$30</f>
        <v>0</v>
      </c>
      <c r="AM32" s="13" t="n">
        <f aca="false">AM$31-AM$30</f>
        <v>0</v>
      </c>
      <c r="AN32" s="13" t="n">
        <f aca="false">AN$31-AN$30</f>
        <v>0</v>
      </c>
      <c r="AO32" s="13" t="n">
        <f aca="false">AO$31-AO$30</f>
        <v>0</v>
      </c>
      <c r="AP32" s="13" t="n">
        <f aca="false">AP$31-AP$30</f>
        <v>0</v>
      </c>
      <c r="AQ32" s="13" t="n">
        <f aca="false">AQ$31-AQ$30</f>
        <v>0</v>
      </c>
      <c r="AR32" s="13" t="n">
        <f aca="false">AR$31-AR$30</f>
        <v>0</v>
      </c>
      <c r="AS32" s="13" t="n">
        <f aca="false">AS$31-AS$30</f>
        <v>0</v>
      </c>
      <c r="AT32" s="13" t="n">
        <f aca="false">AT$31-AT$30</f>
        <v>0</v>
      </c>
      <c r="AU32" s="13" t="n">
        <f aca="false">AU$31-AU$30</f>
        <v>0</v>
      </c>
      <c r="AV32" s="13" t="n">
        <f aca="false">AV$31-AV$30</f>
        <v>0</v>
      </c>
      <c r="AW32" s="13" t="n">
        <f aca="false">AW$31-AW$30</f>
        <v>0</v>
      </c>
      <c r="AX32" s="13" t="n">
        <f aca="false">AX$31-AX$30</f>
        <v>0</v>
      </c>
      <c r="AY32" s="13" t="n">
        <f aca="false">AY$31-AY$30</f>
        <v>0</v>
      </c>
      <c r="AZ32" s="13" t="n">
        <f aca="false">AZ$31-AZ$30</f>
        <v>0</v>
      </c>
      <c r="BA32" s="13" t="n">
        <f aca="false">BA$31-BA$30</f>
        <v>0</v>
      </c>
      <c r="BB32" s="13" t="n">
        <f aca="false">BB$31-BB$30</f>
        <v>0</v>
      </c>
      <c r="BC32" s="13" t="n">
        <f aca="false">BC$31-BC$30</f>
        <v>0</v>
      </c>
      <c r="BD32" s="13" t="n">
        <f aca="false">BD$31-BD$30</f>
        <v>0</v>
      </c>
      <c r="BE32" s="13" t="n">
        <f aca="false">BE$31-BE$30</f>
        <v>0</v>
      </c>
      <c r="BF32" s="13" t="n">
        <f aca="false">BF$31-BF$30</f>
        <v>0</v>
      </c>
      <c r="BG32" s="13" t="n">
        <f aca="false">BG$31-BG$30</f>
        <v>0</v>
      </c>
      <c r="BH32" s="13" t="n">
        <f aca="false">BH$31-BH$30</f>
        <v>0</v>
      </c>
      <c r="BI32" s="13" t="n">
        <f aca="false">BI$31-BI$30</f>
        <v>0</v>
      </c>
      <c r="BJ32" s="13" t="n">
        <f aca="false">BJ$31-BJ$30</f>
        <v>0</v>
      </c>
      <c r="BK32" s="13" t="n">
        <f aca="false">BK$31-BK$30</f>
        <v>0</v>
      </c>
      <c r="BL32" s="13" t="n">
        <f aca="false">BL$31-BL$30</f>
        <v>0</v>
      </c>
      <c r="BM32" s="13" t="n">
        <f aca="false">BM$31-BM$30</f>
        <v>0</v>
      </c>
      <c r="BN32" s="13" t="n">
        <f aca="false">BN$31-BN$30</f>
        <v>0</v>
      </c>
      <c r="BO32" s="13" t="n">
        <f aca="false">BO$31-BO$30</f>
        <v>0</v>
      </c>
      <c r="BP32" s="13" t="n">
        <f aca="false">BP$31-BP$30</f>
        <v>0</v>
      </c>
      <c r="BQ32" s="13" t="n">
        <f aca="false">BQ$31-BQ$30</f>
        <v>0</v>
      </c>
      <c r="BR32" s="13" t="n">
        <f aca="false">BR$31-BR$30</f>
        <v>0</v>
      </c>
      <c r="BS32" s="13" t="n">
        <f aca="false">BS$31-BS$30</f>
        <v>0</v>
      </c>
      <c r="BT32" s="13" t="n">
        <f aca="false">BT$31-BT$30</f>
        <v>0</v>
      </c>
      <c r="BU32" s="13" t="n">
        <f aca="false">BU$31-BU$30</f>
        <v>0</v>
      </c>
      <c r="BV32" s="13" t="n">
        <f aca="false">BV$31-BV$30</f>
        <v>0</v>
      </c>
      <c r="BW32" s="13" t="n">
        <f aca="false">BW$31-BW$30</f>
        <v>0</v>
      </c>
      <c r="BX32" s="13" t="n">
        <f aca="false">BX$31-BX$30</f>
        <v>0</v>
      </c>
      <c r="BY32" s="13" t="n">
        <f aca="false">BY$31-BY$30</f>
        <v>0</v>
      </c>
      <c r="BZ32" s="13" t="n">
        <f aca="false">BZ$31-BZ$30</f>
        <v>0</v>
      </c>
      <c r="CA32" s="13" t="n">
        <f aca="false">CA$31-CA$30</f>
        <v>0</v>
      </c>
      <c r="CB32" s="13" t="n">
        <f aca="false">CB$31-CB$30</f>
        <v>0</v>
      </c>
      <c r="CC32" s="13" t="n">
        <f aca="false">CC$31-CC$30</f>
        <v>0</v>
      </c>
      <c r="CD32" s="13" t="n">
        <f aca="false">CD$31-CD$30</f>
        <v>0</v>
      </c>
      <c r="CE32" s="13" t="n">
        <f aca="false">CE$31-CE$30</f>
        <v>0</v>
      </c>
      <c r="CF32" s="13" t="n">
        <f aca="false">CF$31-CF$30</f>
        <v>0</v>
      </c>
      <c r="CG32" s="13" t="n">
        <f aca="false">CG$31-CG$30</f>
        <v>0</v>
      </c>
      <c r="CH32" s="13" t="n">
        <f aca="false">CH$31-CH$30</f>
        <v>0</v>
      </c>
      <c r="CI32" s="13" t="n">
        <f aca="false">CI$31-CI$30</f>
        <v>0</v>
      </c>
      <c r="CJ32" s="13" t="n">
        <f aca="false">CJ$31-CJ$30</f>
        <v>0</v>
      </c>
      <c r="CK32" s="13" t="n">
        <f aca="false">CK$31-CK$30</f>
        <v>0</v>
      </c>
      <c r="CL32" s="13" t="n">
        <f aca="false">CL$31-CL$30</f>
        <v>0</v>
      </c>
      <c r="CM32" s="13" t="n">
        <f aca="false">CM$31-CM$30</f>
        <v>0</v>
      </c>
      <c r="CN32" s="13" t="n">
        <f aca="false">CN$31-CN$30</f>
        <v>0</v>
      </c>
      <c r="CO32" s="13" t="n">
        <f aca="false">CO$31-CO$30</f>
        <v>0</v>
      </c>
      <c r="CP32" s="13" t="n">
        <f aca="false">CP$31-CP$30</f>
        <v>0</v>
      </c>
      <c r="CQ32" s="13" t="n">
        <f aca="false">CQ$31-CQ$30</f>
        <v>0</v>
      </c>
      <c r="CR32" s="13" t="n">
        <f aca="false">CR$31-CR$30</f>
        <v>0</v>
      </c>
      <c r="CS32" s="13" t="n">
        <f aca="false">CS$31-CS$30</f>
        <v>0</v>
      </c>
      <c r="CT32" s="13" t="n">
        <f aca="false">CT$31-CT$30</f>
        <v>0</v>
      </c>
      <c r="CU32" s="13" t="n">
        <f aca="false">CU$31-CU$30</f>
        <v>0</v>
      </c>
      <c r="CV32" s="13" t="n">
        <f aca="false">CV$31-CV$30</f>
        <v>0</v>
      </c>
      <c r="CW32" s="13" t="n">
        <f aca="false">CW$31-CW$30</f>
        <v>0</v>
      </c>
      <c r="CX32" s="13" t="n">
        <f aca="false">CX$31-CX$30</f>
        <v>0</v>
      </c>
      <c r="CY32" s="13" t="n">
        <f aca="false">CY$31-CY$30</f>
        <v>0</v>
      </c>
      <c r="CZ32" s="13" t="n">
        <f aca="false">CZ$31-CZ$30</f>
        <v>0</v>
      </c>
      <c r="DA32" s="13" t="n">
        <f aca="false">DA$31-DA$30</f>
        <v>0</v>
      </c>
      <c r="DB32" s="13" t="n">
        <f aca="false">DB$31-DB$30</f>
        <v>0</v>
      </c>
      <c r="DC32" s="13" t="n">
        <f aca="false">DC$31-DC$30</f>
        <v>0</v>
      </c>
      <c r="DD32" s="13" t="n">
        <f aca="false">DD$31-DD$30</f>
        <v>0</v>
      </c>
      <c r="DE32" s="13" t="n">
        <f aca="false">DE$31-DE$30</f>
        <v>0</v>
      </c>
      <c r="DF32" s="13" t="n">
        <f aca="false">DF$31-DF$30</f>
        <v>0</v>
      </c>
      <c r="DG32" s="13" t="n">
        <f aca="false">DG$31-DG$30</f>
        <v>0</v>
      </c>
      <c r="DH32" s="13" t="n">
        <f aca="false">DH$31-DH$30</f>
        <v>0</v>
      </c>
      <c r="DI32" s="13" t="n">
        <f aca="false">DI$31-DI$30</f>
        <v>0</v>
      </c>
      <c r="DJ32" s="13" t="n">
        <f aca="false">DJ$31-DJ$30</f>
        <v>0</v>
      </c>
      <c r="DK32" s="13" t="n">
        <f aca="false">DK$31-DK$30</f>
        <v>0</v>
      </c>
      <c r="DL32" s="13" t="n">
        <f aca="false">DL$31-DL$30</f>
        <v>0</v>
      </c>
      <c r="DM32" s="13" t="n">
        <f aca="false">DM$31-DM$30</f>
        <v>0</v>
      </c>
      <c r="DN32" s="13" t="n">
        <f aca="false">DN$31-DN$30</f>
        <v>0</v>
      </c>
      <c r="DO32" s="13" t="n">
        <f aca="false">DO$31-DO$30</f>
        <v>0</v>
      </c>
      <c r="DP32" s="13" t="n">
        <f aca="false">DP$31-DP$30</f>
        <v>0</v>
      </c>
      <c r="DQ32" s="13" t="n">
        <f aca="false">DQ$31-DQ$30</f>
        <v>0</v>
      </c>
      <c r="DR32" s="13" t="n">
        <f aca="false">DR$31-DR$30</f>
        <v>0</v>
      </c>
      <c r="DS32" s="13" t="n">
        <f aca="false">DS$31-DS$30</f>
        <v>0</v>
      </c>
      <c r="DT32" s="13" t="n">
        <f aca="false">DT$31-DT$30</f>
        <v>0</v>
      </c>
      <c r="DU32" s="13" t="n">
        <f aca="false">DU$31-DU$30</f>
        <v>0</v>
      </c>
      <c r="DV32" s="13" t="n">
        <f aca="false">DV$31-DV$30</f>
        <v>0</v>
      </c>
      <c r="DW32" s="13" t="n">
        <f aca="false">DW$31-DW$30</f>
        <v>0</v>
      </c>
      <c r="DX32" s="13" t="n">
        <f aca="false">DX$31-DX$30</f>
        <v>0</v>
      </c>
      <c r="DY32" s="13" t="n">
        <f aca="false">DY$31-DY$30</f>
        <v>0</v>
      </c>
      <c r="DZ32" s="13" t="n">
        <f aca="false">DZ$31-DZ$30</f>
        <v>0</v>
      </c>
      <c r="EA32" s="13" t="n">
        <f aca="false">EA$31-EA$30</f>
        <v>0</v>
      </c>
      <c r="EB32" s="13" t="n">
        <f aca="false">EB$31-EB$30</f>
        <v>0</v>
      </c>
      <c r="EC32" s="13" t="n">
        <f aca="false">EC$31-EC$30</f>
        <v>0</v>
      </c>
      <c r="ED32" s="13" t="n">
        <f aca="false">ED$31-ED$30</f>
        <v>0</v>
      </c>
      <c r="EE32" s="13" t="n">
        <f aca="false">EE$31-EE$30</f>
        <v>0</v>
      </c>
      <c r="EF32" s="13" t="n">
        <f aca="false">EF$31-EF$30</f>
        <v>0</v>
      </c>
      <c r="EG32" s="13" t="n">
        <f aca="false">EG$31-EG$30</f>
        <v>0</v>
      </c>
      <c r="EH32" s="13" t="n">
        <f aca="false">EH$31-EH$30</f>
        <v>0</v>
      </c>
      <c r="EI32" s="13" t="n">
        <f aca="false">EI$31-EI$30</f>
        <v>0</v>
      </c>
      <c r="EJ32" s="13" t="n">
        <f aca="false">EJ$31-EJ$30</f>
        <v>0</v>
      </c>
      <c r="EK32" s="13" t="n">
        <f aca="false">EK$31-EK$30</f>
        <v>0</v>
      </c>
      <c r="EL32" s="13" t="n">
        <f aca="false">EL$31-EL$30</f>
        <v>0</v>
      </c>
      <c r="EM32" s="13" t="n">
        <f aca="false">EM$31-EM$30</f>
        <v>0</v>
      </c>
      <c r="EN32" s="13" t="n">
        <f aca="false">EN$31-EN$30</f>
        <v>0</v>
      </c>
      <c r="EO32" s="13" t="n">
        <f aca="false">EO$31-EO$30</f>
        <v>0</v>
      </c>
      <c r="EP32" s="13" t="n">
        <f aca="false">EP$31-EP$30</f>
        <v>0</v>
      </c>
      <c r="EQ32" s="13" t="n">
        <f aca="false">EQ$31-EQ$30</f>
        <v>0</v>
      </c>
      <c r="ER32" s="13" t="n">
        <f aca="false">ER$31-ER$30</f>
        <v>0</v>
      </c>
      <c r="ES32" s="13" t="n">
        <f aca="false">ES$31-ES$30</f>
        <v>0</v>
      </c>
      <c r="ET32" s="13" t="n">
        <f aca="false">ET$31-ET$30</f>
        <v>0</v>
      </c>
      <c r="EU32" s="13" t="n">
        <f aca="false">EU$31-EU$30</f>
        <v>0</v>
      </c>
      <c r="EV32" s="13" t="n">
        <f aca="false">EV$31-EV$30</f>
        <v>0</v>
      </c>
      <c r="EW32" s="13" t="n">
        <f aca="false">EW$31-EW$30</f>
        <v>0</v>
      </c>
      <c r="EX32" s="13" t="n">
        <f aca="false">EX$31-EX$30</f>
        <v>0</v>
      </c>
      <c r="EY32" s="13" t="n">
        <f aca="false">EY$31-EY$30</f>
        <v>0</v>
      </c>
      <c r="EZ32" s="13" t="n">
        <f aca="false">EZ$31-EZ$30</f>
        <v>0</v>
      </c>
      <c r="FA32" s="13" t="n">
        <f aca="false">FA$31-FA$30</f>
        <v>0</v>
      </c>
      <c r="FB32" s="13" t="n">
        <f aca="false">FB$31-FB$30</f>
        <v>0</v>
      </c>
      <c r="FC32" s="13" t="n">
        <f aca="false">FC$31-FC$30</f>
        <v>0</v>
      </c>
      <c r="FD32" s="13" t="n">
        <f aca="false">FD$31-FD$30</f>
        <v>0</v>
      </c>
      <c r="FE32" s="13" t="n">
        <f aca="false">FE$31-FE$30</f>
        <v>0</v>
      </c>
      <c r="FF32" s="13" t="n">
        <f aca="false">FF$31-FF$30</f>
        <v>0</v>
      </c>
    </row>
    <row r="33" customFormat="false" ht="15" hidden="false" customHeight="false" outlineLevel="0" collapsed="false">
      <c r="A33" s="2" t="s">
        <v>1421</v>
      </c>
      <c r="B33" s="8" t="s">
        <v>1422</v>
      </c>
      <c r="C33" s="8" t="s">
        <v>255</v>
      </c>
      <c r="E33" s="70" t="n">
        <f aca="false">MIN($F33:$FF33)</f>
        <v>0</v>
      </c>
      <c r="F33" s="19" t="n">
        <f aca="false">MIN(0,F$31)</f>
        <v>0</v>
      </c>
      <c r="G33" s="19" t="n">
        <f aca="false">MIN(0,G$31)</f>
        <v>0</v>
      </c>
      <c r="H33" s="19" t="n">
        <f aca="false">MIN(0,H$31)</f>
        <v>0</v>
      </c>
      <c r="I33" s="19" t="n">
        <f aca="false">MIN(0,I$31)</f>
        <v>0</v>
      </c>
      <c r="J33" s="19" t="n">
        <f aca="false">MIN(0,J$31)</f>
        <v>0</v>
      </c>
      <c r="K33" s="19" t="n">
        <f aca="false">MIN(0,K$31)</f>
        <v>0</v>
      </c>
      <c r="L33" s="19" t="n">
        <f aca="false">MIN(0,L$31)</f>
        <v>0</v>
      </c>
      <c r="M33" s="19" t="n">
        <f aca="false">MIN(0,M$31)</f>
        <v>0</v>
      </c>
      <c r="N33" s="19" t="n">
        <f aca="false">MIN(0,N$31)</f>
        <v>0</v>
      </c>
      <c r="O33" s="19" t="n">
        <f aca="false">MIN(0,O$31)</f>
        <v>0</v>
      </c>
      <c r="P33" s="19" t="n">
        <f aca="false">MIN(0,P$31)</f>
        <v>0</v>
      </c>
      <c r="Q33" s="19" t="n">
        <f aca="false">MIN(0,Q$31)</f>
        <v>0</v>
      </c>
      <c r="R33" s="19" t="n">
        <f aca="false">MIN(0,R$31)</f>
        <v>0</v>
      </c>
      <c r="S33" s="19" t="n">
        <f aca="false">MIN(0,S$31)</f>
        <v>0</v>
      </c>
      <c r="T33" s="19" t="n">
        <f aca="false">MIN(0,T$31)</f>
        <v>0</v>
      </c>
      <c r="U33" s="19" t="n">
        <f aca="false">MIN(0,U$31)</f>
        <v>0</v>
      </c>
      <c r="V33" s="19" t="n">
        <f aca="false">MIN(0,V$31)</f>
        <v>0</v>
      </c>
      <c r="W33" s="19" t="n">
        <f aca="false">MIN(0,W$31)</f>
        <v>0</v>
      </c>
      <c r="X33" s="19" t="n">
        <f aca="false">MIN(0,X$31)</f>
        <v>0</v>
      </c>
      <c r="Y33" s="19" t="n">
        <f aca="false">MIN(0,Y$31)</f>
        <v>0</v>
      </c>
      <c r="Z33" s="19" t="n">
        <f aca="false">MIN(0,Z$31)</f>
        <v>0</v>
      </c>
      <c r="AA33" s="19" t="n">
        <f aca="false">MIN(0,AA$31)</f>
        <v>0</v>
      </c>
      <c r="AB33" s="19" t="n">
        <f aca="false">MIN(0,AB$31)</f>
        <v>0</v>
      </c>
      <c r="AC33" s="19" t="n">
        <f aca="false">MIN(0,AC$31)</f>
        <v>0</v>
      </c>
      <c r="AD33" s="19" t="n">
        <f aca="false">MIN(0,AD$31)</f>
        <v>0</v>
      </c>
      <c r="AE33" s="19" t="n">
        <f aca="false">MIN(0,AE$31)</f>
        <v>0</v>
      </c>
      <c r="AF33" s="19" t="n">
        <f aca="false">MIN(0,AF$31)</f>
        <v>0</v>
      </c>
      <c r="AG33" s="19" t="n">
        <f aca="false">MIN(0,AG$31)</f>
        <v>0</v>
      </c>
      <c r="AH33" s="19" t="n">
        <f aca="false">MIN(0,AH$31)</f>
        <v>0</v>
      </c>
      <c r="AI33" s="19" t="n">
        <f aca="false">MIN(0,AI$31)</f>
        <v>0</v>
      </c>
      <c r="AJ33" s="19" t="n">
        <f aca="false">MIN(0,AJ$31)</f>
        <v>0</v>
      </c>
      <c r="AK33" s="19" t="n">
        <f aca="false">MIN(0,AK$31)</f>
        <v>0</v>
      </c>
      <c r="AL33" s="19" t="n">
        <f aca="false">MIN(0,AL$31)</f>
        <v>0</v>
      </c>
      <c r="AM33" s="19" t="n">
        <f aca="false">MIN(0,AM$31)</f>
        <v>0</v>
      </c>
      <c r="AN33" s="19" t="n">
        <f aca="false">MIN(0,AN$31)</f>
        <v>0</v>
      </c>
      <c r="AO33" s="19" t="n">
        <f aca="false">MIN(0,AO$31)</f>
        <v>0</v>
      </c>
      <c r="AP33" s="19" t="n">
        <f aca="false">MIN(0,AP$31)</f>
        <v>0</v>
      </c>
      <c r="AQ33" s="19" t="n">
        <f aca="false">MIN(0,AQ$31)</f>
        <v>0</v>
      </c>
      <c r="AR33" s="19" t="n">
        <f aca="false">MIN(0,AR$31)</f>
        <v>0</v>
      </c>
      <c r="AS33" s="19" t="n">
        <f aca="false">MIN(0,AS$31)</f>
        <v>0</v>
      </c>
      <c r="AT33" s="19" t="n">
        <f aca="false">MIN(0,AT$31)</f>
        <v>0</v>
      </c>
      <c r="AU33" s="19" t="n">
        <f aca="false">MIN(0,AU$31)</f>
        <v>0</v>
      </c>
      <c r="AV33" s="19" t="n">
        <f aca="false">MIN(0,AV$31)</f>
        <v>0</v>
      </c>
      <c r="AW33" s="19" t="n">
        <f aca="false">MIN(0,AW$31)</f>
        <v>0</v>
      </c>
      <c r="AX33" s="19" t="n">
        <f aca="false">MIN(0,AX$31)</f>
        <v>0</v>
      </c>
      <c r="AY33" s="19" t="n">
        <f aca="false">MIN(0,AY$31)</f>
        <v>0</v>
      </c>
      <c r="AZ33" s="19" t="n">
        <f aca="false">MIN(0,AZ$31)</f>
        <v>0</v>
      </c>
      <c r="BA33" s="19" t="n">
        <f aca="false">MIN(0,BA$31)</f>
        <v>0</v>
      </c>
      <c r="BB33" s="19" t="n">
        <f aca="false">MIN(0,BB$31)</f>
        <v>0</v>
      </c>
      <c r="BC33" s="19" t="n">
        <f aca="false">MIN(0,BC$31)</f>
        <v>0</v>
      </c>
      <c r="BD33" s="19" t="n">
        <f aca="false">MIN(0,BD$31)</f>
        <v>0</v>
      </c>
      <c r="BE33" s="19" t="n">
        <f aca="false">MIN(0,BE$31)</f>
        <v>0</v>
      </c>
      <c r="BF33" s="19" t="n">
        <f aca="false">MIN(0,BF$31)</f>
        <v>0</v>
      </c>
      <c r="BG33" s="19" t="n">
        <f aca="false">MIN(0,BG$31)</f>
        <v>0</v>
      </c>
      <c r="BH33" s="19" t="n">
        <f aca="false">MIN(0,BH$31)</f>
        <v>0</v>
      </c>
      <c r="BI33" s="19" t="n">
        <f aca="false">MIN(0,BI$31)</f>
        <v>0</v>
      </c>
      <c r="BJ33" s="19" t="n">
        <f aca="false">MIN(0,BJ$31)</f>
        <v>0</v>
      </c>
      <c r="BK33" s="19" t="n">
        <f aca="false">MIN(0,BK$31)</f>
        <v>0</v>
      </c>
      <c r="BL33" s="19" t="n">
        <f aca="false">MIN(0,BL$31)</f>
        <v>0</v>
      </c>
      <c r="BM33" s="19" t="n">
        <f aca="false">MIN(0,BM$31)</f>
        <v>0</v>
      </c>
      <c r="BN33" s="19" t="n">
        <f aca="false">MIN(0,BN$31)</f>
        <v>0</v>
      </c>
      <c r="BO33" s="19" t="n">
        <f aca="false">MIN(0,BO$31)</f>
        <v>0</v>
      </c>
      <c r="BP33" s="19" t="n">
        <f aca="false">MIN(0,BP$31)</f>
        <v>0</v>
      </c>
      <c r="BQ33" s="19" t="n">
        <f aca="false">MIN(0,BQ$31)</f>
        <v>0</v>
      </c>
      <c r="BR33" s="19" t="n">
        <f aca="false">MIN(0,BR$31)</f>
        <v>0</v>
      </c>
      <c r="BS33" s="19" t="n">
        <f aca="false">MIN(0,BS$31)</f>
        <v>0</v>
      </c>
      <c r="BT33" s="19" t="n">
        <f aca="false">MIN(0,BT$31)</f>
        <v>0</v>
      </c>
      <c r="BU33" s="19" t="n">
        <f aca="false">MIN(0,BU$31)</f>
        <v>0</v>
      </c>
      <c r="BV33" s="19" t="n">
        <f aca="false">MIN(0,BV$31)</f>
        <v>0</v>
      </c>
      <c r="BW33" s="19" t="n">
        <f aca="false">MIN(0,BW$31)</f>
        <v>0</v>
      </c>
      <c r="BX33" s="19" t="n">
        <f aca="false">MIN(0,BX$31)</f>
        <v>0</v>
      </c>
      <c r="BY33" s="19" t="n">
        <f aca="false">MIN(0,BY$31)</f>
        <v>0</v>
      </c>
      <c r="BZ33" s="19" t="n">
        <f aca="false">MIN(0,BZ$31)</f>
        <v>0</v>
      </c>
      <c r="CA33" s="19" t="n">
        <f aca="false">MIN(0,CA$31)</f>
        <v>0</v>
      </c>
      <c r="CB33" s="19" t="n">
        <f aca="false">MIN(0,CB$31)</f>
        <v>0</v>
      </c>
      <c r="CC33" s="19" t="n">
        <f aca="false">MIN(0,CC$31)</f>
        <v>0</v>
      </c>
      <c r="CD33" s="19" t="n">
        <f aca="false">MIN(0,CD$31)</f>
        <v>0</v>
      </c>
      <c r="CE33" s="19" t="n">
        <f aca="false">MIN(0,CE$31)</f>
        <v>0</v>
      </c>
      <c r="CF33" s="19" t="n">
        <f aca="false">MIN(0,CF$31)</f>
        <v>0</v>
      </c>
      <c r="CG33" s="19" t="n">
        <f aca="false">MIN(0,CG$31)</f>
        <v>0</v>
      </c>
      <c r="CH33" s="19" t="n">
        <f aca="false">MIN(0,CH$31)</f>
        <v>0</v>
      </c>
      <c r="CI33" s="19" t="n">
        <f aca="false">MIN(0,CI$31)</f>
        <v>0</v>
      </c>
      <c r="CJ33" s="19" t="n">
        <f aca="false">MIN(0,CJ$31)</f>
        <v>0</v>
      </c>
      <c r="CK33" s="19" t="n">
        <f aca="false">MIN(0,CK$31)</f>
        <v>0</v>
      </c>
      <c r="CL33" s="19" t="n">
        <f aca="false">MIN(0,CL$31)</f>
        <v>0</v>
      </c>
      <c r="CM33" s="19" t="n">
        <f aca="false">MIN(0,CM$31)</f>
        <v>0</v>
      </c>
      <c r="CN33" s="19" t="n">
        <f aca="false">MIN(0,CN$31)</f>
        <v>0</v>
      </c>
      <c r="CO33" s="19" t="n">
        <f aca="false">MIN(0,CO$31)</f>
        <v>0</v>
      </c>
      <c r="CP33" s="19" t="n">
        <f aca="false">MIN(0,CP$31)</f>
        <v>0</v>
      </c>
      <c r="CQ33" s="19" t="n">
        <f aca="false">MIN(0,CQ$31)</f>
        <v>0</v>
      </c>
      <c r="CR33" s="19" t="n">
        <f aca="false">MIN(0,CR$31)</f>
        <v>0</v>
      </c>
      <c r="CS33" s="19" t="n">
        <f aca="false">MIN(0,CS$31)</f>
        <v>0</v>
      </c>
      <c r="CT33" s="19" t="n">
        <f aca="false">MIN(0,CT$31)</f>
        <v>0</v>
      </c>
      <c r="CU33" s="19" t="n">
        <f aca="false">MIN(0,CU$31)</f>
        <v>0</v>
      </c>
      <c r="CV33" s="19" t="n">
        <f aca="false">MIN(0,CV$31)</f>
        <v>0</v>
      </c>
      <c r="CW33" s="19" t="n">
        <f aca="false">MIN(0,CW$31)</f>
        <v>0</v>
      </c>
      <c r="CX33" s="19" t="n">
        <f aca="false">MIN(0,CX$31)</f>
        <v>0</v>
      </c>
      <c r="CY33" s="19" t="n">
        <f aca="false">MIN(0,CY$31)</f>
        <v>0</v>
      </c>
      <c r="CZ33" s="19" t="n">
        <f aca="false">MIN(0,CZ$31)</f>
        <v>0</v>
      </c>
      <c r="DA33" s="19" t="n">
        <f aca="false">MIN(0,DA$31)</f>
        <v>0</v>
      </c>
      <c r="DB33" s="19" t="n">
        <f aca="false">MIN(0,DB$31)</f>
        <v>0</v>
      </c>
      <c r="DC33" s="19" t="n">
        <f aca="false">MIN(0,DC$31)</f>
        <v>0</v>
      </c>
      <c r="DD33" s="19" t="n">
        <f aca="false">MIN(0,DD$31)</f>
        <v>0</v>
      </c>
      <c r="DE33" s="19" t="n">
        <f aca="false">MIN(0,DE$31)</f>
        <v>0</v>
      </c>
      <c r="DF33" s="19" t="n">
        <f aca="false">MIN(0,DF$31)</f>
        <v>0</v>
      </c>
      <c r="DG33" s="19" t="n">
        <f aca="false">MIN(0,DG$31)</f>
        <v>0</v>
      </c>
      <c r="DH33" s="19" t="n">
        <f aca="false">MIN(0,DH$31)</f>
        <v>0</v>
      </c>
      <c r="DI33" s="19" t="n">
        <f aca="false">MIN(0,DI$31)</f>
        <v>0</v>
      </c>
      <c r="DJ33" s="19" t="n">
        <f aca="false">MIN(0,DJ$31)</f>
        <v>0</v>
      </c>
      <c r="DK33" s="19" t="n">
        <f aca="false">MIN(0,DK$31)</f>
        <v>0</v>
      </c>
      <c r="DL33" s="19" t="n">
        <f aca="false">MIN(0,DL$31)</f>
        <v>0</v>
      </c>
      <c r="DM33" s="19" t="n">
        <f aca="false">MIN(0,DM$31)</f>
        <v>0</v>
      </c>
      <c r="DN33" s="19" t="n">
        <f aca="false">MIN(0,DN$31)</f>
        <v>0</v>
      </c>
      <c r="DO33" s="19" t="n">
        <f aca="false">MIN(0,DO$31)</f>
        <v>0</v>
      </c>
      <c r="DP33" s="19" t="n">
        <f aca="false">MIN(0,DP$31)</f>
        <v>0</v>
      </c>
      <c r="DQ33" s="19" t="n">
        <f aca="false">MIN(0,DQ$31)</f>
        <v>0</v>
      </c>
      <c r="DR33" s="19" t="n">
        <f aca="false">MIN(0,DR$31)</f>
        <v>0</v>
      </c>
      <c r="DS33" s="19" t="n">
        <f aca="false">MIN(0,DS$31)</f>
        <v>0</v>
      </c>
      <c r="DT33" s="19" t="n">
        <f aca="false">MIN(0,DT$31)</f>
        <v>0</v>
      </c>
      <c r="DU33" s="19" t="n">
        <f aca="false">MIN(0,DU$31)</f>
        <v>0</v>
      </c>
      <c r="DV33" s="19" t="n">
        <f aca="false">MIN(0,DV$31)</f>
        <v>0</v>
      </c>
      <c r="DW33" s="19" t="n">
        <f aca="false">MIN(0,DW$31)</f>
        <v>0</v>
      </c>
      <c r="DX33" s="19" t="n">
        <f aca="false">MIN(0,DX$31)</f>
        <v>0</v>
      </c>
      <c r="DY33" s="19" t="n">
        <f aca="false">MIN(0,DY$31)</f>
        <v>0</v>
      </c>
      <c r="DZ33" s="19" t="n">
        <f aca="false">MIN(0,DZ$31)</f>
        <v>0</v>
      </c>
      <c r="EA33" s="19" t="n">
        <f aca="false">MIN(0,EA$31)</f>
        <v>0</v>
      </c>
      <c r="EB33" s="19" t="n">
        <f aca="false">MIN(0,EB$31)</f>
        <v>0</v>
      </c>
      <c r="EC33" s="19" t="n">
        <f aca="false">MIN(0,EC$31)</f>
        <v>0</v>
      </c>
      <c r="ED33" s="19" t="n">
        <f aca="false">MIN(0,ED$31)</f>
        <v>0</v>
      </c>
      <c r="EE33" s="19" t="n">
        <f aca="false">MIN(0,EE$31)</f>
        <v>0</v>
      </c>
      <c r="EF33" s="19" t="n">
        <f aca="false">MIN(0,EF$31)</f>
        <v>0</v>
      </c>
      <c r="EG33" s="19" t="n">
        <f aca="false">MIN(0,EG$31)</f>
        <v>0</v>
      </c>
      <c r="EH33" s="19" t="n">
        <f aca="false">MIN(0,EH$31)</f>
        <v>0</v>
      </c>
      <c r="EI33" s="19" t="n">
        <f aca="false">MIN(0,EI$31)</f>
        <v>0</v>
      </c>
      <c r="EJ33" s="19" t="n">
        <f aca="false">MIN(0,EJ$31)</f>
        <v>0</v>
      </c>
      <c r="EK33" s="19" t="n">
        <f aca="false">MIN(0,EK$31)</f>
        <v>0</v>
      </c>
      <c r="EL33" s="19" t="n">
        <f aca="false">MIN(0,EL$31)</f>
        <v>0</v>
      </c>
      <c r="EM33" s="19" t="n">
        <f aca="false">MIN(0,EM$31)</f>
        <v>0</v>
      </c>
      <c r="EN33" s="19" t="n">
        <f aca="false">MIN(0,EN$31)</f>
        <v>0</v>
      </c>
      <c r="EO33" s="19" t="n">
        <f aca="false">MIN(0,EO$31)</f>
        <v>0</v>
      </c>
      <c r="EP33" s="19" t="n">
        <f aca="false">MIN(0,EP$31)</f>
        <v>0</v>
      </c>
      <c r="EQ33" s="19" t="n">
        <f aca="false">MIN(0,EQ$31)</f>
        <v>0</v>
      </c>
      <c r="ER33" s="19" t="n">
        <f aca="false">MIN(0,ER$31)</f>
        <v>0</v>
      </c>
      <c r="ES33" s="19" t="n">
        <f aca="false">MIN(0,ES$31)</f>
        <v>0</v>
      </c>
      <c r="ET33" s="19" t="n">
        <f aca="false">MIN(0,ET$31)</f>
        <v>0</v>
      </c>
      <c r="EU33" s="19" t="n">
        <f aca="false">MIN(0,EU$31)</f>
        <v>0</v>
      </c>
      <c r="EV33" s="19" t="n">
        <f aca="false">MIN(0,EV$31)</f>
        <v>0</v>
      </c>
      <c r="EW33" s="19" t="n">
        <f aca="false">MIN(0,EW$31)</f>
        <v>0</v>
      </c>
      <c r="EX33" s="19" t="n">
        <f aca="false">MIN(0,EX$31)</f>
        <v>0</v>
      </c>
      <c r="EY33" s="19" t="n">
        <f aca="false">MIN(0,EY$31)</f>
        <v>0</v>
      </c>
      <c r="EZ33" s="19" t="n">
        <f aca="false">MIN(0,EZ$31)</f>
        <v>0</v>
      </c>
      <c r="FA33" s="19" t="n">
        <f aca="false">MIN(0,FA$31)</f>
        <v>0</v>
      </c>
      <c r="FB33" s="19" t="n">
        <f aca="false">MIN(0,FB$31)</f>
        <v>0</v>
      </c>
      <c r="FC33" s="19" t="n">
        <f aca="false">MIN(0,FC$31)</f>
        <v>0</v>
      </c>
      <c r="FD33" s="19" t="n">
        <f aca="false">MIN(0,FD$31)</f>
        <v>0</v>
      </c>
      <c r="FE33" s="19" t="n">
        <f aca="false">MIN(0,FE$31)</f>
        <v>0</v>
      </c>
      <c r="FF33" s="19" t="n">
        <f aca="false">MIN(0,FF$31)</f>
        <v>0</v>
      </c>
    </row>
    <row r="34" customFormat="false" ht="15" hidden="false" customHeight="false" outlineLevel="0" collapsed="false">
      <c r="A34" s="4"/>
      <c r="B34" s="3" t="s">
        <v>1423</v>
      </c>
      <c r="C34" s="4"/>
      <c r="D34" s="4"/>
      <c r="E34" s="4"/>
    </row>
    <row r="35" customFormat="false" ht="15" hidden="false" customHeight="false" outlineLevel="0" collapsed="false">
      <c r="A35" s="2" t="s">
        <v>1424</v>
      </c>
      <c r="B35" s="8" t="s">
        <v>1399</v>
      </c>
      <c r="C35" s="8" t="s">
        <v>771</v>
      </c>
      <c r="F35" s="31" t="n">
        <f aca="false">0-e_L2_Mes</f>
        <v>-12</v>
      </c>
      <c r="G35" s="31" t="n">
        <f aca="false">1-e_L2_Mes</f>
        <v>-11</v>
      </c>
      <c r="H35" s="31" t="n">
        <f aca="false">2-e_L2_Mes</f>
        <v>-10</v>
      </c>
      <c r="I35" s="31" t="n">
        <f aca="false">3-e_L2_Mes</f>
        <v>-9</v>
      </c>
      <c r="J35" s="31" t="n">
        <f aca="false">4-e_L2_Mes</f>
        <v>-8</v>
      </c>
      <c r="K35" s="31" t="n">
        <f aca="false">5-e_L2_Mes</f>
        <v>-7</v>
      </c>
      <c r="L35" s="31" t="n">
        <f aca="false">6-e_L2_Mes</f>
        <v>-6</v>
      </c>
      <c r="M35" s="31" t="n">
        <f aca="false">7-e_L2_Mes</f>
        <v>-5</v>
      </c>
      <c r="N35" s="31" t="n">
        <f aca="false">8-e_L2_Mes</f>
        <v>-4</v>
      </c>
      <c r="O35" s="31" t="n">
        <f aca="false">9-e_L2_Mes</f>
        <v>-3</v>
      </c>
      <c r="P35" s="31" t="n">
        <f aca="false">10-e_L2_Mes</f>
        <v>-2</v>
      </c>
      <c r="Q35" s="31" t="n">
        <f aca="false">11-e_L2_Mes</f>
        <v>-1</v>
      </c>
      <c r="R35" s="31" t="n">
        <f aca="false">12-e_L2_Mes</f>
        <v>0</v>
      </c>
      <c r="S35" s="31" t="n">
        <f aca="false">13-e_L2_Mes</f>
        <v>1</v>
      </c>
      <c r="T35" s="31" t="n">
        <f aca="false">14-e_L2_Mes</f>
        <v>2</v>
      </c>
      <c r="U35" s="31" t="n">
        <f aca="false">15-e_L2_Mes</f>
        <v>3</v>
      </c>
      <c r="V35" s="31" t="n">
        <f aca="false">16-e_L2_Mes</f>
        <v>4</v>
      </c>
      <c r="W35" s="31" t="n">
        <f aca="false">17-e_L2_Mes</f>
        <v>5</v>
      </c>
      <c r="X35" s="31" t="n">
        <f aca="false">18-e_L2_Mes</f>
        <v>6</v>
      </c>
      <c r="Y35" s="31" t="n">
        <f aca="false">19-e_L2_Mes</f>
        <v>7</v>
      </c>
      <c r="Z35" s="31" t="n">
        <f aca="false">20-e_L2_Mes</f>
        <v>8</v>
      </c>
      <c r="AA35" s="31" t="n">
        <f aca="false">21-e_L2_Mes</f>
        <v>9</v>
      </c>
      <c r="AB35" s="31" t="n">
        <f aca="false">22-e_L2_Mes</f>
        <v>10</v>
      </c>
      <c r="AC35" s="31" t="n">
        <f aca="false">23-e_L2_Mes</f>
        <v>11</v>
      </c>
      <c r="AD35" s="31" t="n">
        <f aca="false">24-e_L2_Mes</f>
        <v>12</v>
      </c>
      <c r="AE35" s="31" t="n">
        <f aca="false">25-e_L2_Mes</f>
        <v>13</v>
      </c>
      <c r="AF35" s="31" t="n">
        <f aca="false">26-e_L2_Mes</f>
        <v>14</v>
      </c>
      <c r="AG35" s="31" t="n">
        <f aca="false">27-e_L2_Mes</f>
        <v>15</v>
      </c>
      <c r="AH35" s="31" t="n">
        <f aca="false">28-e_L2_Mes</f>
        <v>16</v>
      </c>
      <c r="AI35" s="31" t="n">
        <f aca="false">29-e_L2_Mes</f>
        <v>17</v>
      </c>
      <c r="AJ35" s="31" t="n">
        <f aca="false">30-e_L2_Mes</f>
        <v>18</v>
      </c>
      <c r="AK35" s="31" t="n">
        <f aca="false">31-e_L2_Mes</f>
        <v>19</v>
      </c>
      <c r="AL35" s="31" t="n">
        <f aca="false">32-e_L2_Mes</f>
        <v>20</v>
      </c>
      <c r="AM35" s="31" t="n">
        <f aca="false">33-e_L2_Mes</f>
        <v>21</v>
      </c>
      <c r="AN35" s="31" t="n">
        <f aca="false">34-e_L2_Mes</f>
        <v>22</v>
      </c>
      <c r="AO35" s="31" t="n">
        <f aca="false">35-e_L2_Mes</f>
        <v>23</v>
      </c>
      <c r="AP35" s="31" t="n">
        <f aca="false">36-e_L2_Mes</f>
        <v>24</v>
      </c>
      <c r="AQ35" s="31" t="n">
        <f aca="false">37-e_L2_Mes</f>
        <v>25</v>
      </c>
      <c r="AR35" s="31" t="n">
        <f aca="false">38-e_L2_Mes</f>
        <v>26</v>
      </c>
      <c r="AS35" s="31" t="n">
        <f aca="false">39-e_L2_Mes</f>
        <v>27</v>
      </c>
      <c r="AT35" s="31" t="n">
        <f aca="false">40-e_L2_Mes</f>
        <v>28</v>
      </c>
      <c r="AU35" s="31" t="n">
        <f aca="false">41-e_L2_Mes</f>
        <v>29</v>
      </c>
      <c r="AV35" s="31" t="n">
        <f aca="false">42-e_L2_Mes</f>
        <v>30</v>
      </c>
      <c r="AW35" s="31" t="n">
        <f aca="false">43-e_L2_Mes</f>
        <v>31</v>
      </c>
      <c r="AX35" s="31" t="n">
        <f aca="false">44-e_L2_Mes</f>
        <v>32</v>
      </c>
      <c r="AY35" s="31" t="n">
        <f aca="false">45-e_L2_Mes</f>
        <v>33</v>
      </c>
      <c r="AZ35" s="31" t="n">
        <f aca="false">46-e_L2_Mes</f>
        <v>34</v>
      </c>
      <c r="BA35" s="31" t="n">
        <f aca="false">47-e_L2_Mes</f>
        <v>35</v>
      </c>
      <c r="BB35" s="31" t="n">
        <f aca="false">48-e_L2_Mes</f>
        <v>36</v>
      </c>
      <c r="BC35" s="31" t="n">
        <f aca="false">49-e_L2_Mes</f>
        <v>37</v>
      </c>
      <c r="BD35" s="31" t="n">
        <f aca="false">50-e_L2_Mes</f>
        <v>38</v>
      </c>
      <c r="BE35" s="31" t="n">
        <f aca="false">51-e_L2_Mes</f>
        <v>39</v>
      </c>
      <c r="BF35" s="31" t="n">
        <f aca="false">52-e_L2_Mes</f>
        <v>40</v>
      </c>
      <c r="BG35" s="31" t="n">
        <f aca="false">53-e_L2_Mes</f>
        <v>41</v>
      </c>
      <c r="BH35" s="31" t="n">
        <f aca="false">54-e_L2_Mes</f>
        <v>42</v>
      </c>
      <c r="BI35" s="31" t="n">
        <f aca="false">55-e_L2_Mes</f>
        <v>43</v>
      </c>
      <c r="BJ35" s="31" t="n">
        <f aca="false">56-e_L2_Mes</f>
        <v>44</v>
      </c>
      <c r="BK35" s="31" t="n">
        <f aca="false">57-e_L2_Mes</f>
        <v>45</v>
      </c>
      <c r="BL35" s="31" t="n">
        <f aca="false">58-e_L2_Mes</f>
        <v>46</v>
      </c>
      <c r="BM35" s="31" t="n">
        <f aca="false">59-e_L2_Mes</f>
        <v>47</v>
      </c>
      <c r="BN35" s="31" t="n">
        <f aca="false">60-e_L2_Mes</f>
        <v>48</v>
      </c>
      <c r="BO35" s="31" t="n">
        <f aca="false">61-e_L2_Mes</f>
        <v>49</v>
      </c>
      <c r="BP35" s="31" t="n">
        <f aca="false">62-e_L2_Mes</f>
        <v>50</v>
      </c>
      <c r="BQ35" s="31" t="n">
        <f aca="false">63-e_L2_Mes</f>
        <v>51</v>
      </c>
      <c r="BR35" s="31" t="n">
        <f aca="false">64-e_L2_Mes</f>
        <v>52</v>
      </c>
      <c r="BS35" s="31" t="n">
        <f aca="false">65-e_L2_Mes</f>
        <v>53</v>
      </c>
      <c r="BT35" s="31" t="n">
        <f aca="false">66-e_L2_Mes</f>
        <v>54</v>
      </c>
      <c r="BU35" s="31" t="n">
        <f aca="false">67-e_L2_Mes</f>
        <v>55</v>
      </c>
      <c r="BV35" s="31" t="n">
        <f aca="false">68-e_L2_Mes</f>
        <v>56</v>
      </c>
      <c r="BW35" s="31" t="n">
        <f aca="false">69-e_L2_Mes</f>
        <v>57</v>
      </c>
      <c r="BX35" s="31" t="n">
        <f aca="false">70-e_L2_Mes</f>
        <v>58</v>
      </c>
      <c r="BY35" s="31" t="n">
        <f aca="false">71-e_L2_Mes</f>
        <v>59</v>
      </c>
      <c r="BZ35" s="31" t="n">
        <f aca="false">72-e_L2_Mes</f>
        <v>60</v>
      </c>
      <c r="CA35" s="31" t="n">
        <f aca="false">73-e_L2_Mes</f>
        <v>61</v>
      </c>
      <c r="CB35" s="31" t="n">
        <f aca="false">74-e_L2_Mes</f>
        <v>62</v>
      </c>
      <c r="CC35" s="31" t="n">
        <f aca="false">75-e_L2_Mes</f>
        <v>63</v>
      </c>
      <c r="CD35" s="31" t="n">
        <f aca="false">76-e_L2_Mes</f>
        <v>64</v>
      </c>
      <c r="CE35" s="31" t="n">
        <f aca="false">77-e_L2_Mes</f>
        <v>65</v>
      </c>
      <c r="CF35" s="31" t="n">
        <f aca="false">78-e_L2_Mes</f>
        <v>66</v>
      </c>
      <c r="CG35" s="31" t="n">
        <f aca="false">79-e_L2_Mes</f>
        <v>67</v>
      </c>
      <c r="CH35" s="31" t="n">
        <f aca="false">80-e_L2_Mes</f>
        <v>68</v>
      </c>
      <c r="CI35" s="31" t="n">
        <f aca="false">81-e_L2_Mes</f>
        <v>69</v>
      </c>
      <c r="CJ35" s="31" t="n">
        <f aca="false">82-e_L2_Mes</f>
        <v>70</v>
      </c>
      <c r="CK35" s="31" t="n">
        <f aca="false">83-e_L2_Mes</f>
        <v>71</v>
      </c>
      <c r="CL35" s="31" t="n">
        <f aca="false">84-e_L2_Mes</f>
        <v>72</v>
      </c>
      <c r="CM35" s="31" t="n">
        <f aca="false">85-e_L2_Mes</f>
        <v>73</v>
      </c>
      <c r="CN35" s="31" t="n">
        <f aca="false">86-e_L2_Mes</f>
        <v>74</v>
      </c>
      <c r="CO35" s="31" t="n">
        <f aca="false">87-e_L2_Mes</f>
        <v>75</v>
      </c>
      <c r="CP35" s="31" t="n">
        <f aca="false">88-e_L2_Mes</f>
        <v>76</v>
      </c>
      <c r="CQ35" s="31" t="n">
        <f aca="false">89-e_L2_Mes</f>
        <v>77</v>
      </c>
      <c r="CR35" s="31" t="n">
        <f aca="false">90-e_L2_Mes</f>
        <v>78</v>
      </c>
      <c r="CS35" s="31" t="n">
        <f aca="false">91-e_L2_Mes</f>
        <v>79</v>
      </c>
      <c r="CT35" s="31" t="n">
        <f aca="false">92-e_L2_Mes</f>
        <v>80</v>
      </c>
      <c r="CU35" s="31" t="n">
        <f aca="false">93-e_L2_Mes</f>
        <v>81</v>
      </c>
      <c r="CV35" s="31" t="n">
        <f aca="false">94-e_L2_Mes</f>
        <v>82</v>
      </c>
      <c r="CW35" s="31" t="n">
        <f aca="false">95-e_L2_Mes</f>
        <v>83</v>
      </c>
      <c r="CX35" s="31" t="n">
        <f aca="false">96-e_L2_Mes</f>
        <v>84</v>
      </c>
      <c r="CY35" s="31" t="n">
        <f aca="false">97-e_L2_Mes</f>
        <v>85</v>
      </c>
      <c r="CZ35" s="31" t="n">
        <f aca="false">98-e_L2_Mes</f>
        <v>86</v>
      </c>
      <c r="DA35" s="31" t="n">
        <f aca="false">99-e_L2_Mes</f>
        <v>87</v>
      </c>
      <c r="DB35" s="31" t="n">
        <f aca="false">100-e_L2_Mes</f>
        <v>88</v>
      </c>
      <c r="DC35" s="31" t="n">
        <f aca="false">101-e_L2_Mes</f>
        <v>89</v>
      </c>
      <c r="DD35" s="31" t="n">
        <f aca="false">102-e_L2_Mes</f>
        <v>90</v>
      </c>
      <c r="DE35" s="31" t="n">
        <f aca="false">103-e_L2_Mes</f>
        <v>91</v>
      </c>
      <c r="DF35" s="31" t="n">
        <f aca="false">104-e_L2_Mes</f>
        <v>92</v>
      </c>
      <c r="DG35" s="31" t="n">
        <f aca="false">105-e_L2_Mes</f>
        <v>93</v>
      </c>
      <c r="DH35" s="31" t="n">
        <f aca="false">106-e_L2_Mes</f>
        <v>94</v>
      </c>
      <c r="DI35" s="31" t="n">
        <f aca="false">107-e_L2_Mes</f>
        <v>95</v>
      </c>
      <c r="DJ35" s="31" t="n">
        <f aca="false">108-e_L2_Mes</f>
        <v>96</v>
      </c>
      <c r="DK35" s="31" t="n">
        <f aca="false">109-e_L2_Mes</f>
        <v>97</v>
      </c>
      <c r="DL35" s="31" t="n">
        <f aca="false">110-e_L2_Mes</f>
        <v>98</v>
      </c>
      <c r="DM35" s="31" t="n">
        <f aca="false">111-e_L2_Mes</f>
        <v>99</v>
      </c>
      <c r="DN35" s="31" t="n">
        <f aca="false">112-e_L2_Mes</f>
        <v>100</v>
      </c>
      <c r="DO35" s="31" t="n">
        <f aca="false">113-e_L2_Mes</f>
        <v>101</v>
      </c>
      <c r="DP35" s="31" t="n">
        <f aca="false">114-e_L2_Mes</f>
        <v>102</v>
      </c>
      <c r="DQ35" s="31" t="n">
        <f aca="false">115-e_L2_Mes</f>
        <v>103</v>
      </c>
      <c r="DR35" s="31" t="n">
        <f aca="false">116-e_L2_Mes</f>
        <v>104</v>
      </c>
      <c r="DS35" s="31" t="n">
        <f aca="false">117-e_L2_Mes</f>
        <v>105</v>
      </c>
      <c r="DT35" s="31" t="n">
        <f aca="false">118-e_L2_Mes</f>
        <v>106</v>
      </c>
      <c r="DU35" s="31" t="n">
        <f aca="false">119-e_L2_Mes</f>
        <v>107</v>
      </c>
      <c r="DV35" s="31" t="n">
        <f aca="false">120-e_L2_Mes</f>
        <v>108</v>
      </c>
      <c r="DW35" s="31" t="n">
        <f aca="false">121-e_L2_Mes</f>
        <v>109</v>
      </c>
      <c r="DX35" s="31" t="n">
        <f aca="false">122-e_L2_Mes</f>
        <v>110</v>
      </c>
      <c r="DY35" s="31" t="n">
        <f aca="false">123-e_L2_Mes</f>
        <v>111</v>
      </c>
      <c r="DZ35" s="31" t="n">
        <f aca="false">124-e_L2_Mes</f>
        <v>112</v>
      </c>
      <c r="EA35" s="31" t="n">
        <f aca="false">125-e_L2_Mes</f>
        <v>113</v>
      </c>
      <c r="EB35" s="31" t="n">
        <f aca="false">126-e_L2_Mes</f>
        <v>114</v>
      </c>
      <c r="EC35" s="31" t="n">
        <f aca="false">127-e_L2_Mes</f>
        <v>115</v>
      </c>
      <c r="ED35" s="31" t="n">
        <f aca="false">128-e_L2_Mes</f>
        <v>116</v>
      </c>
      <c r="EE35" s="31" t="n">
        <f aca="false">129-e_L2_Mes</f>
        <v>117</v>
      </c>
      <c r="EF35" s="31" t="n">
        <f aca="false">130-e_L2_Mes</f>
        <v>118</v>
      </c>
      <c r="EG35" s="31" t="n">
        <f aca="false">131-e_L2_Mes</f>
        <v>119</v>
      </c>
      <c r="EH35" s="31" t="n">
        <f aca="false">132-e_L2_Mes</f>
        <v>120</v>
      </c>
      <c r="EI35" s="31" t="n">
        <f aca="false">133-e_L2_Mes</f>
        <v>121</v>
      </c>
      <c r="EJ35" s="31" t="n">
        <f aca="false">134-e_L2_Mes</f>
        <v>122</v>
      </c>
      <c r="EK35" s="31" t="n">
        <f aca="false">135-e_L2_Mes</f>
        <v>123</v>
      </c>
      <c r="EL35" s="31" t="n">
        <f aca="false">136-e_L2_Mes</f>
        <v>124</v>
      </c>
      <c r="EM35" s="31" t="n">
        <f aca="false">137-e_L2_Mes</f>
        <v>125</v>
      </c>
      <c r="EN35" s="31" t="n">
        <f aca="false">138-e_L2_Mes</f>
        <v>126</v>
      </c>
      <c r="EO35" s="31" t="n">
        <f aca="false">139-e_L2_Mes</f>
        <v>127</v>
      </c>
      <c r="EP35" s="31" t="n">
        <f aca="false">140-e_L2_Mes</f>
        <v>128</v>
      </c>
      <c r="EQ35" s="31" t="n">
        <f aca="false">141-e_L2_Mes</f>
        <v>129</v>
      </c>
      <c r="ER35" s="31" t="n">
        <f aca="false">142-e_L2_Mes</f>
        <v>130</v>
      </c>
      <c r="ES35" s="31" t="n">
        <f aca="false">143-e_L2_Mes</f>
        <v>131</v>
      </c>
      <c r="ET35" s="31" t="n">
        <f aca="false">144-e_L2_Mes</f>
        <v>132</v>
      </c>
      <c r="EU35" s="31" t="n">
        <f aca="false">145-e_L2_Mes</f>
        <v>133</v>
      </c>
      <c r="EV35" s="31" t="n">
        <f aca="false">146-e_L2_Mes</f>
        <v>134</v>
      </c>
      <c r="EW35" s="31" t="n">
        <f aca="false">147-e_L2_Mes</f>
        <v>135</v>
      </c>
      <c r="EX35" s="31" t="n">
        <f aca="false">148-e_L2_Mes</f>
        <v>136</v>
      </c>
      <c r="EY35" s="31" t="n">
        <f aca="false">149-e_L2_Mes</f>
        <v>137</v>
      </c>
      <c r="EZ35" s="31" t="n">
        <f aca="false">150-e_L2_Mes</f>
        <v>138</v>
      </c>
      <c r="FA35" s="31" t="n">
        <f aca="false">151-e_L2_Mes</f>
        <v>139</v>
      </c>
      <c r="FB35" s="31" t="n">
        <f aca="false">152-e_L2_Mes</f>
        <v>140</v>
      </c>
      <c r="FC35" s="31" t="n">
        <f aca="false">153-e_L2_Mes</f>
        <v>141</v>
      </c>
      <c r="FD35" s="31" t="n">
        <f aca="false">154-e_L2_Mes</f>
        <v>142</v>
      </c>
      <c r="FE35" s="31" t="n">
        <f aca="false">155-e_L2_Mes</f>
        <v>143</v>
      </c>
      <c r="FF35" s="31" t="n">
        <f aca="false">156-e_L2_Mes</f>
        <v>144</v>
      </c>
    </row>
    <row r="36" customFormat="false" ht="15" hidden="false" customHeight="false" outlineLevel="0" collapsed="false">
      <c r="A36" s="2" t="s">
        <v>1425</v>
      </c>
      <c r="B36" s="8" t="s">
        <v>1401</v>
      </c>
      <c r="C36" s="8" t="s">
        <v>255</v>
      </c>
      <c r="F36" s="13" t="n">
        <f aca="false">IF(F$35&lt;0,0,IF(F$35=0,e_L2_Monto,0-F$37))</f>
        <v>0</v>
      </c>
      <c r="G36" s="13" t="n">
        <f aca="false">IF(G$35&lt;0,0,IF(G$35=0,e_L2_Monto,F$36-G$37))</f>
        <v>0</v>
      </c>
      <c r="H36" s="13" t="n">
        <f aca="false">IF(H$35&lt;0,0,IF(H$35=0,e_L2_Monto,G$36-H$37))</f>
        <v>0</v>
      </c>
      <c r="I36" s="13" t="n">
        <f aca="false">IF(I$35&lt;0,0,IF(I$35=0,e_L2_Monto,H$36-I$37))</f>
        <v>0</v>
      </c>
      <c r="J36" s="13" t="n">
        <f aca="false">IF(J$35&lt;0,0,IF(J$35=0,e_L2_Monto,I$36-J$37))</f>
        <v>0</v>
      </c>
      <c r="K36" s="13" t="n">
        <f aca="false">IF(K$35&lt;0,0,IF(K$35=0,e_L2_Monto,J$36-K$37))</f>
        <v>0</v>
      </c>
      <c r="L36" s="13" t="n">
        <f aca="false">IF(L$35&lt;0,0,IF(L$35=0,e_L2_Monto,K$36-L$37))</f>
        <v>0</v>
      </c>
      <c r="M36" s="13" t="n">
        <f aca="false">IF(M$35&lt;0,0,IF(M$35=0,e_L2_Monto,L$36-M$37))</f>
        <v>0</v>
      </c>
      <c r="N36" s="13" t="n">
        <f aca="false">IF(N$35&lt;0,0,IF(N$35=0,e_L2_Monto,M$36-N$37))</f>
        <v>0</v>
      </c>
      <c r="O36" s="13" t="n">
        <f aca="false">IF(O$35&lt;0,0,IF(O$35=0,e_L2_Monto,N$36-O$37))</f>
        <v>0</v>
      </c>
      <c r="P36" s="13" t="n">
        <f aca="false">IF(P$35&lt;0,0,IF(P$35=0,e_L2_Monto,O$36-P$37))</f>
        <v>0</v>
      </c>
      <c r="Q36" s="13" t="n">
        <f aca="false">IF(Q$35&lt;0,0,IF(Q$35=0,e_L2_Monto,P$36-Q$37))</f>
        <v>0</v>
      </c>
      <c r="R36" s="13" t="n">
        <f aca="false">IF(R$35&lt;0,0,IF(R$35=0,e_L2_Monto,Q$36-R$37))</f>
        <v>0</v>
      </c>
      <c r="S36" s="13" t="n">
        <f aca="false">IF(S$35&lt;0,0,IF(S$35=0,e_L2_Monto,R$36-S$37))</f>
        <v>0</v>
      </c>
      <c r="T36" s="13" t="n">
        <f aca="false">IF(T$35&lt;0,0,IF(T$35=0,e_L2_Monto,S$36-T$37))</f>
        <v>0</v>
      </c>
      <c r="U36" s="13" t="n">
        <f aca="false">IF(U$35&lt;0,0,IF(U$35=0,e_L2_Monto,T$36-U$37))</f>
        <v>0</v>
      </c>
      <c r="V36" s="13" t="n">
        <f aca="false">IF(V$35&lt;0,0,IF(V$35=0,e_L2_Monto,U$36-V$37))</f>
        <v>0</v>
      </c>
      <c r="W36" s="13" t="n">
        <f aca="false">IF(W$35&lt;0,0,IF(W$35=0,e_L2_Monto,V$36-W$37))</f>
        <v>0</v>
      </c>
      <c r="X36" s="13" t="n">
        <f aca="false">IF(X$35&lt;0,0,IF(X$35=0,e_L2_Monto,W$36-X$37))</f>
        <v>0</v>
      </c>
      <c r="Y36" s="13" t="n">
        <f aca="false">IF(Y$35&lt;0,0,IF(Y$35=0,e_L2_Monto,X$36-Y$37))</f>
        <v>0</v>
      </c>
      <c r="Z36" s="13" t="n">
        <f aca="false">IF(Z$35&lt;0,0,IF(Z$35=0,e_L2_Monto,Y$36-Z$37))</f>
        <v>0</v>
      </c>
      <c r="AA36" s="13" t="n">
        <f aca="false">IF(AA$35&lt;0,0,IF(AA$35=0,e_L2_Monto,Z$36-AA$37))</f>
        <v>0</v>
      </c>
      <c r="AB36" s="13" t="n">
        <f aca="false">IF(AB$35&lt;0,0,IF(AB$35=0,e_L2_Monto,AA$36-AB$37))</f>
        <v>0</v>
      </c>
      <c r="AC36" s="13" t="n">
        <f aca="false">IF(AC$35&lt;0,0,IF(AC$35=0,e_L2_Monto,AB$36-AC$37))</f>
        <v>0</v>
      </c>
      <c r="AD36" s="13" t="n">
        <f aca="false">IF(AD$35&lt;0,0,IF(AD$35=0,e_L2_Monto,AC$36-AD$37))</f>
        <v>0</v>
      </c>
      <c r="AE36" s="13" t="n">
        <f aca="false">IF(AE$35&lt;0,0,IF(AE$35=0,e_L2_Monto,AD$36-AE$37))</f>
        <v>0</v>
      </c>
      <c r="AF36" s="13" t="n">
        <f aca="false">IF(AF$35&lt;0,0,IF(AF$35=0,e_L2_Monto,AE$36-AF$37))</f>
        <v>0</v>
      </c>
      <c r="AG36" s="13" t="n">
        <f aca="false">IF(AG$35&lt;0,0,IF(AG$35=0,e_L2_Monto,AF$36-AG$37))</f>
        <v>0</v>
      </c>
      <c r="AH36" s="13" t="n">
        <f aca="false">IF(AH$35&lt;0,0,IF(AH$35=0,e_L2_Monto,AG$36-AH$37))</f>
        <v>0</v>
      </c>
      <c r="AI36" s="13" t="n">
        <f aca="false">IF(AI$35&lt;0,0,IF(AI$35=0,e_L2_Monto,AH$36-AI$37))</f>
        <v>0</v>
      </c>
      <c r="AJ36" s="13" t="n">
        <f aca="false">IF(AJ$35&lt;0,0,IF(AJ$35=0,e_L2_Monto,AI$36-AJ$37))</f>
        <v>0</v>
      </c>
      <c r="AK36" s="13" t="n">
        <f aca="false">IF(AK$35&lt;0,0,IF(AK$35=0,e_L2_Monto,AJ$36-AK$37))</f>
        <v>0</v>
      </c>
      <c r="AL36" s="13" t="n">
        <f aca="false">IF(AL$35&lt;0,0,IF(AL$35=0,e_L2_Monto,AK$36-AL$37))</f>
        <v>0</v>
      </c>
      <c r="AM36" s="13" t="n">
        <f aca="false">IF(AM$35&lt;0,0,IF(AM$35=0,e_L2_Monto,AL$36-AM$37))</f>
        <v>0</v>
      </c>
      <c r="AN36" s="13" t="n">
        <f aca="false">IF(AN$35&lt;0,0,IF(AN$35=0,e_L2_Monto,AM$36-AN$37))</f>
        <v>0</v>
      </c>
      <c r="AO36" s="13" t="n">
        <f aca="false">IF(AO$35&lt;0,0,IF(AO$35=0,e_L2_Monto,AN$36-AO$37))</f>
        <v>0</v>
      </c>
      <c r="AP36" s="13" t="n">
        <f aca="false">IF(AP$35&lt;0,0,IF(AP$35=0,e_L2_Monto,AO$36-AP$37))</f>
        <v>0</v>
      </c>
      <c r="AQ36" s="13" t="n">
        <f aca="false">IF(AQ$35&lt;0,0,IF(AQ$35=0,e_L2_Monto,AP$36-AQ$37))</f>
        <v>0</v>
      </c>
      <c r="AR36" s="13" t="n">
        <f aca="false">IF(AR$35&lt;0,0,IF(AR$35=0,e_L2_Monto,AQ$36-AR$37))</f>
        <v>0</v>
      </c>
      <c r="AS36" s="13" t="n">
        <f aca="false">IF(AS$35&lt;0,0,IF(AS$35=0,e_L2_Monto,AR$36-AS$37))</f>
        <v>0</v>
      </c>
      <c r="AT36" s="13" t="n">
        <f aca="false">IF(AT$35&lt;0,0,IF(AT$35=0,e_L2_Monto,AS$36-AT$37))</f>
        <v>0</v>
      </c>
      <c r="AU36" s="13" t="n">
        <f aca="false">IF(AU$35&lt;0,0,IF(AU$35=0,e_L2_Monto,AT$36-AU$37))</f>
        <v>0</v>
      </c>
      <c r="AV36" s="13" t="n">
        <f aca="false">IF(AV$35&lt;0,0,IF(AV$35=0,e_L2_Monto,AU$36-AV$37))</f>
        <v>0</v>
      </c>
      <c r="AW36" s="13" t="n">
        <f aca="false">IF(AW$35&lt;0,0,IF(AW$35=0,e_L2_Monto,AV$36-AW$37))</f>
        <v>0</v>
      </c>
      <c r="AX36" s="13" t="n">
        <f aca="false">IF(AX$35&lt;0,0,IF(AX$35=0,e_L2_Monto,AW$36-AX$37))</f>
        <v>0</v>
      </c>
      <c r="AY36" s="13" t="n">
        <f aca="false">IF(AY$35&lt;0,0,IF(AY$35=0,e_L2_Monto,AX$36-AY$37))</f>
        <v>0</v>
      </c>
      <c r="AZ36" s="13" t="n">
        <f aca="false">IF(AZ$35&lt;0,0,IF(AZ$35=0,e_L2_Monto,AY$36-AZ$37))</f>
        <v>0</v>
      </c>
      <c r="BA36" s="13" t="n">
        <f aca="false">IF(BA$35&lt;0,0,IF(BA$35=0,e_L2_Monto,AZ$36-BA$37))</f>
        <v>0</v>
      </c>
      <c r="BB36" s="13" t="n">
        <f aca="false">IF(BB$35&lt;0,0,IF(BB$35=0,e_L2_Monto,BA$36-BB$37))</f>
        <v>0</v>
      </c>
      <c r="BC36" s="13" t="n">
        <f aca="false">IF(BC$35&lt;0,0,IF(BC$35=0,e_L2_Monto,BB$36-BC$37))</f>
        <v>0</v>
      </c>
      <c r="BD36" s="13" t="n">
        <f aca="false">IF(BD$35&lt;0,0,IF(BD$35=0,e_L2_Monto,BC$36-BD$37))</f>
        <v>0</v>
      </c>
      <c r="BE36" s="13" t="n">
        <f aca="false">IF(BE$35&lt;0,0,IF(BE$35=0,e_L2_Monto,BD$36-BE$37))</f>
        <v>0</v>
      </c>
      <c r="BF36" s="13" t="n">
        <f aca="false">IF(BF$35&lt;0,0,IF(BF$35=0,e_L2_Monto,BE$36-BF$37))</f>
        <v>0</v>
      </c>
      <c r="BG36" s="13" t="n">
        <f aca="false">IF(BG$35&lt;0,0,IF(BG$35=0,e_L2_Monto,BF$36-BG$37))</f>
        <v>0</v>
      </c>
      <c r="BH36" s="13" t="n">
        <f aca="false">IF(BH$35&lt;0,0,IF(BH$35=0,e_L2_Monto,BG$36-BH$37))</f>
        <v>0</v>
      </c>
      <c r="BI36" s="13" t="n">
        <f aca="false">IF(BI$35&lt;0,0,IF(BI$35=0,e_L2_Monto,BH$36-BI$37))</f>
        <v>0</v>
      </c>
      <c r="BJ36" s="13" t="n">
        <f aca="false">IF(BJ$35&lt;0,0,IF(BJ$35=0,e_L2_Monto,BI$36-BJ$37))</f>
        <v>0</v>
      </c>
      <c r="BK36" s="13" t="n">
        <f aca="false">IF(BK$35&lt;0,0,IF(BK$35=0,e_L2_Monto,BJ$36-BK$37))</f>
        <v>0</v>
      </c>
      <c r="BL36" s="13" t="n">
        <f aca="false">IF(BL$35&lt;0,0,IF(BL$35=0,e_L2_Monto,BK$36-BL$37))</f>
        <v>0</v>
      </c>
      <c r="BM36" s="13" t="n">
        <f aca="false">IF(BM$35&lt;0,0,IF(BM$35=0,e_L2_Monto,BL$36-BM$37))</f>
        <v>0</v>
      </c>
      <c r="BN36" s="13" t="n">
        <f aca="false">IF(BN$35&lt;0,0,IF(BN$35=0,e_L2_Monto,BM$36-BN$37))</f>
        <v>0</v>
      </c>
      <c r="BO36" s="13" t="n">
        <f aca="false">IF(BO$35&lt;0,0,IF(BO$35=0,e_L2_Monto,BN$36-BO$37))</f>
        <v>0</v>
      </c>
      <c r="BP36" s="13" t="n">
        <f aca="false">IF(BP$35&lt;0,0,IF(BP$35=0,e_L2_Monto,BO$36-BP$37))</f>
        <v>0</v>
      </c>
      <c r="BQ36" s="13" t="n">
        <f aca="false">IF(BQ$35&lt;0,0,IF(BQ$35=0,e_L2_Monto,BP$36-BQ$37))</f>
        <v>0</v>
      </c>
      <c r="BR36" s="13" t="n">
        <f aca="false">IF(BR$35&lt;0,0,IF(BR$35=0,e_L2_Monto,BQ$36-BR$37))</f>
        <v>0</v>
      </c>
      <c r="BS36" s="13" t="n">
        <f aca="false">IF(BS$35&lt;0,0,IF(BS$35=0,e_L2_Monto,BR$36-BS$37))</f>
        <v>0</v>
      </c>
      <c r="BT36" s="13" t="n">
        <f aca="false">IF(BT$35&lt;0,0,IF(BT$35=0,e_L2_Monto,BS$36-BT$37))</f>
        <v>0</v>
      </c>
      <c r="BU36" s="13" t="n">
        <f aca="false">IF(BU$35&lt;0,0,IF(BU$35=0,e_L2_Monto,BT$36-BU$37))</f>
        <v>0</v>
      </c>
      <c r="BV36" s="13" t="n">
        <f aca="false">IF(BV$35&lt;0,0,IF(BV$35=0,e_L2_Monto,BU$36-BV$37))</f>
        <v>0</v>
      </c>
      <c r="BW36" s="13" t="n">
        <f aca="false">IF(BW$35&lt;0,0,IF(BW$35=0,e_L2_Monto,BV$36-BW$37))</f>
        <v>0</v>
      </c>
      <c r="BX36" s="13" t="n">
        <f aca="false">IF(BX$35&lt;0,0,IF(BX$35=0,e_L2_Monto,BW$36-BX$37))</f>
        <v>0</v>
      </c>
      <c r="BY36" s="13" t="n">
        <f aca="false">IF(BY$35&lt;0,0,IF(BY$35=0,e_L2_Monto,BX$36-BY$37))</f>
        <v>0</v>
      </c>
      <c r="BZ36" s="13" t="n">
        <f aca="false">IF(BZ$35&lt;0,0,IF(BZ$35=0,e_L2_Monto,BY$36-BZ$37))</f>
        <v>0</v>
      </c>
      <c r="CA36" s="13" t="n">
        <f aca="false">IF(CA$35&lt;0,0,IF(CA$35=0,e_L2_Monto,BZ$36-CA$37))</f>
        <v>0</v>
      </c>
      <c r="CB36" s="13" t="n">
        <f aca="false">IF(CB$35&lt;0,0,IF(CB$35=0,e_L2_Monto,CA$36-CB$37))</f>
        <v>0</v>
      </c>
      <c r="CC36" s="13" t="n">
        <f aca="false">IF(CC$35&lt;0,0,IF(CC$35=0,e_L2_Monto,CB$36-CC$37))</f>
        <v>0</v>
      </c>
      <c r="CD36" s="13" t="n">
        <f aca="false">IF(CD$35&lt;0,0,IF(CD$35=0,e_L2_Monto,CC$36-CD$37))</f>
        <v>0</v>
      </c>
      <c r="CE36" s="13" t="n">
        <f aca="false">IF(CE$35&lt;0,0,IF(CE$35=0,e_L2_Monto,CD$36-CE$37))</f>
        <v>0</v>
      </c>
      <c r="CF36" s="13" t="n">
        <f aca="false">IF(CF$35&lt;0,0,IF(CF$35=0,e_L2_Monto,CE$36-CF$37))</f>
        <v>0</v>
      </c>
      <c r="CG36" s="13" t="n">
        <f aca="false">IF(CG$35&lt;0,0,IF(CG$35=0,e_L2_Monto,CF$36-CG$37))</f>
        <v>0</v>
      </c>
      <c r="CH36" s="13" t="n">
        <f aca="false">IF(CH$35&lt;0,0,IF(CH$35=0,e_L2_Monto,CG$36-CH$37))</f>
        <v>0</v>
      </c>
      <c r="CI36" s="13" t="n">
        <f aca="false">IF(CI$35&lt;0,0,IF(CI$35=0,e_L2_Monto,CH$36-CI$37))</f>
        <v>0</v>
      </c>
      <c r="CJ36" s="13" t="n">
        <f aca="false">IF(CJ$35&lt;0,0,IF(CJ$35=0,e_L2_Monto,CI$36-CJ$37))</f>
        <v>0</v>
      </c>
      <c r="CK36" s="13" t="n">
        <f aca="false">IF(CK$35&lt;0,0,IF(CK$35=0,e_L2_Monto,CJ$36-CK$37))</f>
        <v>0</v>
      </c>
      <c r="CL36" s="13" t="n">
        <f aca="false">IF(CL$35&lt;0,0,IF(CL$35=0,e_L2_Monto,CK$36-CL$37))</f>
        <v>0</v>
      </c>
      <c r="CM36" s="13" t="n">
        <f aca="false">IF(CM$35&lt;0,0,IF(CM$35=0,e_L2_Monto,CL$36-CM$37))</f>
        <v>0</v>
      </c>
      <c r="CN36" s="13" t="n">
        <f aca="false">IF(CN$35&lt;0,0,IF(CN$35=0,e_L2_Monto,CM$36-CN$37))</f>
        <v>0</v>
      </c>
      <c r="CO36" s="13" t="n">
        <f aca="false">IF(CO$35&lt;0,0,IF(CO$35=0,e_L2_Monto,CN$36-CO$37))</f>
        <v>0</v>
      </c>
      <c r="CP36" s="13" t="n">
        <f aca="false">IF(CP$35&lt;0,0,IF(CP$35=0,e_L2_Monto,CO$36-CP$37))</f>
        <v>0</v>
      </c>
      <c r="CQ36" s="13" t="n">
        <f aca="false">IF(CQ$35&lt;0,0,IF(CQ$35=0,e_L2_Monto,CP$36-CQ$37))</f>
        <v>0</v>
      </c>
      <c r="CR36" s="13" t="n">
        <f aca="false">IF(CR$35&lt;0,0,IF(CR$35=0,e_L2_Monto,CQ$36-CR$37))</f>
        <v>0</v>
      </c>
      <c r="CS36" s="13" t="n">
        <f aca="false">IF(CS$35&lt;0,0,IF(CS$35=0,e_L2_Monto,CR$36-CS$37))</f>
        <v>0</v>
      </c>
      <c r="CT36" s="13" t="n">
        <f aca="false">IF(CT$35&lt;0,0,IF(CT$35=0,e_L2_Monto,CS$36-CT$37))</f>
        <v>0</v>
      </c>
      <c r="CU36" s="13" t="n">
        <f aca="false">IF(CU$35&lt;0,0,IF(CU$35=0,e_L2_Monto,CT$36-CU$37))</f>
        <v>0</v>
      </c>
      <c r="CV36" s="13" t="n">
        <f aca="false">IF(CV$35&lt;0,0,IF(CV$35=0,e_L2_Monto,CU$36-CV$37))</f>
        <v>0</v>
      </c>
      <c r="CW36" s="13" t="n">
        <f aca="false">IF(CW$35&lt;0,0,IF(CW$35=0,e_L2_Monto,CV$36-CW$37))</f>
        <v>0</v>
      </c>
      <c r="CX36" s="13" t="n">
        <f aca="false">IF(CX$35&lt;0,0,IF(CX$35=0,e_L2_Monto,CW$36-CX$37))</f>
        <v>0</v>
      </c>
      <c r="CY36" s="13" t="n">
        <f aca="false">IF(CY$35&lt;0,0,IF(CY$35=0,e_L2_Monto,CX$36-CY$37))</f>
        <v>0</v>
      </c>
      <c r="CZ36" s="13" t="n">
        <f aca="false">IF(CZ$35&lt;0,0,IF(CZ$35=0,e_L2_Monto,CY$36-CZ$37))</f>
        <v>0</v>
      </c>
      <c r="DA36" s="13" t="n">
        <f aca="false">IF(DA$35&lt;0,0,IF(DA$35=0,e_L2_Monto,CZ$36-DA$37))</f>
        <v>0</v>
      </c>
      <c r="DB36" s="13" t="n">
        <f aca="false">IF(DB$35&lt;0,0,IF(DB$35=0,e_L2_Monto,DA$36-DB$37))</f>
        <v>0</v>
      </c>
      <c r="DC36" s="13" t="n">
        <f aca="false">IF(DC$35&lt;0,0,IF(DC$35=0,e_L2_Monto,DB$36-DC$37))</f>
        <v>0</v>
      </c>
      <c r="DD36" s="13" t="n">
        <f aca="false">IF(DD$35&lt;0,0,IF(DD$35=0,e_L2_Monto,DC$36-DD$37))</f>
        <v>0</v>
      </c>
      <c r="DE36" s="13" t="n">
        <f aca="false">IF(DE$35&lt;0,0,IF(DE$35=0,e_L2_Monto,DD$36-DE$37))</f>
        <v>0</v>
      </c>
      <c r="DF36" s="13" t="n">
        <f aca="false">IF(DF$35&lt;0,0,IF(DF$35=0,e_L2_Monto,DE$36-DF$37))</f>
        <v>0</v>
      </c>
      <c r="DG36" s="13" t="n">
        <f aca="false">IF(DG$35&lt;0,0,IF(DG$35=0,e_L2_Monto,DF$36-DG$37))</f>
        <v>0</v>
      </c>
      <c r="DH36" s="13" t="n">
        <f aca="false">IF(DH$35&lt;0,0,IF(DH$35=0,e_L2_Monto,DG$36-DH$37))</f>
        <v>0</v>
      </c>
      <c r="DI36" s="13" t="n">
        <f aca="false">IF(DI$35&lt;0,0,IF(DI$35=0,e_L2_Monto,DH$36-DI$37))</f>
        <v>0</v>
      </c>
      <c r="DJ36" s="13" t="n">
        <f aca="false">IF(DJ$35&lt;0,0,IF(DJ$35=0,e_L2_Monto,DI$36-DJ$37))</f>
        <v>0</v>
      </c>
      <c r="DK36" s="13" t="n">
        <f aca="false">IF(DK$35&lt;0,0,IF(DK$35=0,e_L2_Monto,DJ$36-DK$37))</f>
        <v>0</v>
      </c>
      <c r="DL36" s="13" t="n">
        <f aca="false">IF(DL$35&lt;0,0,IF(DL$35=0,e_L2_Monto,DK$36-DL$37))</f>
        <v>0</v>
      </c>
      <c r="DM36" s="13" t="n">
        <f aca="false">IF(DM$35&lt;0,0,IF(DM$35=0,e_L2_Monto,DL$36-DM$37))</f>
        <v>0</v>
      </c>
      <c r="DN36" s="13" t="n">
        <f aca="false">IF(DN$35&lt;0,0,IF(DN$35=0,e_L2_Monto,DM$36-DN$37))</f>
        <v>0</v>
      </c>
      <c r="DO36" s="13" t="n">
        <f aca="false">IF(DO$35&lt;0,0,IF(DO$35=0,e_L2_Monto,DN$36-DO$37))</f>
        <v>0</v>
      </c>
      <c r="DP36" s="13" t="n">
        <f aca="false">IF(DP$35&lt;0,0,IF(DP$35=0,e_L2_Monto,DO$36-DP$37))</f>
        <v>0</v>
      </c>
      <c r="DQ36" s="13" t="n">
        <f aca="false">IF(DQ$35&lt;0,0,IF(DQ$35=0,e_L2_Monto,DP$36-DQ$37))</f>
        <v>0</v>
      </c>
      <c r="DR36" s="13" t="n">
        <f aca="false">IF(DR$35&lt;0,0,IF(DR$35=0,e_L2_Monto,DQ$36-DR$37))</f>
        <v>0</v>
      </c>
      <c r="DS36" s="13" t="n">
        <f aca="false">IF(DS$35&lt;0,0,IF(DS$35=0,e_L2_Monto,DR$36-DS$37))</f>
        <v>0</v>
      </c>
      <c r="DT36" s="13" t="n">
        <f aca="false">IF(DT$35&lt;0,0,IF(DT$35=0,e_L2_Monto,DS$36-DT$37))</f>
        <v>0</v>
      </c>
      <c r="DU36" s="13" t="n">
        <f aca="false">IF(DU$35&lt;0,0,IF(DU$35=0,e_L2_Monto,DT$36-DU$37))</f>
        <v>0</v>
      </c>
      <c r="DV36" s="13" t="n">
        <f aca="false">IF(DV$35&lt;0,0,IF(DV$35=0,e_L2_Monto,DU$36-DV$37))</f>
        <v>0</v>
      </c>
      <c r="DW36" s="13" t="n">
        <f aca="false">IF(DW$35&lt;0,0,IF(DW$35=0,e_L2_Monto,DV$36-DW$37))</f>
        <v>0</v>
      </c>
      <c r="DX36" s="13" t="n">
        <f aca="false">IF(DX$35&lt;0,0,IF(DX$35=0,e_L2_Monto,DW$36-DX$37))</f>
        <v>0</v>
      </c>
      <c r="DY36" s="13" t="n">
        <f aca="false">IF(DY$35&lt;0,0,IF(DY$35=0,e_L2_Monto,DX$36-DY$37))</f>
        <v>0</v>
      </c>
      <c r="DZ36" s="13" t="n">
        <f aca="false">IF(DZ$35&lt;0,0,IF(DZ$35=0,e_L2_Monto,DY$36-DZ$37))</f>
        <v>0</v>
      </c>
      <c r="EA36" s="13" t="n">
        <f aca="false">IF(EA$35&lt;0,0,IF(EA$35=0,e_L2_Monto,DZ$36-EA$37))</f>
        <v>0</v>
      </c>
      <c r="EB36" s="13" t="n">
        <f aca="false">IF(EB$35&lt;0,0,IF(EB$35=0,e_L2_Monto,EA$36-EB$37))</f>
        <v>0</v>
      </c>
      <c r="EC36" s="13" t="n">
        <f aca="false">IF(EC$35&lt;0,0,IF(EC$35=0,e_L2_Monto,EB$36-EC$37))</f>
        <v>0</v>
      </c>
      <c r="ED36" s="13" t="n">
        <f aca="false">IF(ED$35&lt;0,0,IF(ED$35=0,e_L2_Monto,EC$36-ED$37))</f>
        <v>0</v>
      </c>
      <c r="EE36" s="13" t="n">
        <f aca="false">IF(EE$35&lt;0,0,IF(EE$35=0,e_L2_Monto,ED$36-EE$37))</f>
        <v>0</v>
      </c>
      <c r="EF36" s="13" t="n">
        <f aca="false">IF(EF$35&lt;0,0,IF(EF$35=0,e_L2_Monto,EE$36-EF$37))</f>
        <v>0</v>
      </c>
      <c r="EG36" s="13" t="n">
        <f aca="false">IF(EG$35&lt;0,0,IF(EG$35=0,e_L2_Monto,EF$36-EG$37))</f>
        <v>0</v>
      </c>
      <c r="EH36" s="13" t="n">
        <f aca="false">IF(EH$35&lt;0,0,IF(EH$35=0,e_L2_Monto,EG$36-EH$37))</f>
        <v>0</v>
      </c>
      <c r="EI36" s="13" t="n">
        <f aca="false">IF(EI$35&lt;0,0,IF(EI$35=0,e_L2_Monto,EH$36-EI$37))</f>
        <v>0</v>
      </c>
      <c r="EJ36" s="13" t="n">
        <f aca="false">IF(EJ$35&lt;0,0,IF(EJ$35=0,e_L2_Monto,EI$36-EJ$37))</f>
        <v>0</v>
      </c>
      <c r="EK36" s="13" t="n">
        <f aca="false">IF(EK$35&lt;0,0,IF(EK$35=0,e_L2_Monto,EJ$36-EK$37))</f>
        <v>0</v>
      </c>
      <c r="EL36" s="13" t="n">
        <f aca="false">IF(EL$35&lt;0,0,IF(EL$35=0,e_L2_Monto,EK$36-EL$37))</f>
        <v>0</v>
      </c>
      <c r="EM36" s="13" t="n">
        <f aca="false">IF(EM$35&lt;0,0,IF(EM$35=0,e_L2_Monto,EL$36-EM$37))</f>
        <v>0</v>
      </c>
      <c r="EN36" s="13" t="n">
        <f aca="false">IF(EN$35&lt;0,0,IF(EN$35=0,e_L2_Monto,EM$36-EN$37))</f>
        <v>0</v>
      </c>
      <c r="EO36" s="13" t="n">
        <f aca="false">IF(EO$35&lt;0,0,IF(EO$35=0,e_L2_Monto,EN$36-EO$37))</f>
        <v>0</v>
      </c>
      <c r="EP36" s="13" t="n">
        <f aca="false">IF(EP$35&lt;0,0,IF(EP$35=0,e_L2_Monto,EO$36-EP$37))</f>
        <v>0</v>
      </c>
      <c r="EQ36" s="13" t="n">
        <f aca="false">IF(EQ$35&lt;0,0,IF(EQ$35=0,e_L2_Monto,EP$36-EQ$37))</f>
        <v>0</v>
      </c>
      <c r="ER36" s="13" t="n">
        <f aca="false">IF(ER$35&lt;0,0,IF(ER$35=0,e_L2_Monto,EQ$36-ER$37))</f>
        <v>0</v>
      </c>
      <c r="ES36" s="13" t="n">
        <f aca="false">IF(ES$35&lt;0,0,IF(ES$35=0,e_L2_Monto,ER$36-ES$37))</f>
        <v>0</v>
      </c>
      <c r="ET36" s="13" t="n">
        <f aca="false">IF(ET$35&lt;0,0,IF(ET$35=0,e_L2_Monto,ES$36-ET$37))</f>
        <v>0</v>
      </c>
      <c r="EU36" s="13" t="n">
        <f aca="false">IF(EU$35&lt;0,0,IF(EU$35=0,e_L2_Monto,ET$36-EU$37))</f>
        <v>0</v>
      </c>
      <c r="EV36" s="13" t="n">
        <f aca="false">IF(EV$35&lt;0,0,IF(EV$35=0,e_L2_Monto,EU$36-EV$37))</f>
        <v>0</v>
      </c>
      <c r="EW36" s="13" t="n">
        <f aca="false">IF(EW$35&lt;0,0,IF(EW$35=0,e_L2_Monto,EV$36-EW$37))</f>
        <v>0</v>
      </c>
      <c r="EX36" s="13" t="n">
        <f aca="false">IF(EX$35&lt;0,0,IF(EX$35=0,e_L2_Monto,EW$36-EX$37))</f>
        <v>0</v>
      </c>
      <c r="EY36" s="13" t="n">
        <f aca="false">IF(EY$35&lt;0,0,IF(EY$35=0,e_L2_Monto,EX$36-EY$37))</f>
        <v>0</v>
      </c>
      <c r="EZ36" s="13" t="n">
        <f aca="false">IF(EZ$35&lt;0,0,IF(EZ$35=0,e_L2_Monto,EY$36-EZ$37))</f>
        <v>0</v>
      </c>
      <c r="FA36" s="13" t="n">
        <f aca="false">IF(FA$35&lt;0,0,IF(FA$35=0,e_L2_Monto,EZ$36-FA$37))</f>
        <v>0</v>
      </c>
      <c r="FB36" s="13" t="n">
        <f aca="false">IF(FB$35&lt;0,0,IF(FB$35=0,e_L2_Monto,FA$36-FB$37))</f>
        <v>0</v>
      </c>
      <c r="FC36" s="13" t="n">
        <f aca="false">IF(FC$35&lt;0,0,IF(FC$35=0,e_L2_Monto,FB$36-FC$37))</f>
        <v>0</v>
      </c>
      <c r="FD36" s="13" t="n">
        <f aca="false">IF(FD$35&lt;0,0,IF(FD$35=0,e_L2_Monto,FC$36-FD$37))</f>
        <v>0</v>
      </c>
      <c r="FE36" s="13" t="n">
        <f aca="false">IF(FE$35&lt;0,0,IF(FE$35=0,e_L2_Monto,FD$36-FE$37))</f>
        <v>0</v>
      </c>
      <c r="FF36" s="13" t="n">
        <f aca="false">IF(FF$35&lt;0,0,IF(FF$35=0,e_L2_Monto,FE$36-FF$37))</f>
        <v>0</v>
      </c>
    </row>
    <row r="37" customFormat="false" ht="15" hidden="false" customHeight="false" outlineLevel="0" collapsed="false">
      <c r="A37" s="2" t="s">
        <v>1426</v>
      </c>
      <c r="B37" s="8" t="s">
        <v>1403</v>
      </c>
      <c r="C37" s="8" t="s">
        <v>255</v>
      </c>
      <c r="E37" s="65" t="n">
        <f aca="false">SUM($F37:$FF37)</f>
        <v>0</v>
      </c>
      <c r="F37" s="13" t="n">
        <f aca="false">IF(AND(F$35&gt;e_L2_Gracia,F$35&lt;=e_L2_Gracia+e_L2_Cuotas,e_L2_Cuotas&gt;0),PMT(e_L2_Tasa/12,e_L2_Cuotas,-e_L2_Monto)-0*e_L2_Tasa/12,0)</f>
        <v>0</v>
      </c>
      <c r="G37" s="13" t="n">
        <f aca="false">IF(AND(G$35&gt;e_L2_Gracia,G$35&lt;=e_L2_Gracia+e_L2_Cuotas,e_L2_Cuotas&gt;0),PMT(e_L2_Tasa/12,e_L2_Cuotas,-e_L2_Monto)-F$36*e_L2_Tasa/12,0)</f>
        <v>0</v>
      </c>
      <c r="H37" s="13" t="n">
        <f aca="false">IF(AND(H$35&gt;e_L2_Gracia,H$35&lt;=e_L2_Gracia+e_L2_Cuotas,e_L2_Cuotas&gt;0),PMT(e_L2_Tasa/12,e_L2_Cuotas,-e_L2_Monto)-G$36*e_L2_Tasa/12,0)</f>
        <v>0</v>
      </c>
      <c r="I37" s="13" t="n">
        <f aca="false">IF(AND(I$35&gt;e_L2_Gracia,I$35&lt;=e_L2_Gracia+e_L2_Cuotas,e_L2_Cuotas&gt;0),PMT(e_L2_Tasa/12,e_L2_Cuotas,-e_L2_Monto)-H$36*e_L2_Tasa/12,0)</f>
        <v>0</v>
      </c>
      <c r="J37" s="13" t="n">
        <f aca="false">IF(AND(J$35&gt;e_L2_Gracia,J$35&lt;=e_L2_Gracia+e_L2_Cuotas,e_L2_Cuotas&gt;0),PMT(e_L2_Tasa/12,e_L2_Cuotas,-e_L2_Monto)-I$36*e_L2_Tasa/12,0)</f>
        <v>0</v>
      </c>
      <c r="K37" s="13" t="n">
        <f aca="false">IF(AND(K$35&gt;e_L2_Gracia,K$35&lt;=e_L2_Gracia+e_L2_Cuotas,e_L2_Cuotas&gt;0),PMT(e_L2_Tasa/12,e_L2_Cuotas,-e_L2_Monto)-J$36*e_L2_Tasa/12,0)</f>
        <v>0</v>
      </c>
      <c r="L37" s="13" t="n">
        <f aca="false">IF(AND(L$35&gt;e_L2_Gracia,L$35&lt;=e_L2_Gracia+e_L2_Cuotas,e_L2_Cuotas&gt;0),PMT(e_L2_Tasa/12,e_L2_Cuotas,-e_L2_Monto)-K$36*e_L2_Tasa/12,0)</f>
        <v>0</v>
      </c>
      <c r="M37" s="13" t="n">
        <f aca="false">IF(AND(M$35&gt;e_L2_Gracia,M$35&lt;=e_L2_Gracia+e_L2_Cuotas,e_L2_Cuotas&gt;0),PMT(e_L2_Tasa/12,e_L2_Cuotas,-e_L2_Monto)-L$36*e_L2_Tasa/12,0)</f>
        <v>0</v>
      </c>
      <c r="N37" s="13" t="n">
        <f aca="false">IF(AND(N$35&gt;e_L2_Gracia,N$35&lt;=e_L2_Gracia+e_L2_Cuotas,e_L2_Cuotas&gt;0),PMT(e_L2_Tasa/12,e_L2_Cuotas,-e_L2_Monto)-M$36*e_L2_Tasa/12,0)</f>
        <v>0</v>
      </c>
      <c r="O37" s="13" t="n">
        <f aca="false">IF(AND(O$35&gt;e_L2_Gracia,O$35&lt;=e_L2_Gracia+e_L2_Cuotas,e_L2_Cuotas&gt;0),PMT(e_L2_Tasa/12,e_L2_Cuotas,-e_L2_Monto)-N$36*e_L2_Tasa/12,0)</f>
        <v>0</v>
      </c>
      <c r="P37" s="13" t="n">
        <f aca="false">IF(AND(P$35&gt;e_L2_Gracia,P$35&lt;=e_L2_Gracia+e_L2_Cuotas,e_L2_Cuotas&gt;0),PMT(e_L2_Tasa/12,e_L2_Cuotas,-e_L2_Monto)-O$36*e_L2_Tasa/12,0)</f>
        <v>0</v>
      </c>
      <c r="Q37" s="13" t="n">
        <f aca="false">IF(AND(Q$35&gt;e_L2_Gracia,Q$35&lt;=e_L2_Gracia+e_L2_Cuotas,e_L2_Cuotas&gt;0),PMT(e_L2_Tasa/12,e_L2_Cuotas,-e_L2_Monto)-P$36*e_L2_Tasa/12,0)</f>
        <v>0</v>
      </c>
      <c r="R37" s="13" t="n">
        <f aca="false">IF(AND(R$35&gt;e_L2_Gracia,R$35&lt;=e_L2_Gracia+e_L2_Cuotas,e_L2_Cuotas&gt;0),PMT(e_L2_Tasa/12,e_L2_Cuotas,-e_L2_Monto)-Q$36*e_L2_Tasa/12,0)</f>
        <v>0</v>
      </c>
      <c r="S37" s="13" t="n">
        <f aca="false">IF(AND(S$35&gt;e_L2_Gracia,S$35&lt;=e_L2_Gracia+e_L2_Cuotas,e_L2_Cuotas&gt;0),PMT(e_L2_Tasa/12,e_L2_Cuotas,-e_L2_Monto)-R$36*e_L2_Tasa/12,0)</f>
        <v>-0</v>
      </c>
      <c r="T37" s="13" t="n">
        <f aca="false">IF(AND(T$35&gt;e_L2_Gracia,T$35&lt;=e_L2_Gracia+e_L2_Cuotas,e_L2_Cuotas&gt;0),PMT(e_L2_Tasa/12,e_L2_Cuotas,-e_L2_Monto)-S$36*e_L2_Tasa/12,0)</f>
        <v>-0</v>
      </c>
      <c r="U37" s="13" t="n">
        <f aca="false">IF(AND(U$35&gt;e_L2_Gracia,U$35&lt;=e_L2_Gracia+e_L2_Cuotas,e_L2_Cuotas&gt;0),PMT(e_L2_Tasa/12,e_L2_Cuotas,-e_L2_Monto)-T$36*e_L2_Tasa/12,0)</f>
        <v>-0</v>
      </c>
      <c r="V37" s="13" t="n">
        <f aca="false">IF(AND(V$35&gt;e_L2_Gracia,V$35&lt;=e_L2_Gracia+e_L2_Cuotas,e_L2_Cuotas&gt;0),PMT(e_L2_Tasa/12,e_L2_Cuotas,-e_L2_Monto)-U$36*e_L2_Tasa/12,0)</f>
        <v>-0</v>
      </c>
      <c r="W37" s="13" t="n">
        <f aca="false">IF(AND(W$35&gt;e_L2_Gracia,W$35&lt;=e_L2_Gracia+e_L2_Cuotas,e_L2_Cuotas&gt;0),PMT(e_L2_Tasa/12,e_L2_Cuotas,-e_L2_Monto)-V$36*e_L2_Tasa/12,0)</f>
        <v>-0</v>
      </c>
      <c r="X37" s="13" t="n">
        <f aca="false">IF(AND(X$35&gt;e_L2_Gracia,X$35&lt;=e_L2_Gracia+e_L2_Cuotas,e_L2_Cuotas&gt;0),PMT(e_L2_Tasa/12,e_L2_Cuotas,-e_L2_Monto)-W$36*e_L2_Tasa/12,0)</f>
        <v>-0</v>
      </c>
      <c r="Y37" s="13" t="n">
        <f aca="false">IF(AND(Y$35&gt;e_L2_Gracia,Y$35&lt;=e_L2_Gracia+e_L2_Cuotas,e_L2_Cuotas&gt;0),PMT(e_L2_Tasa/12,e_L2_Cuotas,-e_L2_Monto)-X$36*e_L2_Tasa/12,0)</f>
        <v>-0</v>
      </c>
      <c r="Z37" s="13" t="n">
        <f aca="false">IF(AND(Z$35&gt;e_L2_Gracia,Z$35&lt;=e_L2_Gracia+e_L2_Cuotas,e_L2_Cuotas&gt;0),PMT(e_L2_Tasa/12,e_L2_Cuotas,-e_L2_Monto)-Y$36*e_L2_Tasa/12,0)</f>
        <v>-0</v>
      </c>
      <c r="AA37" s="13" t="n">
        <f aca="false">IF(AND(AA$35&gt;e_L2_Gracia,AA$35&lt;=e_L2_Gracia+e_L2_Cuotas,e_L2_Cuotas&gt;0),PMT(e_L2_Tasa/12,e_L2_Cuotas,-e_L2_Monto)-Z$36*e_L2_Tasa/12,0)</f>
        <v>-0</v>
      </c>
      <c r="AB37" s="13" t="n">
        <f aca="false">IF(AND(AB$35&gt;e_L2_Gracia,AB$35&lt;=e_L2_Gracia+e_L2_Cuotas,e_L2_Cuotas&gt;0),PMT(e_L2_Tasa/12,e_L2_Cuotas,-e_L2_Monto)-AA$36*e_L2_Tasa/12,0)</f>
        <v>-0</v>
      </c>
      <c r="AC37" s="13" t="n">
        <f aca="false">IF(AND(AC$35&gt;e_L2_Gracia,AC$35&lt;=e_L2_Gracia+e_L2_Cuotas,e_L2_Cuotas&gt;0),PMT(e_L2_Tasa/12,e_L2_Cuotas,-e_L2_Monto)-AB$36*e_L2_Tasa/12,0)</f>
        <v>-0</v>
      </c>
      <c r="AD37" s="13" t="n">
        <f aca="false">IF(AND(AD$35&gt;e_L2_Gracia,AD$35&lt;=e_L2_Gracia+e_L2_Cuotas,e_L2_Cuotas&gt;0),PMT(e_L2_Tasa/12,e_L2_Cuotas,-e_L2_Monto)-AC$36*e_L2_Tasa/12,0)</f>
        <v>-0</v>
      </c>
      <c r="AE37" s="13" t="n">
        <f aca="false">IF(AND(AE$35&gt;e_L2_Gracia,AE$35&lt;=e_L2_Gracia+e_L2_Cuotas,e_L2_Cuotas&gt;0),PMT(e_L2_Tasa/12,e_L2_Cuotas,-e_L2_Monto)-AD$36*e_L2_Tasa/12,0)</f>
        <v>-0</v>
      </c>
      <c r="AF37" s="13" t="n">
        <f aca="false">IF(AND(AF$35&gt;e_L2_Gracia,AF$35&lt;=e_L2_Gracia+e_L2_Cuotas,e_L2_Cuotas&gt;0),PMT(e_L2_Tasa/12,e_L2_Cuotas,-e_L2_Monto)-AE$36*e_L2_Tasa/12,0)</f>
        <v>-0</v>
      </c>
      <c r="AG37" s="13" t="n">
        <f aca="false">IF(AND(AG$35&gt;e_L2_Gracia,AG$35&lt;=e_L2_Gracia+e_L2_Cuotas,e_L2_Cuotas&gt;0),PMT(e_L2_Tasa/12,e_L2_Cuotas,-e_L2_Monto)-AF$36*e_L2_Tasa/12,0)</f>
        <v>-0</v>
      </c>
      <c r="AH37" s="13" t="n">
        <f aca="false">IF(AND(AH$35&gt;e_L2_Gracia,AH$35&lt;=e_L2_Gracia+e_L2_Cuotas,e_L2_Cuotas&gt;0),PMT(e_L2_Tasa/12,e_L2_Cuotas,-e_L2_Monto)-AG$36*e_L2_Tasa/12,0)</f>
        <v>-0</v>
      </c>
      <c r="AI37" s="13" t="n">
        <f aca="false">IF(AND(AI$35&gt;e_L2_Gracia,AI$35&lt;=e_L2_Gracia+e_L2_Cuotas,e_L2_Cuotas&gt;0),PMT(e_L2_Tasa/12,e_L2_Cuotas,-e_L2_Monto)-AH$36*e_L2_Tasa/12,0)</f>
        <v>-0</v>
      </c>
      <c r="AJ37" s="13" t="n">
        <f aca="false">IF(AND(AJ$35&gt;e_L2_Gracia,AJ$35&lt;=e_L2_Gracia+e_L2_Cuotas,e_L2_Cuotas&gt;0),PMT(e_L2_Tasa/12,e_L2_Cuotas,-e_L2_Monto)-AI$36*e_L2_Tasa/12,0)</f>
        <v>-0</v>
      </c>
      <c r="AK37" s="13" t="n">
        <f aca="false">IF(AND(AK$35&gt;e_L2_Gracia,AK$35&lt;=e_L2_Gracia+e_L2_Cuotas,e_L2_Cuotas&gt;0),PMT(e_L2_Tasa/12,e_L2_Cuotas,-e_L2_Monto)-AJ$36*e_L2_Tasa/12,0)</f>
        <v>-0</v>
      </c>
      <c r="AL37" s="13" t="n">
        <f aca="false">IF(AND(AL$35&gt;e_L2_Gracia,AL$35&lt;=e_L2_Gracia+e_L2_Cuotas,e_L2_Cuotas&gt;0),PMT(e_L2_Tasa/12,e_L2_Cuotas,-e_L2_Monto)-AK$36*e_L2_Tasa/12,0)</f>
        <v>-0</v>
      </c>
      <c r="AM37" s="13" t="n">
        <f aca="false">IF(AND(AM$35&gt;e_L2_Gracia,AM$35&lt;=e_L2_Gracia+e_L2_Cuotas,e_L2_Cuotas&gt;0),PMT(e_L2_Tasa/12,e_L2_Cuotas,-e_L2_Monto)-AL$36*e_L2_Tasa/12,0)</f>
        <v>-0</v>
      </c>
      <c r="AN37" s="13" t="n">
        <f aca="false">IF(AND(AN$35&gt;e_L2_Gracia,AN$35&lt;=e_L2_Gracia+e_L2_Cuotas,e_L2_Cuotas&gt;0),PMT(e_L2_Tasa/12,e_L2_Cuotas,-e_L2_Monto)-AM$36*e_L2_Tasa/12,0)</f>
        <v>-0</v>
      </c>
      <c r="AO37" s="13" t="n">
        <f aca="false">IF(AND(AO$35&gt;e_L2_Gracia,AO$35&lt;=e_L2_Gracia+e_L2_Cuotas,e_L2_Cuotas&gt;0),PMT(e_L2_Tasa/12,e_L2_Cuotas,-e_L2_Monto)-AN$36*e_L2_Tasa/12,0)</f>
        <v>-0</v>
      </c>
      <c r="AP37" s="13" t="n">
        <f aca="false">IF(AND(AP$35&gt;e_L2_Gracia,AP$35&lt;=e_L2_Gracia+e_L2_Cuotas,e_L2_Cuotas&gt;0),PMT(e_L2_Tasa/12,e_L2_Cuotas,-e_L2_Monto)-AO$36*e_L2_Tasa/12,0)</f>
        <v>-0</v>
      </c>
      <c r="AQ37" s="13" t="n">
        <f aca="false">IF(AND(AQ$35&gt;e_L2_Gracia,AQ$35&lt;=e_L2_Gracia+e_L2_Cuotas,e_L2_Cuotas&gt;0),PMT(e_L2_Tasa/12,e_L2_Cuotas,-e_L2_Monto)-AP$36*e_L2_Tasa/12,0)</f>
        <v>-0</v>
      </c>
      <c r="AR37" s="13" t="n">
        <f aca="false">IF(AND(AR$35&gt;e_L2_Gracia,AR$35&lt;=e_L2_Gracia+e_L2_Cuotas,e_L2_Cuotas&gt;0),PMT(e_L2_Tasa/12,e_L2_Cuotas,-e_L2_Monto)-AQ$36*e_L2_Tasa/12,0)</f>
        <v>-0</v>
      </c>
      <c r="AS37" s="13" t="n">
        <f aca="false">IF(AND(AS$35&gt;e_L2_Gracia,AS$35&lt;=e_L2_Gracia+e_L2_Cuotas,e_L2_Cuotas&gt;0),PMT(e_L2_Tasa/12,e_L2_Cuotas,-e_L2_Monto)-AR$36*e_L2_Tasa/12,0)</f>
        <v>-0</v>
      </c>
      <c r="AT37" s="13" t="n">
        <f aca="false">IF(AND(AT$35&gt;e_L2_Gracia,AT$35&lt;=e_L2_Gracia+e_L2_Cuotas,e_L2_Cuotas&gt;0),PMT(e_L2_Tasa/12,e_L2_Cuotas,-e_L2_Monto)-AS$36*e_L2_Tasa/12,0)</f>
        <v>-0</v>
      </c>
      <c r="AU37" s="13" t="n">
        <f aca="false">IF(AND(AU$35&gt;e_L2_Gracia,AU$35&lt;=e_L2_Gracia+e_L2_Cuotas,e_L2_Cuotas&gt;0),PMT(e_L2_Tasa/12,e_L2_Cuotas,-e_L2_Monto)-AT$36*e_L2_Tasa/12,0)</f>
        <v>-0</v>
      </c>
      <c r="AV37" s="13" t="n">
        <f aca="false">IF(AND(AV$35&gt;e_L2_Gracia,AV$35&lt;=e_L2_Gracia+e_L2_Cuotas,e_L2_Cuotas&gt;0),PMT(e_L2_Tasa/12,e_L2_Cuotas,-e_L2_Monto)-AU$36*e_L2_Tasa/12,0)</f>
        <v>-0</v>
      </c>
      <c r="AW37" s="13" t="n">
        <f aca="false">IF(AND(AW$35&gt;e_L2_Gracia,AW$35&lt;=e_L2_Gracia+e_L2_Cuotas,e_L2_Cuotas&gt;0),PMT(e_L2_Tasa/12,e_L2_Cuotas,-e_L2_Monto)-AV$36*e_L2_Tasa/12,0)</f>
        <v>-0</v>
      </c>
      <c r="AX37" s="13" t="n">
        <f aca="false">IF(AND(AX$35&gt;e_L2_Gracia,AX$35&lt;=e_L2_Gracia+e_L2_Cuotas,e_L2_Cuotas&gt;0),PMT(e_L2_Tasa/12,e_L2_Cuotas,-e_L2_Monto)-AW$36*e_L2_Tasa/12,0)</f>
        <v>-0</v>
      </c>
      <c r="AY37" s="13" t="n">
        <f aca="false">IF(AND(AY$35&gt;e_L2_Gracia,AY$35&lt;=e_L2_Gracia+e_L2_Cuotas,e_L2_Cuotas&gt;0),PMT(e_L2_Tasa/12,e_L2_Cuotas,-e_L2_Monto)-AX$36*e_L2_Tasa/12,0)</f>
        <v>-0</v>
      </c>
      <c r="AZ37" s="13" t="n">
        <f aca="false">IF(AND(AZ$35&gt;e_L2_Gracia,AZ$35&lt;=e_L2_Gracia+e_L2_Cuotas,e_L2_Cuotas&gt;0),PMT(e_L2_Tasa/12,e_L2_Cuotas,-e_L2_Monto)-AY$36*e_L2_Tasa/12,0)</f>
        <v>-0</v>
      </c>
      <c r="BA37" s="13" t="n">
        <f aca="false">IF(AND(BA$35&gt;e_L2_Gracia,BA$35&lt;=e_L2_Gracia+e_L2_Cuotas,e_L2_Cuotas&gt;0),PMT(e_L2_Tasa/12,e_L2_Cuotas,-e_L2_Monto)-AZ$36*e_L2_Tasa/12,0)</f>
        <v>-0</v>
      </c>
      <c r="BB37" s="13" t="n">
        <f aca="false">IF(AND(BB$35&gt;e_L2_Gracia,BB$35&lt;=e_L2_Gracia+e_L2_Cuotas,e_L2_Cuotas&gt;0),PMT(e_L2_Tasa/12,e_L2_Cuotas,-e_L2_Monto)-BA$36*e_L2_Tasa/12,0)</f>
        <v>-0</v>
      </c>
      <c r="BC37" s="13" t="n">
        <f aca="false">IF(AND(BC$35&gt;e_L2_Gracia,BC$35&lt;=e_L2_Gracia+e_L2_Cuotas,e_L2_Cuotas&gt;0),PMT(e_L2_Tasa/12,e_L2_Cuotas,-e_L2_Monto)-BB$36*e_L2_Tasa/12,0)</f>
        <v>0</v>
      </c>
      <c r="BD37" s="13" t="n">
        <f aca="false">IF(AND(BD$35&gt;e_L2_Gracia,BD$35&lt;=e_L2_Gracia+e_L2_Cuotas,e_L2_Cuotas&gt;0),PMT(e_L2_Tasa/12,e_L2_Cuotas,-e_L2_Monto)-BC$36*e_L2_Tasa/12,0)</f>
        <v>0</v>
      </c>
      <c r="BE37" s="13" t="n">
        <f aca="false">IF(AND(BE$35&gt;e_L2_Gracia,BE$35&lt;=e_L2_Gracia+e_L2_Cuotas,e_L2_Cuotas&gt;0),PMT(e_L2_Tasa/12,e_L2_Cuotas,-e_L2_Monto)-BD$36*e_L2_Tasa/12,0)</f>
        <v>0</v>
      </c>
      <c r="BF37" s="13" t="n">
        <f aca="false">IF(AND(BF$35&gt;e_L2_Gracia,BF$35&lt;=e_L2_Gracia+e_L2_Cuotas,e_L2_Cuotas&gt;0),PMT(e_L2_Tasa/12,e_L2_Cuotas,-e_L2_Monto)-BE$36*e_L2_Tasa/12,0)</f>
        <v>0</v>
      </c>
      <c r="BG37" s="13" t="n">
        <f aca="false">IF(AND(BG$35&gt;e_L2_Gracia,BG$35&lt;=e_L2_Gracia+e_L2_Cuotas,e_L2_Cuotas&gt;0),PMT(e_L2_Tasa/12,e_L2_Cuotas,-e_L2_Monto)-BF$36*e_L2_Tasa/12,0)</f>
        <v>0</v>
      </c>
      <c r="BH37" s="13" t="n">
        <f aca="false">IF(AND(BH$35&gt;e_L2_Gracia,BH$35&lt;=e_L2_Gracia+e_L2_Cuotas,e_L2_Cuotas&gt;0),PMT(e_L2_Tasa/12,e_L2_Cuotas,-e_L2_Monto)-BG$36*e_L2_Tasa/12,0)</f>
        <v>0</v>
      </c>
      <c r="BI37" s="13" t="n">
        <f aca="false">IF(AND(BI$35&gt;e_L2_Gracia,BI$35&lt;=e_L2_Gracia+e_L2_Cuotas,e_L2_Cuotas&gt;0),PMT(e_L2_Tasa/12,e_L2_Cuotas,-e_L2_Monto)-BH$36*e_L2_Tasa/12,0)</f>
        <v>0</v>
      </c>
      <c r="BJ37" s="13" t="n">
        <f aca="false">IF(AND(BJ$35&gt;e_L2_Gracia,BJ$35&lt;=e_L2_Gracia+e_L2_Cuotas,e_L2_Cuotas&gt;0),PMT(e_L2_Tasa/12,e_L2_Cuotas,-e_L2_Monto)-BI$36*e_L2_Tasa/12,0)</f>
        <v>0</v>
      </c>
      <c r="BK37" s="13" t="n">
        <f aca="false">IF(AND(BK$35&gt;e_L2_Gracia,BK$35&lt;=e_L2_Gracia+e_L2_Cuotas,e_L2_Cuotas&gt;0),PMT(e_L2_Tasa/12,e_L2_Cuotas,-e_L2_Monto)-BJ$36*e_L2_Tasa/12,0)</f>
        <v>0</v>
      </c>
      <c r="BL37" s="13" t="n">
        <f aca="false">IF(AND(BL$35&gt;e_L2_Gracia,BL$35&lt;=e_L2_Gracia+e_L2_Cuotas,e_L2_Cuotas&gt;0),PMT(e_L2_Tasa/12,e_L2_Cuotas,-e_L2_Monto)-BK$36*e_L2_Tasa/12,0)</f>
        <v>0</v>
      </c>
      <c r="BM37" s="13" t="n">
        <f aca="false">IF(AND(BM$35&gt;e_L2_Gracia,BM$35&lt;=e_L2_Gracia+e_L2_Cuotas,e_L2_Cuotas&gt;0),PMT(e_L2_Tasa/12,e_L2_Cuotas,-e_L2_Monto)-BL$36*e_L2_Tasa/12,0)</f>
        <v>0</v>
      </c>
      <c r="BN37" s="13" t="n">
        <f aca="false">IF(AND(BN$35&gt;e_L2_Gracia,BN$35&lt;=e_L2_Gracia+e_L2_Cuotas,e_L2_Cuotas&gt;0),PMT(e_L2_Tasa/12,e_L2_Cuotas,-e_L2_Monto)-BM$36*e_L2_Tasa/12,0)</f>
        <v>0</v>
      </c>
      <c r="BO37" s="13" t="n">
        <f aca="false">IF(AND(BO$35&gt;e_L2_Gracia,BO$35&lt;=e_L2_Gracia+e_L2_Cuotas,e_L2_Cuotas&gt;0),PMT(e_L2_Tasa/12,e_L2_Cuotas,-e_L2_Monto)-BN$36*e_L2_Tasa/12,0)</f>
        <v>0</v>
      </c>
      <c r="BP37" s="13" t="n">
        <f aca="false">IF(AND(BP$35&gt;e_L2_Gracia,BP$35&lt;=e_L2_Gracia+e_L2_Cuotas,e_L2_Cuotas&gt;0),PMT(e_L2_Tasa/12,e_L2_Cuotas,-e_L2_Monto)-BO$36*e_L2_Tasa/12,0)</f>
        <v>0</v>
      </c>
      <c r="BQ37" s="13" t="n">
        <f aca="false">IF(AND(BQ$35&gt;e_L2_Gracia,BQ$35&lt;=e_L2_Gracia+e_L2_Cuotas,e_L2_Cuotas&gt;0),PMT(e_L2_Tasa/12,e_L2_Cuotas,-e_L2_Monto)-BP$36*e_L2_Tasa/12,0)</f>
        <v>0</v>
      </c>
      <c r="BR37" s="13" t="n">
        <f aca="false">IF(AND(BR$35&gt;e_L2_Gracia,BR$35&lt;=e_L2_Gracia+e_L2_Cuotas,e_L2_Cuotas&gt;0),PMT(e_L2_Tasa/12,e_L2_Cuotas,-e_L2_Monto)-BQ$36*e_L2_Tasa/12,0)</f>
        <v>0</v>
      </c>
      <c r="BS37" s="13" t="n">
        <f aca="false">IF(AND(BS$35&gt;e_L2_Gracia,BS$35&lt;=e_L2_Gracia+e_L2_Cuotas,e_L2_Cuotas&gt;0),PMT(e_L2_Tasa/12,e_L2_Cuotas,-e_L2_Monto)-BR$36*e_L2_Tasa/12,0)</f>
        <v>0</v>
      </c>
      <c r="BT37" s="13" t="n">
        <f aca="false">IF(AND(BT$35&gt;e_L2_Gracia,BT$35&lt;=e_L2_Gracia+e_L2_Cuotas,e_L2_Cuotas&gt;0),PMT(e_L2_Tasa/12,e_L2_Cuotas,-e_L2_Monto)-BS$36*e_L2_Tasa/12,0)</f>
        <v>0</v>
      </c>
      <c r="BU37" s="13" t="n">
        <f aca="false">IF(AND(BU$35&gt;e_L2_Gracia,BU$35&lt;=e_L2_Gracia+e_L2_Cuotas,e_L2_Cuotas&gt;0),PMT(e_L2_Tasa/12,e_L2_Cuotas,-e_L2_Monto)-BT$36*e_L2_Tasa/12,0)</f>
        <v>0</v>
      </c>
      <c r="BV37" s="13" t="n">
        <f aca="false">IF(AND(BV$35&gt;e_L2_Gracia,BV$35&lt;=e_L2_Gracia+e_L2_Cuotas,e_L2_Cuotas&gt;0),PMT(e_L2_Tasa/12,e_L2_Cuotas,-e_L2_Monto)-BU$36*e_L2_Tasa/12,0)</f>
        <v>0</v>
      </c>
      <c r="BW37" s="13" t="n">
        <f aca="false">IF(AND(BW$35&gt;e_L2_Gracia,BW$35&lt;=e_L2_Gracia+e_L2_Cuotas,e_L2_Cuotas&gt;0),PMT(e_L2_Tasa/12,e_L2_Cuotas,-e_L2_Monto)-BV$36*e_L2_Tasa/12,0)</f>
        <v>0</v>
      </c>
      <c r="BX37" s="13" t="n">
        <f aca="false">IF(AND(BX$35&gt;e_L2_Gracia,BX$35&lt;=e_L2_Gracia+e_L2_Cuotas,e_L2_Cuotas&gt;0),PMT(e_L2_Tasa/12,e_L2_Cuotas,-e_L2_Monto)-BW$36*e_L2_Tasa/12,0)</f>
        <v>0</v>
      </c>
      <c r="BY37" s="13" t="n">
        <f aca="false">IF(AND(BY$35&gt;e_L2_Gracia,BY$35&lt;=e_L2_Gracia+e_L2_Cuotas,e_L2_Cuotas&gt;0),PMT(e_L2_Tasa/12,e_L2_Cuotas,-e_L2_Monto)-BX$36*e_L2_Tasa/12,0)</f>
        <v>0</v>
      </c>
      <c r="BZ37" s="13" t="n">
        <f aca="false">IF(AND(BZ$35&gt;e_L2_Gracia,BZ$35&lt;=e_L2_Gracia+e_L2_Cuotas,e_L2_Cuotas&gt;0),PMT(e_L2_Tasa/12,e_L2_Cuotas,-e_L2_Monto)-BY$36*e_L2_Tasa/12,0)</f>
        <v>0</v>
      </c>
      <c r="CA37" s="13" t="n">
        <f aca="false">IF(AND(CA$35&gt;e_L2_Gracia,CA$35&lt;=e_L2_Gracia+e_L2_Cuotas,e_L2_Cuotas&gt;0),PMT(e_L2_Tasa/12,e_L2_Cuotas,-e_L2_Monto)-BZ$36*e_L2_Tasa/12,0)</f>
        <v>0</v>
      </c>
      <c r="CB37" s="13" t="n">
        <f aca="false">IF(AND(CB$35&gt;e_L2_Gracia,CB$35&lt;=e_L2_Gracia+e_L2_Cuotas,e_L2_Cuotas&gt;0),PMT(e_L2_Tasa/12,e_L2_Cuotas,-e_L2_Monto)-CA$36*e_L2_Tasa/12,0)</f>
        <v>0</v>
      </c>
      <c r="CC37" s="13" t="n">
        <f aca="false">IF(AND(CC$35&gt;e_L2_Gracia,CC$35&lt;=e_L2_Gracia+e_L2_Cuotas,e_L2_Cuotas&gt;0),PMT(e_L2_Tasa/12,e_L2_Cuotas,-e_L2_Monto)-CB$36*e_L2_Tasa/12,0)</f>
        <v>0</v>
      </c>
      <c r="CD37" s="13" t="n">
        <f aca="false">IF(AND(CD$35&gt;e_L2_Gracia,CD$35&lt;=e_L2_Gracia+e_L2_Cuotas,e_L2_Cuotas&gt;0),PMT(e_L2_Tasa/12,e_L2_Cuotas,-e_L2_Monto)-CC$36*e_L2_Tasa/12,0)</f>
        <v>0</v>
      </c>
      <c r="CE37" s="13" t="n">
        <f aca="false">IF(AND(CE$35&gt;e_L2_Gracia,CE$35&lt;=e_L2_Gracia+e_L2_Cuotas,e_L2_Cuotas&gt;0),PMT(e_L2_Tasa/12,e_L2_Cuotas,-e_L2_Monto)-CD$36*e_L2_Tasa/12,0)</f>
        <v>0</v>
      </c>
      <c r="CF37" s="13" t="n">
        <f aca="false">IF(AND(CF$35&gt;e_L2_Gracia,CF$35&lt;=e_L2_Gracia+e_L2_Cuotas,e_L2_Cuotas&gt;0),PMT(e_L2_Tasa/12,e_L2_Cuotas,-e_L2_Monto)-CE$36*e_L2_Tasa/12,0)</f>
        <v>0</v>
      </c>
      <c r="CG37" s="13" t="n">
        <f aca="false">IF(AND(CG$35&gt;e_L2_Gracia,CG$35&lt;=e_L2_Gracia+e_L2_Cuotas,e_L2_Cuotas&gt;0),PMT(e_L2_Tasa/12,e_L2_Cuotas,-e_L2_Monto)-CF$36*e_L2_Tasa/12,0)</f>
        <v>0</v>
      </c>
      <c r="CH37" s="13" t="n">
        <f aca="false">IF(AND(CH$35&gt;e_L2_Gracia,CH$35&lt;=e_L2_Gracia+e_L2_Cuotas,e_L2_Cuotas&gt;0),PMT(e_L2_Tasa/12,e_L2_Cuotas,-e_L2_Monto)-CG$36*e_L2_Tasa/12,0)</f>
        <v>0</v>
      </c>
      <c r="CI37" s="13" t="n">
        <f aca="false">IF(AND(CI$35&gt;e_L2_Gracia,CI$35&lt;=e_L2_Gracia+e_L2_Cuotas,e_L2_Cuotas&gt;0),PMT(e_L2_Tasa/12,e_L2_Cuotas,-e_L2_Monto)-CH$36*e_L2_Tasa/12,0)</f>
        <v>0</v>
      </c>
      <c r="CJ37" s="13" t="n">
        <f aca="false">IF(AND(CJ$35&gt;e_L2_Gracia,CJ$35&lt;=e_L2_Gracia+e_L2_Cuotas,e_L2_Cuotas&gt;0),PMT(e_L2_Tasa/12,e_L2_Cuotas,-e_L2_Monto)-CI$36*e_L2_Tasa/12,0)</f>
        <v>0</v>
      </c>
      <c r="CK37" s="13" t="n">
        <f aca="false">IF(AND(CK$35&gt;e_L2_Gracia,CK$35&lt;=e_L2_Gracia+e_L2_Cuotas,e_L2_Cuotas&gt;0),PMT(e_L2_Tasa/12,e_L2_Cuotas,-e_L2_Monto)-CJ$36*e_L2_Tasa/12,0)</f>
        <v>0</v>
      </c>
      <c r="CL37" s="13" t="n">
        <f aca="false">IF(AND(CL$35&gt;e_L2_Gracia,CL$35&lt;=e_L2_Gracia+e_L2_Cuotas,e_L2_Cuotas&gt;0),PMT(e_L2_Tasa/12,e_L2_Cuotas,-e_L2_Monto)-CK$36*e_L2_Tasa/12,0)</f>
        <v>0</v>
      </c>
      <c r="CM37" s="13" t="n">
        <f aca="false">IF(AND(CM$35&gt;e_L2_Gracia,CM$35&lt;=e_L2_Gracia+e_L2_Cuotas,e_L2_Cuotas&gt;0),PMT(e_L2_Tasa/12,e_L2_Cuotas,-e_L2_Monto)-CL$36*e_L2_Tasa/12,0)</f>
        <v>0</v>
      </c>
      <c r="CN37" s="13" t="n">
        <f aca="false">IF(AND(CN$35&gt;e_L2_Gracia,CN$35&lt;=e_L2_Gracia+e_L2_Cuotas,e_L2_Cuotas&gt;0),PMT(e_L2_Tasa/12,e_L2_Cuotas,-e_L2_Monto)-CM$36*e_L2_Tasa/12,0)</f>
        <v>0</v>
      </c>
      <c r="CO37" s="13" t="n">
        <f aca="false">IF(AND(CO$35&gt;e_L2_Gracia,CO$35&lt;=e_L2_Gracia+e_L2_Cuotas,e_L2_Cuotas&gt;0),PMT(e_L2_Tasa/12,e_L2_Cuotas,-e_L2_Monto)-CN$36*e_L2_Tasa/12,0)</f>
        <v>0</v>
      </c>
      <c r="CP37" s="13" t="n">
        <f aca="false">IF(AND(CP$35&gt;e_L2_Gracia,CP$35&lt;=e_L2_Gracia+e_L2_Cuotas,e_L2_Cuotas&gt;0),PMT(e_L2_Tasa/12,e_L2_Cuotas,-e_L2_Monto)-CO$36*e_L2_Tasa/12,0)</f>
        <v>0</v>
      </c>
      <c r="CQ37" s="13" t="n">
        <f aca="false">IF(AND(CQ$35&gt;e_L2_Gracia,CQ$35&lt;=e_L2_Gracia+e_L2_Cuotas,e_L2_Cuotas&gt;0),PMT(e_L2_Tasa/12,e_L2_Cuotas,-e_L2_Monto)-CP$36*e_L2_Tasa/12,0)</f>
        <v>0</v>
      </c>
      <c r="CR37" s="13" t="n">
        <f aca="false">IF(AND(CR$35&gt;e_L2_Gracia,CR$35&lt;=e_L2_Gracia+e_L2_Cuotas,e_L2_Cuotas&gt;0),PMT(e_L2_Tasa/12,e_L2_Cuotas,-e_L2_Monto)-CQ$36*e_L2_Tasa/12,0)</f>
        <v>0</v>
      </c>
      <c r="CS37" s="13" t="n">
        <f aca="false">IF(AND(CS$35&gt;e_L2_Gracia,CS$35&lt;=e_L2_Gracia+e_L2_Cuotas,e_L2_Cuotas&gt;0),PMT(e_L2_Tasa/12,e_L2_Cuotas,-e_L2_Monto)-CR$36*e_L2_Tasa/12,0)</f>
        <v>0</v>
      </c>
      <c r="CT37" s="13" t="n">
        <f aca="false">IF(AND(CT$35&gt;e_L2_Gracia,CT$35&lt;=e_L2_Gracia+e_L2_Cuotas,e_L2_Cuotas&gt;0),PMT(e_L2_Tasa/12,e_L2_Cuotas,-e_L2_Monto)-CS$36*e_L2_Tasa/12,0)</f>
        <v>0</v>
      </c>
      <c r="CU37" s="13" t="n">
        <f aca="false">IF(AND(CU$35&gt;e_L2_Gracia,CU$35&lt;=e_L2_Gracia+e_L2_Cuotas,e_L2_Cuotas&gt;0),PMT(e_L2_Tasa/12,e_L2_Cuotas,-e_L2_Monto)-CT$36*e_L2_Tasa/12,0)</f>
        <v>0</v>
      </c>
      <c r="CV37" s="13" t="n">
        <f aca="false">IF(AND(CV$35&gt;e_L2_Gracia,CV$35&lt;=e_L2_Gracia+e_L2_Cuotas,e_L2_Cuotas&gt;0),PMT(e_L2_Tasa/12,e_L2_Cuotas,-e_L2_Monto)-CU$36*e_L2_Tasa/12,0)</f>
        <v>0</v>
      </c>
      <c r="CW37" s="13" t="n">
        <f aca="false">IF(AND(CW$35&gt;e_L2_Gracia,CW$35&lt;=e_L2_Gracia+e_L2_Cuotas,e_L2_Cuotas&gt;0),PMT(e_L2_Tasa/12,e_L2_Cuotas,-e_L2_Monto)-CV$36*e_L2_Tasa/12,0)</f>
        <v>0</v>
      </c>
      <c r="CX37" s="13" t="n">
        <f aca="false">IF(AND(CX$35&gt;e_L2_Gracia,CX$35&lt;=e_L2_Gracia+e_L2_Cuotas,e_L2_Cuotas&gt;0),PMT(e_L2_Tasa/12,e_L2_Cuotas,-e_L2_Monto)-CW$36*e_L2_Tasa/12,0)</f>
        <v>0</v>
      </c>
      <c r="CY37" s="13" t="n">
        <f aca="false">IF(AND(CY$35&gt;e_L2_Gracia,CY$35&lt;=e_L2_Gracia+e_L2_Cuotas,e_L2_Cuotas&gt;0),PMT(e_L2_Tasa/12,e_L2_Cuotas,-e_L2_Monto)-CX$36*e_L2_Tasa/12,0)</f>
        <v>0</v>
      </c>
      <c r="CZ37" s="13" t="n">
        <f aca="false">IF(AND(CZ$35&gt;e_L2_Gracia,CZ$35&lt;=e_L2_Gracia+e_L2_Cuotas,e_L2_Cuotas&gt;0),PMT(e_L2_Tasa/12,e_L2_Cuotas,-e_L2_Monto)-CY$36*e_L2_Tasa/12,0)</f>
        <v>0</v>
      </c>
      <c r="DA37" s="13" t="n">
        <f aca="false">IF(AND(DA$35&gt;e_L2_Gracia,DA$35&lt;=e_L2_Gracia+e_L2_Cuotas,e_L2_Cuotas&gt;0),PMT(e_L2_Tasa/12,e_L2_Cuotas,-e_L2_Monto)-CZ$36*e_L2_Tasa/12,0)</f>
        <v>0</v>
      </c>
      <c r="DB37" s="13" t="n">
        <f aca="false">IF(AND(DB$35&gt;e_L2_Gracia,DB$35&lt;=e_L2_Gracia+e_L2_Cuotas,e_L2_Cuotas&gt;0),PMT(e_L2_Tasa/12,e_L2_Cuotas,-e_L2_Monto)-DA$36*e_L2_Tasa/12,0)</f>
        <v>0</v>
      </c>
      <c r="DC37" s="13" t="n">
        <f aca="false">IF(AND(DC$35&gt;e_L2_Gracia,DC$35&lt;=e_L2_Gracia+e_L2_Cuotas,e_L2_Cuotas&gt;0),PMT(e_L2_Tasa/12,e_L2_Cuotas,-e_L2_Monto)-DB$36*e_L2_Tasa/12,0)</f>
        <v>0</v>
      </c>
      <c r="DD37" s="13" t="n">
        <f aca="false">IF(AND(DD$35&gt;e_L2_Gracia,DD$35&lt;=e_L2_Gracia+e_L2_Cuotas,e_L2_Cuotas&gt;0),PMT(e_L2_Tasa/12,e_L2_Cuotas,-e_L2_Monto)-DC$36*e_L2_Tasa/12,0)</f>
        <v>0</v>
      </c>
      <c r="DE37" s="13" t="n">
        <f aca="false">IF(AND(DE$35&gt;e_L2_Gracia,DE$35&lt;=e_L2_Gracia+e_L2_Cuotas,e_L2_Cuotas&gt;0),PMT(e_L2_Tasa/12,e_L2_Cuotas,-e_L2_Monto)-DD$36*e_L2_Tasa/12,0)</f>
        <v>0</v>
      </c>
      <c r="DF37" s="13" t="n">
        <f aca="false">IF(AND(DF$35&gt;e_L2_Gracia,DF$35&lt;=e_L2_Gracia+e_L2_Cuotas,e_L2_Cuotas&gt;0),PMT(e_L2_Tasa/12,e_L2_Cuotas,-e_L2_Monto)-DE$36*e_L2_Tasa/12,0)</f>
        <v>0</v>
      </c>
      <c r="DG37" s="13" t="n">
        <f aca="false">IF(AND(DG$35&gt;e_L2_Gracia,DG$35&lt;=e_L2_Gracia+e_L2_Cuotas,e_L2_Cuotas&gt;0),PMT(e_L2_Tasa/12,e_L2_Cuotas,-e_L2_Monto)-DF$36*e_L2_Tasa/12,0)</f>
        <v>0</v>
      </c>
      <c r="DH37" s="13" t="n">
        <f aca="false">IF(AND(DH$35&gt;e_L2_Gracia,DH$35&lt;=e_L2_Gracia+e_L2_Cuotas,e_L2_Cuotas&gt;0),PMT(e_L2_Tasa/12,e_L2_Cuotas,-e_L2_Monto)-DG$36*e_L2_Tasa/12,0)</f>
        <v>0</v>
      </c>
      <c r="DI37" s="13" t="n">
        <f aca="false">IF(AND(DI$35&gt;e_L2_Gracia,DI$35&lt;=e_L2_Gracia+e_L2_Cuotas,e_L2_Cuotas&gt;0),PMT(e_L2_Tasa/12,e_L2_Cuotas,-e_L2_Monto)-DH$36*e_L2_Tasa/12,0)</f>
        <v>0</v>
      </c>
      <c r="DJ37" s="13" t="n">
        <f aca="false">IF(AND(DJ$35&gt;e_L2_Gracia,DJ$35&lt;=e_L2_Gracia+e_L2_Cuotas,e_L2_Cuotas&gt;0),PMT(e_L2_Tasa/12,e_L2_Cuotas,-e_L2_Monto)-DI$36*e_L2_Tasa/12,0)</f>
        <v>0</v>
      </c>
      <c r="DK37" s="13" t="n">
        <f aca="false">IF(AND(DK$35&gt;e_L2_Gracia,DK$35&lt;=e_L2_Gracia+e_L2_Cuotas,e_L2_Cuotas&gt;0),PMT(e_L2_Tasa/12,e_L2_Cuotas,-e_L2_Monto)-DJ$36*e_L2_Tasa/12,0)</f>
        <v>0</v>
      </c>
      <c r="DL37" s="13" t="n">
        <f aca="false">IF(AND(DL$35&gt;e_L2_Gracia,DL$35&lt;=e_L2_Gracia+e_L2_Cuotas,e_L2_Cuotas&gt;0),PMT(e_L2_Tasa/12,e_L2_Cuotas,-e_L2_Monto)-DK$36*e_L2_Tasa/12,0)</f>
        <v>0</v>
      </c>
      <c r="DM37" s="13" t="n">
        <f aca="false">IF(AND(DM$35&gt;e_L2_Gracia,DM$35&lt;=e_L2_Gracia+e_L2_Cuotas,e_L2_Cuotas&gt;0),PMT(e_L2_Tasa/12,e_L2_Cuotas,-e_L2_Monto)-DL$36*e_L2_Tasa/12,0)</f>
        <v>0</v>
      </c>
      <c r="DN37" s="13" t="n">
        <f aca="false">IF(AND(DN$35&gt;e_L2_Gracia,DN$35&lt;=e_L2_Gracia+e_L2_Cuotas,e_L2_Cuotas&gt;0),PMT(e_L2_Tasa/12,e_L2_Cuotas,-e_L2_Monto)-DM$36*e_L2_Tasa/12,0)</f>
        <v>0</v>
      </c>
      <c r="DO37" s="13" t="n">
        <f aca="false">IF(AND(DO$35&gt;e_L2_Gracia,DO$35&lt;=e_L2_Gracia+e_L2_Cuotas,e_L2_Cuotas&gt;0),PMT(e_L2_Tasa/12,e_L2_Cuotas,-e_L2_Monto)-DN$36*e_L2_Tasa/12,0)</f>
        <v>0</v>
      </c>
      <c r="DP37" s="13" t="n">
        <f aca="false">IF(AND(DP$35&gt;e_L2_Gracia,DP$35&lt;=e_L2_Gracia+e_L2_Cuotas,e_L2_Cuotas&gt;0),PMT(e_L2_Tasa/12,e_L2_Cuotas,-e_L2_Monto)-DO$36*e_L2_Tasa/12,0)</f>
        <v>0</v>
      </c>
      <c r="DQ37" s="13" t="n">
        <f aca="false">IF(AND(DQ$35&gt;e_L2_Gracia,DQ$35&lt;=e_L2_Gracia+e_L2_Cuotas,e_L2_Cuotas&gt;0),PMT(e_L2_Tasa/12,e_L2_Cuotas,-e_L2_Monto)-DP$36*e_L2_Tasa/12,0)</f>
        <v>0</v>
      </c>
      <c r="DR37" s="13" t="n">
        <f aca="false">IF(AND(DR$35&gt;e_L2_Gracia,DR$35&lt;=e_L2_Gracia+e_L2_Cuotas,e_L2_Cuotas&gt;0),PMT(e_L2_Tasa/12,e_L2_Cuotas,-e_L2_Monto)-DQ$36*e_L2_Tasa/12,0)</f>
        <v>0</v>
      </c>
      <c r="DS37" s="13" t="n">
        <f aca="false">IF(AND(DS$35&gt;e_L2_Gracia,DS$35&lt;=e_L2_Gracia+e_L2_Cuotas,e_L2_Cuotas&gt;0),PMT(e_L2_Tasa/12,e_L2_Cuotas,-e_L2_Monto)-DR$36*e_L2_Tasa/12,0)</f>
        <v>0</v>
      </c>
      <c r="DT37" s="13" t="n">
        <f aca="false">IF(AND(DT$35&gt;e_L2_Gracia,DT$35&lt;=e_L2_Gracia+e_L2_Cuotas,e_L2_Cuotas&gt;0),PMT(e_L2_Tasa/12,e_L2_Cuotas,-e_L2_Monto)-DS$36*e_L2_Tasa/12,0)</f>
        <v>0</v>
      </c>
      <c r="DU37" s="13" t="n">
        <f aca="false">IF(AND(DU$35&gt;e_L2_Gracia,DU$35&lt;=e_L2_Gracia+e_L2_Cuotas,e_L2_Cuotas&gt;0),PMT(e_L2_Tasa/12,e_L2_Cuotas,-e_L2_Monto)-DT$36*e_L2_Tasa/12,0)</f>
        <v>0</v>
      </c>
      <c r="DV37" s="13" t="n">
        <f aca="false">IF(AND(DV$35&gt;e_L2_Gracia,DV$35&lt;=e_L2_Gracia+e_L2_Cuotas,e_L2_Cuotas&gt;0),PMT(e_L2_Tasa/12,e_L2_Cuotas,-e_L2_Monto)-DU$36*e_L2_Tasa/12,0)</f>
        <v>0</v>
      </c>
      <c r="DW37" s="13" t="n">
        <f aca="false">IF(AND(DW$35&gt;e_L2_Gracia,DW$35&lt;=e_L2_Gracia+e_L2_Cuotas,e_L2_Cuotas&gt;0),PMT(e_L2_Tasa/12,e_L2_Cuotas,-e_L2_Monto)-DV$36*e_L2_Tasa/12,0)</f>
        <v>0</v>
      </c>
      <c r="DX37" s="13" t="n">
        <f aca="false">IF(AND(DX$35&gt;e_L2_Gracia,DX$35&lt;=e_L2_Gracia+e_L2_Cuotas,e_L2_Cuotas&gt;0),PMT(e_L2_Tasa/12,e_L2_Cuotas,-e_L2_Monto)-DW$36*e_L2_Tasa/12,0)</f>
        <v>0</v>
      </c>
      <c r="DY37" s="13" t="n">
        <f aca="false">IF(AND(DY$35&gt;e_L2_Gracia,DY$35&lt;=e_L2_Gracia+e_L2_Cuotas,e_L2_Cuotas&gt;0),PMT(e_L2_Tasa/12,e_L2_Cuotas,-e_L2_Monto)-DX$36*e_L2_Tasa/12,0)</f>
        <v>0</v>
      </c>
      <c r="DZ37" s="13" t="n">
        <f aca="false">IF(AND(DZ$35&gt;e_L2_Gracia,DZ$35&lt;=e_L2_Gracia+e_L2_Cuotas,e_L2_Cuotas&gt;0),PMT(e_L2_Tasa/12,e_L2_Cuotas,-e_L2_Monto)-DY$36*e_L2_Tasa/12,0)</f>
        <v>0</v>
      </c>
      <c r="EA37" s="13" t="n">
        <f aca="false">IF(AND(EA$35&gt;e_L2_Gracia,EA$35&lt;=e_L2_Gracia+e_L2_Cuotas,e_L2_Cuotas&gt;0),PMT(e_L2_Tasa/12,e_L2_Cuotas,-e_L2_Monto)-DZ$36*e_L2_Tasa/12,0)</f>
        <v>0</v>
      </c>
      <c r="EB37" s="13" t="n">
        <f aca="false">IF(AND(EB$35&gt;e_L2_Gracia,EB$35&lt;=e_L2_Gracia+e_L2_Cuotas,e_L2_Cuotas&gt;0),PMT(e_L2_Tasa/12,e_L2_Cuotas,-e_L2_Monto)-EA$36*e_L2_Tasa/12,0)</f>
        <v>0</v>
      </c>
      <c r="EC37" s="13" t="n">
        <f aca="false">IF(AND(EC$35&gt;e_L2_Gracia,EC$35&lt;=e_L2_Gracia+e_L2_Cuotas,e_L2_Cuotas&gt;0),PMT(e_L2_Tasa/12,e_L2_Cuotas,-e_L2_Monto)-EB$36*e_L2_Tasa/12,0)</f>
        <v>0</v>
      </c>
      <c r="ED37" s="13" t="n">
        <f aca="false">IF(AND(ED$35&gt;e_L2_Gracia,ED$35&lt;=e_L2_Gracia+e_L2_Cuotas,e_L2_Cuotas&gt;0),PMT(e_L2_Tasa/12,e_L2_Cuotas,-e_L2_Monto)-EC$36*e_L2_Tasa/12,0)</f>
        <v>0</v>
      </c>
      <c r="EE37" s="13" t="n">
        <f aca="false">IF(AND(EE$35&gt;e_L2_Gracia,EE$35&lt;=e_L2_Gracia+e_L2_Cuotas,e_L2_Cuotas&gt;0),PMT(e_L2_Tasa/12,e_L2_Cuotas,-e_L2_Monto)-ED$36*e_L2_Tasa/12,0)</f>
        <v>0</v>
      </c>
      <c r="EF37" s="13" t="n">
        <f aca="false">IF(AND(EF$35&gt;e_L2_Gracia,EF$35&lt;=e_L2_Gracia+e_L2_Cuotas,e_L2_Cuotas&gt;0),PMT(e_L2_Tasa/12,e_L2_Cuotas,-e_L2_Monto)-EE$36*e_L2_Tasa/12,0)</f>
        <v>0</v>
      </c>
      <c r="EG37" s="13" t="n">
        <f aca="false">IF(AND(EG$35&gt;e_L2_Gracia,EG$35&lt;=e_L2_Gracia+e_L2_Cuotas,e_L2_Cuotas&gt;0),PMT(e_L2_Tasa/12,e_L2_Cuotas,-e_L2_Monto)-EF$36*e_L2_Tasa/12,0)</f>
        <v>0</v>
      </c>
      <c r="EH37" s="13" t="n">
        <f aca="false">IF(AND(EH$35&gt;e_L2_Gracia,EH$35&lt;=e_L2_Gracia+e_L2_Cuotas,e_L2_Cuotas&gt;0),PMT(e_L2_Tasa/12,e_L2_Cuotas,-e_L2_Monto)-EG$36*e_L2_Tasa/12,0)</f>
        <v>0</v>
      </c>
      <c r="EI37" s="13" t="n">
        <f aca="false">IF(AND(EI$35&gt;e_L2_Gracia,EI$35&lt;=e_L2_Gracia+e_L2_Cuotas,e_L2_Cuotas&gt;0),PMT(e_L2_Tasa/12,e_L2_Cuotas,-e_L2_Monto)-EH$36*e_L2_Tasa/12,0)</f>
        <v>0</v>
      </c>
      <c r="EJ37" s="13" t="n">
        <f aca="false">IF(AND(EJ$35&gt;e_L2_Gracia,EJ$35&lt;=e_L2_Gracia+e_L2_Cuotas,e_L2_Cuotas&gt;0),PMT(e_L2_Tasa/12,e_L2_Cuotas,-e_L2_Monto)-EI$36*e_L2_Tasa/12,0)</f>
        <v>0</v>
      </c>
      <c r="EK37" s="13" t="n">
        <f aca="false">IF(AND(EK$35&gt;e_L2_Gracia,EK$35&lt;=e_L2_Gracia+e_L2_Cuotas,e_L2_Cuotas&gt;0),PMT(e_L2_Tasa/12,e_L2_Cuotas,-e_L2_Monto)-EJ$36*e_L2_Tasa/12,0)</f>
        <v>0</v>
      </c>
      <c r="EL37" s="13" t="n">
        <f aca="false">IF(AND(EL$35&gt;e_L2_Gracia,EL$35&lt;=e_L2_Gracia+e_L2_Cuotas,e_L2_Cuotas&gt;0),PMT(e_L2_Tasa/12,e_L2_Cuotas,-e_L2_Monto)-EK$36*e_L2_Tasa/12,0)</f>
        <v>0</v>
      </c>
      <c r="EM37" s="13" t="n">
        <f aca="false">IF(AND(EM$35&gt;e_L2_Gracia,EM$35&lt;=e_L2_Gracia+e_L2_Cuotas,e_L2_Cuotas&gt;0),PMT(e_L2_Tasa/12,e_L2_Cuotas,-e_L2_Monto)-EL$36*e_L2_Tasa/12,0)</f>
        <v>0</v>
      </c>
      <c r="EN37" s="13" t="n">
        <f aca="false">IF(AND(EN$35&gt;e_L2_Gracia,EN$35&lt;=e_L2_Gracia+e_L2_Cuotas,e_L2_Cuotas&gt;0),PMT(e_L2_Tasa/12,e_L2_Cuotas,-e_L2_Monto)-EM$36*e_L2_Tasa/12,0)</f>
        <v>0</v>
      </c>
      <c r="EO37" s="13" t="n">
        <f aca="false">IF(AND(EO$35&gt;e_L2_Gracia,EO$35&lt;=e_L2_Gracia+e_L2_Cuotas,e_L2_Cuotas&gt;0),PMT(e_L2_Tasa/12,e_L2_Cuotas,-e_L2_Monto)-EN$36*e_L2_Tasa/12,0)</f>
        <v>0</v>
      </c>
      <c r="EP37" s="13" t="n">
        <f aca="false">IF(AND(EP$35&gt;e_L2_Gracia,EP$35&lt;=e_L2_Gracia+e_L2_Cuotas,e_L2_Cuotas&gt;0),PMT(e_L2_Tasa/12,e_L2_Cuotas,-e_L2_Monto)-EO$36*e_L2_Tasa/12,0)</f>
        <v>0</v>
      </c>
      <c r="EQ37" s="13" t="n">
        <f aca="false">IF(AND(EQ$35&gt;e_L2_Gracia,EQ$35&lt;=e_L2_Gracia+e_L2_Cuotas,e_L2_Cuotas&gt;0),PMT(e_L2_Tasa/12,e_L2_Cuotas,-e_L2_Monto)-EP$36*e_L2_Tasa/12,0)</f>
        <v>0</v>
      </c>
      <c r="ER37" s="13" t="n">
        <f aca="false">IF(AND(ER$35&gt;e_L2_Gracia,ER$35&lt;=e_L2_Gracia+e_L2_Cuotas,e_L2_Cuotas&gt;0),PMT(e_L2_Tasa/12,e_L2_Cuotas,-e_L2_Monto)-EQ$36*e_L2_Tasa/12,0)</f>
        <v>0</v>
      </c>
      <c r="ES37" s="13" t="n">
        <f aca="false">IF(AND(ES$35&gt;e_L2_Gracia,ES$35&lt;=e_L2_Gracia+e_L2_Cuotas,e_L2_Cuotas&gt;0),PMT(e_L2_Tasa/12,e_L2_Cuotas,-e_L2_Monto)-ER$36*e_L2_Tasa/12,0)</f>
        <v>0</v>
      </c>
      <c r="ET37" s="13" t="n">
        <f aca="false">IF(AND(ET$35&gt;e_L2_Gracia,ET$35&lt;=e_L2_Gracia+e_L2_Cuotas,e_L2_Cuotas&gt;0),PMT(e_L2_Tasa/12,e_L2_Cuotas,-e_L2_Monto)-ES$36*e_L2_Tasa/12,0)</f>
        <v>0</v>
      </c>
      <c r="EU37" s="13" t="n">
        <f aca="false">IF(AND(EU$35&gt;e_L2_Gracia,EU$35&lt;=e_L2_Gracia+e_L2_Cuotas,e_L2_Cuotas&gt;0),PMT(e_L2_Tasa/12,e_L2_Cuotas,-e_L2_Monto)-ET$36*e_L2_Tasa/12,0)</f>
        <v>0</v>
      </c>
      <c r="EV37" s="13" t="n">
        <f aca="false">IF(AND(EV$35&gt;e_L2_Gracia,EV$35&lt;=e_L2_Gracia+e_L2_Cuotas,e_L2_Cuotas&gt;0),PMT(e_L2_Tasa/12,e_L2_Cuotas,-e_L2_Monto)-EU$36*e_L2_Tasa/12,0)</f>
        <v>0</v>
      </c>
      <c r="EW37" s="13" t="n">
        <f aca="false">IF(AND(EW$35&gt;e_L2_Gracia,EW$35&lt;=e_L2_Gracia+e_L2_Cuotas,e_L2_Cuotas&gt;0),PMT(e_L2_Tasa/12,e_L2_Cuotas,-e_L2_Monto)-EV$36*e_L2_Tasa/12,0)</f>
        <v>0</v>
      </c>
      <c r="EX37" s="13" t="n">
        <f aca="false">IF(AND(EX$35&gt;e_L2_Gracia,EX$35&lt;=e_L2_Gracia+e_L2_Cuotas,e_L2_Cuotas&gt;0),PMT(e_L2_Tasa/12,e_L2_Cuotas,-e_L2_Monto)-EW$36*e_L2_Tasa/12,0)</f>
        <v>0</v>
      </c>
      <c r="EY37" s="13" t="n">
        <f aca="false">IF(AND(EY$35&gt;e_L2_Gracia,EY$35&lt;=e_L2_Gracia+e_L2_Cuotas,e_L2_Cuotas&gt;0),PMT(e_L2_Tasa/12,e_L2_Cuotas,-e_L2_Monto)-EX$36*e_L2_Tasa/12,0)</f>
        <v>0</v>
      </c>
      <c r="EZ37" s="13" t="n">
        <f aca="false">IF(AND(EZ$35&gt;e_L2_Gracia,EZ$35&lt;=e_L2_Gracia+e_L2_Cuotas,e_L2_Cuotas&gt;0),PMT(e_L2_Tasa/12,e_L2_Cuotas,-e_L2_Monto)-EY$36*e_L2_Tasa/12,0)</f>
        <v>0</v>
      </c>
      <c r="FA37" s="13" t="n">
        <f aca="false">IF(AND(FA$35&gt;e_L2_Gracia,FA$35&lt;=e_L2_Gracia+e_L2_Cuotas,e_L2_Cuotas&gt;0),PMT(e_L2_Tasa/12,e_L2_Cuotas,-e_L2_Monto)-EZ$36*e_L2_Tasa/12,0)</f>
        <v>0</v>
      </c>
      <c r="FB37" s="13" t="n">
        <f aca="false">IF(AND(FB$35&gt;e_L2_Gracia,FB$35&lt;=e_L2_Gracia+e_L2_Cuotas,e_L2_Cuotas&gt;0),PMT(e_L2_Tasa/12,e_L2_Cuotas,-e_L2_Monto)-FA$36*e_L2_Tasa/12,0)</f>
        <v>0</v>
      </c>
      <c r="FC37" s="13" t="n">
        <f aca="false">IF(AND(FC$35&gt;e_L2_Gracia,FC$35&lt;=e_L2_Gracia+e_L2_Cuotas,e_L2_Cuotas&gt;0),PMT(e_L2_Tasa/12,e_L2_Cuotas,-e_L2_Monto)-FB$36*e_L2_Tasa/12,0)</f>
        <v>0</v>
      </c>
      <c r="FD37" s="13" t="n">
        <f aca="false">IF(AND(FD$35&gt;e_L2_Gracia,FD$35&lt;=e_L2_Gracia+e_L2_Cuotas,e_L2_Cuotas&gt;0),PMT(e_L2_Tasa/12,e_L2_Cuotas,-e_L2_Monto)-FC$36*e_L2_Tasa/12,0)</f>
        <v>0</v>
      </c>
      <c r="FE37" s="13" t="n">
        <f aca="false">IF(AND(FE$35&gt;e_L2_Gracia,FE$35&lt;=e_L2_Gracia+e_L2_Cuotas,e_L2_Cuotas&gt;0),PMT(e_L2_Tasa/12,e_L2_Cuotas,-e_L2_Monto)-FD$36*e_L2_Tasa/12,0)</f>
        <v>0</v>
      </c>
      <c r="FF37" s="13" t="n">
        <f aca="false">IF(AND(FF$35&gt;e_L2_Gracia,FF$35&lt;=e_L2_Gracia+e_L2_Cuotas,e_L2_Cuotas&gt;0),PMT(e_L2_Tasa/12,e_L2_Cuotas,-e_L2_Monto)-FE$36*e_L2_Tasa/12,0)</f>
        <v>0</v>
      </c>
    </row>
    <row r="38" customFormat="false" ht="15" hidden="false" customHeight="false" outlineLevel="0" collapsed="false">
      <c r="A38" s="2" t="s">
        <v>1427</v>
      </c>
      <c r="B38" s="8" t="s">
        <v>1405</v>
      </c>
      <c r="C38" s="8" t="s">
        <v>255</v>
      </c>
      <c r="E38" s="65" t="n">
        <f aca="false">SUM($F38:$FF38)</f>
        <v>0</v>
      </c>
      <c r="F38" s="13" t="n">
        <f aca="false">IF(F$9=1,SUMIFS(dr_USD,dr_Mes,0,dr_Cod,"DESEMB_P2",dr_Est,"&lt;&gt;Excluido"),IF(F$35=0,e_L2_Monto,0))</f>
        <v>0</v>
      </c>
      <c r="G38" s="13" t="n">
        <f aca="false">IF(G$9=1,SUMIFS(dr_USD,dr_Mes,1,dr_Cod,"DESEMB_P2",dr_Est,"&lt;&gt;Excluido"),IF(G$35=0,e_L2_Monto,0))</f>
        <v>0</v>
      </c>
      <c r="H38" s="13" t="n">
        <f aca="false">IF(H$9=1,SUMIFS(dr_USD,dr_Mes,2,dr_Cod,"DESEMB_P2",dr_Est,"&lt;&gt;Excluido"),IF(H$35=0,e_L2_Monto,0))</f>
        <v>0</v>
      </c>
      <c r="I38" s="13" t="n">
        <f aca="false">IF(I$9=1,SUMIFS(dr_USD,dr_Mes,3,dr_Cod,"DESEMB_P2",dr_Est,"&lt;&gt;Excluido"),IF(I$35=0,e_L2_Monto,0))</f>
        <v>0</v>
      </c>
      <c r="J38" s="13" t="n">
        <f aca="false">IF(J$9=1,SUMIFS(dr_USD,dr_Mes,4,dr_Cod,"DESEMB_P2",dr_Est,"&lt;&gt;Excluido"),IF(J$35=0,e_L2_Monto,0))</f>
        <v>0</v>
      </c>
      <c r="K38" s="13" t="n">
        <f aca="false">IF(K$9=1,SUMIFS(dr_USD,dr_Mes,5,dr_Cod,"DESEMB_P2",dr_Est,"&lt;&gt;Excluido"),IF(K$35=0,e_L2_Monto,0))</f>
        <v>0</v>
      </c>
      <c r="L38" s="13" t="n">
        <f aca="false">IF(L$9=1,SUMIFS(dr_USD,dr_Mes,6,dr_Cod,"DESEMB_P2",dr_Est,"&lt;&gt;Excluido"),IF(L$35=0,e_L2_Monto,0))</f>
        <v>0</v>
      </c>
      <c r="M38" s="13" t="n">
        <f aca="false">IF(M$9=1,SUMIFS(dr_USD,dr_Mes,7,dr_Cod,"DESEMB_P2",dr_Est,"&lt;&gt;Excluido"),IF(M$35=0,e_L2_Monto,0))</f>
        <v>0</v>
      </c>
      <c r="N38" s="13" t="n">
        <f aca="false">IF(N$9=1,SUMIFS(dr_USD,dr_Mes,8,dr_Cod,"DESEMB_P2",dr_Est,"&lt;&gt;Excluido"),IF(N$35=0,e_L2_Monto,0))</f>
        <v>0</v>
      </c>
      <c r="O38" s="13" t="n">
        <f aca="false">IF(O$9=1,SUMIFS(dr_USD,dr_Mes,9,dr_Cod,"DESEMB_P2",dr_Est,"&lt;&gt;Excluido"),IF(O$35=0,e_L2_Monto,0))</f>
        <v>0</v>
      </c>
      <c r="P38" s="13" t="n">
        <f aca="false">IF(P$9=1,SUMIFS(dr_USD,dr_Mes,10,dr_Cod,"DESEMB_P2",dr_Est,"&lt;&gt;Excluido"),IF(P$35=0,e_L2_Monto,0))</f>
        <v>0</v>
      </c>
      <c r="Q38" s="13" t="n">
        <f aca="false">IF(Q$9=1,SUMIFS(dr_USD,dr_Mes,11,dr_Cod,"DESEMB_P2",dr_Est,"&lt;&gt;Excluido"),IF(Q$35=0,e_L2_Monto,0))</f>
        <v>0</v>
      </c>
      <c r="R38" s="13" t="n">
        <f aca="false">IF(R$9=1,SUMIFS(dr_USD,dr_Mes,12,dr_Cod,"DESEMB_P2",dr_Est,"&lt;&gt;Excluido"),IF(R$35=0,e_L2_Monto,0))</f>
        <v>0</v>
      </c>
      <c r="S38" s="13" t="n">
        <f aca="false">IF(S$9=1,SUMIFS(dr_USD,dr_Mes,13,dr_Cod,"DESEMB_P2",dr_Est,"&lt;&gt;Excluido"),IF(S$35=0,e_L2_Monto,0))</f>
        <v>0</v>
      </c>
      <c r="T38" s="13" t="n">
        <f aca="false">IF(T$9=1,SUMIFS(dr_USD,dr_Mes,14,dr_Cod,"DESEMB_P2",dr_Est,"&lt;&gt;Excluido"),IF(T$35=0,e_L2_Monto,0))</f>
        <v>0</v>
      </c>
      <c r="U38" s="13" t="n">
        <f aca="false">IF(U$9=1,SUMIFS(dr_USD,dr_Mes,15,dr_Cod,"DESEMB_P2",dr_Est,"&lt;&gt;Excluido"),IF(U$35=0,e_L2_Monto,0))</f>
        <v>0</v>
      </c>
      <c r="V38" s="13" t="n">
        <f aca="false">IF(V$9=1,SUMIFS(dr_USD,dr_Mes,16,dr_Cod,"DESEMB_P2",dr_Est,"&lt;&gt;Excluido"),IF(V$35=0,e_L2_Monto,0))</f>
        <v>0</v>
      </c>
      <c r="W38" s="13" t="n">
        <f aca="false">IF(W$9=1,SUMIFS(dr_USD,dr_Mes,17,dr_Cod,"DESEMB_P2",dr_Est,"&lt;&gt;Excluido"),IF(W$35=0,e_L2_Monto,0))</f>
        <v>0</v>
      </c>
      <c r="X38" s="13" t="n">
        <f aca="false">IF(X$9=1,SUMIFS(dr_USD,dr_Mes,18,dr_Cod,"DESEMB_P2",dr_Est,"&lt;&gt;Excluido"),IF(X$35=0,e_L2_Monto,0))</f>
        <v>0</v>
      </c>
      <c r="Y38" s="13" t="n">
        <f aca="false">IF(Y$9=1,SUMIFS(dr_USD,dr_Mes,19,dr_Cod,"DESEMB_P2",dr_Est,"&lt;&gt;Excluido"),IF(Y$35=0,e_L2_Monto,0))</f>
        <v>0</v>
      </c>
      <c r="Z38" s="13" t="n">
        <f aca="false">IF(Z$9=1,SUMIFS(dr_USD,dr_Mes,20,dr_Cod,"DESEMB_P2",dr_Est,"&lt;&gt;Excluido"),IF(Z$35=0,e_L2_Monto,0))</f>
        <v>0</v>
      </c>
      <c r="AA38" s="13" t="n">
        <f aca="false">IF(AA$9=1,SUMIFS(dr_USD,dr_Mes,21,dr_Cod,"DESEMB_P2",dr_Est,"&lt;&gt;Excluido"),IF(AA$35=0,e_L2_Monto,0))</f>
        <v>0</v>
      </c>
      <c r="AB38" s="13" t="n">
        <f aca="false">IF(AB$9=1,SUMIFS(dr_USD,dr_Mes,22,dr_Cod,"DESEMB_P2",dr_Est,"&lt;&gt;Excluido"),IF(AB$35=0,e_L2_Monto,0))</f>
        <v>0</v>
      </c>
      <c r="AC38" s="13" t="n">
        <f aca="false">IF(AC$9=1,SUMIFS(dr_USD,dr_Mes,23,dr_Cod,"DESEMB_P2",dr_Est,"&lt;&gt;Excluido"),IF(AC$35=0,e_L2_Monto,0))</f>
        <v>0</v>
      </c>
      <c r="AD38" s="13" t="n">
        <f aca="false">IF(AD$9=1,SUMIFS(dr_USD,dr_Mes,24,dr_Cod,"DESEMB_P2",dr_Est,"&lt;&gt;Excluido"),IF(AD$35=0,e_L2_Monto,0))</f>
        <v>0</v>
      </c>
      <c r="AE38" s="13" t="n">
        <f aca="false">IF(AE$9=1,SUMIFS(dr_USD,dr_Mes,25,dr_Cod,"DESEMB_P2",dr_Est,"&lt;&gt;Excluido"),IF(AE$35=0,e_L2_Monto,0))</f>
        <v>0</v>
      </c>
      <c r="AF38" s="13" t="n">
        <f aca="false">IF(AF$9=1,SUMIFS(dr_USD,dr_Mes,26,dr_Cod,"DESEMB_P2",dr_Est,"&lt;&gt;Excluido"),IF(AF$35=0,e_L2_Monto,0))</f>
        <v>0</v>
      </c>
      <c r="AG38" s="13" t="n">
        <f aca="false">IF(AG$9=1,SUMIFS(dr_USD,dr_Mes,27,dr_Cod,"DESEMB_P2",dr_Est,"&lt;&gt;Excluido"),IF(AG$35=0,e_L2_Monto,0))</f>
        <v>0</v>
      </c>
      <c r="AH38" s="13" t="n">
        <f aca="false">IF(AH$9=1,SUMIFS(dr_USD,dr_Mes,28,dr_Cod,"DESEMB_P2",dr_Est,"&lt;&gt;Excluido"),IF(AH$35=0,e_L2_Monto,0))</f>
        <v>0</v>
      </c>
      <c r="AI38" s="13" t="n">
        <f aca="false">IF(AI$9=1,SUMIFS(dr_USD,dr_Mes,29,dr_Cod,"DESEMB_P2",dr_Est,"&lt;&gt;Excluido"),IF(AI$35=0,e_L2_Monto,0))</f>
        <v>0</v>
      </c>
      <c r="AJ38" s="13" t="n">
        <f aca="false">IF(AJ$9=1,SUMIFS(dr_USD,dr_Mes,30,dr_Cod,"DESEMB_P2",dr_Est,"&lt;&gt;Excluido"),IF(AJ$35=0,e_L2_Monto,0))</f>
        <v>0</v>
      </c>
      <c r="AK38" s="13" t="n">
        <f aca="false">IF(AK$9=1,SUMIFS(dr_USD,dr_Mes,31,dr_Cod,"DESEMB_P2",dr_Est,"&lt;&gt;Excluido"),IF(AK$35=0,e_L2_Monto,0))</f>
        <v>0</v>
      </c>
      <c r="AL38" s="13" t="n">
        <f aca="false">IF(AL$9=1,SUMIFS(dr_USD,dr_Mes,32,dr_Cod,"DESEMB_P2",dr_Est,"&lt;&gt;Excluido"),IF(AL$35=0,e_L2_Monto,0))</f>
        <v>0</v>
      </c>
      <c r="AM38" s="13" t="n">
        <f aca="false">IF(AM$9=1,SUMIFS(dr_USD,dr_Mes,33,dr_Cod,"DESEMB_P2",dr_Est,"&lt;&gt;Excluido"),IF(AM$35=0,e_L2_Monto,0))</f>
        <v>0</v>
      </c>
      <c r="AN38" s="13" t="n">
        <f aca="false">IF(AN$9=1,SUMIFS(dr_USD,dr_Mes,34,dr_Cod,"DESEMB_P2",dr_Est,"&lt;&gt;Excluido"),IF(AN$35=0,e_L2_Monto,0))</f>
        <v>0</v>
      </c>
      <c r="AO38" s="13" t="n">
        <f aca="false">IF(AO$9=1,SUMIFS(dr_USD,dr_Mes,35,dr_Cod,"DESEMB_P2",dr_Est,"&lt;&gt;Excluido"),IF(AO$35=0,e_L2_Monto,0))</f>
        <v>0</v>
      </c>
      <c r="AP38" s="13" t="n">
        <f aca="false">IF(AP$9=1,SUMIFS(dr_USD,dr_Mes,36,dr_Cod,"DESEMB_P2",dr_Est,"&lt;&gt;Excluido"),IF(AP$35=0,e_L2_Monto,0))</f>
        <v>0</v>
      </c>
      <c r="AQ38" s="13" t="n">
        <f aca="false">IF(AQ$9=1,SUMIFS(dr_USD,dr_Mes,37,dr_Cod,"DESEMB_P2",dr_Est,"&lt;&gt;Excluido"),IF(AQ$35=0,e_L2_Monto,0))</f>
        <v>0</v>
      </c>
      <c r="AR38" s="13" t="n">
        <f aca="false">IF(AR$9=1,SUMIFS(dr_USD,dr_Mes,38,dr_Cod,"DESEMB_P2",dr_Est,"&lt;&gt;Excluido"),IF(AR$35=0,e_L2_Monto,0))</f>
        <v>0</v>
      </c>
      <c r="AS38" s="13" t="n">
        <f aca="false">IF(AS$9=1,SUMIFS(dr_USD,dr_Mes,39,dr_Cod,"DESEMB_P2",dr_Est,"&lt;&gt;Excluido"),IF(AS$35=0,e_L2_Monto,0))</f>
        <v>0</v>
      </c>
      <c r="AT38" s="13" t="n">
        <f aca="false">IF(AT$9=1,SUMIFS(dr_USD,dr_Mes,40,dr_Cod,"DESEMB_P2",dr_Est,"&lt;&gt;Excluido"),IF(AT$35=0,e_L2_Monto,0))</f>
        <v>0</v>
      </c>
      <c r="AU38" s="13" t="n">
        <f aca="false">IF(AU$9=1,SUMIFS(dr_USD,dr_Mes,41,dr_Cod,"DESEMB_P2",dr_Est,"&lt;&gt;Excluido"),IF(AU$35=0,e_L2_Monto,0))</f>
        <v>0</v>
      </c>
      <c r="AV38" s="13" t="n">
        <f aca="false">IF(AV$9=1,SUMIFS(dr_USD,dr_Mes,42,dr_Cod,"DESEMB_P2",dr_Est,"&lt;&gt;Excluido"),IF(AV$35=0,e_L2_Monto,0))</f>
        <v>0</v>
      </c>
      <c r="AW38" s="13" t="n">
        <f aca="false">IF(AW$9=1,SUMIFS(dr_USD,dr_Mes,43,dr_Cod,"DESEMB_P2",dr_Est,"&lt;&gt;Excluido"),IF(AW$35=0,e_L2_Monto,0))</f>
        <v>0</v>
      </c>
      <c r="AX38" s="13" t="n">
        <f aca="false">IF(AX$9=1,SUMIFS(dr_USD,dr_Mes,44,dr_Cod,"DESEMB_P2",dr_Est,"&lt;&gt;Excluido"),IF(AX$35=0,e_L2_Monto,0))</f>
        <v>0</v>
      </c>
      <c r="AY38" s="13" t="n">
        <f aca="false">IF(AY$9=1,SUMIFS(dr_USD,dr_Mes,45,dr_Cod,"DESEMB_P2",dr_Est,"&lt;&gt;Excluido"),IF(AY$35=0,e_L2_Monto,0))</f>
        <v>0</v>
      </c>
      <c r="AZ38" s="13" t="n">
        <f aca="false">IF(AZ$9=1,SUMIFS(dr_USD,dr_Mes,46,dr_Cod,"DESEMB_P2",dr_Est,"&lt;&gt;Excluido"),IF(AZ$35=0,e_L2_Monto,0))</f>
        <v>0</v>
      </c>
      <c r="BA38" s="13" t="n">
        <f aca="false">IF(BA$9=1,SUMIFS(dr_USD,dr_Mes,47,dr_Cod,"DESEMB_P2",dr_Est,"&lt;&gt;Excluido"),IF(BA$35=0,e_L2_Monto,0))</f>
        <v>0</v>
      </c>
      <c r="BB38" s="13" t="n">
        <f aca="false">IF(BB$9=1,SUMIFS(dr_USD,dr_Mes,48,dr_Cod,"DESEMB_P2",dr_Est,"&lt;&gt;Excluido"),IF(BB$35=0,e_L2_Monto,0))</f>
        <v>0</v>
      </c>
      <c r="BC38" s="13" t="n">
        <f aca="false">IF(BC$9=1,SUMIFS(dr_USD,dr_Mes,49,dr_Cod,"DESEMB_P2",dr_Est,"&lt;&gt;Excluido"),IF(BC$35=0,e_L2_Monto,0))</f>
        <v>0</v>
      </c>
      <c r="BD38" s="13" t="n">
        <f aca="false">IF(BD$9=1,SUMIFS(dr_USD,dr_Mes,50,dr_Cod,"DESEMB_P2",dr_Est,"&lt;&gt;Excluido"),IF(BD$35=0,e_L2_Monto,0))</f>
        <v>0</v>
      </c>
      <c r="BE38" s="13" t="n">
        <f aca="false">IF(BE$9=1,SUMIFS(dr_USD,dr_Mes,51,dr_Cod,"DESEMB_P2",dr_Est,"&lt;&gt;Excluido"),IF(BE$35=0,e_L2_Monto,0))</f>
        <v>0</v>
      </c>
      <c r="BF38" s="13" t="n">
        <f aca="false">IF(BF$9=1,SUMIFS(dr_USD,dr_Mes,52,dr_Cod,"DESEMB_P2",dr_Est,"&lt;&gt;Excluido"),IF(BF$35=0,e_L2_Monto,0))</f>
        <v>0</v>
      </c>
      <c r="BG38" s="13" t="n">
        <f aca="false">IF(BG$9=1,SUMIFS(dr_USD,dr_Mes,53,dr_Cod,"DESEMB_P2",dr_Est,"&lt;&gt;Excluido"),IF(BG$35=0,e_L2_Monto,0))</f>
        <v>0</v>
      </c>
      <c r="BH38" s="13" t="n">
        <f aca="false">IF(BH$9=1,SUMIFS(dr_USD,dr_Mes,54,dr_Cod,"DESEMB_P2",dr_Est,"&lt;&gt;Excluido"),IF(BH$35=0,e_L2_Monto,0))</f>
        <v>0</v>
      </c>
      <c r="BI38" s="13" t="n">
        <f aca="false">IF(BI$9=1,SUMIFS(dr_USD,dr_Mes,55,dr_Cod,"DESEMB_P2",dr_Est,"&lt;&gt;Excluido"),IF(BI$35=0,e_L2_Monto,0))</f>
        <v>0</v>
      </c>
      <c r="BJ38" s="13" t="n">
        <f aca="false">IF(BJ$9=1,SUMIFS(dr_USD,dr_Mes,56,dr_Cod,"DESEMB_P2",dr_Est,"&lt;&gt;Excluido"),IF(BJ$35=0,e_L2_Monto,0))</f>
        <v>0</v>
      </c>
      <c r="BK38" s="13" t="n">
        <f aca="false">IF(BK$9=1,SUMIFS(dr_USD,dr_Mes,57,dr_Cod,"DESEMB_P2",dr_Est,"&lt;&gt;Excluido"),IF(BK$35=0,e_L2_Monto,0))</f>
        <v>0</v>
      </c>
      <c r="BL38" s="13" t="n">
        <f aca="false">IF(BL$9=1,SUMIFS(dr_USD,dr_Mes,58,dr_Cod,"DESEMB_P2",dr_Est,"&lt;&gt;Excluido"),IF(BL$35=0,e_L2_Monto,0))</f>
        <v>0</v>
      </c>
      <c r="BM38" s="13" t="n">
        <f aca="false">IF(BM$9=1,SUMIFS(dr_USD,dr_Mes,59,dr_Cod,"DESEMB_P2",dr_Est,"&lt;&gt;Excluido"),IF(BM$35=0,e_L2_Monto,0))</f>
        <v>0</v>
      </c>
      <c r="BN38" s="13" t="n">
        <f aca="false">IF(BN$9=1,SUMIFS(dr_USD,dr_Mes,60,dr_Cod,"DESEMB_P2",dr_Est,"&lt;&gt;Excluido"),IF(BN$35=0,e_L2_Monto,0))</f>
        <v>0</v>
      </c>
      <c r="BO38" s="13" t="n">
        <f aca="false">IF(BO$9=1,SUMIFS(dr_USD,dr_Mes,61,dr_Cod,"DESEMB_P2",dr_Est,"&lt;&gt;Excluido"),IF(BO$35=0,e_L2_Monto,0))</f>
        <v>0</v>
      </c>
      <c r="BP38" s="13" t="n">
        <f aca="false">IF(BP$9=1,SUMIFS(dr_USD,dr_Mes,62,dr_Cod,"DESEMB_P2",dr_Est,"&lt;&gt;Excluido"),IF(BP$35=0,e_L2_Monto,0))</f>
        <v>0</v>
      </c>
      <c r="BQ38" s="13" t="n">
        <f aca="false">IF(BQ$9=1,SUMIFS(dr_USD,dr_Mes,63,dr_Cod,"DESEMB_P2",dr_Est,"&lt;&gt;Excluido"),IF(BQ$35=0,e_L2_Monto,0))</f>
        <v>0</v>
      </c>
      <c r="BR38" s="13" t="n">
        <f aca="false">IF(BR$9=1,SUMIFS(dr_USD,dr_Mes,64,dr_Cod,"DESEMB_P2",dr_Est,"&lt;&gt;Excluido"),IF(BR$35=0,e_L2_Monto,0))</f>
        <v>0</v>
      </c>
      <c r="BS38" s="13" t="n">
        <f aca="false">IF(BS$9=1,SUMIFS(dr_USD,dr_Mes,65,dr_Cod,"DESEMB_P2",dr_Est,"&lt;&gt;Excluido"),IF(BS$35=0,e_L2_Monto,0))</f>
        <v>0</v>
      </c>
      <c r="BT38" s="13" t="n">
        <f aca="false">IF(BT$9=1,SUMIFS(dr_USD,dr_Mes,66,dr_Cod,"DESEMB_P2",dr_Est,"&lt;&gt;Excluido"),IF(BT$35=0,e_L2_Monto,0))</f>
        <v>0</v>
      </c>
      <c r="BU38" s="13" t="n">
        <f aca="false">IF(BU$9=1,SUMIFS(dr_USD,dr_Mes,67,dr_Cod,"DESEMB_P2",dr_Est,"&lt;&gt;Excluido"),IF(BU$35=0,e_L2_Monto,0))</f>
        <v>0</v>
      </c>
      <c r="BV38" s="13" t="n">
        <f aca="false">IF(BV$9=1,SUMIFS(dr_USD,dr_Mes,68,dr_Cod,"DESEMB_P2",dr_Est,"&lt;&gt;Excluido"),IF(BV$35=0,e_L2_Monto,0))</f>
        <v>0</v>
      </c>
      <c r="BW38" s="13" t="n">
        <f aca="false">IF(BW$9=1,SUMIFS(dr_USD,dr_Mes,69,dr_Cod,"DESEMB_P2",dr_Est,"&lt;&gt;Excluido"),IF(BW$35=0,e_L2_Monto,0))</f>
        <v>0</v>
      </c>
      <c r="BX38" s="13" t="n">
        <f aca="false">IF(BX$9=1,SUMIFS(dr_USD,dr_Mes,70,dr_Cod,"DESEMB_P2",dr_Est,"&lt;&gt;Excluido"),IF(BX$35=0,e_L2_Monto,0))</f>
        <v>0</v>
      </c>
      <c r="BY38" s="13" t="n">
        <f aca="false">IF(BY$9=1,SUMIFS(dr_USD,dr_Mes,71,dr_Cod,"DESEMB_P2",dr_Est,"&lt;&gt;Excluido"),IF(BY$35=0,e_L2_Monto,0))</f>
        <v>0</v>
      </c>
      <c r="BZ38" s="13" t="n">
        <f aca="false">IF(BZ$9=1,SUMIFS(dr_USD,dr_Mes,72,dr_Cod,"DESEMB_P2",dr_Est,"&lt;&gt;Excluido"),IF(BZ$35=0,e_L2_Monto,0))</f>
        <v>0</v>
      </c>
      <c r="CA38" s="13" t="n">
        <f aca="false">IF(CA$9=1,SUMIFS(dr_USD,dr_Mes,73,dr_Cod,"DESEMB_P2",dr_Est,"&lt;&gt;Excluido"),IF(CA$35=0,e_L2_Monto,0))</f>
        <v>0</v>
      </c>
      <c r="CB38" s="13" t="n">
        <f aca="false">IF(CB$9=1,SUMIFS(dr_USD,dr_Mes,74,dr_Cod,"DESEMB_P2",dr_Est,"&lt;&gt;Excluido"),IF(CB$35=0,e_L2_Monto,0))</f>
        <v>0</v>
      </c>
      <c r="CC38" s="13" t="n">
        <f aca="false">IF(CC$9=1,SUMIFS(dr_USD,dr_Mes,75,dr_Cod,"DESEMB_P2",dr_Est,"&lt;&gt;Excluido"),IF(CC$35=0,e_L2_Monto,0))</f>
        <v>0</v>
      </c>
      <c r="CD38" s="13" t="n">
        <f aca="false">IF(CD$9=1,SUMIFS(dr_USD,dr_Mes,76,dr_Cod,"DESEMB_P2",dr_Est,"&lt;&gt;Excluido"),IF(CD$35=0,e_L2_Monto,0))</f>
        <v>0</v>
      </c>
      <c r="CE38" s="13" t="n">
        <f aca="false">IF(CE$9=1,SUMIFS(dr_USD,dr_Mes,77,dr_Cod,"DESEMB_P2",dr_Est,"&lt;&gt;Excluido"),IF(CE$35=0,e_L2_Monto,0))</f>
        <v>0</v>
      </c>
      <c r="CF38" s="13" t="n">
        <f aca="false">IF(CF$9=1,SUMIFS(dr_USD,dr_Mes,78,dr_Cod,"DESEMB_P2",dr_Est,"&lt;&gt;Excluido"),IF(CF$35=0,e_L2_Monto,0))</f>
        <v>0</v>
      </c>
      <c r="CG38" s="13" t="n">
        <f aca="false">IF(CG$9=1,SUMIFS(dr_USD,dr_Mes,79,dr_Cod,"DESEMB_P2",dr_Est,"&lt;&gt;Excluido"),IF(CG$35=0,e_L2_Monto,0))</f>
        <v>0</v>
      </c>
      <c r="CH38" s="13" t="n">
        <f aca="false">IF(CH$9=1,SUMIFS(dr_USD,dr_Mes,80,dr_Cod,"DESEMB_P2",dr_Est,"&lt;&gt;Excluido"),IF(CH$35=0,e_L2_Monto,0))</f>
        <v>0</v>
      </c>
      <c r="CI38" s="13" t="n">
        <f aca="false">IF(CI$9=1,SUMIFS(dr_USD,dr_Mes,81,dr_Cod,"DESEMB_P2",dr_Est,"&lt;&gt;Excluido"),IF(CI$35=0,e_L2_Monto,0))</f>
        <v>0</v>
      </c>
      <c r="CJ38" s="13" t="n">
        <f aca="false">IF(CJ$9=1,SUMIFS(dr_USD,dr_Mes,82,dr_Cod,"DESEMB_P2",dr_Est,"&lt;&gt;Excluido"),IF(CJ$35=0,e_L2_Monto,0))</f>
        <v>0</v>
      </c>
      <c r="CK38" s="13" t="n">
        <f aca="false">IF(CK$9=1,SUMIFS(dr_USD,dr_Mes,83,dr_Cod,"DESEMB_P2",dr_Est,"&lt;&gt;Excluido"),IF(CK$35=0,e_L2_Monto,0))</f>
        <v>0</v>
      </c>
      <c r="CL38" s="13" t="n">
        <f aca="false">IF(CL$9=1,SUMIFS(dr_USD,dr_Mes,84,dr_Cod,"DESEMB_P2",dr_Est,"&lt;&gt;Excluido"),IF(CL$35=0,e_L2_Monto,0))</f>
        <v>0</v>
      </c>
      <c r="CM38" s="13" t="n">
        <f aca="false">IF(CM$9=1,SUMIFS(dr_USD,dr_Mes,85,dr_Cod,"DESEMB_P2",dr_Est,"&lt;&gt;Excluido"),IF(CM$35=0,e_L2_Monto,0))</f>
        <v>0</v>
      </c>
      <c r="CN38" s="13" t="n">
        <f aca="false">IF(CN$9=1,SUMIFS(dr_USD,dr_Mes,86,dr_Cod,"DESEMB_P2",dr_Est,"&lt;&gt;Excluido"),IF(CN$35=0,e_L2_Monto,0))</f>
        <v>0</v>
      </c>
      <c r="CO38" s="13" t="n">
        <f aca="false">IF(CO$9=1,SUMIFS(dr_USD,dr_Mes,87,dr_Cod,"DESEMB_P2",dr_Est,"&lt;&gt;Excluido"),IF(CO$35=0,e_L2_Monto,0))</f>
        <v>0</v>
      </c>
      <c r="CP38" s="13" t="n">
        <f aca="false">IF(CP$9=1,SUMIFS(dr_USD,dr_Mes,88,dr_Cod,"DESEMB_P2",dr_Est,"&lt;&gt;Excluido"),IF(CP$35=0,e_L2_Monto,0))</f>
        <v>0</v>
      </c>
      <c r="CQ38" s="13" t="n">
        <f aca="false">IF(CQ$9=1,SUMIFS(dr_USD,dr_Mes,89,dr_Cod,"DESEMB_P2",dr_Est,"&lt;&gt;Excluido"),IF(CQ$35=0,e_L2_Monto,0))</f>
        <v>0</v>
      </c>
      <c r="CR38" s="13" t="n">
        <f aca="false">IF(CR$9=1,SUMIFS(dr_USD,dr_Mes,90,dr_Cod,"DESEMB_P2",dr_Est,"&lt;&gt;Excluido"),IF(CR$35=0,e_L2_Monto,0))</f>
        <v>0</v>
      </c>
      <c r="CS38" s="13" t="n">
        <f aca="false">IF(CS$9=1,SUMIFS(dr_USD,dr_Mes,91,dr_Cod,"DESEMB_P2",dr_Est,"&lt;&gt;Excluido"),IF(CS$35=0,e_L2_Monto,0))</f>
        <v>0</v>
      </c>
      <c r="CT38" s="13" t="n">
        <f aca="false">IF(CT$9=1,SUMIFS(dr_USD,dr_Mes,92,dr_Cod,"DESEMB_P2",dr_Est,"&lt;&gt;Excluido"),IF(CT$35=0,e_L2_Monto,0))</f>
        <v>0</v>
      </c>
      <c r="CU38" s="13" t="n">
        <f aca="false">IF(CU$9=1,SUMIFS(dr_USD,dr_Mes,93,dr_Cod,"DESEMB_P2",dr_Est,"&lt;&gt;Excluido"),IF(CU$35=0,e_L2_Monto,0))</f>
        <v>0</v>
      </c>
      <c r="CV38" s="13" t="n">
        <f aca="false">IF(CV$9=1,SUMIFS(dr_USD,dr_Mes,94,dr_Cod,"DESEMB_P2",dr_Est,"&lt;&gt;Excluido"),IF(CV$35=0,e_L2_Monto,0))</f>
        <v>0</v>
      </c>
      <c r="CW38" s="13" t="n">
        <f aca="false">IF(CW$9=1,SUMIFS(dr_USD,dr_Mes,95,dr_Cod,"DESEMB_P2",dr_Est,"&lt;&gt;Excluido"),IF(CW$35=0,e_L2_Monto,0))</f>
        <v>0</v>
      </c>
      <c r="CX38" s="13" t="n">
        <f aca="false">IF(CX$9=1,SUMIFS(dr_USD,dr_Mes,96,dr_Cod,"DESEMB_P2",dr_Est,"&lt;&gt;Excluido"),IF(CX$35=0,e_L2_Monto,0))</f>
        <v>0</v>
      </c>
      <c r="CY38" s="13" t="n">
        <f aca="false">IF(CY$9=1,SUMIFS(dr_USD,dr_Mes,97,dr_Cod,"DESEMB_P2",dr_Est,"&lt;&gt;Excluido"),IF(CY$35=0,e_L2_Monto,0))</f>
        <v>0</v>
      </c>
      <c r="CZ38" s="13" t="n">
        <f aca="false">IF(CZ$9=1,SUMIFS(dr_USD,dr_Mes,98,dr_Cod,"DESEMB_P2",dr_Est,"&lt;&gt;Excluido"),IF(CZ$35=0,e_L2_Monto,0))</f>
        <v>0</v>
      </c>
      <c r="DA38" s="13" t="n">
        <f aca="false">IF(DA$9=1,SUMIFS(dr_USD,dr_Mes,99,dr_Cod,"DESEMB_P2",dr_Est,"&lt;&gt;Excluido"),IF(DA$35=0,e_L2_Monto,0))</f>
        <v>0</v>
      </c>
      <c r="DB38" s="13" t="n">
        <f aca="false">IF(DB$9=1,SUMIFS(dr_USD,dr_Mes,100,dr_Cod,"DESEMB_P2",dr_Est,"&lt;&gt;Excluido"),IF(DB$35=0,e_L2_Monto,0))</f>
        <v>0</v>
      </c>
      <c r="DC38" s="13" t="n">
        <f aca="false">IF(DC$9=1,SUMIFS(dr_USD,dr_Mes,101,dr_Cod,"DESEMB_P2",dr_Est,"&lt;&gt;Excluido"),IF(DC$35=0,e_L2_Monto,0))</f>
        <v>0</v>
      </c>
      <c r="DD38" s="13" t="n">
        <f aca="false">IF(DD$9=1,SUMIFS(dr_USD,dr_Mes,102,dr_Cod,"DESEMB_P2",dr_Est,"&lt;&gt;Excluido"),IF(DD$35=0,e_L2_Monto,0))</f>
        <v>0</v>
      </c>
      <c r="DE38" s="13" t="n">
        <f aca="false">IF(DE$9=1,SUMIFS(dr_USD,dr_Mes,103,dr_Cod,"DESEMB_P2",dr_Est,"&lt;&gt;Excluido"),IF(DE$35=0,e_L2_Monto,0))</f>
        <v>0</v>
      </c>
      <c r="DF38" s="13" t="n">
        <f aca="false">IF(DF$9=1,SUMIFS(dr_USD,dr_Mes,104,dr_Cod,"DESEMB_P2",dr_Est,"&lt;&gt;Excluido"),IF(DF$35=0,e_L2_Monto,0))</f>
        <v>0</v>
      </c>
      <c r="DG38" s="13" t="n">
        <f aca="false">IF(DG$9=1,SUMIFS(dr_USD,dr_Mes,105,dr_Cod,"DESEMB_P2",dr_Est,"&lt;&gt;Excluido"),IF(DG$35=0,e_L2_Monto,0))</f>
        <v>0</v>
      </c>
      <c r="DH38" s="13" t="n">
        <f aca="false">IF(DH$9=1,SUMIFS(dr_USD,dr_Mes,106,dr_Cod,"DESEMB_P2",dr_Est,"&lt;&gt;Excluido"),IF(DH$35=0,e_L2_Monto,0))</f>
        <v>0</v>
      </c>
      <c r="DI38" s="13" t="n">
        <f aca="false">IF(DI$9=1,SUMIFS(dr_USD,dr_Mes,107,dr_Cod,"DESEMB_P2",dr_Est,"&lt;&gt;Excluido"),IF(DI$35=0,e_L2_Monto,0))</f>
        <v>0</v>
      </c>
      <c r="DJ38" s="13" t="n">
        <f aca="false">IF(DJ$9=1,SUMIFS(dr_USD,dr_Mes,108,dr_Cod,"DESEMB_P2",dr_Est,"&lt;&gt;Excluido"),IF(DJ$35=0,e_L2_Monto,0))</f>
        <v>0</v>
      </c>
      <c r="DK38" s="13" t="n">
        <f aca="false">IF(DK$9=1,SUMIFS(dr_USD,dr_Mes,109,dr_Cod,"DESEMB_P2",dr_Est,"&lt;&gt;Excluido"),IF(DK$35=0,e_L2_Monto,0))</f>
        <v>0</v>
      </c>
      <c r="DL38" s="13" t="n">
        <f aca="false">IF(DL$9=1,SUMIFS(dr_USD,dr_Mes,110,dr_Cod,"DESEMB_P2",dr_Est,"&lt;&gt;Excluido"),IF(DL$35=0,e_L2_Monto,0))</f>
        <v>0</v>
      </c>
      <c r="DM38" s="13" t="n">
        <f aca="false">IF(DM$9=1,SUMIFS(dr_USD,dr_Mes,111,dr_Cod,"DESEMB_P2",dr_Est,"&lt;&gt;Excluido"),IF(DM$35=0,e_L2_Monto,0))</f>
        <v>0</v>
      </c>
      <c r="DN38" s="13" t="n">
        <f aca="false">IF(DN$9=1,SUMIFS(dr_USD,dr_Mes,112,dr_Cod,"DESEMB_P2",dr_Est,"&lt;&gt;Excluido"),IF(DN$35=0,e_L2_Monto,0))</f>
        <v>0</v>
      </c>
      <c r="DO38" s="13" t="n">
        <f aca="false">IF(DO$9=1,SUMIFS(dr_USD,dr_Mes,113,dr_Cod,"DESEMB_P2",dr_Est,"&lt;&gt;Excluido"),IF(DO$35=0,e_L2_Monto,0))</f>
        <v>0</v>
      </c>
      <c r="DP38" s="13" t="n">
        <f aca="false">IF(DP$9=1,SUMIFS(dr_USD,dr_Mes,114,dr_Cod,"DESEMB_P2",dr_Est,"&lt;&gt;Excluido"),IF(DP$35=0,e_L2_Monto,0))</f>
        <v>0</v>
      </c>
      <c r="DQ38" s="13" t="n">
        <f aca="false">IF(DQ$9=1,SUMIFS(dr_USD,dr_Mes,115,dr_Cod,"DESEMB_P2",dr_Est,"&lt;&gt;Excluido"),IF(DQ$35=0,e_L2_Monto,0))</f>
        <v>0</v>
      </c>
      <c r="DR38" s="13" t="n">
        <f aca="false">IF(DR$9=1,SUMIFS(dr_USD,dr_Mes,116,dr_Cod,"DESEMB_P2",dr_Est,"&lt;&gt;Excluido"),IF(DR$35=0,e_L2_Monto,0))</f>
        <v>0</v>
      </c>
      <c r="DS38" s="13" t="n">
        <f aca="false">IF(DS$9=1,SUMIFS(dr_USD,dr_Mes,117,dr_Cod,"DESEMB_P2",dr_Est,"&lt;&gt;Excluido"),IF(DS$35=0,e_L2_Monto,0))</f>
        <v>0</v>
      </c>
      <c r="DT38" s="13" t="n">
        <f aca="false">IF(DT$9=1,SUMIFS(dr_USD,dr_Mes,118,dr_Cod,"DESEMB_P2",dr_Est,"&lt;&gt;Excluido"),IF(DT$35=0,e_L2_Monto,0))</f>
        <v>0</v>
      </c>
      <c r="DU38" s="13" t="n">
        <f aca="false">IF(DU$9=1,SUMIFS(dr_USD,dr_Mes,119,dr_Cod,"DESEMB_P2",dr_Est,"&lt;&gt;Excluido"),IF(DU$35=0,e_L2_Monto,0))</f>
        <v>0</v>
      </c>
      <c r="DV38" s="13" t="n">
        <f aca="false">IF(DV$9=1,SUMIFS(dr_USD,dr_Mes,120,dr_Cod,"DESEMB_P2",dr_Est,"&lt;&gt;Excluido"),IF(DV$35=0,e_L2_Monto,0))</f>
        <v>0</v>
      </c>
      <c r="DW38" s="13" t="n">
        <f aca="false">IF(DW$9=1,SUMIFS(dr_USD,dr_Mes,121,dr_Cod,"DESEMB_P2",dr_Est,"&lt;&gt;Excluido"),IF(DW$35=0,e_L2_Monto,0))</f>
        <v>0</v>
      </c>
      <c r="DX38" s="13" t="n">
        <f aca="false">IF(DX$9=1,SUMIFS(dr_USD,dr_Mes,122,dr_Cod,"DESEMB_P2",dr_Est,"&lt;&gt;Excluido"),IF(DX$35=0,e_L2_Monto,0))</f>
        <v>0</v>
      </c>
      <c r="DY38" s="13" t="n">
        <f aca="false">IF(DY$9=1,SUMIFS(dr_USD,dr_Mes,123,dr_Cod,"DESEMB_P2",dr_Est,"&lt;&gt;Excluido"),IF(DY$35=0,e_L2_Monto,0))</f>
        <v>0</v>
      </c>
      <c r="DZ38" s="13" t="n">
        <f aca="false">IF(DZ$9=1,SUMIFS(dr_USD,dr_Mes,124,dr_Cod,"DESEMB_P2",dr_Est,"&lt;&gt;Excluido"),IF(DZ$35=0,e_L2_Monto,0))</f>
        <v>0</v>
      </c>
      <c r="EA38" s="13" t="n">
        <f aca="false">IF(EA$9=1,SUMIFS(dr_USD,dr_Mes,125,dr_Cod,"DESEMB_P2",dr_Est,"&lt;&gt;Excluido"),IF(EA$35=0,e_L2_Monto,0))</f>
        <v>0</v>
      </c>
      <c r="EB38" s="13" t="n">
        <f aca="false">IF(EB$9=1,SUMIFS(dr_USD,dr_Mes,126,dr_Cod,"DESEMB_P2",dr_Est,"&lt;&gt;Excluido"),IF(EB$35=0,e_L2_Monto,0))</f>
        <v>0</v>
      </c>
      <c r="EC38" s="13" t="n">
        <f aca="false">IF(EC$9=1,SUMIFS(dr_USD,dr_Mes,127,dr_Cod,"DESEMB_P2",dr_Est,"&lt;&gt;Excluido"),IF(EC$35=0,e_L2_Monto,0))</f>
        <v>0</v>
      </c>
      <c r="ED38" s="13" t="n">
        <f aca="false">IF(ED$9=1,SUMIFS(dr_USD,dr_Mes,128,dr_Cod,"DESEMB_P2",dr_Est,"&lt;&gt;Excluido"),IF(ED$35=0,e_L2_Monto,0))</f>
        <v>0</v>
      </c>
      <c r="EE38" s="13" t="n">
        <f aca="false">IF(EE$9=1,SUMIFS(dr_USD,dr_Mes,129,dr_Cod,"DESEMB_P2",dr_Est,"&lt;&gt;Excluido"),IF(EE$35=0,e_L2_Monto,0))</f>
        <v>0</v>
      </c>
      <c r="EF38" s="13" t="n">
        <f aca="false">IF(EF$9=1,SUMIFS(dr_USD,dr_Mes,130,dr_Cod,"DESEMB_P2",dr_Est,"&lt;&gt;Excluido"),IF(EF$35=0,e_L2_Monto,0))</f>
        <v>0</v>
      </c>
      <c r="EG38" s="13" t="n">
        <f aca="false">IF(EG$9=1,SUMIFS(dr_USD,dr_Mes,131,dr_Cod,"DESEMB_P2",dr_Est,"&lt;&gt;Excluido"),IF(EG$35=0,e_L2_Monto,0))</f>
        <v>0</v>
      </c>
      <c r="EH38" s="13" t="n">
        <f aca="false">IF(EH$9=1,SUMIFS(dr_USD,dr_Mes,132,dr_Cod,"DESEMB_P2",dr_Est,"&lt;&gt;Excluido"),IF(EH$35=0,e_L2_Monto,0))</f>
        <v>0</v>
      </c>
      <c r="EI38" s="13" t="n">
        <f aca="false">IF(EI$9=1,SUMIFS(dr_USD,dr_Mes,133,dr_Cod,"DESEMB_P2",dr_Est,"&lt;&gt;Excluido"),IF(EI$35=0,e_L2_Monto,0))</f>
        <v>0</v>
      </c>
      <c r="EJ38" s="13" t="n">
        <f aca="false">IF(EJ$9=1,SUMIFS(dr_USD,dr_Mes,134,dr_Cod,"DESEMB_P2",dr_Est,"&lt;&gt;Excluido"),IF(EJ$35=0,e_L2_Monto,0))</f>
        <v>0</v>
      </c>
      <c r="EK38" s="13" t="n">
        <f aca="false">IF(EK$9=1,SUMIFS(dr_USD,dr_Mes,135,dr_Cod,"DESEMB_P2",dr_Est,"&lt;&gt;Excluido"),IF(EK$35=0,e_L2_Monto,0))</f>
        <v>0</v>
      </c>
      <c r="EL38" s="13" t="n">
        <f aca="false">IF(EL$9=1,SUMIFS(dr_USD,dr_Mes,136,dr_Cod,"DESEMB_P2",dr_Est,"&lt;&gt;Excluido"),IF(EL$35=0,e_L2_Monto,0))</f>
        <v>0</v>
      </c>
      <c r="EM38" s="13" t="n">
        <f aca="false">IF(EM$9=1,SUMIFS(dr_USD,dr_Mes,137,dr_Cod,"DESEMB_P2",dr_Est,"&lt;&gt;Excluido"),IF(EM$35=0,e_L2_Monto,0))</f>
        <v>0</v>
      </c>
      <c r="EN38" s="13" t="n">
        <f aca="false">IF(EN$9=1,SUMIFS(dr_USD,dr_Mes,138,dr_Cod,"DESEMB_P2",dr_Est,"&lt;&gt;Excluido"),IF(EN$35=0,e_L2_Monto,0))</f>
        <v>0</v>
      </c>
      <c r="EO38" s="13" t="n">
        <f aca="false">IF(EO$9=1,SUMIFS(dr_USD,dr_Mes,139,dr_Cod,"DESEMB_P2",dr_Est,"&lt;&gt;Excluido"),IF(EO$35=0,e_L2_Monto,0))</f>
        <v>0</v>
      </c>
      <c r="EP38" s="13" t="n">
        <f aca="false">IF(EP$9=1,SUMIFS(dr_USD,dr_Mes,140,dr_Cod,"DESEMB_P2",dr_Est,"&lt;&gt;Excluido"),IF(EP$35=0,e_L2_Monto,0))</f>
        <v>0</v>
      </c>
      <c r="EQ38" s="13" t="n">
        <f aca="false">IF(EQ$9=1,SUMIFS(dr_USD,dr_Mes,141,dr_Cod,"DESEMB_P2",dr_Est,"&lt;&gt;Excluido"),IF(EQ$35=0,e_L2_Monto,0))</f>
        <v>0</v>
      </c>
      <c r="ER38" s="13" t="n">
        <f aca="false">IF(ER$9=1,SUMIFS(dr_USD,dr_Mes,142,dr_Cod,"DESEMB_P2",dr_Est,"&lt;&gt;Excluido"),IF(ER$35=0,e_L2_Monto,0))</f>
        <v>0</v>
      </c>
      <c r="ES38" s="13" t="n">
        <f aca="false">IF(ES$9=1,SUMIFS(dr_USD,dr_Mes,143,dr_Cod,"DESEMB_P2",dr_Est,"&lt;&gt;Excluido"),IF(ES$35=0,e_L2_Monto,0))</f>
        <v>0</v>
      </c>
      <c r="ET38" s="13" t="n">
        <f aca="false">IF(ET$9=1,SUMIFS(dr_USD,dr_Mes,144,dr_Cod,"DESEMB_P2",dr_Est,"&lt;&gt;Excluido"),IF(ET$35=0,e_L2_Monto,0))</f>
        <v>0</v>
      </c>
      <c r="EU38" s="13" t="n">
        <f aca="false">IF(EU$9=1,SUMIFS(dr_USD,dr_Mes,145,dr_Cod,"DESEMB_P2",dr_Est,"&lt;&gt;Excluido"),IF(EU$35=0,e_L2_Monto,0))</f>
        <v>0</v>
      </c>
      <c r="EV38" s="13" t="n">
        <f aca="false">IF(EV$9=1,SUMIFS(dr_USD,dr_Mes,146,dr_Cod,"DESEMB_P2",dr_Est,"&lt;&gt;Excluido"),IF(EV$35=0,e_L2_Monto,0))</f>
        <v>0</v>
      </c>
      <c r="EW38" s="13" t="n">
        <f aca="false">IF(EW$9=1,SUMIFS(dr_USD,dr_Mes,147,dr_Cod,"DESEMB_P2",dr_Est,"&lt;&gt;Excluido"),IF(EW$35=0,e_L2_Monto,0))</f>
        <v>0</v>
      </c>
      <c r="EX38" s="13" t="n">
        <f aca="false">IF(EX$9=1,SUMIFS(dr_USD,dr_Mes,148,dr_Cod,"DESEMB_P2",dr_Est,"&lt;&gt;Excluido"),IF(EX$35=0,e_L2_Monto,0))</f>
        <v>0</v>
      </c>
      <c r="EY38" s="13" t="n">
        <f aca="false">IF(EY$9=1,SUMIFS(dr_USD,dr_Mes,149,dr_Cod,"DESEMB_P2",dr_Est,"&lt;&gt;Excluido"),IF(EY$35=0,e_L2_Monto,0))</f>
        <v>0</v>
      </c>
      <c r="EZ38" s="13" t="n">
        <f aca="false">IF(EZ$9=1,SUMIFS(dr_USD,dr_Mes,150,dr_Cod,"DESEMB_P2",dr_Est,"&lt;&gt;Excluido"),IF(EZ$35=0,e_L2_Monto,0))</f>
        <v>0</v>
      </c>
      <c r="FA38" s="13" t="n">
        <f aca="false">IF(FA$9=1,SUMIFS(dr_USD,dr_Mes,151,dr_Cod,"DESEMB_P2",dr_Est,"&lt;&gt;Excluido"),IF(FA$35=0,e_L2_Monto,0))</f>
        <v>0</v>
      </c>
      <c r="FB38" s="13" t="n">
        <f aca="false">IF(FB$9=1,SUMIFS(dr_USD,dr_Mes,152,dr_Cod,"DESEMB_P2",dr_Est,"&lt;&gt;Excluido"),IF(FB$35=0,e_L2_Monto,0))</f>
        <v>0</v>
      </c>
      <c r="FC38" s="13" t="n">
        <f aca="false">IF(FC$9=1,SUMIFS(dr_USD,dr_Mes,153,dr_Cod,"DESEMB_P2",dr_Est,"&lt;&gt;Excluido"),IF(FC$35=0,e_L2_Monto,0))</f>
        <v>0</v>
      </c>
      <c r="FD38" s="13" t="n">
        <f aca="false">IF(FD$9=1,SUMIFS(dr_USD,dr_Mes,154,dr_Cod,"DESEMB_P2",dr_Est,"&lt;&gt;Excluido"),IF(FD$35=0,e_L2_Monto,0))</f>
        <v>0</v>
      </c>
      <c r="FE38" s="13" t="n">
        <f aca="false">IF(FE$9=1,SUMIFS(dr_USD,dr_Mes,155,dr_Cod,"DESEMB_P2",dr_Est,"&lt;&gt;Excluido"),IF(FE$35=0,e_L2_Monto,0))</f>
        <v>0</v>
      </c>
      <c r="FF38" s="13" t="n">
        <f aca="false">IF(FF$9=1,SUMIFS(dr_USD,dr_Mes,156,dr_Cod,"DESEMB_P2",dr_Est,"&lt;&gt;Excluido"),IF(FF$35=0,e_L2_Monto,0))</f>
        <v>0</v>
      </c>
    </row>
    <row r="39" customFormat="false" ht="15" hidden="false" customHeight="false" outlineLevel="0" collapsed="false">
      <c r="A39" s="2" t="s">
        <v>1428</v>
      </c>
      <c r="B39" s="8" t="s">
        <v>1407</v>
      </c>
      <c r="C39" s="8" t="s">
        <v>255</v>
      </c>
      <c r="F39" s="13" t="n">
        <f aca="false">0</f>
        <v>0</v>
      </c>
      <c r="G39" s="13" t="n">
        <f aca="false">F$45</f>
        <v>0</v>
      </c>
      <c r="H39" s="13" t="n">
        <f aca="false">G$45</f>
        <v>0</v>
      </c>
      <c r="I39" s="13" t="n">
        <f aca="false">H$45</f>
        <v>0</v>
      </c>
      <c r="J39" s="13" t="n">
        <f aca="false">I$45</f>
        <v>0</v>
      </c>
      <c r="K39" s="13" t="n">
        <f aca="false">J$45</f>
        <v>0</v>
      </c>
      <c r="L39" s="13" t="n">
        <f aca="false">K$45</f>
        <v>0</v>
      </c>
      <c r="M39" s="13" t="n">
        <f aca="false">L$45</f>
        <v>0</v>
      </c>
      <c r="N39" s="13" t="n">
        <f aca="false">M$45</f>
        <v>0</v>
      </c>
      <c r="O39" s="13" t="n">
        <f aca="false">N$45</f>
        <v>0</v>
      </c>
      <c r="P39" s="13" t="n">
        <f aca="false">O$45</f>
        <v>0</v>
      </c>
      <c r="Q39" s="13" t="n">
        <f aca="false">P$45</f>
        <v>0</v>
      </c>
      <c r="R39" s="13" t="n">
        <f aca="false">Q$45</f>
        <v>0</v>
      </c>
      <c r="S39" s="13" t="n">
        <f aca="false">R$45</f>
        <v>0</v>
      </c>
      <c r="T39" s="13" t="n">
        <f aca="false">S$45</f>
        <v>0</v>
      </c>
      <c r="U39" s="13" t="n">
        <f aca="false">T$45</f>
        <v>0</v>
      </c>
      <c r="V39" s="13" t="n">
        <f aca="false">U$45</f>
        <v>0</v>
      </c>
      <c r="W39" s="13" t="n">
        <f aca="false">V$45</f>
        <v>0</v>
      </c>
      <c r="X39" s="13" t="n">
        <f aca="false">W$45</f>
        <v>0</v>
      </c>
      <c r="Y39" s="13" t="n">
        <f aca="false">X$45</f>
        <v>0</v>
      </c>
      <c r="Z39" s="13" t="n">
        <f aca="false">Y$45</f>
        <v>0</v>
      </c>
      <c r="AA39" s="13" t="n">
        <f aca="false">Z$45</f>
        <v>0</v>
      </c>
      <c r="AB39" s="13" t="n">
        <f aca="false">AA$45</f>
        <v>0</v>
      </c>
      <c r="AC39" s="13" t="n">
        <f aca="false">AB$45</f>
        <v>0</v>
      </c>
      <c r="AD39" s="13" t="n">
        <f aca="false">AC$45</f>
        <v>0</v>
      </c>
      <c r="AE39" s="13" t="n">
        <f aca="false">AD$45</f>
        <v>0</v>
      </c>
      <c r="AF39" s="13" t="n">
        <f aca="false">AE$45</f>
        <v>0</v>
      </c>
      <c r="AG39" s="13" t="n">
        <f aca="false">AF$45</f>
        <v>0</v>
      </c>
      <c r="AH39" s="13" t="n">
        <f aca="false">AG$45</f>
        <v>0</v>
      </c>
      <c r="AI39" s="13" t="n">
        <f aca="false">AH$45</f>
        <v>0</v>
      </c>
      <c r="AJ39" s="13" t="n">
        <f aca="false">AI$45</f>
        <v>0</v>
      </c>
      <c r="AK39" s="13" t="n">
        <f aca="false">AJ$45</f>
        <v>0</v>
      </c>
      <c r="AL39" s="13" t="n">
        <f aca="false">AK$45</f>
        <v>0</v>
      </c>
      <c r="AM39" s="13" t="n">
        <f aca="false">AL$45</f>
        <v>0</v>
      </c>
      <c r="AN39" s="13" t="n">
        <f aca="false">AM$45</f>
        <v>0</v>
      </c>
      <c r="AO39" s="13" t="n">
        <f aca="false">AN$45</f>
        <v>0</v>
      </c>
      <c r="AP39" s="13" t="n">
        <f aca="false">AO$45</f>
        <v>0</v>
      </c>
      <c r="AQ39" s="13" t="n">
        <f aca="false">AP$45</f>
        <v>0</v>
      </c>
      <c r="AR39" s="13" t="n">
        <f aca="false">AQ$45</f>
        <v>0</v>
      </c>
      <c r="AS39" s="13" t="n">
        <f aca="false">AR$45</f>
        <v>0</v>
      </c>
      <c r="AT39" s="13" t="n">
        <f aca="false">AS$45</f>
        <v>0</v>
      </c>
      <c r="AU39" s="13" t="n">
        <f aca="false">AT$45</f>
        <v>0</v>
      </c>
      <c r="AV39" s="13" t="n">
        <f aca="false">AU$45</f>
        <v>0</v>
      </c>
      <c r="AW39" s="13" t="n">
        <f aca="false">AV$45</f>
        <v>0</v>
      </c>
      <c r="AX39" s="13" t="n">
        <f aca="false">AW$45</f>
        <v>0</v>
      </c>
      <c r="AY39" s="13" t="n">
        <f aca="false">AX$45</f>
        <v>0</v>
      </c>
      <c r="AZ39" s="13" t="n">
        <f aca="false">AY$45</f>
        <v>0</v>
      </c>
      <c r="BA39" s="13" t="n">
        <f aca="false">AZ$45</f>
        <v>0</v>
      </c>
      <c r="BB39" s="13" t="n">
        <f aca="false">BA$45</f>
        <v>0</v>
      </c>
      <c r="BC39" s="13" t="n">
        <f aca="false">BB$45</f>
        <v>0</v>
      </c>
      <c r="BD39" s="13" t="n">
        <f aca="false">BC$45</f>
        <v>0</v>
      </c>
      <c r="BE39" s="13" t="n">
        <f aca="false">BD$45</f>
        <v>0</v>
      </c>
      <c r="BF39" s="13" t="n">
        <f aca="false">BE$45</f>
        <v>0</v>
      </c>
      <c r="BG39" s="13" t="n">
        <f aca="false">BF$45</f>
        <v>0</v>
      </c>
      <c r="BH39" s="13" t="n">
        <f aca="false">BG$45</f>
        <v>0</v>
      </c>
      <c r="BI39" s="13" t="n">
        <f aca="false">BH$45</f>
        <v>0</v>
      </c>
      <c r="BJ39" s="13" t="n">
        <f aca="false">BI$45</f>
        <v>0</v>
      </c>
      <c r="BK39" s="13" t="n">
        <f aca="false">BJ$45</f>
        <v>0</v>
      </c>
      <c r="BL39" s="13" t="n">
        <f aca="false">BK$45</f>
        <v>0</v>
      </c>
      <c r="BM39" s="13" t="n">
        <f aca="false">BL$45</f>
        <v>0</v>
      </c>
      <c r="BN39" s="13" t="n">
        <f aca="false">BM$45</f>
        <v>0</v>
      </c>
      <c r="BO39" s="13" t="n">
        <f aca="false">BN$45</f>
        <v>0</v>
      </c>
      <c r="BP39" s="13" t="n">
        <f aca="false">BO$45</f>
        <v>0</v>
      </c>
      <c r="BQ39" s="13" t="n">
        <f aca="false">BP$45</f>
        <v>0</v>
      </c>
      <c r="BR39" s="13" t="n">
        <f aca="false">BQ$45</f>
        <v>0</v>
      </c>
      <c r="BS39" s="13" t="n">
        <f aca="false">BR$45</f>
        <v>0</v>
      </c>
      <c r="BT39" s="13" t="n">
        <f aca="false">BS$45</f>
        <v>0</v>
      </c>
      <c r="BU39" s="13" t="n">
        <f aca="false">BT$45</f>
        <v>0</v>
      </c>
      <c r="BV39" s="13" t="n">
        <f aca="false">BU$45</f>
        <v>0</v>
      </c>
      <c r="BW39" s="13" t="n">
        <f aca="false">BV$45</f>
        <v>0</v>
      </c>
      <c r="BX39" s="13" t="n">
        <f aca="false">BW$45</f>
        <v>0</v>
      </c>
      <c r="BY39" s="13" t="n">
        <f aca="false">BX$45</f>
        <v>0</v>
      </c>
      <c r="BZ39" s="13" t="n">
        <f aca="false">BY$45</f>
        <v>0</v>
      </c>
      <c r="CA39" s="13" t="n">
        <f aca="false">BZ$45</f>
        <v>0</v>
      </c>
      <c r="CB39" s="13" t="n">
        <f aca="false">CA$45</f>
        <v>0</v>
      </c>
      <c r="CC39" s="13" t="n">
        <f aca="false">CB$45</f>
        <v>0</v>
      </c>
      <c r="CD39" s="13" t="n">
        <f aca="false">CC$45</f>
        <v>0</v>
      </c>
      <c r="CE39" s="13" t="n">
        <f aca="false">CD$45</f>
        <v>0</v>
      </c>
      <c r="CF39" s="13" t="n">
        <f aca="false">CE$45</f>
        <v>0</v>
      </c>
      <c r="CG39" s="13" t="n">
        <f aca="false">CF$45</f>
        <v>0</v>
      </c>
      <c r="CH39" s="13" t="n">
        <f aca="false">CG$45</f>
        <v>0</v>
      </c>
      <c r="CI39" s="13" t="n">
        <f aca="false">CH$45</f>
        <v>0</v>
      </c>
      <c r="CJ39" s="13" t="n">
        <f aca="false">CI$45</f>
        <v>0</v>
      </c>
      <c r="CK39" s="13" t="n">
        <f aca="false">CJ$45</f>
        <v>0</v>
      </c>
      <c r="CL39" s="13" t="n">
        <f aca="false">CK$45</f>
        <v>0</v>
      </c>
      <c r="CM39" s="13" t="n">
        <f aca="false">CL$45</f>
        <v>0</v>
      </c>
      <c r="CN39" s="13" t="n">
        <f aca="false">CM$45</f>
        <v>0</v>
      </c>
      <c r="CO39" s="13" t="n">
        <f aca="false">CN$45</f>
        <v>0</v>
      </c>
      <c r="CP39" s="13" t="n">
        <f aca="false">CO$45</f>
        <v>0</v>
      </c>
      <c r="CQ39" s="13" t="n">
        <f aca="false">CP$45</f>
        <v>0</v>
      </c>
      <c r="CR39" s="13" t="n">
        <f aca="false">CQ$45</f>
        <v>0</v>
      </c>
      <c r="CS39" s="13" t="n">
        <f aca="false">CR$45</f>
        <v>0</v>
      </c>
      <c r="CT39" s="13" t="n">
        <f aca="false">CS$45</f>
        <v>0</v>
      </c>
      <c r="CU39" s="13" t="n">
        <f aca="false">CT$45</f>
        <v>0</v>
      </c>
      <c r="CV39" s="13" t="n">
        <f aca="false">CU$45</f>
        <v>0</v>
      </c>
      <c r="CW39" s="13" t="n">
        <f aca="false">CV$45</f>
        <v>0</v>
      </c>
      <c r="CX39" s="13" t="n">
        <f aca="false">CW$45</f>
        <v>0</v>
      </c>
      <c r="CY39" s="13" t="n">
        <f aca="false">CX$45</f>
        <v>0</v>
      </c>
      <c r="CZ39" s="13" t="n">
        <f aca="false">CY$45</f>
        <v>0</v>
      </c>
      <c r="DA39" s="13" t="n">
        <f aca="false">CZ$45</f>
        <v>0</v>
      </c>
      <c r="DB39" s="13" t="n">
        <f aca="false">DA$45</f>
        <v>0</v>
      </c>
      <c r="DC39" s="13" t="n">
        <f aca="false">DB$45</f>
        <v>0</v>
      </c>
      <c r="DD39" s="13" t="n">
        <f aca="false">DC$45</f>
        <v>0</v>
      </c>
      <c r="DE39" s="13" t="n">
        <f aca="false">DD$45</f>
        <v>0</v>
      </c>
      <c r="DF39" s="13" t="n">
        <f aca="false">DE$45</f>
        <v>0</v>
      </c>
      <c r="DG39" s="13" t="n">
        <f aca="false">DF$45</f>
        <v>0</v>
      </c>
      <c r="DH39" s="13" t="n">
        <f aca="false">DG$45</f>
        <v>0</v>
      </c>
      <c r="DI39" s="13" t="n">
        <f aca="false">DH$45</f>
        <v>0</v>
      </c>
      <c r="DJ39" s="13" t="n">
        <f aca="false">DI$45</f>
        <v>0</v>
      </c>
      <c r="DK39" s="13" t="n">
        <f aca="false">DJ$45</f>
        <v>0</v>
      </c>
      <c r="DL39" s="13" t="n">
        <f aca="false">DK$45</f>
        <v>0</v>
      </c>
      <c r="DM39" s="13" t="n">
        <f aca="false">DL$45</f>
        <v>0</v>
      </c>
      <c r="DN39" s="13" t="n">
        <f aca="false">DM$45</f>
        <v>0</v>
      </c>
      <c r="DO39" s="13" t="n">
        <f aca="false">DN$45</f>
        <v>0</v>
      </c>
      <c r="DP39" s="13" t="n">
        <f aca="false">DO$45</f>
        <v>0</v>
      </c>
      <c r="DQ39" s="13" t="n">
        <f aca="false">DP$45</f>
        <v>0</v>
      </c>
      <c r="DR39" s="13" t="n">
        <f aca="false">DQ$45</f>
        <v>0</v>
      </c>
      <c r="DS39" s="13" t="n">
        <f aca="false">DR$45</f>
        <v>0</v>
      </c>
      <c r="DT39" s="13" t="n">
        <f aca="false">DS$45</f>
        <v>0</v>
      </c>
      <c r="DU39" s="13" t="n">
        <f aca="false">DT$45</f>
        <v>0</v>
      </c>
      <c r="DV39" s="13" t="n">
        <f aca="false">DU$45</f>
        <v>0</v>
      </c>
      <c r="DW39" s="13" t="n">
        <f aca="false">DV$45</f>
        <v>0</v>
      </c>
      <c r="DX39" s="13" t="n">
        <f aca="false">DW$45</f>
        <v>0</v>
      </c>
      <c r="DY39" s="13" t="n">
        <f aca="false">DX$45</f>
        <v>0</v>
      </c>
      <c r="DZ39" s="13" t="n">
        <f aca="false">DY$45</f>
        <v>0</v>
      </c>
      <c r="EA39" s="13" t="n">
        <f aca="false">DZ$45</f>
        <v>0</v>
      </c>
      <c r="EB39" s="13" t="n">
        <f aca="false">EA$45</f>
        <v>0</v>
      </c>
      <c r="EC39" s="13" t="n">
        <f aca="false">EB$45</f>
        <v>0</v>
      </c>
      <c r="ED39" s="13" t="n">
        <f aca="false">EC$45</f>
        <v>0</v>
      </c>
      <c r="EE39" s="13" t="n">
        <f aca="false">ED$45</f>
        <v>0</v>
      </c>
      <c r="EF39" s="13" t="n">
        <f aca="false">EE$45</f>
        <v>0</v>
      </c>
      <c r="EG39" s="13" t="n">
        <f aca="false">EF$45</f>
        <v>0</v>
      </c>
      <c r="EH39" s="13" t="n">
        <f aca="false">EG$45</f>
        <v>0</v>
      </c>
      <c r="EI39" s="13" t="n">
        <f aca="false">EH$45</f>
        <v>0</v>
      </c>
      <c r="EJ39" s="13" t="n">
        <f aca="false">EI$45</f>
        <v>0</v>
      </c>
      <c r="EK39" s="13" t="n">
        <f aca="false">EJ$45</f>
        <v>0</v>
      </c>
      <c r="EL39" s="13" t="n">
        <f aca="false">EK$45</f>
        <v>0</v>
      </c>
      <c r="EM39" s="13" t="n">
        <f aca="false">EL$45</f>
        <v>0</v>
      </c>
      <c r="EN39" s="13" t="n">
        <f aca="false">EM$45</f>
        <v>0</v>
      </c>
      <c r="EO39" s="13" t="n">
        <f aca="false">EN$45</f>
        <v>0</v>
      </c>
      <c r="EP39" s="13" t="n">
        <f aca="false">EO$45</f>
        <v>0</v>
      </c>
      <c r="EQ39" s="13" t="n">
        <f aca="false">EP$45</f>
        <v>0</v>
      </c>
      <c r="ER39" s="13" t="n">
        <f aca="false">EQ$45</f>
        <v>0</v>
      </c>
      <c r="ES39" s="13" t="n">
        <f aca="false">ER$45</f>
        <v>0</v>
      </c>
      <c r="ET39" s="13" t="n">
        <f aca="false">ES$45</f>
        <v>0</v>
      </c>
      <c r="EU39" s="13" t="n">
        <f aca="false">ET$45</f>
        <v>0</v>
      </c>
      <c r="EV39" s="13" t="n">
        <f aca="false">EU$45</f>
        <v>0</v>
      </c>
      <c r="EW39" s="13" t="n">
        <f aca="false">EV$45</f>
        <v>0</v>
      </c>
      <c r="EX39" s="13" t="n">
        <f aca="false">EW$45</f>
        <v>0</v>
      </c>
      <c r="EY39" s="13" t="n">
        <f aca="false">EX$45</f>
        <v>0</v>
      </c>
      <c r="EZ39" s="13" t="n">
        <f aca="false">EY$45</f>
        <v>0</v>
      </c>
      <c r="FA39" s="13" t="n">
        <f aca="false">EZ$45</f>
        <v>0</v>
      </c>
      <c r="FB39" s="13" t="n">
        <f aca="false">FA$45</f>
        <v>0</v>
      </c>
      <c r="FC39" s="13" t="n">
        <f aca="false">FB$45</f>
        <v>0</v>
      </c>
      <c r="FD39" s="13" t="n">
        <f aca="false">FC$45</f>
        <v>0</v>
      </c>
      <c r="FE39" s="13" t="n">
        <f aca="false">FD$45</f>
        <v>0</v>
      </c>
      <c r="FF39" s="13" t="n">
        <f aca="false">FE$45</f>
        <v>0</v>
      </c>
    </row>
    <row r="40" customFormat="false" ht="15" hidden="false" customHeight="false" outlineLevel="0" collapsed="false">
      <c r="A40" s="2" t="s">
        <v>1429</v>
      </c>
      <c r="B40" s="8" t="s">
        <v>1409</v>
      </c>
      <c r="C40" s="8" t="s">
        <v>255</v>
      </c>
      <c r="E40" s="65" t="n">
        <f aca="false">SUM($F40:$FF40)</f>
        <v>0</v>
      </c>
      <c r="F40" s="13" t="n">
        <f aca="false">IF(F$9=1,SUMIFS(dr_USD,dr_Mes,0,dr_Cod,"INT_P2",dr_Est,"&lt;&gt;Excluido"),F$39*e_L2_Tasa/12*Calendario!F$13)</f>
        <v>0</v>
      </c>
      <c r="G40" s="13" t="n">
        <f aca="false">IF(G$9=1,SUMIFS(dr_USD,dr_Mes,1,dr_Cod,"INT_P2",dr_Est,"&lt;&gt;Excluido"),G$39*e_L2_Tasa/12*Calendario!G$13)</f>
        <v>0</v>
      </c>
      <c r="H40" s="13" t="n">
        <f aca="false">IF(H$9=1,SUMIFS(dr_USD,dr_Mes,2,dr_Cod,"INT_P2",dr_Est,"&lt;&gt;Excluido"),H$39*e_L2_Tasa/12*Calendario!H$13)</f>
        <v>0</v>
      </c>
      <c r="I40" s="13" t="n">
        <f aca="false">IF(I$9=1,SUMIFS(dr_USD,dr_Mes,3,dr_Cod,"INT_P2",dr_Est,"&lt;&gt;Excluido"),I$39*e_L2_Tasa/12*Calendario!I$13)</f>
        <v>0</v>
      </c>
      <c r="J40" s="13" t="n">
        <f aca="false">IF(J$9=1,SUMIFS(dr_USD,dr_Mes,4,dr_Cod,"INT_P2",dr_Est,"&lt;&gt;Excluido"),J$39*e_L2_Tasa/12*Calendario!J$13)</f>
        <v>0</v>
      </c>
      <c r="K40" s="13" t="n">
        <f aca="false">IF(K$9=1,SUMIFS(dr_USD,dr_Mes,5,dr_Cod,"INT_P2",dr_Est,"&lt;&gt;Excluido"),K$39*e_L2_Tasa/12*Calendario!K$13)</f>
        <v>0</v>
      </c>
      <c r="L40" s="13" t="n">
        <f aca="false">IF(L$9=1,SUMIFS(dr_USD,dr_Mes,6,dr_Cod,"INT_P2",dr_Est,"&lt;&gt;Excluido"),L$39*e_L2_Tasa/12*Calendario!L$13)</f>
        <v>0</v>
      </c>
      <c r="M40" s="13" t="n">
        <f aca="false">IF(M$9=1,SUMIFS(dr_USD,dr_Mes,7,dr_Cod,"INT_P2",dr_Est,"&lt;&gt;Excluido"),M$39*e_L2_Tasa/12*Calendario!M$13)</f>
        <v>0</v>
      </c>
      <c r="N40" s="13" t="n">
        <f aca="false">IF(N$9=1,SUMIFS(dr_USD,dr_Mes,8,dr_Cod,"INT_P2",dr_Est,"&lt;&gt;Excluido"),N$39*e_L2_Tasa/12*Calendario!N$13)</f>
        <v>0</v>
      </c>
      <c r="O40" s="13" t="n">
        <f aca="false">IF(O$9=1,SUMIFS(dr_USD,dr_Mes,9,dr_Cod,"INT_P2",dr_Est,"&lt;&gt;Excluido"),O$39*e_L2_Tasa/12*Calendario!O$13)</f>
        <v>0</v>
      </c>
      <c r="P40" s="13" t="n">
        <f aca="false">IF(P$9=1,SUMIFS(dr_USD,dr_Mes,10,dr_Cod,"INT_P2",dr_Est,"&lt;&gt;Excluido"),P$39*e_L2_Tasa/12*Calendario!P$13)</f>
        <v>0</v>
      </c>
      <c r="Q40" s="13" t="n">
        <f aca="false">IF(Q$9=1,SUMIFS(dr_USD,dr_Mes,11,dr_Cod,"INT_P2",dr_Est,"&lt;&gt;Excluido"),Q$39*e_L2_Tasa/12*Calendario!Q$13)</f>
        <v>0</v>
      </c>
      <c r="R40" s="13" t="n">
        <f aca="false">IF(R$9=1,SUMIFS(dr_USD,dr_Mes,12,dr_Cod,"INT_P2",dr_Est,"&lt;&gt;Excluido"),R$39*e_L2_Tasa/12*Calendario!R$13)</f>
        <v>0</v>
      </c>
      <c r="S40" s="13" t="n">
        <f aca="false">IF(S$9=1,SUMIFS(dr_USD,dr_Mes,13,dr_Cod,"INT_P2",dr_Est,"&lt;&gt;Excluido"),S$39*e_L2_Tasa/12*Calendario!S$13)</f>
        <v>0</v>
      </c>
      <c r="T40" s="13" t="n">
        <f aca="false">IF(T$9=1,SUMIFS(dr_USD,dr_Mes,14,dr_Cod,"INT_P2",dr_Est,"&lt;&gt;Excluido"),T$39*e_L2_Tasa/12*Calendario!T$13)</f>
        <v>0</v>
      </c>
      <c r="U40" s="13" t="n">
        <f aca="false">IF(U$9=1,SUMIFS(dr_USD,dr_Mes,15,dr_Cod,"INT_P2",dr_Est,"&lt;&gt;Excluido"),U$39*e_L2_Tasa/12*Calendario!U$13)</f>
        <v>0</v>
      </c>
      <c r="V40" s="13" t="n">
        <f aca="false">IF(V$9=1,SUMIFS(dr_USD,dr_Mes,16,dr_Cod,"INT_P2",dr_Est,"&lt;&gt;Excluido"),V$39*e_L2_Tasa/12*Calendario!V$13)</f>
        <v>0</v>
      </c>
      <c r="W40" s="13" t="n">
        <f aca="false">IF(W$9=1,SUMIFS(dr_USD,dr_Mes,17,dr_Cod,"INT_P2",dr_Est,"&lt;&gt;Excluido"),W$39*e_L2_Tasa/12*Calendario!W$13)</f>
        <v>0</v>
      </c>
      <c r="X40" s="13" t="n">
        <f aca="false">IF(X$9=1,SUMIFS(dr_USD,dr_Mes,18,dr_Cod,"INT_P2",dr_Est,"&lt;&gt;Excluido"),X$39*e_L2_Tasa/12*Calendario!X$13)</f>
        <v>0</v>
      </c>
      <c r="Y40" s="13" t="n">
        <f aca="false">IF(Y$9=1,SUMIFS(dr_USD,dr_Mes,19,dr_Cod,"INT_P2",dr_Est,"&lt;&gt;Excluido"),Y$39*e_L2_Tasa/12*Calendario!Y$13)</f>
        <v>0</v>
      </c>
      <c r="Z40" s="13" t="n">
        <f aca="false">IF(Z$9=1,SUMIFS(dr_USD,dr_Mes,20,dr_Cod,"INT_P2",dr_Est,"&lt;&gt;Excluido"),Z$39*e_L2_Tasa/12*Calendario!Z$13)</f>
        <v>0</v>
      </c>
      <c r="AA40" s="13" t="n">
        <f aca="false">IF(AA$9=1,SUMIFS(dr_USD,dr_Mes,21,dr_Cod,"INT_P2",dr_Est,"&lt;&gt;Excluido"),AA$39*e_L2_Tasa/12*Calendario!AA$13)</f>
        <v>0</v>
      </c>
      <c r="AB40" s="13" t="n">
        <f aca="false">IF(AB$9=1,SUMIFS(dr_USD,dr_Mes,22,dr_Cod,"INT_P2",dr_Est,"&lt;&gt;Excluido"),AB$39*e_L2_Tasa/12*Calendario!AB$13)</f>
        <v>0</v>
      </c>
      <c r="AC40" s="13" t="n">
        <f aca="false">IF(AC$9=1,SUMIFS(dr_USD,dr_Mes,23,dr_Cod,"INT_P2",dr_Est,"&lt;&gt;Excluido"),AC$39*e_L2_Tasa/12*Calendario!AC$13)</f>
        <v>0</v>
      </c>
      <c r="AD40" s="13" t="n">
        <f aca="false">IF(AD$9=1,SUMIFS(dr_USD,dr_Mes,24,dr_Cod,"INT_P2",dr_Est,"&lt;&gt;Excluido"),AD$39*e_L2_Tasa/12*Calendario!AD$13)</f>
        <v>0</v>
      </c>
      <c r="AE40" s="13" t="n">
        <f aca="false">IF(AE$9=1,SUMIFS(dr_USD,dr_Mes,25,dr_Cod,"INT_P2",dr_Est,"&lt;&gt;Excluido"),AE$39*e_L2_Tasa/12*Calendario!AE$13)</f>
        <v>0</v>
      </c>
      <c r="AF40" s="13" t="n">
        <f aca="false">IF(AF$9=1,SUMIFS(dr_USD,dr_Mes,26,dr_Cod,"INT_P2",dr_Est,"&lt;&gt;Excluido"),AF$39*e_L2_Tasa/12*Calendario!AF$13)</f>
        <v>0</v>
      </c>
      <c r="AG40" s="13" t="n">
        <f aca="false">IF(AG$9=1,SUMIFS(dr_USD,dr_Mes,27,dr_Cod,"INT_P2",dr_Est,"&lt;&gt;Excluido"),AG$39*e_L2_Tasa/12*Calendario!AG$13)</f>
        <v>0</v>
      </c>
      <c r="AH40" s="13" t="n">
        <f aca="false">IF(AH$9=1,SUMIFS(dr_USD,dr_Mes,28,dr_Cod,"INT_P2",dr_Est,"&lt;&gt;Excluido"),AH$39*e_L2_Tasa/12*Calendario!AH$13)</f>
        <v>0</v>
      </c>
      <c r="AI40" s="13" t="n">
        <f aca="false">IF(AI$9=1,SUMIFS(dr_USD,dr_Mes,29,dr_Cod,"INT_P2",dr_Est,"&lt;&gt;Excluido"),AI$39*e_L2_Tasa/12*Calendario!AI$13)</f>
        <v>0</v>
      </c>
      <c r="AJ40" s="13" t="n">
        <f aca="false">IF(AJ$9=1,SUMIFS(dr_USD,dr_Mes,30,dr_Cod,"INT_P2",dr_Est,"&lt;&gt;Excluido"),AJ$39*e_L2_Tasa/12*Calendario!AJ$13)</f>
        <v>0</v>
      </c>
      <c r="AK40" s="13" t="n">
        <f aca="false">IF(AK$9=1,SUMIFS(dr_USD,dr_Mes,31,dr_Cod,"INT_P2",dr_Est,"&lt;&gt;Excluido"),AK$39*e_L2_Tasa/12*Calendario!AK$13)</f>
        <v>0</v>
      </c>
      <c r="AL40" s="13" t="n">
        <f aca="false">IF(AL$9=1,SUMIFS(dr_USD,dr_Mes,32,dr_Cod,"INT_P2",dr_Est,"&lt;&gt;Excluido"),AL$39*e_L2_Tasa/12*Calendario!AL$13)</f>
        <v>0</v>
      </c>
      <c r="AM40" s="13" t="n">
        <f aca="false">IF(AM$9=1,SUMIFS(dr_USD,dr_Mes,33,dr_Cod,"INT_P2",dr_Est,"&lt;&gt;Excluido"),AM$39*e_L2_Tasa/12*Calendario!AM$13)</f>
        <v>0</v>
      </c>
      <c r="AN40" s="13" t="n">
        <f aca="false">IF(AN$9=1,SUMIFS(dr_USD,dr_Mes,34,dr_Cod,"INT_P2",dr_Est,"&lt;&gt;Excluido"),AN$39*e_L2_Tasa/12*Calendario!AN$13)</f>
        <v>0</v>
      </c>
      <c r="AO40" s="13" t="n">
        <f aca="false">IF(AO$9=1,SUMIFS(dr_USD,dr_Mes,35,dr_Cod,"INT_P2",dr_Est,"&lt;&gt;Excluido"),AO$39*e_L2_Tasa/12*Calendario!AO$13)</f>
        <v>0</v>
      </c>
      <c r="AP40" s="13" t="n">
        <f aca="false">IF(AP$9=1,SUMIFS(dr_USD,dr_Mes,36,dr_Cod,"INT_P2",dr_Est,"&lt;&gt;Excluido"),AP$39*e_L2_Tasa/12*Calendario!AP$13)</f>
        <v>0</v>
      </c>
      <c r="AQ40" s="13" t="n">
        <f aca="false">IF(AQ$9=1,SUMIFS(dr_USD,dr_Mes,37,dr_Cod,"INT_P2",dr_Est,"&lt;&gt;Excluido"),AQ$39*e_L2_Tasa/12*Calendario!AQ$13)</f>
        <v>0</v>
      </c>
      <c r="AR40" s="13" t="n">
        <f aca="false">IF(AR$9=1,SUMIFS(dr_USD,dr_Mes,38,dr_Cod,"INT_P2",dr_Est,"&lt;&gt;Excluido"),AR$39*e_L2_Tasa/12*Calendario!AR$13)</f>
        <v>0</v>
      </c>
      <c r="AS40" s="13" t="n">
        <f aca="false">IF(AS$9=1,SUMIFS(dr_USD,dr_Mes,39,dr_Cod,"INT_P2",dr_Est,"&lt;&gt;Excluido"),AS$39*e_L2_Tasa/12*Calendario!AS$13)</f>
        <v>0</v>
      </c>
      <c r="AT40" s="13" t="n">
        <f aca="false">IF(AT$9=1,SUMIFS(dr_USD,dr_Mes,40,dr_Cod,"INT_P2",dr_Est,"&lt;&gt;Excluido"),AT$39*e_L2_Tasa/12*Calendario!AT$13)</f>
        <v>0</v>
      </c>
      <c r="AU40" s="13" t="n">
        <f aca="false">IF(AU$9=1,SUMIFS(dr_USD,dr_Mes,41,dr_Cod,"INT_P2",dr_Est,"&lt;&gt;Excluido"),AU$39*e_L2_Tasa/12*Calendario!AU$13)</f>
        <v>0</v>
      </c>
      <c r="AV40" s="13" t="n">
        <f aca="false">IF(AV$9=1,SUMIFS(dr_USD,dr_Mes,42,dr_Cod,"INT_P2",dr_Est,"&lt;&gt;Excluido"),AV$39*e_L2_Tasa/12*Calendario!AV$13)</f>
        <v>0</v>
      </c>
      <c r="AW40" s="13" t="n">
        <f aca="false">IF(AW$9=1,SUMIFS(dr_USD,dr_Mes,43,dr_Cod,"INT_P2",dr_Est,"&lt;&gt;Excluido"),AW$39*e_L2_Tasa/12*Calendario!AW$13)</f>
        <v>0</v>
      </c>
      <c r="AX40" s="13" t="n">
        <f aca="false">IF(AX$9=1,SUMIFS(dr_USD,dr_Mes,44,dr_Cod,"INT_P2",dr_Est,"&lt;&gt;Excluido"),AX$39*e_L2_Tasa/12*Calendario!AX$13)</f>
        <v>0</v>
      </c>
      <c r="AY40" s="13" t="n">
        <f aca="false">IF(AY$9=1,SUMIFS(dr_USD,dr_Mes,45,dr_Cod,"INT_P2",dr_Est,"&lt;&gt;Excluido"),AY$39*e_L2_Tasa/12*Calendario!AY$13)</f>
        <v>0</v>
      </c>
      <c r="AZ40" s="13" t="n">
        <f aca="false">IF(AZ$9=1,SUMIFS(dr_USD,dr_Mes,46,dr_Cod,"INT_P2",dr_Est,"&lt;&gt;Excluido"),AZ$39*e_L2_Tasa/12*Calendario!AZ$13)</f>
        <v>0</v>
      </c>
      <c r="BA40" s="13" t="n">
        <f aca="false">IF(BA$9=1,SUMIFS(dr_USD,dr_Mes,47,dr_Cod,"INT_P2",dr_Est,"&lt;&gt;Excluido"),BA$39*e_L2_Tasa/12*Calendario!BA$13)</f>
        <v>0</v>
      </c>
      <c r="BB40" s="13" t="n">
        <f aca="false">IF(BB$9=1,SUMIFS(dr_USD,dr_Mes,48,dr_Cod,"INT_P2",dr_Est,"&lt;&gt;Excluido"),BB$39*e_L2_Tasa/12*Calendario!BB$13)</f>
        <v>0</v>
      </c>
      <c r="BC40" s="13" t="n">
        <f aca="false">IF(BC$9=1,SUMIFS(dr_USD,dr_Mes,49,dr_Cod,"INT_P2",dr_Est,"&lt;&gt;Excluido"),BC$39*e_L2_Tasa/12*Calendario!BC$13)</f>
        <v>0</v>
      </c>
      <c r="BD40" s="13" t="n">
        <f aca="false">IF(BD$9=1,SUMIFS(dr_USD,dr_Mes,50,dr_Cod,"INT_P2",dr_Est,"&lt;&gt;Excluido"),BD$39*e_L2_Tasa/12*Calendario!BD$13)</f>
        <v>0</v>
      </c>
      <c r="BE40" s="13" t="n">
        <f aca="false">IF(BE$9=1,SUMIFS(dr_USD,dr_Mes,51,dr_Cod,"INT_P2",dr_Est,"&lt;&gt;Excluido"),BE$39*e_L2_Tasa/12*Calendario!BE$13)</f>
        <v>0</v>
      </c>
      <c r="BF40" s="13" t="n">
        <f aca="false">IF(BF$9=1,SUMIFS(dr_USD,dr_Mes,52,dr_Cod,"INT_P2",dr_Est,"&lt;&gt;Excluido"),BF$39*e_L2_Tasa/12*Calendario!BF$13)</f>
        <v>0</v>
      </c>
      <c r="BG40" s="13" t="n">
        <f aca="false">IF(BG$9=1,SUMIFS(dr_USD,dr_Mes,53,dr_Cod,"INT_P2",dr_Est,"&lt;&gt;Excluido"),BG$39*e_L2_Tasa/12*Calendario!BG$13)</f>
        <v>0</v>
      </c>
      <c r="BH40" s="13" t="n">
        <f aca="false">IF(BH$9=1,SUMIFS(dr_USD,dr_Mes,54,dr_Cod,"INT_P2",dr_Est,"&lt;&gt;Excluido"),BH$39*e_L2_Tasa/12*Calendario!BH$13)</f>
        <v>0</v>
      </c>
      <c r="BI40" s="13" t="n">
        <f aca="false">IF(BI$9=1,SUMIFS(dr_USD,dr_Mes,55,dr_Cod,"INT_P2",dr_Est,"&lt;&gt;Excluido"),BI$39*e_L2_Tasa/12*Calendario!BI$13)</f>
        <v>0</v>
      </c>
      <c r="BJ40" s="13" t="n">
        <f aca="false">IF(BJ$9=1,SUMIFS(dr_USD,dr_Mes,56,dr_Cod,"INT_P2",dr_Est,"&lt;&gt;Excluido"),BJ$39*e_L2_Tasa/12*Calendario!BJ$13)</f>
        <v>0</v>
      </c>
      <c r="BK40" s="13" t="n">
        <f aca="false">IF(BK$9=1,SUMIFS(dr_USD,dr_Mes,57,dr_Cod,"INT_P2",dr_Est,"&lt;&gt;Excluido"),BK$39*e_L2_Tasa/12*Calendario!BK$13)</f>
        <v>0</v>
      </c>
      <c r="BL40" s="13" t="n">
        <f aca="false">IF(BL$9=1,SUMIFS(dr_USD,dr_Mes,58,dr_Cod,"INT_P2",dr_Est,"&lt;&gt;Excluido"),BL$39*e_L2_Tasa/12*Calendario!BL$13)</f>
        <v>0</v>
      </c>
      <c r="BM40" s="13" t="n">
        <f aca="false">IF(BM$9=1,SUMIFS(dr_USD,dr_Mes,59,dr_Cod,"INT_P2",dr_Est,"&lt;&gt;Excluido"),BM$39*e_L2_Tasa/12*Calendario!BM$13)</f>
        <v>0</v>
      </c>
      <c r="BN40" s="13" t="n">
        <f aca="false">IF(BN$9=1,SUMIFS(dr_USD,dr_Mes,60,dr_Cod,"INT_P2",dr_Est,"&lt;&gt;Excluido"),BN$39*e_L2_Tasa/12*Calendario!BN$13)</f>
        <v>0</v>
      </c>
      <c r="BO40" s="13" t="n">
        <f aca="false">IF(BO$9=1,SUMIFS(dr_USD,dr_Mes,61,dr_Cod,"INT_P2",dr_Est,"&lt;&gt;Excluido"),BO$39*e_L2_Tasa/12*Calendario!BO$13)</f>
        <v>0</v>
      </c>
      <c r="BP40" s="13" t="n">
        <f aca="false">IF(BP$9=1,SUMIFS(dr_USD,dr_Mes,62,dr_Cod,"INT_P2",dr_Est,"&lt;&gt;Excluido"),BP$39*e_L2_Tasa/12*Calendario!BP$13)</f>
        <v>0</v>
      </c>
      <c r="BQ40" s="13" t="n">
        <f aca="false">IF(BQ$9=1,SUMIFS(dr_USD,dr_Mes,63,dr_Cod,"INT_P2",dr_Est,"&lt;&gt;Excluido"),BQ$39*e_L2_Tasa/12*Calendario!BQ$13)</f>
        <v>0</v>
      </c>
      <c r="BR40" s="13" t="n">
        <f aca="false">IF(BR$9=1,SUMIFS(dr_USD,dr_Mes,64,dr_Cod,"INT_P2",dr_Est,"&lt;&gt;Excluido"),BR$39*e_L2_Tasa/12*Calendario!BR$13)</f>
        <v>0</v>
      </c>
      <c r="BS40" s="13" t="n">
        <f aca="false">IF(BS$9=1,SUMIFS(dr_USD,dr_Mes,65,dr_Cod,"INT_P2",dr_Est,"&lt;&gt;Excluido"),BS$39*e_L2_Tasa/12*Calendario!BS$13)</f>
        <v>0</v>
      </c>
      <c r="BT40" s="13" t="n">
        <f aca="false">IF(BT$9=1,SUMIFS(dr_USD,dr_Mes,66,dr_Cod,"INT_P2",dr_Est,"&lt;&gt;Excluido"),BT$39*e_L2_Tasa/12*Calendario!BT$13)</f>
        <v>0</v>
      </c>
      <c r="BU40" s="13" t="n">
        <f aca="false">IF(BU$9=1,SUMIFS(dr_USD,dr_Mes,67,dr_Cod,"INT_P2",dr_Est,"&lt;&gt;Excluido"),BU$39*e_L2_Tasa/12*Calendario!BU$13)</f>
        <v>0</v>
      </c>
      <c r="BV40" s="13" t="n">
        <f aca="false">IF(BV$9=1,SUMIFS(dr_USD,dr_Mes,68,dr_Cod,"INT_P2",dr_Est,"&lt;&gt;Excluido"),BV$39*e_L2_Tasa/12*Calendario!BV$13)</f>
        <v>0</v>
      </c>
      <c r="BW40" s="13" t="n">
        <f aca="false">IF(BW$9=1,SUMIFS(dr_USD,dr_Mes,69,dr_Cod,"INT_P2",dr_Est,"&lt;&gt;Excluido"),BW$39*e_L2_Tasa/12*Calendario!BW$13)</f>
        <v>0</v>
      </c>
      <c r="BX40" s="13" t="n">
        <f aca="false">IF(BX$9=1,SUMIFS(dr_USD,dr_Mes,70,dr_Cod,"INT_P2",dr_Est,"&lt;&gt;Excluido"),BX$39*e_L2_Tasa/12*Calendario!BX$13)</f>
        <v>0</v>
      </c>
      <c r="BY40" s="13" t="n">
        <f aca="false">IF(BY$9=1,SUMIFS(dr_USD,dr_Mes,71,dr_Cod,"INT_P2",dr_Est,"&lt;&gt;Excluido"),BY$39*e_L2_Tasa/12*Calendario!BY$13)</f>
        <v>0</v>
      </c>
      <c r="BZ40" s="13" t="n">
        <f aca="false">IF(BZ$9=1,SUMIFS(dr_USD,dr_Mes,72,dr_Cod,"INT_P2",dr_Est,"&lt;&gt;Excluido"),BZ$39*e_L2_Tasa/12*Calendario!BZ$13)</f>
        <v>0</v>
      </c>
      <c r="CA40" s="13" t="n">
        <f aca="false">IF(CA$9=1,SUMIFS(dr_USD,dr_Mes,73,dr_Cod,"INT_P2",dr_Est,"&lt;&gt;Excluido"),CA$39*e_L2_Tasa/12*Calendario!CA$13)</f>
        <v>0</v>
      </c>
      <c r="CB40" s="13" t="n">
        <f aca="false">IF(CB$9=1,SUMIFS(dr_USD,dr_Mes,74,dr_Cod,"INT_P2",dr_Est,"&lt;&gt;Excluido"),CB$39*e_L2_Tasa/12*Calendario!CB$13)</f>
        <v>0</v>
      </c>
      <c r="CC40" s="13" t="n">
        <f aca="false">IF(CC$9=1,SUMIFS(dr_USD,dr_Mes,75,dr_Cod,"INT_P2",dr_Est,"&lt;&gt;Excluido"),CC$39*e_L2_Tasa/12*Calendario!CC$13)</f>
        <v>0</v>
      </c>
      <c r="CD40" s="13" t="n">
        <f aca="false">IF(CD$9=1,SUMIFS(dr_USD,dr_Mes,76,dr_Cod,"INT_P2",dr_Est,"&lt;&gt;Excluido"),CD$39*e_L2_Tasa/12*Calendario!CD$13)</f>
        <v>0</v>
      </c>
      <c r="CE40" s="13" t="n">
        <f aca="false">IF(CE$9=1,SUMIFS(dr_USD,dr_Mes,77,dr_Cod,"INT_P2",dr_Est,"&lt;&gt;Excluido"),CE$39*e_L2_Tasa/12*Calendario!CE$13)</f>
        <v>0</v>
      </c>
      <c r="CF40" s="13" t="n">
        <f aca="false">IF(CF$9=1,SUMIFS(dr_USD,dr_Mes,78,dr_Cod,"INT_P2",dr_Est,"&lt;&gt;Excluido"),CF$39*e_L2_Tasa/12*Calendario!CF$13)</f>
        <v>0</v>
      </c>
      <c r="CG40" s="13" t="n">
        <f aca="false">IF(CG$9=1,SUMIFS(dr_USD,dr_Mes,79,dr_Cod,"INT_P2",dr_Est,"&lt;&gt;Excluido"),CG$39*e_L2_Tasa/12*Calendario!CG$13)</f>
        <v>0</v>
      </c>
      <c r="CH40" s="13" t="n">
        <f aca="false">IF(CH$9=1,SUMIFS(dr_USD,dr_Mes,80,dr_Cod,"INT_P2",dr_Est,"&lt;&gt;Excluido"),CH$39*e_L2_Tasa/12*Calendario!CH$13)</f>
        <v>0</v>
      </c>
      <c r="CI40" s="13" t="n">
        <f aca="false">IF(CI$9=1,SUMIFS(dr_USD,dr_Mes,81,dr_Cod,"INT_P2",dr_Est,"&lt;&gt;Excluido"),CI$39*e_L2_Tasa/12*Calendario!CI$13)</f>
        <v>0</v>
      </c>
      <c r="CJ40" s="13" t="n">
        <f aca="false">IF(CJ$9=1,SUMIFS(dr_USD,dr_Mes,82,dr_Cod,"INT_P2",dr_Est,"&lt;&gt;Excluido"),CJ$39*e_L2_Tasa/12*Calendario!CJ$13)</f>
        <v>0</v>
      </c>
      <c r="CK40" s="13" t="n">
        <f aca="false">IF(CK$9=1,SUMIFS(dr_USD,dr_Mes,83,dr_Cod,"INT_P2",dr_Est,"&lt;&gt;Excluido"),CK$39*e_L2_Tasa/12*Calendario!CK$13)</f>
        <v>0</v>
      </c>
      <c r="CL40" s="13" t="n">
        <f aca="false">IF(CL$9=1,SUMIFS(dr_USD,dr_Mes,84,dr_Cod,"INT_P2",dr_Est,"&lt;&gt;Excluido"),CL$39*e_L2_Tasa/12*Calendario!CL$13)</f>
        <v>0</v>
      </c>
      <c r="CM40" s="13" t="n">
        <f aca="false">IF(CM$9=1,SUMIFS(dr_USD,dr_Mes,85,dr_Cod,"INT_P2",dr_Est,"&lt;&gt;Excluido"),CM$39*e_L2_Tasa/12*Calendario!CM$13)</f>
        <v>0</v>
      </c>
      <c r="CN40" s="13" t="n">
        <f aca="false">IF(CN$9=1,SUMIFS(dr_USD,dr_Mes,86,dr_Cod,"INT_P2",dr_Est,"&lt;&gt;Excluido"),CN$39*e_L2_Tasa/12*Calendario!CN$13)</f>
        <v>0</v>
      </c>
      <c r="CO40" s="13" t="n">
        <f aca="false">IF(CO$9=1,SUMIFS(dr_USD,dr_Mes,87,dr_Cod,"INT_P2",dr_Est,"&lt;&gt;Excluido"),CO$39*e_L2_Tasa/12*Calendario!CO$13)</f>
        <v>0</v>
      </c>
      <c r="CP40" s="13" t="n">
        <f aca="false">IF(CP$9=1,SUMIFS(dr_USD,dr_Mes,88,dr_Cod,"INT_P2",dr_Est,"&lt;&gt;Excluido"),CP$39*e_L2_Tasa/12*Calendario!CP$13)</f>
        <v>0</v>
      </c>
      <c r="CQ40" s="13" t="n">
        <f aca="false">IF(CQ$9=1,SUMIFS(dr_USD,dr_Mes,89,dr_Cod,"INT_P2",dr_Est,"&lt;&gt;Excluido"),CQ$39*e_L2_Tasa/12*Calendario!CQ$13)</f>
        <v>0</v>
      </c>
      <c r="CR40" s="13" t="n">
        <f aca="false">IF(CR$9=1,SUMIFS(dr_USD,dr_Mes,90,dr_Cod,"INT_P2",dr_Est,"&lt;&gt;Excluido"),CR$39*e_L2_Tasa/12*Calendario!CR$13)</f>
        <v>0</v>
      </c>
      <c r="CS40" s="13" t="n">
        <f aca="false">IF(CS$9=1,SUMIFS(dr_USD,dr_Mes,91,dr_Cod,"INT_P2",dr_Est,"&lt;&gt;Excluido"),CS$39*e_L2_Tasa/12*Calendario!CS$13)</f>
        <v>0</v>
      </c>
      <c r="CT40" s="13" t="n">
        <f aca="false">IF(CT$9=1,SUMIFS(dr_USD,dr_Mes,92,dr_Cod,"INT_P2",dr_Est,"&lt;&gt;Excluido"),CT$39*e_L2_Tasa/12*Calendario!CT$13)</f>
        <v>0</v>
      </c>
      <c r="CU40" s="13" t="n">
        <f aca="false">IF(CU$9=1,SUMIFS(dr_USD,dr_Mes,93,dr_Cod,"INT_P2",dr_Est,"&lt;&gt;Excluido"),CU$39*e_L2_Tasa/12*Calendario!CU$13)</f>
        <v>0</v>
      </c>
      <c r="CV40" s="13" t="n">
        <f aca="false">IF(CV$9=1,SUMIFS(dr_USD,dr_Mes,94,dr_Cod,"INT_P2",dr_Est,"&lt;&gt;Excluido"),CV$39*e_L2_Tasa/12*Calendario!CV$13)</f>
        <v>0</v>
      </c>
      <c r="CW40" s="13" t="n">
        <f aca="false">IF(CW$9=1,SUMIFS(dr_USD,dr_Mes,95,dr_Cod,"INT_P2",dr_Est,"&lt;&gt;Excluido"),CW$39*e_L2_Tasa/12*Calendario!CW$13)</f>
        <v>0</v>
      </c>
      <c r="CX40" s="13" t="n">
        <f aca="false">IF(CX$9=1,SUMIFS(dr_USD,dr_Mes,96,dr_Cod,"INT_P2",dr_Est,"&lt;&gt;Excluido"),CX$39*e_L2_Tasa/12*Calendario!CX$13)</f>
        <v>0</v>
      </c>
      <c r="CY40" s="13" t="n">
        <f aca="false">IF(CY$9=1,SUMIFS(dr_USD,dr_Mes,97,dr_Cod,"INT_P2",dr_Est,"&lt;&gt;Excluido"),CY$39*e_L2_Tasa/12*Calendario!CY$13)</f>
        <v>0</v>
      </c>
      <c r="CZ40" s="13" t="n">
        <f aca="false">IF(CZ$9=1,SUMIFS(dr_USD,dr_Mes,98,dr_Cod,"INT_P2",dr_Est,"&lt;&gt;Excluido"),CZ$39*e_L2_Tasa/12*Calendario!CZ$13)</f>
        <v>0</v>
      </c>
      <c r="DA40" s="13" t="n">
        <f aca="false">IF(DA$9=1,SUMIFS(dr_USD,dr_Mes,99,dr_Cod,"INT_P2",dr_Est,"&lt;&gt;Excluido"),DA$39*e_L2_Tasa/12*Calendario!DA$13)</f>
        <v>0</v>
      </c>
      <c r="DB40" s="13" t="n">
        <f aca="false">IF(DB$9=1,SUMIFS(dr_USD,dr_Mes,100,dr_Cod,"INT_P2",dr_Est,"&lt;&gt;Excluido"),DB$39*e_L2_Tasa/12*Calendario!DB$13)</f>
        <v>0</v>
      </c>
      <c r="DC40" s="13" t="n">
        <f aca="false">IF(DC$9=1,SUMIFS(dr_USD,dr_Mes,101,dr_Cod,"INT_P2",dr_Est,"&lt;&gt;Excluido"),DC$39*e_L2_Tasa/12*Calendario!DC$13)</f>
        <v>0</v>
      </c>
      <c r="DD40" s="13" t="n">
        <f aca="false">IF(DD$9=1,SUMIFS(dr_USD,dr_Mes,102,dr_Cod,"INT_P2",dr_Est,"&lt;&gt;Excluido"),DD$39*e_L2_Tasa/12*Calendario!DD$13)</f>
        <v>0</v>
      </c>
      <c r="DE40" s="13" t="n">
        <f aca="false">IF(DE$9=1,SUMIFS(dr_USD,dr_Mes,103,dr_Cod,"INT_P2",dr_Est,"&lt;&gt;Excluido"),DE$39*e_L2_Tasa/12*Calendario!DE$13)</f>
        <v>0</v>
      </c>
      <c r="DF40" s="13" t="n">
        <f aca="false">IF(DF$9=1,SUMIFS(dr_USD,dr_Mes,104,dr_Cod,"INT_P2",dr_Est,"&lt;&gt;Excluido"),DF$39*e_L2_Tasa/12*Calendario!DF$13)</f>
        <v>0</v>
      </c>
      <c r="DG40" s="13" t="n">
        <f aca="false">IF(DG$9=1,SUMIFS(dr_USD,dr_Mes,105,dr_Cod,"INT_P2",dr_Est,"&lt;&gt;Excluido"),DG$39*e_L2_Tasa/12*Calendario!DG$13)</f>
        <v>0</v>
      </c>
      <c r="DH40" s="13" t="n">
        <f aca="false">IF(DH$9=1,SUMIFS(dr_USD,dr_Mes,106,dr_Cod,"INT_P2",dr_Est,"&lt;&gt;Excluido"),DH$39*e_L2_Tasa/12*Calendario!DH$13)</f>
        <v>0</v>
      </c>
      <c r="DI40" s="13" t="n">
        <f aca="false">IF(DI$9=1,SUMIFS(dr_USD,dr_Mes,107,dr_Cod,"INT_P2",dr_Est,"&lt;&gt;Excluido"),DI$39*e_L2_Tasa/12*Calendario!DI$13)</f>
        <v>0</v>
      </c>
      <c r="DJ40" s="13" t="n">
        <f aca="false">IF(DJ$9=1,SUMIFS(dr_USD,dr_Mes,108,dr_Cod,"INT_P2",dr_Est,"&lt;&gt;Excluido"),DJ$39*e_L2_Tasa/12*Calendario!DJ$13)</f>
        <v>0</v>
      </c>
      <c r="DK40" s="13" t="n">
        <f aca="false">IF(DK$9=1,SUMIFS(dr_USD,dr_Mes,109,dr_Cod,"INT_P2",dr_Est,"&lt;&gt;Excluido"),DK$39*e_L2_Tasa/12*Calendario!DK$13)</f>
        <v>0</v>
      </c>
      <c r="DL40" s="13" t="n">
        <f aca="false">IF(DL$9=1,SUMIFS(dr_USD,dr_Mes,110,dr_Cod,"INT_P2",dr_Est,"&lt;&gt;Excluido"),DL$39*e_L2_Tasa/12*Calendario!DL$13)</f>
        <v>0</v>
      </c>
      <c r="DM40" s="13" t="n">
        <f aca="false">IF(DM$9=1,SUMIFS(dr_USD,dr_Mes,111,dr_Cod,"INT_P2",dr_Est,"&lt;&gt;Excluido"),DM$39*e_L2_Tasa/12*Calendario!DM$13)</f>
        <v>0</v>
      </c>
      <c r="DN40" s="13" t="n">
        <f aca="false">IF(DN$9=1,SUMIFS(dr_USD,dr_Mes,112,dr_Cod,"INT_P2",dr_Est,"&lt;&gt;Excluido"),DN$39*e_L2_Tasa/12*Calendario!DN$13)</f>
        <v>0</v>
      </c>
      <c r="DO40" s="13" t="n">
        <f aca="false">IF(DO$9=1,SUMIFS(dr_USD,dr_Mes,113,dr_Cod,"INT_P2",dr_Est,"&lt;&gt;Excluido"),DO$39*e_L2_Tasa/12*Calendario!DO$13)</f>
        <v>0</v>
      </c>
      <c r="DP40" s="13" t="n">
        <f aca="false">IF(DP$9=1,SUMIFS(dr_USD,dr_Mes,114,dr_Cod,"INT_P2",dr_Est,"&lt;&gt;Excluido"),DP$39*e_L2_Tasa/12*Calendario!DP$13)</f>
        <v>0</v>
      </c>
      <c r="DQ40" s="13" t="n">
        <f aca="false">IF(DQ$9=1,SUMIFS(dr_USD,dr_Mes,115,dr_Cod,"INT_P2",dr_Est,"&lt;&gt;Excluido"),DQ$39*e_L2_Tasa/12*Calendario!DQ$13)</f>
        <v>0</v>
      </c>
      <c r="DR40" s="13" t="n">
        <f aca="false">IF(DR$9=1,SUMIFS(dr_USD,dr_Mes,116,dr_Cod,"INT_P2",dr_Est,"&lt;&gt;Excluido"),DR$39*e_L2_Tasa/12*Calendario!DR$13)</f>
        <v>0</v>
      </c>
      <c r="DS40" s="13" t="n">
        <f aca="false">IF(DS$9=1,SUMIFS(dr_USD,dr_Mes,117,dr_Cod,"INT_P2",dr_Est,"&lt;&gt;Excluido"),DS$39*e_L2_Tasa/12*Calendario!DS$13)</f>
        <v>0</v>
      </c>
      <c r="DT40" s="13" t="n">
        <f aca="false">IF(DT$9=1,SUMIFS(dr_USD,dr_Mes,118,dr_Cod,"INT_P2",dr_Est,"&lt;&gt;Excluido"),DT$39*e_L2_Tasa/12*Calendario!DT$13)</f>
        <v>0</v>
      </c>
      <c r="DU40" s="13" t="n">
        <f aca="false">IF(DU$9=1,SUMIFS(dr_USD,dr_Mes,119,dr_Cod,"INT_P2",dr_Est,"&lt;&gt;Excluido"),DU$39*e_L2_Tasa/12*Calendario!DU$13)</f>
        <v>0</v>
      </c>
      <c r="DV40" s="13" t="n">
        <f aca="false">IF(DV$9=1,SUMIFS(dr_USD,dr_Mes,120,dr_Cod,"INT_P2",dr_Est,"&lt;&gt;Excluido"),DV$39*e_L2_Tasa/12*Calendario!DV$13)</f>
        <v>0</v>
      </c>
      <c r="DW40" s="13" t="n">
        <f aca="false">IF(DW$9=1,SUMIFS(dr_USD,dr_Mes,121,dr_Cod,"INT_P2",dr_Est,"&lt;&gt;Excluido"),DW$39*e_L2_Tasa/12*Calendario!DW$13)</f>
        <v>0</v>
      </c>
      <c r="DX40" s="13" t="n">
        <f aca="false">IF(DX$9=1,SUMIFS(dr_USD,dr_Mes,122,dr_Cod,"INT_P2",dr_Est,"&lt;&gt;Excluido"),DX$39*e_L2_Tasa/12*Calendario!DX$13)</f>
        <v>0</v>
      </c>
      <c r="DY40" s="13" t="n">
        <f aca="false">IF(DY$9=1,SUMIFS(dr_USD,dr_Mes,123,dr_Cod,"INT_P2",dr_Est,"&lt;&gt;Excluido"),DY$39*e_L2_Tasa/12*Calendario!DY$13)</f>
        <v>0</v>
      </c>
      <c r="DZ40" s="13" t="n">
        <f aca="false">IF(DZ$9=1,SUMIFS(dr_USD,dr_Mes,124,dr_Cod,"INT_P2",dr_Est,"&lt;&gt;Excluido"),DZ$39*e_L2_Tasa/12*Calendario!DZ$13)</f>
        <v>0</v>
      </c>
      <c r="EA40" s="13" t="n">
        <f aca="false">IF(EA$9=1,SUMIFS(dr_USD,dr_Mes,125,dr_Cod,"INT_P2",dr_Est,"&lt;&gt;Excluido"),EA$39*e_L2_Tasa/12*Calendario!EA$13)</f>
        <v>0</v>
      </c>
      <c r="EB40" s="13" t="n">
        <f aca="false">IF(EB$9=1,SUMIFS(dr_USD,dr_Mes,126,dr_Cod,"INT_P2",dr_Est,"&lt;&gt;Excluido"),EB$39*e_L2_Tasa/12*Calendario!EB$13)</f>
        <v>0</v>
      </c>
      <c r="EC40" s="13" t="n">
        <f aca="false">IF(EC$9=1,SUMIFS(dr_USD,dr_Mes,127,dr_Cod,"INT_P2",dr_Est,"&lt;&gt;Excluido"),EC$39*e_L2_Tasa/12*Calendario!EC$13)</f>
        <v>0</v>
      </c>
      <c r="ED40" s="13" t="n">
        <f aca="false">IF(ED$9=1,SUMIFS(dr_USD,dr_Mes,128,dr_Cod,"INT_P2",dr_Est,"&lt;&gt;Excluido"),ED$39*e_L2_Tasa/12*Calendario!ED$13)</f>
        <v>0</v>
      </c>
      <c r="EE40" s="13" t="n">
        <f aca="false">IF(EE$9=1,SUMIFS(dr_USD,dr_Mes,129,dr_Cod,"INT_P2",dr_Est,"&lt;&gt;Excluido"),EE$39*e_L2_Tasa/12*Calendario!EE$13)</f>
        <v>0</v>
      </c>
      <c r="EF40" s="13" t="n">
        <f aca="false">IF(EF$9=1,SUMIFS(dr_USD,dr_Mes,130,dr_Cod,"INT_P2",dr_Est,"&lt;&gt;Excluido"),EF$39*e_L2_Tasa/12*Calendario!EF$13)</f>
        <v>0</v>
      </c>
      <c r="EG40" s="13" t="n">
        <f aca="false">IF(EG$9=1,SUMIFS(dr_USD,dr_Mes,131,dr_Cod,"INT_P2",dr_Est,"&lt;&gt;Excluido"),EG$39*e_L2_Tasa/12*Calendario!EG$13)</f>
        <v>0</v>
      </c>
      <c r="EH40" s="13" t="n">
        <f aca="false">IF(EH$9=1,SUMIFS(dr_USD,dr_Mes,132,dr_Cod,"INT_P2",dr_Est,"&lt;&gt;Excluido"),EH$39*e_L2_Tasa/12*Calendario!EH$13)</f>
        <v>0</v>
      </c>
      <c r="EI40" s="13" t="n">
        <f aca="false">IF(EI$9=1,SUMIFS(dr_USD,dr_Mes,133,dr_Cod,"INT_P2",dr_Est,"&lt;&gt;Excluido"),EI$39*e_L2_Tasa/12*Calendario!EI$13)</f>
        <v>0</v>
      </c>
      <c r="EJ40" s="13" t="n">
        <f aca="false">IF(EJ$9=1,SUMIFS(dr_USD,dr_Mes,134,dr_Cod,"INT_P2",dr_Est,"&lt;&gt;Excluido"),EJ$39*e_L2_Tasa/12*Calendario!EJ$13)</f>
        <v>0</v>
      </c>
      <c r="EK40" s="13" t="n">
        <f aca="false">IF(EK$9=1,SUMIFS(dr_USD,dr_Mes,135,dr_Cod,"INT_P2",dr_Est,"&lt;&gt;Excluido"),EK$39*e_L2_Tasa/12*Calendario!EK$13)</f>
        <v>0</v>
      </c>
      <c r="EL40" s="13" t="n">
        <f aca="false">IF(EL$9=1,SUMIFS(dr_USD,dr_Mes,136,dr_Cod,"INT_P2",dr_Est,"&lt;&gt;Excluido"),EL$39*e_L2_Tasa/12*Calendario!EL$13)</f>
        <v>0</v>
      </c>
      <c r="EM40" s="13" t="n">
        <f aca="false">IF(EM$9=1,SUMIFS(dr_USD,dr_Mes,137,dr_Cod,"INT_P2",dr_Est,"&lt;&gt;Excluido"),EM$39*e_L2_Tasa/12*Calendario!EM$13)</f>
        <v>0</v>
      </c>
      <c r="EN40" s="13" t="n">
        <f aca="false">IF(EN$9=1,SUMIFS(dr_USD,dr_Mes,138,dr_Cod,"INT_P2",dr_Est,"&lt;&gt;Excluido"),EN$39*e_L2_Tasa/12*Calendario!EN$13)</f>
        <v>0</v>
      </c>
      <c r="EO40" s="13" t="n">
        <f aca="false">IF(EO$9=1,SUMIFS(dr_USD,dr_Mes,139,dr_Cod,"INT_P2",dr_Est,"&lt;&gt;Excluido"),EO$39*e_L2_Tasa/12*Calendario!EO$13)</f>
        <v>0</v>
      </c>
      <c r="EP40" s="13" t="n">
        <f aca="false">IF(EP$9=1,SUMIFS(dr_USD,dr_Mes,140,dr_Cod,"INT_P2",dr_Est,"&lt;&gt;Excluido"),EP$39*e_L2_Tasa/12*Calendario!EP$13)</f>
        <v>0</v>
      </c>
      <c r="EQ40" s="13" t="n">
        <f aca="false">IF(EQ$9=1,SUMIFS(dr_USD,dr_Mes,141,dr_Cod,"INT_P2",dr_Est,"&lt;&gt;Excluido"),EQ$39*e_L2_Tasa/12*Calendario!EQ$13)</f>
        <v>0</v>
      </c>
      <c r="ER40" s="13" t="n">
        <f aca="false">IF(ER$9=1,SUMIFS(dr_USD,dr_Mes,142,dr_Cod,"INT_P2",dr_Est,"&lt;&gt;Excluido"),ER$39*e_L2_Tasa/12*Calendario!ER$13)</f>
        <v>0</v>
      </c>
      <c r="ES40" s="13" t="n">
        <f aca="false">IF(ES$9=1,SUMIFS(dr_USD,dr_Mes,143,dr_Cod,"INT_P2",dr_Est,"&lt;&gt;Excluido"),ES$39*e_L2_Tasa/12*Calendario!ES$13)</f>
        <v>0</v>
      </c>
      <c r="ET40" s="13" t="n">
        <f aca="false">IF(ET$9=1,SUMIFS(dr_USD,dr_Mes,144,dr_Cod,"INT_P2",dr_Est,"&lt;&gt;Excluido"),ET$39*e_L2_Tasa/12*Calendario!ET$13)</f>
        <v>0</v>
      </c>
      <c r="EU40" s="13" t="n">
        <f aca="false">IF(EU$9=1,SUMIFS(dr_USD,dr_Mes,145,dr_Cod,"INT_P2",dr_Est,"&lt;&gt;Excluido"),EU$39*e_L2_Tasa/12*Calendario!EU$13)</f>
        <v>0</v>
      </c>
      <c r="EV40" s="13" t="n">
        <f aca="false">IF(EV$9=1,SUMIFS(dr_USD,dr_Mes,146,dr_Cod,"INT_P2",dr_Est,"&lt;&gt;Excluido"),EV$39*e_L2_Tasa/12*Calendario!EV$13)</f>
        <v>0</v>
      </c>
      <c r="EW40" s="13" t="n">
        <f aca="false">IF(EW$9=1,SUMIFS(dr_USD,dr_Mes,147,dr_Cod,"INT_P2",dr_Est,"&lt;&gt;Excluido"),EW$39*e_L2_Tasa/12*Calendario!EW$13)</f>
        <v>0</v>
      </c>
      <c r="EX40" s="13" t="n">
        <f aca="false">IF(EX$9=1,SUMIFS(dr_USD,dr_Mes,148,dr_Cod,"INT_P2",dr_Est,"&lt;&gt;Excluido"),EX$39*e_L2_Tasa/12*Calendario!EX$13)</f>
        <v>0</v>
      </c>
      <c r="EY40" s="13" t="n">
        <f aca="false">IF(EY$9=1,SUMIFS(dr_USD,dr_Mes,149,dr_Cod,"INT_P2",dr_Est,"&lt;&gt;Excluido"),EY$39*e_L2_Tasa/12*Calendario!EY$13)</f>
        <v>0</v>
      </c>
      <c r="EZ40" s="13" t="n">
        <f aca="false">IF(EZ$9=1,SUMIFS(dr_USD,dr_Mes,150,dr_Cod,"INT_P2",dr_Est,"&lt;&gt;Excluido"),EZ$39*e_L2_Tasa/12*Calendario!EZ$13)</f>
        <v>0</v>
      </c>
      <c r="FA40" s="13" t="n">
        <f aca="false">IF(FA$9=1,SUMIFS(dr_USD,dr_Mes,151,dr_Cod,"INT_P2",dr_Est,"&lt;&gt;Excluido"),FA$39*e_L2_Tasa/12*Calendario!FA$13)</f>
        <v>0</v>
      </c>
      <c r="FB40" s="13" t="n">
        <f aca="false">IF(FB$9=1,SUMIFS(dr_USD,dr_Mes,152,dr_Cod,"INT_P2",dr_Est,"&lt;&gt;Excluido"),FB$39*e_L2_Tasa/12*Calendario!FB$13)</f>
        <v>0</v>
      </c>
      <c r="FC40" s="13" t="n">
        <f aca="false">IF(FC$9=1,SUMIFS(dr_USD,dr_Mes,153,dr_Cod,"INT_P2",dr_Est,"&lt;&gt;Excluido"),FC$39*e_L2_Tasa/12*Calendario!FC$13)</f>
        <v>0</v>
      </c>
      <c r="FD40" s="13" t="n">
        <f aca="false">IF(FD$9=1,SUMIFS(dr_USD,dr_Mes,154,dr_Cod,"INT_P2",dr_Est,"&lt;&gt;Excluido"),FD$39*e_L2_Tasa/12*Calendario!FD$13)</f>
        <v>0</v>
      </c>
      <c r="FE40" s="13" t="n">
        <f aca="false">IF(FE$9=1,SUMIFS(dr_USD,dr_Mes,155,dr_Cod,"INT_P2",dr_Est,"&lt;&gt;Excluido"),FE$39*e_L2_Tasa/12*Calendario!FE$13)</f>
        <v>0</v>
      </c>
      <c r="FF40" s="13" t="n">
        <f aca="false">IF(FF$9=1,SUMIFS(dr_USD,dr_Mes,156,dr_Cod,"INT_P2",dr_Est,"&lt;&gt;Excluido"),FF$39*e_L2_Tasa/12*Calendario!FF$13)</f>
        <v>0</v>
      </c>
    </row>
    <row r="41" customFormat="false" ht="15" hidden="false" customHeight="false" outlineLevel="0" collapsed="false">
      <c r="A41" s="2" t="s">
        <v>1430</v>
      </c>
      <c r="B41" s="8" t="s">
        <v>1411</v>
      </c>
      <c r="C41" s="8" t="s">
        <v>255</v>
      </c>
      <c r="E41" s="65" t="n">
        <f aca="false">SUM($F41:$FF41)</f>
        <v>0</v>
      </c>
      <c r="F41" s="13" t="n">
        <f aca="false">IF(F$9=1,SUMIFS(dr_USD,dr_Mes,0,dr_Cod,"AMORT_P2",dr_Est,"&lt;&gt;Excluido"),IF(F$35&lt;=e_L2_Gracia,0,IF(F$35&gt;=e_L2_Gracia+e_L2_Cuotas,F$39,MIN(F$39,F$37)))*Calendario!F$13)</f>
        <v>0</v>
      </c>
      <c r="G41" s="13" t="n">
        <f aca="false">IF(G$9=1,SUMIFS(dr_USD,dr_Mes,1,dr_Cod,"AMORT_P2",dr_Est,"&lt;&gt;Excluido"),IF(G$35&lt;=e_L2_Gracia,0,IF(G$35&gt;=e_L2_Gracia+e_L2_Cuotas,G$39,MIN(G$39,G$37)))*Calendario!G$13)</f>
        <v>0</v>
      </c>
      <c r="H41" s="13" t="n">
        <f aca="false">IF(H$9=1,SUMIFS(dr_USD,dr_Mes,2,dr_Cod,"AMORT_P2",dr_Est,"&lt;&gt;Excluido"),IF(H$35&lt;=e_L2_Gracia,0,IF(H$35&gt;=e_L2_Gracia+e_L2_Cuotas,H$39,MIN(H$39,H$37)))*Calendario!H$13)</f>
        <v>0</v>
      </c>
      <c r="I41" s="13" t="n">
        <f aca="false">IF(I$9=1,SUMIFS(dr_USD,dr_Mes,3,dr_Cod,"AMORT_P2",dr_Est,"&lt;&gt;Excluido"),IF(I$35&lt;=e_L2_Gracia,0,IF(I$35&gt;=e_L2_Gracia+e_L2_Cuotas,I$39,MIN(I$39,I$37)))*Calendario!I$13)</f>
        <v>0</v>
      </c>
      <c r="J41" s="13" t="n">
        <f aca="false">IF(J$9=1,SUMIFS(dr_USD,dr_Mes,4,dr_Cod,"AMORT_P2",dr_Est,"&lt;&gt;Excluido"),IF(J$35&lt;=e_L2_Gracia,0,IF(J$35&gt;=e_L2_Gracia+e_L2_Cuotas,J$39,MIN(J$39,J$37)))*Calendario!J$13)</f>
        <v>0</v>
      </c>
      <c r="K41" s="13" t="n">
        <f aca="false">IF(K$9=1,SUMIFS(dr_USD,dr_Mes,5,dr_Cod,"AMORT_P2",dr_Est,"&lt;&gt;Excluido"),IF(K$35&lt;=e_L2_Gracia,0,IF(K$35&gt;=e_L2_Gracia+e_L2_Cuotas,K$39,MIN(K$39,K$37)))*Calendario!K$13)</f>
        <v>0</v>
      </c>
      <c r="L41" s="13" t="n">
        <f aca="false">IF(L$9=1,SUMIFS(dr_USD,dr_Mes,6,dr_Cod,"AMORT_P2",dr_Est,"&lt;&gt;Excluido"),IF(L$35&lt;=e_L2_Gracia,0,IF(L$35&gt;=e_L2_Gracia+e_L2_Cuotas,L$39,MIN(L$39,L$37)))*Calendario!L$13)</f>
        <v>0</v>
      </c>
      <c r="M41" s="13" t="n">
        <f aca="false">IF(M$9=1,SUMIFS(dr_USD,dr_Mes,7,dr_Cod,"AMORT_P2",dr_Est,"&lt;&gt;Excluido"),IF(M$35&lt;=e_L2_Gracia,0,IF(M$35&gt;=e_L2_Gracia+e_L2_Cuotas,M$39,MIN(M$39,M$37)))*Calendario!M$13)</f>
        <v>0</v>
      </c>
      <c r="N41" s="13" t="n">
        <f aca="false">IF(N$9=1,SUMIFS(dr_USD,dr_Mes,8,dr_Cod,"AMORT_P2",dr_Est,"&lt;&gt;Excluido"),IF(N$35&lt;=e_L2_Gracia,0,IF(N$35&gt;=e_L2_Gracia+e_L2_Cuotas,N$39,MIN(N$39,N$37)))*Calendario!N$13)</f>
        <v>0</v>
      </c>
      <c r="O41" s="13" t="n">
        <f aca="false">IF(O$9=1,SUMIFS(dr_USD,dr_Mes,9,dr_Cod,"AMORT_P2",dr_Est,"&lt;&gt;Excluido"),IF(O$35&lt;=e_L2_Gracia,0,IF(O$35&gt;=e_L2_Gracia+e_L2_Cuotas,O$39,MIN(O$39,O$37)))*Calendario!O$13)</f>
        <v>0</v>
      </c>
      <c r="P41" s="13" t="n">
        <f aca="false">IF(P$9=1,SUMIFS(dr_USD,dr_Mes,10,dr_Cod,"AMORT_P2",dr_Est,"&lt;&gt;Excluido"),IF(P$35&lt;=e_L2_Gracia,0,IF(P$35&gt;=e_L2_Gracia+e_L2_Cuotas,P$39,MIN(P$39,P$37)))*Calendario!P$13)</f>
        <v>0</v>
      </c>
      <c r="Q41" s="13" t="n">
        <f aca="false">IF(Q$9=1,SUMIFS(dr_USD,dr_Mes,11,dr_Cod,"AMORT_P2",dr_Est,"&lt;&gt;Excluido"),IF(Q$35&lt;=e_L2_Gracia,0,IF(Q$35&gt;=e_L2_Gracia+e_L2_Cuotas,Q$39,MIN(Q$39,Q$37)))*Calendario!Q$13)</f>
        <v>0</v>
      </c>
      <c r="R41" s="13" t="n">
        <f aca="false">IF(R$9=1,SUMIFS(dr_USD,dr_Mes,12,dr_Cod,"AMORT_P2",dr_Est,"&lt;&gt;Excluido"),IF(R$35&lt;=e_L2_Gracia,0,IF(R$35&gt;=e_L2_Gracia+e_L2_Cuotas,R$39,MIN(R$39,R$37)))*Calendario!R$13)</f>
        <v>0</v>
      </c>
      <c r="S41" s="13" t="n">
        <f aca="false">IF(S$9=1,SUMIFS(dr_USD,dr_Mes,13,dr_Cod,"AMORT_P2",dr_Est,"&lt;&gt;Excluido"),IF(S$35&lt;=e_L2_Gracia,0,IF(S$35&gt;=e_L2_Gracia+e_L2_Cuotas,S$39,MIN(S$39,S$37)))*Calendario!S$13)</f>
        <v>-0</v>
      </c>
      <c r="T41" s="13" t="n">
        <f aca="false">IF(T$9=1,SUMIFS(dr_USD,dr_Mes,14,dr_Cod,"AMORT_P2",dr_Est,"&lt;&gt;Excluido"),IF(T$35&lt;=e_L2_Gracia,0,IF(T$35&gt;=e_L2_Gracia+e_L2_Cuotas,T$39,MIN(T$39,T$37)))*Calendario!T$13)</f>
        <v>-0</v>
      </c>
      <c r="U41" s="13" t="n">
        <f aca="false">IF(U$9=1,SUMIFS(dr_USD,dr_Mes,15,dr_Cod,"AMORT_P2",dr_Est,"&lt;&gt;Excluido"),IF(U$35&lt;=e_L2_Gracia,0,IF(U$35&gt;=e_L2_Gracia+e_L2_Cuotas,U$39,MIN(U$39,U$37)))*Calendario!U$13)</f>
        <v>-0</v>
      </c>
      <c r="V41" s="13" t="n">
        <f aca="false">IF(V$9=1,SUMIFS(dr_USD,dr_Mes,16,dr_Cod,"AMORT_P2",dr_Est,"&lt;&gt;Excluido"),IF(V$35&lt;=e_L2_Gracia,0,IF(V$35&gt;=e_L2_Gracia+e_L2_Cuotas,V$39,MIN(V$39,V$37)))*Calendario!V$13)</f>
        <v>-0</v>
      </c>
      <c r="W41" s="13" t="n">
        <f aca="false">IF(W$9=1,SUMIFS(dr_USD,dr_Mes,17,dr_Cod,"AMORT_P2",dr_Est,"&lt;&gt;Excluido"),IF(W$35&lt;=e_L2_Gracia,0,IF(W$35&gt;=e_L2_Gracia+e_L2_Cuotas,W$39,MIN(W$39,W$37)))*Calendario!W$13)</f>
        <v>-0</v>
      </c>
      <c r="X41" s="13" t="n">
        <f aca="false">IF(X$9=1,SUMIFS(dr_USD,dr_Mes,18,dr_Cod,"AMORT_P2",dr_Est,"&lt;&gt;Excluido"),IF(X$35&lt;=e_L2_Gracia,0,IF(X$35&gt;=e_L2_Gracia+e_L2_Cuotas,X$39,MIN(X$39,X$37)))*Calendario!X$13)</f>
        <v>-0</v>
      </c>
      <c r="Y41" s="13" t="n">
        <f aca="false">IF(Y$9=1,SUMIFS(dr_USD,dr_Mes,19,dr_Cod,"AMORT_P2",dr_Est,"&lt;&gt;Excluido"),IF(Y$35&lt;=e_L2_Gracia,0,IF(Y$35&gt;=e_L2_Gracia+e_L2_Cuotas,Y$39,MIN(Y$39,Y$37)))*Calendario!Y$13)</f>
        <v>-0</v>
      </c>
      <c r="Z41" s="13" t="n">
        <f aca="false">IF(Z$9=1,SUMIFS(dr_USD,dr_Mes,20,dr_Cod,"AMORT_P2",dr_Est,"&lt;&gt;Excluido"),IF(Z$35&lt;=e_L2_Gracia,0,IF(Z$35&gt;=e_L2_Gracia+e_L2_Cuotas,Z$39,MIN(Z$39,Z$37)))*Calendario!Z$13)</f>
        <v>-0</v>
      </c>
      <c r="AA41" s="13" t="n">
        <f aca="false">IF(AA$9=1,SUMIFS(dr_USD,dr_Mes,21,dr_Cod,"AMORT_P2",dr_Est,"&lt;&gt;Excluido"),IF(AA$35&lt;=e_L2_Gracia,0,IF(AA$35&gt;=e_L2_Gracia+e_L2_Cuotas,AA$39,MIN(AA$39,AA$37)))*Calendario!AA$13)</f>
        <v>-0</v>
      </c>
      <c r="AB41" s="13" t="n">
        <f aca="false">IF(AB$9=1,SUMIFS(dr_USD,dr_Mes,22,dr_Cod,"AMORT_P2",dr_Est,"&lt;&gt;Excluido"),IF(AB$35&lt;=e_L2_Gracia,0,IF(AB$35&gt;=e_L2_Gracia+e_L2_Cuotas,AB$39,MIN(AB$39,AB$37)))*Calendario!AB$13)</f>
        <v>-0</v>
      </c>
      <c r="AC41" s="13" t="n">
        <f aca="false">IF(AC$9=1,SUMIFS(dr_USD,dr_Mes,23,dr_Cod,"AMORT_P2",dr_Est,"&lt;&gt;Excluido"),IF(AC$35&lt;=e_L2_Gracia,0,IF(AC$35&gt;=e_L2_Gracia+e_L2_Cuotas,AC$39,MIN(AC$39,AC$37)))*Calendario!AC$13)</f>
        <v>-0</v>
      </c>
      <c r="AD41" s="13" t="n">
        <f aca="false">IF(AD$9=1,SUMIFS(dr_USD,dr_Mes,24,dr_Cod,"AMORT_P2",dr_Est,"&lt;&gt;Excluido"),IF(AD$35&lt;=e_L2_Gracia,0,IF(AD$35&gt;=e_L2_Gracia+e_L2_Cuotas,AD$39,MIN(AD$39,AD$37)))*Calendario!AD$13)</f>
        <v>-0</v>
      </c>
      <c r="AE41" s="13" t="n">
        <f aca="false">IF(AE$9=1,SUMIFS(dr_USD,dr_Mes,25,dr_Cod,"AMORT_P2",dr_Est,"&lt;&gt;Excluido"),IF(AE$35&lt;=e_L2_Gracia,0,IF(AE$35&gt;=e_L2_Gracia+e_L2_Cuotas,AE$39,MIN(AE$39,AE$37)))*Calendario!AE$13)</f>
        <v>-0</v>
      </c>
      <c r="AF41" s="13" t="n">
        <f aca="false">IF(AF$9=1,SUMIFS(dr_USD,dr_Mes,26,dr_Cod,"AMORT_P2",dr_Est,"&lt;&gt;Excluido"),IF(AF$35&lt;=e_L2_Gracia,0,IF(AF$35&gt;=e_L2_Gracia+e_L2_Cuotas,AF$39,MIN(AF$39,AF$37)))*Calendario!AF$13)</f>
        <v>-0</v>
      </c>
      <c r="AG41" s="13" t="n">
        <f aca="false">IF(AG$9=1,SUMIFS(dr_USD,dr_Mes,27,dr_Cod,"AMORT_P2",dr_Est,"&lt;&gt;Excluido"),IF(AG$35&lt;=e_L2_Gracia,0,IF(AG$35&gt;=e_L2_Gracia+e_L2_Cuotas,AG$39,MIN(AG$39,AG$37)))*Calendario!AG$13)</f>
        <v>-0</v>
      </c>
      <c r="AH41" s="13" t="n">
        <f aca="false">IF(AH$9=1,SUMIFS(dr_USD,dr_Mes,28,dr_Cod,"AMORT_P2",dr_Est,"&lt;&gt;Excluido"),IF(AH$35&lt;=e_L2_Gracia,0,IF(AH$35&gt;=e_L2_Gracia+e_L2_Cuotas,AH$39,MIN(AH$39,AH$37)))*Calendario!AH$13)</f>
        <v>-0</v>
      </c>
      <c r="AI41" s="13" t="n">
        <f aca="false">IF(AI$9=1,SUMIFS(dr_USD,dr_Mes,29,dr_Cod,"AMORT_P2",dr_Est,"&lt;&gt;Excluido"),IF(AI$35&lt;=e_L2_Gracia,0,IF(AI$35&gt;=e_L2_Gracia+e_L2_Cuotas,AI$39,MIN(AI$39,AI$37)))*Calendario!AI$13)</f>
        <v>-0</v>
      </c>
      <c r="AJ41" s="13" t="n">
        <f aca="false">IF(AJ$9=1,SUMIFS(dr_USD,dr_Mes,30,dr_Cod,"AMORT_P2",dr_Est,"&lt;&gt;Excluido"),IF(AJ$35&lt;=e_L2_Gracia,0,IF(AJ$35&gt;=e_L2_Gracia+e_L2_Cuotas,AJ$39,MIN(AJ$39,AJ$37)))*Calendario!AJ$13)</f>
        <v>-0</v>
      </c>
      <c r="AK41" s="13" t="n">
        <f aca="false">IF(AK$9=1,SUMIFS(dr_USD,dr_Mes,31,dr_Cod,"AMORT_P2",dr_Est,"&lt;&gt;Excluido"),IF(AK$35&lt;=e_L2_Gracia,0,IF(AK$35&gt;=e_L2_Gracia+e_L2_Cuotas,AK$39,MIN(AK$39,AK$37)))*Calendario!AK$13)</f>
        <v>-0</v>
      </c>
      <c r="AL41" s="13" t="n">
        <f aca="false">IF(AL$9=1,SUMIFS(dr_USD,dr_Mes,32,dr_Cod,"AMORT_P2",dr_Est,"&lt;&gt;Excluido"),IF(AL$35&lt;=e_L2_Gracia,0,IF(AL$35&gt;=e_L2_Gracia+e_L2_Cuotas,AL$39,MIN(AL$39,AL$37)))*Calendario!AL$13)</f>
        <v>-0</v>
      </c>
      <c r="AM41" s="13" t="n">
        <f aca="false">IF(AM$9=1,SUMIFS(dr_USD,dr_Mes,33,dr_Cod,"AMORT_P2",dr_Est,"&lt;&gt;Excluido"),IF(AM$35&lt;=e_L2_Gracia,0,IF(AM$35&gt;=e_L2_Gracia+e_L2_Cuotas,AM$39,MIN(AM$39,AM$37)))*Calendario!AM$13)</f>
        <v>-0</v>
      </c>
      <c r="AN41" s="13" t="n">
        <f aca="false">IF(AN$9=1,SUMIFS(dr_USD,dr_Mes,34,dr_Cod,"AMORT_P2",dr_Est,"&lt;&gt;Excluido"),IF(AN$35&lt;=e_L2_Gracia,0,IF(AN$35&gt;=e_L2_Gracia+e_L2_Cuotas,AN$39,MIN(AN$39,AN$37)))*Calendario!AN$13)</f>
        <v>-0</v>
      </c>
      <c r="AO41" s="13" t="n">
        <f aca="false">IF(AO$9=1,SUMIFS(dr_USD,dr_Mes,35,dr_Cod,"AMORT_P2",dr_Est,"&lt;&gt;Excluido"),IF(AO$35&lt;=e_L2_Gracia,0,IF(AO$35&gt;=e_L2_Gracia+e_L2_Cuotas,AO$39,MIN(AO$39,AO$37)))*Calendario!AO$13)</f>
        <v>-0</v>
      </c>
      <c r="AP41" s="13" t="n">
        <f aca="false">IF(AP$9=1,SUMIFS(dr_USD,dr_Mes,36,dr_Cod,"AMORT_P2",dr_Est,"&lt;&gt;Excluido"),IF(AP$35&lt;=e_L2_Gracia,0,IF(AP$35&gt;=e_L2_Gracia+e_L2_Cuotas,AP$39,MIN(AP$39,AP$37)))*Calendario!AP$13)</f>
        <v>-0</v>
      </c>
      <c r="AQ41" s="13" t="n">
        <f aca="false">IF(AQ$9=1,SUMIFS(dr_USD,dr_Mes,37,dr_Cod,"AMORT_P2",dr_Est,"&lt;&gt;Excluido"),IF(AQ$35&lt;=e_L2_Gracia,0,IF(AQ$35&gt;=e_L2_Gracia+e_L2_Cuotas,AQ$39,MIN(AQ$39,AQ$37)))*Calendario!AQ$13)</f>
        <v>-0</v>
      </c>
      <c r="AR41" s="13" t="n">
        <f aca="false">IF(AR$9=1,SUMIFS(dr_USD,dr_Mes,38,dr_Cod,"AMORT_P2",dr_Est,"&lt;&gt;Excluido"),IF(AR$35&lt;=e_L2_Gracia,0,IF(AR$35&gt;=e_L2_Gracia+e_L2_Cuotas,AR$39,MIN(AR$39,AR$37)))*Calendario!AR$13)</f>
        <v>-0</v>
      </c>
      <c r="AS41" s="13" t="n">
        <f aca="false">IF(AS$9=1,SUMIFS(dr_USD,dr_Mes,39,dr_Cod,"AMORT_P2",dr_Est,"&lt;&gt;Excluido"),IF(AS$35&lt;=e_L2_Gracia,0,IF(AS$35&gt;=e_L2_Gracia+e_L2_Cuotas,AS$39,MIN(AS$39,AS$37)))*Calendario!AS$13)</f>
        <v>-0</v>
      </c>
      <c r="AT41" s="13" t="n">
        <f aca="false">IF(AT$9=1,SUMIFS(dr_USD,dr_Mes,40,dr_Cod,"AMORT_P2",dr_Est,"&lt;&gt;Excluido"),IF(AT$35&lt;=e_L2_Gracia,0,IF(AT$35&gt;=e_L2_Gracia+e_L2_Cuotas,AT$39,MIN(AT$39,AT$37)))*Calendario!AT$13)</f>
        <v>-0</v>
      </c>
      <c r="AU41" s="13" t="n">
        <f aca="false">IF(AU$9=1,SUMIFS(dr_USD,dr_Mes,41,dr_Cod,"AMORT_P2",dr_Est,"&lt;&gt;Excluido"),IF(AU$35&lt;=e_L2_Gracia,0,IF(AU$35&gt;=e_L2_Gracia+e_L2_Cuotas,AU$39,MIN(AU$39,AU$37)))*Calendario!AU$13)</f>
        <v>-0</v>
      </c>
      <c r="AV41" s="13" t="n">
        <f aca="false">IF(AV$9=1,SUMIFS(dr_USD,dr_Mes,42,dr_Cod,"AMORT_P2",dr_Est,"&lt;&gt;Excluido"),IF(AV$35&lt;=e_L2_Gracia,0,IF(AV$35&gt;=e_L2_Gracia+e_L2_Cuotas,AV$39,MIN(AV$39,AV$37)))*Calendario!AV$13)</f>
        <v>-0</v>
      </c>
      <c r="AW41" s="13" t="n">
        <f aca="false">IF(AW$9=1,SUMIFS(dr_USD,dr_Mes,43,dr_Cod,"AMORT_P2",dr_Est,"&lt;&gt;Excluido"),IF(AW$35&lt;=e_L2_Gracia,0,IF(AW$35&gt;=e_L2_Gracia+e_L2_Cuotas,AW$39,MIN(AW$39,AW$37)))*Calendario!AW$13)</f>
        <v>-0</v>
      </c>
      <c r="AX41" s="13" t="n">
        <f aca="false">IF(AX$9=1,SUMIFS(dr_USD,dr_Mes,44,dr_Cod,"AMORT_P2",dr_Est,"&lt;&gt;Excluido"),IF(AX$35&lt;=e_L2_Gracia,0,IF(AX$35&gt;=e_L2_Gracia+e_L2_Cuotas,AX$39,MIN(AX$39,AX$37)))*Calendario!AX$13)</f>
        <v>-0</v>
      </c>
      <c r="AY41" s="13" t="n">
        <f aca="false">IF(AY$9=1,SUMIFS(dr_USD,dr_Mes,45,dr_Cod,"AMORT_P2",dr_Est,"&lt;&gt;Excluido"),IF(AY$35&lt;=e_L2_Gracia,0,IF(AY$35&gt;=e_L2_Gracia+e_L2_Cuotas,AY$39,MIN(AY$39,AY$37)))*Calendario!AY$13)</f>
        <v>-0</v>
      </c>
      <c r="AZ41" s="13" t="n">
        <f aca="false">IF(AZ$9=1,SUMIFS(dr_USD,dr_Mes,46,dr_Cod,"AMORT_P2",dr_Est,"&lt;&gt;Excluido"),IF(AZ$35&lt;=e_L2_Gracia,0,IF(AZ$35&gt;=e_L2_Gracia+e_L2_Cuotas,AZ$39,MIN(AZ$39,AZ$37)))*Calendario!AZ$13)</f>
        <v>-0</v>
      </c>
      <c r="BA41" s="13" t="n">
        <f aca="false">IF(BA$9=1,SUMIFS(dr_USD,dr_Mes,47,dr_Cod,"AMORT_P2",dr_Est,"&lt;&gt;Excluido"),IF(BA$35&lt;=e_L2_Gracia,0,IF(BA$35&gt;=e_L2_Gracia+e_L2_Cuotas,BA$39,MIN(BA$39,BA$37)))*Calendario!BA$13)</f>
        <v>-0</v>
      </c>
      <c r="BB41" s="13" t="n">
        <f aca="false">IF(BB$9=1,SUMIFS(dr_USD,dr_Mes,48,dr_Cod,"AMORT_P2",dr_Est,"&lt;&gt;Excluido"),IF(BB$35&lt;=e_L2_Gracia,0,IF(BB$35&gt;=e_L2_Gracia+e_L2_Cuotas,BB$39,MIN(BB$39,BB$37)))*Calendario!BB$13)</f>
        <v>0</v>
      </c>
      <c r="BC41" s="13" t="n">
        <f aca="false">IF(BC$9=1,SUMIFS(dr_USD,dr_Mes,49,dr_Cod,"AMORT_P2",dr_Est,"&lt;&gt;Excluido"),IF(BC$35&lt;=e_L2_Gracia,0,IF(BC$35&gt;=e_L2_Gracia+e_L2_Cuotas,BC$39,MIN(BC$39,BC$37)))*Calendario!BC$13)</f>
        <v>0</v>
      </c>
      <c r="BD41" s="13" t="n">
        <f aca="false">IF(BD$9=1,SUMIFS(dr_USD,dr_Mes,50,dr_Cod,"AMORT_P2",dr_Est,"&lt;&gt;Excluido"),IF(BD$35&lt;=e_L2_Gracia,0,IF(BD$35&gt;=e_L2_Gracia+e_L2_Cuotas,BD$39,MIN(BD$39,BD$37)))*Calendario!BD$13)</f>
        <v>0</v>
      </c>
      <c r="BE41" s="13" t="n">
        <f aca="false">IF(BE$9=1,SUMIFS(dr_USD,dr_Mes,51,dr_Cod,"AMORT_P2",dr_Est,"&lt;&gt;Excluido"),IF(BE$35&lt;=e_L2_Gracia,0,IF(BE$35&gt;=e_L2_Gracia+e_L2_Cuotas,BE$39,MIN(BE$39,BE$37)))*Calendario!BE$13)</f>
        <v>0</v>
      </c>
      <c r="BF41" s="13" t="n">
        <f aca="false">IF(BF$9=1,SUMIFS(dr_USD,dr_Mes,52,dr_Cod,"AMORT_P2",dr_Est,"&lt;&gt;Excluido"),IF(BF$35&lt;=e_L2_Gracia,0,IF(BF$35&gt;=e_L2_Gracia+e_L2_Cuotas,BF$39,MIN(BF$39,BF$37)))*Calendario!BF$13)</f>
        <v>0</v>
      </c>
      <c r="BG41" s="13" t="n">
        <f aca="false">IF(BG$9=1,SUMIFS(dr_USD,dr_Mes,53,dr_Cod,"AMORT_P2",dr_Est,"&lt;&gt;Excluido"),IF(BG$35&lt;=e_L2_Gracia,0,IF(BG$35&gt;=e_L2_Gracia+e_L2_Cuotas,BG$39,MIN(BG$39,BG$37)))*Calendario!BG$13)</f>
        <v>0</v>
      </c>
      <c r="BH41" s="13" t="n">
        <f aca="false">IF(BH$9=1,SUMIFS(dr_USD,dr_Mes,54,dr_Cod,"AMORT_P2",dr_Est,"&lt;&gt;Excluido"),IF(BH$35&lt;=e_L2_Gracia,0,IF(BH$35&gt;=e_L2_Gracia+e_L2_Cuotas,BH$39,MIN(BH$39,BH$37)))*Calendario!BH$13)</f>
        <v>0</v>
      </c>
      <c r="BI41" s="13" t="n">
        <f aca="false">IF(BI$9=1,SUMIFS(dr_USD,dr_Mes,55,dr_Cod,"AMORT_P2",dr_Est,"&lt;&gt;Excluido"),IF(BI$35&lt;=e_L2_Gracia,0,IF(BI$35&gt;=e_L2_Gracia+e_L2_Cuotas,BI$39,MIN(BI$39,BI$37)))*Calendario!BI$13)</f>
        <v>0</v>
      </c>
      <c r="BJ41" s="13" t="n">
        <f aca="false">IF(BJ$9=1,SUMIFS(dr_USD,dr_Mes,56,dr_Cod,"AMORT_P2",dr_Est,"&lt;&gt;Excluido"),IF(BJ$35&lt;=e_L2_Gracia,0,IF(BJ$35&gt;=e_L2_Gracia+e_L2_Cuotas,BJ$39,MIN(BJ$39,BJ$37)))*Calendario!BJ$13)</f>
        <v>0</v>
      </c>
      <c r="BK41" s="13" t="n">
        <f aca="false">IF(BK$9=1,SUMIFS(dr_USD,dr_Mes,57,dr_Cod,"AMORT_P2",dr_Est,"&lt;&gt;Excluido"),IF(BK$35&lt;=e_L2_Gracia,0,IF(BK$35&gt;=e_L2_Gracia+e_L2_Cuotas,BK$39,MIN(BK$39,BK$37)))*Calendario!BK$13)</f>
        <v>0</v>
      </c>
      <c r="BL41" s="13" t="n">
        <f aca="false">IF(BL$9=1,SUMIFS(dr_USD,dr_Mes,58,dr_Cod,"AMORT_P2",dr_Est,"&lt;&gt;Excluido"),IF(BL$35&lt;=e_L2_Gracia,0,IF(BL$35&gt;=e_L2_Gracia+e_L2_Cuotas,BL$39,MIN(BL$39,BL$37)))*Calendario!BL$13)</f>
        <v>0</v>
      </c>
      <c r="BM41" s="13" t="n">
        <f aca="false">IF(BM$9=1,SUMIFS(dr_USD,dr_Mes,59,dr_Cod,"AMORT_P2",dr_Est,"&lt;&gt;Excluido"),IF(BM$35&lt;=e_L2_Gracia,0,IF(BM$35&gt;=e_L2_Gracia+e_L2_Cuotas,BM$39,MIN(BM$39,BM$37)))*Calendario!BM$13)</f>
        <v>0</v>
      </c>
      <c r="BN41" s="13" t="n">
        <f aca="false">IF(BN$9=1,SUMIFS(dr_USD,dr_Mes,60,dr_Cod,"AMORT_P2",dr_Est,"&lt;&gt;Excluido"),IF(BN$35&lt;=e_L2_Gracia,0,IF(BN$35&gt;=e_L2_Gracia+e_L2_Cuotas,BN$39,MIN(BN$39,BN$37)))*Calendario!BN$13)</f>
        <v>0</v>
      </c>
      <c r="BO41" s="13" t="n">
        <f aca="false">IF(BO$9=1,SUMIFS(dr_USD,dr_Mes,61,dr_Cod,"AMORT_P2",dr_Est,"&lt;&gt;Excluido"),IF(BO$35&lt;=e_L2_Gracia,0,IF(BO$35&gt;=e_L2_Gracia+e_L2_Cuotas,BO$39,MIN(BO$39,BO$37)))*Calendario!BO$13)</f>
        <v>0</v>
      </c>
      <c r="BP41" s="13" t="n">
        <f aca="false">IF(BP$9=1,SUMIFS(dr_USD,dr_Mes,62,dr_Cod,"AMORT_P2",dr_Est,"&lt;&gt;Excluido"),IF(BP$35&lt;=e_L2_Gracia,0,IF(BP$35&gt;=e_L2_Gracia+e_L2_Cuotas,BP$39,MIN(BP$39,BP$37)))*Calendario!BP$13)</f>
        <v>0</v>
      </c>
      <c r="BQ41" s="13" t="n">
        <f aca="false">IF(BQ$9=1,SUMIFS(dr_USD,dr_Mes,63,dr_Cod,"AMORT_P2",dr_Est,"&lt;&gt;Excluido"),IF(BQ$35&lt;=e_L2_Gracia,0,IF(BQ$35&gt;=e_L2_Gracia+e_L2_Cuotas,BQ$39,MIN(BQ$39,BQ$37)))*Calendario!BQ$13)</f>
        <v>0</v>
      </c>
      <c r="BR41" s="13" t="n">
        <f aca="false">IF(BR$9=1,SUMIFS(dr_USD,dr_Mes,64,dr_Cod,"AMORT_P2",dr_Est,"&lt;&gt;Excluido"),IF(BR$35&lt;=e_L2_Gracia,0,IF(BR$35&gt;=e_L2_Gracia+e_L2_Cuotas,BR$39,MIN(BR$39,BR$37)))*Calendario!BR$13)</f>
        <v>0</v>
      </c>
      <c r="BS41" s="13" t="n">
        <f aca="false">IF(BS$9=1,SUMIFS(dr_USD,dr_Mes,65,dr_Cod,"AMORT_P2",dr_Est,"&lt;&gt;Excluido"),IF(BS$35&lt;=e_L2_Gracia,0,IF(BS$35&gt;=e_L2_Gracia+e_L2_Cuotas,BS$39,MIN(BS$39,BS$37)))*Calendario!BS$13)</f>
        <v>0</v>
      </c>
      <c r="BT41" s="13" t="n">
        <f aca="false">IF(BT$9=1,SUMIFS(dr_USD,dr_Mes,66,dr_Cod,"AMORT_P2",dr_Est,"&lt;&gt;Excluido"),IF(BT$35&lt;=e_L2_Gracia,0,IF(BT$35&gt;=e_L2_Gracia+e_L2_Cuotas,BT$39,MIN(BT$39,BT$37)))*Calendario!BT$13)</f>
        <v>0</v>
      </c>
      <c r="BU41" s="13" t="n">
        <f aca="false">IF(BU$9=1,SUMIFS(dr_USD,dr_Mes,67,dr_Cod,"AMORT_P2",dr_Est,"&lt;&gt;Excluido"),IF(BU$35&lt;=e_L2_Gracia,0,IF(BU$35&gt;=e_L2_Gracia+e_L2_Cuotas,BU$39,MIN(BU$39,BU$37)))*Calendario!BU$13)</f>
        <v>0</v>
      </c>
      <c r="BV41" s="13" t="n">
        <f aca="false">IF(BV$9=1,SUMIFS(dr_USD,dr_Mes,68,dr_Cod,"AMORT_P2",dr_Est,"&lt;&gt;Excluido"),IF(BV$35&lt;=e_L2_Gracia,0,IF(BV$35&gt;=e_L2_Gracia+e_L2_Cuotas,BV$39,MIN(BV$39,BV$37)))*Calendario!BV$13)</f>
        <v>0</v>
      </c>
      <c r="BW41" s="13" t="n">
        <f aca="false">IF(BW$9=1,SUMIFS(dr_USD,dr_Mes,69,dr_Cod,"AMORT_P2",dr_Est,"&lt;&gt;Excluido"),IF(BW$35&lt;=e_L2_Gracia,0,IF(BW$35&gt;=e_L2_Gracia+e_L2_Cuotas,BW$39,MIN(BW$39,BW$37)))*Calendario!BW$13)</f>
        <v>0</v>
      </c>
      <c r="BX41" s="13" t="n">
        <f aca="false">IF(BX$9=1,SUMIFS(dr_USD,dr_Mes,70,dr_Cod,"AMORT_P2",dr_Est,"&lt;&gt;Excluido"),IF(BX$35&lt;=e_L2_Gracia,0,IF(BX$35&gt;=e_L2_Gracia+e_L2_Cuotas,BX$39,MIN(BX$39,BX$37)))*Calendario!BX$13)</f>
        <v>0</v>
      </c>
      <c r="BY41" s="13" t="n">
        <f aca="false">IF(BY$9=1,SUMIFS(dr_USD,dr_Mes,71,dr_Cod,"AMORT_P2",dr_Est,"&lt;&gt;Excluido"),IF(BY$35&lt;=e_L2_Gracia,0,IF(BY$35&gt;=e_L2_Gracia+e_L2_Cuotas,BY$39,MIN(BY$39,BY$37)))*Calendario!BY$13)</f>
        <v>0</v>
      </c>
      <c r="BZ41" s="13" t="n">
        <f aca="false">IF(BZ$9=1,SUMIFS(dr_USD,dr_Mes,72,dr_Cod,"AMORT_P2",dr_Est,"&lt;&gt;Excluido"),IF(BZ$35&lt;=e_L2_Gracia,0,IF(BZ$35&gt;=e_L2_Gracia+e_L2_Cuotas,BZ$39,MIN(BZ$39,BZ$37)))*Calendario!BZ$13)</f>
        <v>0</v>
      </c>
      <c r="CA41" s="13" t="n">
        <f aca="false">IF(CA$9=1,SUMIFS(dr_USD,dr_Mes,73,dr_Cod,"AMORT_P2",dr_Est,"&lt;&gt;Excluido"),IF(CA$35&lt;=e_L2_Gracia,0,IF(CA$35&gt;=e_L2_Gracia+e_L2_Cuotas,CA$39,MIN(CA$39,CA$37)))*Calendario!CA$13)</f>
        <v>0</v>
      </c>
      <c r="CB41" s="13" t="n">
        <f aca="false">IF(CB$9=1,SUMIFS(dr_USD,dr_Mes,74,dr_Cod,"AMORT_P2",dr_Est,"&lt;&gt;Excluido"),IF(CB$35&lt;=e_L2_Gracia,0,IF(CB$35&gt;=e_L2_Gracia+e_L2_Cuotas,CB$39,MIN(CB$39,CB$37)))*Calendario!CB$13)</f>
        <v>0</v>
      </c>
      <c r="CC41" s="13" t="n">
        <f aca="false">IF(CC$9=1,SUMIFS(dr_USD,dr_Mes,75,dr_Cod,"AMORT_P2",dr_Est,"&lt;&gt;Excluido"),IF(CC$35&lt;=e_L2_Gracia,0,IF(CC$35&gt;=e_L2_Gracia+e_L2_Cuotas,CC$39,MIN(CC$39,CC$37)))*Calendario!CC$13)</f>
        <v>0</v>
      </c>
      <c r="CD41" s="13" t="n">
        <f aca="false">IF(CD$9=1,SUMIFS(dr_USD,dr_Mes,76,dr_Cod,"AMORT_P2",dr_Est,"&lt;&gt;Excluido"),IF(CD$35&lt;=e_L2_Gracia,0,IF(CD$35&gt;=e_L2_Gracia+e_L2_Cuotas,CD$39,MIN(CD$39,CD$37)))*Calendario!CD$13)</f>
        <v>0</v>
      </c>
      <c r="CE41" s="13" t="n">
        <f aca="false">IF(CE$9=1,SUMIFS(dr_USD,dr_Mes,77,dr_Cod,"AMORT_P2",dr_Est,"&lt;&gt;Excluido"),IF(CE$35&lt;=e_L2_Gracia,0,IF(CE$35&gt;=e_L2_Gracia+e_L2_Cuotas,CE$39,MIN(CE$39,CE$37)))*Calendario!CE$13)</f>
        <v>0</v>
      </c>
      <c r="CF41" s="13" t="n">
        <f aca="false">IF(CF$9=1,SUMIFS(dr_USD,dr_Mes,78,dr_Cod,"AMORT_P2",dr_Est,"&lt;&gt;Excluido"),IF(CF$35&lt;=e_L2_Gracia,0,IF(CF$35&gt;=e_L2_Gracia+e_L2_Cuotas,CF$39,MIN(CF$39,CF$37)))*Calendario!CF$13)</f>
        <v>0</v>
      </c>
      <c r="CG41" s="13" t="n">
        <f aca="false">IF(CG$9=1,SUMIFS(dr_USD,dr_Mes,79,dr_Cod,"AMORT_P2",dr_Est,"&lt;&gt;Excluido"),IF(CG$35&lt;=e_L2_Gracia,0,IF(CG$35&gt;=e_L2_Gracia+e_L2_Cuotas,CG$39,MIN(CG$39,CG$37)))*Calendario!CG$13)</f>
        <v>0</v>
      </c>
      <c r="CH41" s="13" t="n">
        <f aca="false">IF(CH$9=1,SUMIFS(dr_USD,dr_Mes,80,dr_Cod,"AMORT_P2",dr_Est,"&lt;&gt;Excluido"),IF(CH$35&lt;=e_L2_Gracia,0,IF(CH$35&gt;=e_L2_Gracia+e_L2_Cuotas,CH$39,MIN(CH$39,CH$37)))*Calendario!CH$13)</f>
        <v>0</v>
      </c>
      <c r="CI41" s="13" t="n">
        <f aca="false">IF(CI$9=1,SUMIFS(dr_USD,dr_Mes,81,dr_Cod,"AMORT_P2",dr_Est,"&lt;&gt;Excluido"),IF(CI$35&lt;=e_L2_Gracia,0,IF(CI$35&gt;=e_L2_Gracia+e_L2_Cuotas,CI$39,MIN(CI$39,CI$37)))*Calendario!CI$13)</f>
        <v>0</v>
      </c>
      <c r="CJ41" s="13" t="n">
        <f aca="false">IF(CJ$9=1,SUMIFS(dr_USD,dr_Mes,82,dr_Cod,"AMORT_P2",dr_Est,"&lt;&gt;Excluido"),IF(CJ$35&lt;=e_L2_Gracia,0,IF(CJ$35&gt;=e_L2_Gracia+e_L2_Cuotas,CJ$39,MIN(CJ$39,CJ$37)))*Calendario!CJ$13)</f>
        <v>0</v>
      </c>
      <c r="CK41" s="13" t="n">
        <f aca="false">IF(CK$9=1,SUMIFS(dr_USD,dr_Mes,83,dr_Cod,"AMORT_P2",dr_Est,"&lt;&gt;Excluido"),IF(CK$35&lt;=e_L2_Gracia,0,IF(CK$35&gt;=e_L2_Gracia+e_L2_Cuotas,CK$39,MIN(CK$39,CK$37)))*Calendario!CK$13)</f>
        <v>0</v>
      </c>
      <c r="CL41" s="13" t="n">
        <f aca="false">IF(CL$9=1,SUMIFS(dr_USD,dr_Mes,84,dr_Cod,"AMORT_P2",dr_Est,"&lt;&gt;Excluido"),IF(CL$35&lt;=e_L2_Gracia,0,IF(CL$35&gt;=e_L2_Gracia+e_L2_Cuotas,CL$39,MIN(CL$39,CL$37)))*Calendario!CL$13)</f>
        <v>0</v>
      </c>
      <c r="CM41" s="13" t="n">
        <f aca="false">IF(CM$9=1,SUMIFS(dr_USD,dr_Mes,85,dr_Cod,"AMORT_P2",dr_Est,"&lt;&gt;Excluido"),IF(CM$35&lt;=e_L2_Gracia,0,IF(CM$35&gt;=e_L2_Gracia+e_L2_Cuotas,CM$39,MIN(CM$39,CM$37)))*Calendario!CM$13)</f>
        <v>0</v>
      </c>
      <c r="CN41" s="13" t="n">
        <f aca="false">IF(CN$9=1,SUMIFS(dr_USD,dr_Mes,86,dr_Cod,"AMORT_P2",dr_Est,"&lt;&gt;Excluido"),IF(CN$35&lt;=e_L2_Gracia,0,IF(CN$35&gt;=e_L2_Gracia+e_L2_Cuotas,CN$39,MIN(CN$39,CN$37)))*Calendario!CN$13)</f>
        <v>0</v>
      </c>
      <c r="CO41" s="13" t="n">
        <f aca="false">IF(CO$9=1,SUMIFS(dr_USD,dr_Mes,87,dr_Cod,"AMORT_P2",dr_Est,"&lt;&gt;Excluido"),IF(CO$35&lt;=e_L2_Gracia,0,IF(CO$35&gt;=e_L2_Gracia+e_L2_Cuotas,CO$39,MIN(CO$39,CO$37)))*Calendario!CO$13)</f>
        <v>0</v>
      </c>
      <c r="CP41" s="13" t="n">
        <f aca="false">IF(CP$9=1,SUMIFS(dr_USD,dr_Mes,88,dr_Cod,"AMORT_P2",dr_Est,"&lt;&gt;Excluido"),IF(CP$35&lt;=e_L2_Gracia,0,IF(CP$35&gt;=e_L2_Gracia+e_L2_Cuotas,CP$39,MIN(CP$39,CP$37)))*Calendario!CP$13)</f>
        <v>0</v>
      </c>
      <c r="CQ41" s="13" t="n">
        <f aca="false">IF(CQ$9=1,SUMIFS(dr_USD,dr_Mes,89,dr_Cod,"AMORT_P2",dr_Est,"&lt;&gt;Excluido"),IF(CQ$35&lt;=e_L2_Gracia,0,IF(CQ$35&gt;=e_L2_Gracia+e_L2_Cuotas,CQ$39,MIN(CQ$39,CQ$37)))*Calendario!CQ$13)</f>
        <v>0</v>
      </c>
      <c r="CR41" s="13" t="n">
        <f aca="false">IF(CR$9=1,SUMIFS(dr_USD,dr_Mes,90,dr_Cod,"AMORT_P2",dr_Est,"&lt;&gt;Excluido"),IF(CR$35&lt;=e_L2_Gracia,0,IF(CR$35&gt;=e_L2_Gracia+e_L2_Cuotas,CR$39,MIN(CR$39,CR$37)))*Calendario!CR$13)</f>
        <v>0</v>
      </c>
      <c r="CS41" s="13" t="n">
        <f aca="false">IF(CS$9=1,SUMIFS(dr_USD,dr_Mes,91,dr_Cod,"AMORT_P2",dr_Est,"&lt;&gt;Excluido"),IF(CS$35&lt;=e_L2_Gracia,0,IF(CS$35&gt;=e_L2_Gracia+e_L2_Cuotas,CS$39,MIN(CS$39,CS$37)))*Calendario!CS$13)</f>
        <v>0</v>
      </c>
      <c r="CT41" s="13" t="n">
        <f aca="false">IF(CT$9=1,SUMIFS(dr_USD,dr_Mes,92,dr_Cod,"AMORT_P2",dr_Est,"&lt;&gt;Excluido"),IF(CT$35&lt;=e_L2_Gracia,0,IF(CT$35&gt;=e_L2_Gracia+e_L2_Cuotas,CT$39,MIN(CT$39,CT$37)))*Calendario!CT$13)</f>
        <v>0</v>
      </c>
      <c r="CU41" s="13" t="n">
        <f aca="false">IF(CU$9=1,SUMIFS(dr_USD,dr_Mes,93,dr_Cod,"AMORT_P2",dr_Est,"&lt;&gt;Excluido"),IF(CU$35&lt;=e_L2_Gracia,0,IF(CU$35&gt;=e_L2_Gracia+e_L2_Cuotas,CU$39,MIN(CU$39,CU$37)))*Calendario!CU$13)</f>
        <v>0</v>
      </c>
      <c r="CV41" s="13" t="n">
        <f aca="false">IF(CV$9=1,SUMIFS(dr_USD,dr_Mes,94,dr_Cod,"AMORT_P2",dr_Est,"&lt;&gt;Excluido"),IF(CV$35&lt;=e_L2_Gracia,0,IF(CV$35&gt;=e_L2_Gracia+e_L2_Cuotas,CV$39,MIN(CV$39,CV$37)))*Calendario!CV$13)</f>
        <v>0</v>
      </c>
      <c r="CW41" s="13" t="n">
        <f aca="false">IF(CW$9=1,SUMIFS(dr_USD,dr_Mes,95,dr_Cod,"AMORT_P2",dr_Est,"&lt;&gt;Excluido"),IF(CW$35&lt;=e_L2_Gracia,0,IF(CW$35&gt;=e_L2_Gracia+e_L2_Cuotas,CW$39,MIN(CW$39,CW$37)))*Calendario!CW$13)</f>
        <v>0</v>
      </c>
      <c r="CX41" s="13" t="n">
        <f aca="false">IF(CX$9=1,SUMIFS(dr_USD,dr_Mes,96,dr_Cod,"AMORT_P2",dr_Est,"&lt;&gt;Excluido"),IF(CX$35&lt;=e_L2_Gracia,0,IF(CX$35&gt;=e_L2_Gracia+e_L2_Cuotas,CX$39,MIN(CX$39,CX$37)))*Calendario!CX$13)</f>
        <v>0</v>
      </c>
      <c r="CY41" s="13" t="n">
        <f aca="false">IF(CY$9=1,SUMIFS(dr_USD,dr_Mes,97,dr_Cod,"AMORT_P2",dr_Est,"&lt;&gt;Excluido"),IF(CY$35&lt;=e_L2_Gracia,0,IF(CY$35&gt;=e_L2_Gracia+e_L2_Cuotas,CY$39,MIN(CY$39,CY$37)))*Calendario!CY$13)</f>
        <v>0</v>
      </c>
      <c r="CZ41" s="13" t="n">
        <f aca="false">IF(CZ$9=1,SUMIFS(dr_USD,dr_Mes,98,dr_Cod,"AMORT_P2",dr_Est,"&lt;&gt;Excluido"),IF(CZ$35&lt;=e_L2_Gracia,0,IF(CZ$35&gt;=e_L2_Gracia+e_L2_Cuotas,CZ$39,MIN(CZ$39,CZ$37)))*Calendario!CZ$13)</f>
        <v>0</v>
      </c>
      <c r="DA41" s="13" t="n">
        <f aca="false">IF(DA$9=1,SUMIFS(dr_USD,dr_Mes,99,dr_Cod,"AMORT_P2",dr_Est,"&lt;&gt;Excluido"),IF(DA$35&lt;=e_L2_Gracia,0,IF(DA$35&gt;=e_L2_Gracia+e_L2_Cuotas,DA$39,MIN(DA$39,DA$37)))*Calendario!DA$13)</f>
        <v>0</v>
      </c>
      <c r="DB41" s="13" t="n">
        <f aca="false">IF(DB$9=1,SUMIFS(dr_USD,dr_Mes,100,dr_Cod,"AMORT_P2",dr_Est,"&lt;&gt;Excluido"),IF(DB$35&lt;=e_L2_Gracia,0,IF(DB$35&gt;=e_L2_Gracia+e_L2_Cuotas,DB$39,MIN(DB$39,DB$37)))*Calendario!DB$13)</f>
        <v>0</v>
      </c>
      <c r="DC41" s="13" t="n">
        <f aca="false">IF(DC$9=1,SUMIFS(dr_USD,dr_Mes,101,dr_Cod,"AMORT_P2",dr_Est,"&lt;&gt;Excluido"),IF(DC$35&lt;=e_L2_Gracia,0,IF(DC$35&gt;=e_L2_Gracia+e_L2_Cuotas,DC$39,MIN(DC$39,DC$37)))*Calendario!DC$13)</f>
        <v>0</v>
      </c>
      <c r="DD41" s="13" t="n">
        <f aca="false">IF(DD$9=1,SUMIFS(dr_USD,dr_Mes,102,dr_Cod,"AMORT_P2",dr_Est,"&lt;&gt;Excluido"),IF(DD$35&lt;=e_L2_Gracia,0,IF(DD$35&gt;=e_L2_Gracia+e_L2_Cuotas,DD$39,MIN(DD$39,DD$37)))*Calendario!DD$13)</f>
        <v>0</v>
      </c>
      <c r="DE41" s="13" t="n">
        <f aca="false">IF(DE$9=1,SUMIFS(dr_USD,dr_Mes,103,dr_Cod,"AMORT_P2",dr_Est,"&lt;&gt;Excluido"),IF(DE$35&lt;=e_L2_Gracia,0,IF(DE$35&gt;=e_L2_Gracia+e_L2_Cuotas,DE$39,MIN(DE$39,DE$37)))*Calendario!DE$13)</f>
        <v>0</v>
      </c>
      <c r="DF41" s="13" t="n">
        <f aca="false">IF(DF$9=1,SUMIFS(dr_USD,dr_Mes,104,dr_Cod,"AMORT_P2",dr_Est,"&lt;&gt;Excluido"),IF(DF$35&lt;=e_L2_Gracia,0,IF(DF$35&gt;=e_L2_Gracia+e_L2_Cuotas,DF$39,MIN(DF$39,DF$37)))*Calendario!DF$13)</f>
        <v>0</v>
      </c>
      <c r="DG41" s="13" t="n">
        <f aca="false">IF(DG$9=1,SUMIFS(dr_USD,dr_Mes,105,dr_Cod,"AMORT_P2",dr_Est,"&lt;&gt;Excluido"),IF(DG$35&lt;=e_L2_Gracia,0,IF(DG$35&gt;=e_L2_Gracia+e_L2_Cuotas,DG$39,MIN(DG$39,DG$37)))*Calendario!DG$13)</f>
        <v>0</v>
      </c>
      <c r="DH41" s="13" t="n">
        <f aca="false">IF(DH$9=1,SUMIFS(dr_USD,dr_Mes,106,dr_Cod,"AMORT_P2",dr_Est,"&lt;&gt;Excluido"),IF(DH$35&lt;=e_L2_Gracia,0,IF(DH$35&gt;=e_L2_Gracia+e_L2_Cuotas,DH$39,MIN(DH$39,DH$37)))*Calendario!DH$13)</f>
        <v>0</v>
      </c>
      <c r="DI41" s="13" t="n">
        <f aca="false">IF(DI$9=1,SUMIFS(dr_USD,dr_Mes,107,dr_Cod,"AMORT_P2",dr_Est,"&lt;&gt;Excluido"),IF(DI$35&lt;=e_L2_Gracia,0,IF(DI$35&gt;=e_L2_Gracia+e_L2_Cuotas,DI$39,MIN(DI$39,DI$37)))*Calendario!DI$13)</f>
        <v>0</v>
      </c>
      <c r="DJ41" s="13" t="n">
        <f aca="false">IF(DJ$9=1,SUMIFS(dr_USD,dr_Mes,108,dr_Cod,"AMORT_P2",dr_Est,"&lt;&gt;Excluido"),IF(DJ$35&lt;=e_L2_Gracia,0,IF(DJ$35&gt;=e_L2_Gracia+e_L2_Cuotas,DJ$39,MIN(DJ$39,DJ$37)))*Calendario!DJ$13)</f>
        <v>0</v>
      </c>
      <c r="DK41" s="13" t="n">
        <f aca="false">IF(DK$9=1,SUMIFS(dr_USD,dr_Mes,109,dr_Cod,"AMORT_P2",dr_Est,"&lt;&gt;Excluido"),IF(DK$35&lt;=e_L2_Gracia,0,IF(DK$35&gt;=e_L2_Gracia+e_L2_Cuotas,DK$39,MIN(DK$39,DK$37)))*Calendario!DK$13)</f>
        <v>0</v>
      </c>
      <c r="DL41" s="13" t="n">
        <f aca="false">IF(DL$9=1,SUMIFS(dr_USD,dr_Mes,110,dr_Cod,"AMORT_P2",dr_Est,"&lt;&gt;Excluido"),IF(DL$35&lt;=e_L2_Gracia,0,IF(DL$35&gt;=e_L2_Gracia+e_L2_Cuotas,DL$39,MIN(DL$39,DL$37)))*Calendario!DL$13)</f>
        <v>0</v>
      </c>
      <c r="DM41" s="13" t="n">
        <f aca="false">IF(DM$9=1,SUMIFS(dr_USD,dr_Mes,111,dr_Cod,"AMORT_P2",dr_Est,"&lt;&gt;Excluido"),IF(DM$35&lt;=e_L2_Gracia,0,IF(DM$35&gt;=e_L2_Gracia+e_L2_Cuotas,DM$39,MIN(DM$39,DM$37)))*Calendario!DM$13)</f>
        <v>0</v>
      </c>
      <c r="DN41" s="13" t="n">
        <f aca="false">IF(DN$9=1,SUMIFS(dr_USD,dr_Mes,112,dr_Cod,"AMORT_P2",dr_Est,"&lt;&gt;Excluido"),IF(DN$35&lt;=e_L2_Gracia,0,IF(DN$35&gt;=e_L2_Gracia+e_L2_Cuotas,DN$39,MIN(DN$39,DN$37)))*Calendario!DN$13)</f>
        <v>0</v>
      </c>
      <c r="DO41" s="13" t="n">
        <f aca="false">IF(DO$9=1,SUMIFS(dr_USD,dr_Mes,113,dr_Cod,"AMORT_P2",dr_Est,"&lt;&gt;Excluido"),IF(DO$35&lt;=e_L2_Gracia,0,IF(DO$35&gt;=e_L2_Gracia+e_L2_Cuotas,DO$39,MIN(DO$39,DO$37)))*Calendario!DO$13)</f>
        <v>0</v>
      </c>
      <c r="DP41" s="13" t="n">
        <f aca="false">IF(DP$9=1,SUMIFS(dr_USD,dr_Mes,114,dr_Cod,"AMORT_P2",dr_Est,"&lt;&gt;Excluido"),IF(DP$35&lt;=e_L2_Gracia,0,IF(DP$35&gt;=e_L2_Gracia+e_L2_Cuotas,DP$39,MIN(DP$39,DP$37)))*Calendario!DP$13)</f>
        <v>0</v>
      </c>
      <c r="DQ41" s="13" t="n">
        <f aca="false">IF(DQ$9=1,SUMIFS(dr_USD,dr_Mes,115,dr_Cod,"AMORT_P2",dr_Est,"&lt;&gt;Excluido"),IF(DQ$35&lt;=e_L2_Gracia,0,IF(DQ$35&gt;=e_L2_Gracia+e_L2_Cuotas,DQ$39,MIN(DQ$39,DQ$37)))*Calendario!DQ$13)</f>
        <v>0</v>
      </c>
      <c r="DR41" s="13" t="n">
        <f aca="false">IF(DR$9=1,SUMIFS(dr_USD,dr_Mes,116,dr_Cod,"AMORT_P2",dr_Est,"&lt;&gt;Excluido"),IF(DR$35&lt;=e_L2_Gracia,0,IF(DR$35&gt;=e_L2_Gracia+e_L2_Cuotas,DR$39,MIN(DR$39,DR$37)))*Calendario!DR$13)</f>
        <v>0</v>
      </c>
      <c r="DS41" s="13" t="n">
        <f aca="false">IF(DS$9=1,SUMIFS(dr_USD,dr_Mes,117,dr_Cod,"AMORT_P2",dr_Est,"&lt;&gt;Excluido"),IF(DS$35&lt;=e_L2_Gracia,0,IF(DS$35&gt;=e_L2_Gracia+e_L2_Cuotas,DS$39,MIN(DS$39,DS$37)))*Calendario!DS$13)</f>
        <v>0</v>
      </c>
      <c r="DT41" s="13" t="n">
        <f aca="false">IF(DT$9=1,SUMIFS(dr_USD,dr_Mes,118,dr_Cod,"AMORT_P2",dr_Est,"&lt;&gt;Excluido"),IF(DT$35&lt;=e_L2_Gracia,0,IF(DT$35&gt;=e_L2_Gracia+e_L2_Cuotas,DT$39,MIN(DT$39,DT$37)))*Calendario!DT$13)</f>
        <v>0</v>
      </c>
      <c r="DU41" s="13" t="n">
        <f aca="false">IF(DU$9=1,SUMIFS(dr_USD,dr_Mes,119,dr_Cod,"AMORT_P2",dr_Est,"&lt;&gt;Excluido"),IF(DU$35&lt;=e_L2_Gracia,0,IF(DU$35&gt;=e_L2_Gracia+e_L2_Cuotas,DU$39,MIN(DU$39,DU$37)))*Calendario!DU$13)</f>
        <v>0</v>
      </c>
      <c r="DV41" s="13" t="n">
        <f aca="false">IF(DV$9=1,SUMIFS(dr_USD,dr_Mes,120,dr_Cod,"AMORT_P2",dr_Est,"&lt;&gt;Excluido"),IF(DV$35&lt;=e_L2_Gracia,0,IF(DV$35&gt;=e_L2_Gracia+e_L2_Cuotas,DV$39,MIN(DV$39,DV$37)))*Calendario!DV$13)</f>
        <v>0</v>
      </c>
      <c r="DW41" s="13" t="n">
        <f aca="false">IF(DW$9=1,SUMIFS(dr_USD,dr_Mes,121,dr_Cod,"AMORT_P2",dr_Est,"&lt;&gt;Excluido"),IF(DW$35&lt;=e_L2_Gracia,0,IF(DW$35&gt;=e_L2_Gracia+e_L2_Cuotas,DW$39,MIN(DW$39,DW$37)))*Calendario!DW$13)</f>
        <v>0</v>
      </c>
      <c r="DX41" s="13" t="n">
        <f aca="false">IF(DX$9=1,SUMIFS(dr_USD,dr_Mes,122,dr_Cod,"AMORT_P2",dr_Est,"&lt;&gt;Excluido"),IF(DX$35&lt;=e_L2_Gracia,0,IF(DX$35&gt;=e_L2_Gracia+e_L2_Cuotas,DX$39,MIN(DX$39,DX$37)))*Calendario!DX$13)</f>
        <v>0</v>
      </c>
      <c r="DY41" s="13" t="n">
        <f aca="false">IF(DY$9=1,SUMIFS(dr_USD,dr_Mes,123,dr_Cod,"AMORT_P2",dr_Est,"&lt;&gt;Excluido"),IF(DY$35&lt;=e_L2_Gracia,0,IF(DY$35&gt;=e_L2_Gracia+e_L2_Cuotas,DY$39,MIN(DY$39,DY$37)))*Calendario!DY$13)</f>
        <v>0</v>
      </c>
      <c r="DZ41" s="13" t="n">
        <f aca="false">IF(DZ$9=1,SUMIFS(dr_USD,dr_Mes,124,dr_Cod,"AMORT_P2",dr_Est,"&lt;&gt;Excluido"),IF(DZ$35&lt;=e_L2_Gracia,0,IF(DZ$35&gt;=e_L2_Gracia+e_L2_Cuotas,DZ$39,MIN(DZ$39,DZ$37)))*Calendario!DZ$13)</f>
        <v>0</v>
      </c>
      <c r="EA41" s="13" t="n">
        <f aca="false">IF(EA$9=1,SUMIFS(dr_USD,dr_Mes,125,dr_Cod,"AMORT_P2",dr_Est,"&lt;&gt;Excluido"),IF(EA$35&lt;=e_L2_Gracia,0,IF(EA$35&gt;=e_L2_Gracia+e_L2_Cuotas,EA$39,MIN(EA$39,EA$37)))*Calendario!EA$13)</f>
        <v>0</v>
      </c>
      <c r="EB41" s="13" t="n">
        <f aca="false">IF(EB$9=1,SUMIFS(dr_USD,dr_Mes,126,dr_Cod,"AMORT_P2",dr_Est,"&lt;&gt;Excluido"),IF(EB$35&lt;=e_L2_Gracia,0,IF(EB$35&gt;=e_L2_Gracia+e_L2_Cuotas,EB$39,MIN(EB$39,EB$37)))*Calendario!EB$13)</f>
        <v>0</v>
      </c>
      <c r="EC41" s="13" t="n">
        <f aca="false">IF(EC$9=1,SUMIFS(dr_USD,dr_Mes,127,dr_Cod,"AMORT_P2",dr_Est,"&lt;&gt;Excluido"),IF(EC$35&lt;=e_L2_Gracia,0,IF(EC$35&gt;=e_L2_Gracia+e_L2_Cuotas,EC$39,MIN(EC$39,EC$37)))*Calendario!EC$13)</f>
        <v>0</v>
      </c>
      <c r="ED41" s="13" t="n">
        <f aca="false">IF(ED$9=1,SUMIFS(dr_USD,dr_Mes,128,dr_Cod,"AMORT_P2",dr_Est,"&lt;&gt;Excluido"),IF(ED$35&lt;=e_L2_Gracia,0,IF(ED$35&gt;=e_L2_Gracia+e_L2_Cuotas,ED$39,MIN(ED$39,ED$37)))*Calendario!ED$13)</f>
        <v>0</v>
      </c>
      <c r="EE41" s="13" t="n">
        <f aca="false">IF(EE$9=1,SUMIFS(dr_USD,dr_Mes,129,dr_Cod,"AMORT_P2",dr_Est,"&lt;&gt;Excluido"),IF(EE$35&lt;=e_L2_Gracia,0,IF(EE$35&gt;=e_L2_Gracia+e_L2_Cuotas,EE$39,MIN(EE$39,EE$37)))*Calendario!EE$13)</f>
        <v>0</v>
      </c>
      <c r="EF41" s="13" t="n">
        <f aca="false">IF(EF$9=1,SUMIFS(dr_USD,dr_Mes,130,dr_Cod,"AMORT_P2",dr_Est,"&lt;&gt;Excluido"),IF(EF$35&lt;=e_L2_Gracia,0,IF(EF$35&gt;=e_L2_Gracia+e_L2_Cuotas,EF$39,MIN(EF$39,EF$37)))*Calendario!EF$13)</f>
        <v>0</v>
      </c>
      <c r="EG41" s="13" t="n">
        <f aca="false">IF(EG$9=1,SUMIFS(dr_USD,dr_Mes,131,dr_Cod,"AMORT_P2",dr_Est,"&lt;&gt;Excluido"),IF(EG$35&lt;=e_L2_Gracia,0,IF(EG$35&gt;=e_L2_Gracia+e_L2_Cuotas,EG$39,MIN(EG$39,EG$37)))*Calendario!EG$13)</f>
        <v>0</v>
      </c>
      <c r="EH41" s="13" t="n">
        <f aca="false">IF(EH$9=1,SUMIFS(dr_USD,dr_Mes,132,dr_Cod,"AMORT_P2",dr_Est,"&lt;&gt;Excluido"),IF(EH$35&lt;=e_L2_Gracia,0,IF(EH$35&gt;=e_L2_Gracia+e_L2_Cuotas,EH$39,MIN(EH$39,EH$37)))*Calendario!EH$13)</f>
        <v>0</v>
      </c>
      <c r="EI41" s="13" t="n">
        <f aca="false">IF(EI$9=1,SUMIFS(dr_USD,dr_Mes,133,dr_Cod,"AMORT_P2",dr_Est,"&lt;&gt;Excluido"),IF(EI$35&lt;=e_L2_Gracia,0,IF(EI$35&gt;=e_L2_Gracia+e_L2_Cuotas,EI$39,MIN(EI$39,EI$37)))*Calendario!EI$13)</f>
        <v>0</v>
      </c>
      <c r="EJ41" s="13" t="n">
        <f aca="false">IF(EJ$9=1,SUMIFS(dr_USD,dr_Mes,134,dr_Cod,"AMORT_P2",dr_Est,"&lt;&gt;Excluido"),IF(EJ$35&lt;=e_L2_Gracia,0,IF(EJ$35&gt;=e_L2_Gracia+e_L2_Cuotas,EJ$39,MIN(EJ$39,EJ$37)))*Calendario!EJ$13)</f>
        <v>0</v>
      </c>
      <c r="EK41" s="13" t="n">
        <f aca="false">IF(EK$9=1,SUMIFS(dr_USD,dr_Mes,135,dr_Cod,"AMORT_P2",dr_Est,"&lt;&gt;Excluido"),IF(EK$35&lt;=e_L2_Gracia,0,IF(EK$35&gt;=e_L2_Gracia+e_L2_Cuotas,EK$39,MIN(EK$39,EK$37)))*Calendario!EK$13)</f>
        <v>0</v>
      </c>
      <c r="EL41" s="13" t="n">
        <f aca="false">IF(EL$9=1,SUMIFS(dr_USD,dr_Mes,136,dr_Cod,"AMORT_P2",dr_Est,"&lt;&gt;Excluido"),IF(EL$35&lt;=e_L2_Gracia,0,IF(EL$35&gt;=e_L2_Gracia+e_L2_Cuotas,EL$39,MIN(EL$39,EL$37)))*Calendario!EL$13)</f>
        <v>0</v>
      </c>
      <c r="EM41" s="13" t="n">
        <f aca="false">IF(EM$9=1,SUMIFS(dr_USD,dr_Mes,137,dr_Cod,"AMORT_P2",dr_Est,"&lt;&gt;Excluido"),IF(EM$35&lt;=e_L2_Gracia,0,IF(EM$35&gt;=e_L2_Gracia+e_L2_Cuotas,EM$39,MIN(EM$39,EM$37)))*Calendario!EM$13)</f>
        <v>0</v>
      </c>
      <c r="EN41" s="13" t="n">
        <f aca="false">IF(EN$9=1,SUMIFS(dr_USD,dr_Mes,138,dr_Cod,"AMORT_P2",dr_Est,"&lt;&gt;Excluido"),IF(EN$35&lt;=e_L2_Gracia,0,IF(EN$35&gt;=e_L2_Gracia+e_L2_Cuotas,EN$39,MIN(EN$39,EN$37)))*Calendario!EN$13)</f>
        <v>0</v>
      </c>
      <c r="EO41" s="13" t="n">
        <f aca="false">IF(EO$9=1,SUMIFS(dr_USD,dr_Mes,139,dr_Cod,"AMORT_P2",dr_Est,"&lt;&gt;Excluido"),IF(EO$35&lt;=e_L2_Gracia,0,IF(EO$35&gt;=e_L2_Gracia+e_L2_Cuotas,EO$39,MIN(EO$39,EO$37)))*Calendario!EO$13)</f>
        <v>0</v>
      </c>
      <c r="EP41" s="13" t="n">
        <f aca="false">IF(EP$9=1,SUMIFS(dr_USD,dr_Mes,140,dr_Cod,"AMORT_P2",dr_Est,"&lt;&gt;Excluido"),IF(EP$35&lt;=e_L2_Gracia,0,IF(EP$35&gt;=e_L2_Gracia+e_L2_Cuotas,EP$39,MIN(EP$39,EP$37)))*Calendario!EP$13)</f>
        <v>0</v>
      </c>
      <c r="EQ41" s="13" t="n">
        <f aca="false">IF(EQ$9=1,SUMIFS(dr_USD,dr_Mes,141,dr_Cod,"AMORT_P2",dr_Est,"&lt;&gt;Excluido"),IF(EQ$35&lt;=e_L2_Gracia,0,IF(EQ$35&gt;=e_L2_Gracia+e_L2_Cuotas,EQ$39,MIN(EQ$39,EQ$37)))*Calendario!EQ$13)</f>
        <v>0</v>
      </c>
      <c r="ER41" s="13" t="n">
        <f aca="false">IF(ER$9=1,SUMIFS(dr_USD,dr_Mes,142,dr_Cod,"AMORT_P2",dr_Est,"&lt;&gt;Excluido"),IF(ER$35&lt;=e_L2_Gracia,0,IF(ER$35&gt;=e_L2_Gracia+e_L2_Cuotas,ER$39,MIN(ER$39,ER$37)))*Calendario!ER$13)</f>
        <v>0</v>
      </c>
      <c r="ES41" s="13" t="n">
        <f aca="false">IF(ES$9=1,SUMIFS(dr_USD,dr_Mes,143,dr_Cod,"AMORT_P2",dr_Est,"&lt;&gt;Excluido"),IF(ES$35&lt;=e_L2_Gracia,0,IF(ES$35&gt;=e_L2_Gracia+e_L2_Cuotas,ES$39,MIN(ES$39,ES$37)))*Calendario!ES$13)</f>
        <v>0</v>
      </c>
      <c r="ET41" s="13" t="n">
        <f aca="false">IF(ET$9=1,SUMIFS(dr_USD,dr_Mes,144,dr_Cod,"AMORT_P2",dr_Est,"&lt;&gt;Excluido"),IF(ET$35&lt;=e_L2_Gracia,0,IF(ET$35&gt;=e_L2_Gracia+e_L2_Cuotas,ET$39,MIN(ET$39,ET$37)))*Calendario!ET$13)</f>
        <v>0</v>
      </c>
      <c r="EU41" s="13" t="n">
        <f aca="false">IF(EU$9=1,SUMIFS(dr_USD,dr_Mes,145,dr_Cod,"AMORT_P2",dr_Est,"&lt;&gt;Excluido"),IF(EU$35&lt;=e_L2_Gracia,0,IF(EU$35&gt;=e_L2_Gracia+e_L2_Cuotas,EU$39,MIN(EU$39,EU$37)))*Calendario!EU$13)</f>
        <v>0</v>
      </c>
      <c r="EV41" s="13" t="n">
        <f aca="false">IF(EV$9=1,SUMIFS(dr_USD,dr_Mes,146,dr_Cod,"AMORT_P2",dr_Est,"&lt;&gt;Excluido"),IF(EV$35&lt;=e_L2_Gracia,0,IF(EV$35&gt;=e_L2_Gracia+e_L2_Cuotas,EV$39,MIN(EV$39,EV$37)))*Calendario!EV$13)</f>
        <v>0</v>
      </c>
      <c r="EW41" s="13" t="n">
        <f aca="false">IF(EW$9=1,SUMIFS(dr_USD,dr_Mes,147,dr_Cod,"AMORT_P2",dr_Est,"&lt;&gt;Excluido"),IF(EW$35&lt;=e_L2_Gracia,0,IF(EW$35&gt;=e_L2_Gracia+e_L2_Cuotas,EW$39,MIN(EW$39,EW$37)))*Calendario!EW$13)</f>
        <v>0</v>
      </c>
      <c r="EX41" s="13" t="n">
        <f aca="false">IF(EX$9=1,SUMIFS(dr_USD,dr_Mes,148,dr_Cod,"AMORT_P2",dr_Est,"&lt;&gt;Excluido"),IF(EX$35&lt;=e_L2_Gracia,0,IF(EX$35&gt;=e_L2_Gracia+e_L2_Cuotas,EX$39,MIN(EX$39,EX$37)))*Calendario!EX$13)</f>
        <v>0</v>
      </c>
      <c r="EY41" s="13" t="n">
        <f aca="false">IF(EY$9=1,SUMIFS(dr_USD,dr_Mes,149,dr_Cod,"AMORT_P2",dr_Est,"&lt;&gt;Excluido"),IF(EY$35&lt;=e_L2_Gracia,0,IF(EY$35&gt;=e_L2_Gracia+e_L2_Cuotas,EY$39,MIN(EY$39,EY$37)))*Calendario!EY$13)</f>
        <v>0</v>
      </c>
      <c r="EZ41" s="13" t="n">
        <f aca="false">IF(EZ$9=1,SUMIFS(dr_USD,dr_Mes,150,dr_Cod,"AMORT_P2",dr_Est,"&lt;&gt;Excluido"),IF(EZ$35&lt;=e_L2_Gracia,0,IF(EZ$35&gt;=e_L2_Gracia+e_L2_Cuotas,EZ$39,MIN(EZ$39,EZ$37)))*Calendario!EZ$13)</f>
        <v>0</v>
      </c>
      <c r="FA41" s="13" t="n">
        <f aca="false">IF(FA$9=1,SUMIFS(dr_USD,dr_Mes,151,dr_Cod,"AMORT_P2",dr_Est,"&lt;&gt;Excluido"),IF(FA$35&lt;=e_L2_Gracia,0,IF(FA$35&gt;=e_L2_Gracia+e_L2_Cuotas,FA$39,MIN(FA$39,FA$37)))*Calendario!FA$13)</f>
        <v>0</v>
      </c>
      <c r="FB41" s="13" t="n">
        <f aca="false">IF(FB$9=1,SUMIFS(dr_USD,dr_Mes,152,dr_Cod,"AMORT_P2",dr_Est,"&lt;&gt;Excluido"),IF(FB$35&lt;=e_L2_Gracia,0,IF(FB$35&gt;=e_L2_Gracia+e_L2_Cuotas,FB$39,MIN(FB$39,FB$37)))*Calendario!FB$13)</f>
        <v>0</v>
      </c>
      <c r="FC41" s="13" t="n">
        <f aca="false">IF(FC$9=1,SUMIFS(dr_USD,dr_Mes,153,dr_Cod,"AMORT_P2",dr_Est,"&lt;&gt;Excluido"),IF(FC$35&lt;=e_L2_Gracia,0,IF(FC$35&gt;=e_L2_Gracia+e_L2_Cuotas,FC$39,MIN(FC$39,FC$37)))*Calendario!FC$13)</f>
        <v>0</v>
      </c>
      <c r="FD41" s="13" t="n">
        <f aca="false">IF(FD$9=1,SUMIFS(dr_USD,dr_Mes,154,dr_Cod,"AMORT_P2",dr_Est,"&lt;&gt;Excluido"),IF(FD$35&lt;=e_L2_Gracia,0,IF(FD$35&gt;=e_L2_Gracia+e_L2_Cuotas,FD$39,MIN(FD$39,FD$37)))*Calendario!FD$13)</f>
        <v>0</v>
      </c>
      <c r="FE41" s="13" t="n">
        <f aca="false">IF(FE$9=1,SUMIFS(dr_USD,dr_Mes,155,dr_Cod,"AMORT_P2",dr_Est,"&lt;&gt;Excluido"),IF(FE$35&lt;=e_L2_Gracia,0,IF(FE$35&gt;=e_L2_Gracia+e_L2_Cuotas,FE$39,MIN(FE$39,FE$37)))*Calendario!FE$13)</f>
        <v>0</v>
      </c>
      <c r="FF41" s="13" t="n">
        <f aca="false">IF(FF$9=1,SUMIFS(dr_USD,dr_Mes,156,dr_Cod,"AMORT_P2",dr_Est,"&lt;&gt;Excluido"),IF(FF$35&lt;=e_L2_Gracia,0,IF(FF$35&gt;=e_L2_Gracia+e_L2_Cuotas,FF$39,MIN(FF$39,FF$37)))*Calendario!FF$13)</f>
        <v>0</v>
      </c>
    </row>
    <row r="42" customFormat="false" ht="15" hidden="false" customHeight="false" outlineLevel="0" collapsed="false">
      <c r="A42" s="2" t="s">
        <v>1431</v>
      </c>
      <c r="B42" s="8" t="s">
        <v>1413</v>
      </c>
      <c r="C42" s="8" t="s">
        <v>255</v>
      </c>
      <c r="E42" s="65" t="n">
        <f aca="false">SUM($F42:$FF42)</f>
        <v>0</v>
      </c>
      <c r="F42" s="13" t="n">
        <f aca="false">F$40*p_IVAint</f>
        <v>0</v>
      </c>
      <c r="G42" s="13" t="n">
        <f aca="false">G$40*p_IVAint</f>
        <v>0</v>
      </c>
      <c r="H42" s="13" t="n">
        <f aca="false">H$40*p_IVAint</f>
        <v>0</v>
      </c>
      <c r="I42" s="13" t="n">
        <f aca="false">I$40*p_IVAint</f>
        <v>0</v>
      </c>
      <c r="J42" s="13" t="n">
        <f aca="false">J$40*p_IVAint</f>
        <v>0</v>
      </c>
      <c r="K42" s="13" t="n">
        <f aca="false">K$40*p_IVAint</f>
        <v>0</v>
      </c>
      <c r="L42" s="13" t="n">
        <f aca="false">L$40*p_IVAint</f>
        <v>0</v>
      </c>
      <c r="M42" s="13" t="n">
        <f aca="false">M$40*p_IVAint</f>
        <v>0</v>
      </c>
      <c r="N42" s="13" t="n">
        <f aca="false">N$40*p_IVAint</f>
        <v>0</v>
      </c>
      <c r="O42" s="13" t="n">
        <f aca="false">O$40*p_IVAint</f>
        <v>0</v>
      </c>
      <c r="P42" s="13" t="n">
        <f aca="false">P$40*p_IVAint</f>
        <v>0</v>
      </c>
      <c r="Q42" s="13" t="n">
        <f aca="false">Q$40*p_IVAint</f>
        <v>0</v>
      </c>
      <c r="R42" s="13" t="n">
        <f aca="false">R$40*p_IVAint</f>
        <v>0</v>
      </c>
      <c r="S42" s="13" t="n">
        <f aca="false">S$40*p_IVAint</f>
        <v>0</v>
      </c>
      <c r="T42" s="13" t="n">
        <f aca="false">T$40*p_IVAint</f>
        <v>0</v>
      </c>
      <c r="U42" s="13" t="n">
        <f aca="false">U$40*p_IVAint</f>
        <v>0</v>
      </c>
      <c r="V42" s="13" t="n">
        <f aca="false">V$40*p_IVAint</f>
        <v>0</v>
      </c>
      <c r="W42" s="13" t="n">
        <f aca="false">W$40*p_IVAint</f>
        <v>0</v>
      </c>
      <c r="X42" s="13" t="n">
        <f aca="false">X$40*p_IVAint</f>
        <v>0</v>
      </c>
      <c r="Y42" s="13" t="n">
        <f aca="false">Y$40*p_IVAint</f>
        <v>0</v>
      </c>
      <c r="Z42" s="13" t="n">
        <f aca="false">Z$40*p_IVAint</f>
        <v>0</v>
      </c>
      <c r="AA42" s="13" t="n">
        <f aca="false">AA$40*p_IVAint</f>
        <v>0</v>
      </c>
      <c r="AB42" s="13" t="n">
        <f aca="false">AB$40*p_IVAint</f>
        <v>0</v>
      </c>
      <c r="AC42" s="13" t="n">
        <f aca="false">AC$40*p_IVAint</f>
        <v>0</v>
      </c>
      <c r="AD42" s="13" t="n">
        <f aca="false">AD$40*p_IVAint</f>
        <v>0</v>
      </c>
      <c r="AE42" s="13" t="n">
        <f aca="false">AE$40*p_IVAint</f>
        <v>0</v>
      </c>
      <c r="AF42" s="13" t="n">
        <f aca="false">AF$40*p_IVAint</f>
        <v>0</v>
      </c>
      <c r="AG42" s="13" t="n">
        <f aca="false">AG$40*p_IVAint</f>
        <v>0</v>
      </c>
      <c r="AH42" s="13" t="n">
        <f aca="false">AH$40*p_IVAint</f>
        <v>0</v>
      </c>
      <c r="AI42" s="13" t="n">
        <f aca="false">AI$40*p_IVAint</f>
        <v>0</v>
      </c>
      <c r="AJ42" s="13" t="n">
        <f aca="false">AJ$40*p_IVAint</f>
        <v>0</v>
      </c>
      <c r="AK42" s="13" t="n">
        <f aca="false">AK$40*p_IVAint</f>
        <v>0</v>
      </c>
      <c r="AL42" s="13" t="n">
        <f aca="false">AL$40*p_IVAint</f>
        <v>0</v>
      </c>
      <c r="AM42" s="13" t="n">
        <f aca="false">AM$40*p_IVAint</f>
        <v>0</v>
      </c>
      <c r="AN42" s="13" t="n">
        <f aca="false">AN$40*p_IVAint</f>
        <v>0</v>
      </c>
      <c r="AO42" s="13" t="n">
        <f aca="false">AO$40*p_IVAint</f>
        <v>0</v>
      </c>
      <c r="AP42" s="13" t="n">
        <f aca="false">AP$40*p_IVAint</f>
        <v>0</v>
      </c>
      <c r="AQ42" s="13" t="n">
        <f aca="false">AQ$40*p_IVAint</f>
        <v>0</v>
      </c>
      <c r="AR42" s="13" t="n">
        <f aca="false">AR$40*p_IVAint</f>
        <v>0</v>
      </c>
      <c r="AS42" s="13" t="n">
        <f aca="false">AS$40*p_IVAint</f>
        <v>0</v>
      </c>
      <c r="AT42" s="13" t="n">
        <f aca="false">AT$40*p_IVAint</f>
        <v>0</v>
      </c>
      <c r="AU42" s="13" t="n">
        <f aca="false">AU$40*p_IVAint</f>
        <v>0</v>
      </c>
      <c r="AV42" s="13" t="n">
        <f aca="false">AV$40*p_IVAint</f>
        <v>0</v>
      </c>
      <c r="AW42" s="13" t="n">
        <f aca="false">AW$40*p_IVAint</f>
        <v>0</v>
      </c>
      <c r="AX42" s="13" t="n">
        <f aca="false">AX$40*p_IVAint</f>
        <v>0</v>
      </c>
      <c r="AY42" s="13" t="n">
        <f aca="false">AY$40*p_IVAint</f>
        <v>0</v>
      </c>
      <c r="AZ42" s="13" t="n">
        <f aca="false">AZ$40*p_IVAint</f>
        <v>0</v>
      </c>
      <c r="BA42" s="13" t="n">
        <f aca="false">BA$40*p_IVAint</f>
        <v>0</v>
      </c>
      <c r="BB42" s="13" t="n">
        <f aca="false">BB$40*p_IVAint</f>
        <v>0</v>
      </c>
      <c r="BC42" s="13" t="n">
        <f aca="false">BC$40*p_IVAint</f>
        <v>0</v>
      </c>
      <c r="BD42" s="13" t="n">
        <f aca="false">BD$40*p_IVAint</f>
        <v>0</v>
      </c>
      <c r="BE42" s="13" t="n">
        <f aca="false">BE$40*p_IVAint</f>
        <v>0</v>
      </c>
      <c r="BF42" s="13" t="n">
        <f aca="false">BF$40*p_IVAint</f>
        <v>0</v>
      </c>
      <c r="BG42" s="13" t="n">
        <f aca="false">BG$40*p_IVAint</f>
        <v>0</v>
      </c>
      <c r="BH42" s="13" t="n">
        <f aca="false">BH$40*p_IVAint</f>
        <v>0</v>
      </c>
      <c r="BI42" s="13" t="n">
        <f aca="false">BI$40*p_IVAint</f>
        <v>0</v>
      </c>
      <c r="BJ42" s="13" t="n">
        <f aca="false">BJ$40*p_IVAint</f>
        <v>0</v>
      </c>
      <c r="BK42" s="13" t="n">
        <f aca="false">BK$40*p_IVAint</f>
        <v>0</v>
      </c>
      <c r="BL42" s="13" t="n">
        <f aca="false">BL$40*p_IVAint</f>
        <v>0</v>
      </c>
      <c r="BM42" s="13" t="n">
        <f aca="false">BM$40*p_IVAint</f>
        <v>0</v>
      </c>
      <c r="BN42" s="13" t="n">
        <f aca="false">BN$40*p_IVAint</f>
        <v>0</v>
      </c>
      <c r="BO42" s="13" t="n">
        <f aca="false">BO$40*p_IVAint</f>
        <v>0</v>
      </c>
      <c r="BP42" s="13" t="n">
        <f aca="false">BP$40*p_IVAint</f>
        <v>0</v>
      </c>
      <c r="BQ42" s="13" t="n">
        <f aca="false">BQ$40*p_IVAint</f>
        <v>0</v>
      </c>
      <c r="BR42" s="13" t="n">
        <f aca="false">BR$40*p_IVAint</f>
        <v>0</v>
      </c>
      <c r="BS42" s="13" t="n">
        <f aca="false">BS$40*p_IVAint</f>
        <v>0</v>
      </c>
      <c r="BT42" s="13" t="n">
        <f aca="false">BT$40*p_IVAint</f>
        <v>0</v>
      </c>
      <c r="BU42" s="13" t="n">
        <f aca="false">BU$40*p_IVAint</f>
        <v>0</v>
      </c>
      <c r="BV42" s="13" t="n">
        <f aca="false">BV$40*p_IVAint</f>
        <v>0</v>
      </c>
      <c r="BW42" s="13" t="n">
        <f aca="false">BW$40*p_IVAint</f>
        <v>0</v>
      </c>
      <c r="BX42" s="13" t="n">
        <f aca="false">BX$40*p_IVAint</f>
        <v>0</v>
      </c>
      <c r="BY42" s="13" t="n">
        <f aca="false">BY$40*p_IVAint</f>
        <v>0</v>
      </c>
      <c r="BZ42" s="13" t="n">
        <f aca="false">BZ$40*p_IVAint</f>
        <v>0</v>
      </c>
      <c r="CA42" s="13" t="n">
        <f aca="false">CA$40*p_IVAint</f>
        <v>0</v>
      </c>
      <c r="CB42" s="13" t="n">
        <f aca="false">CB$40*p_IVAint</f>
        <v>0</v>
      </c>
      <c r="CC42" s="13" t="n">
        <f aca="false">CC$40*p_IVAint</f>
        <v>0</v>
      </c>
      <c r="CD42" s="13" t="n">
        <f aca="false">CD$40*p_IVAint</f>
        <v>0</v>
      </c>
      <c r="CE42" s="13" t="n">
        <f aca="false">CE$40*p_IVAint</f>
        <v>0</v>
      </c>
      <c r="CF42" s="13" t="n">
        <f aca="false">CF$40*p_IVAint</f>
        <v>0</v>
      </c>
      <c r="CG42" s="13" t="n">
        <f aca="false">CG$40*p_IVAint</f>
        <v>0</v>
      </c>
      <c r="CH42" s="13" t="n">
        <f aca="false">CH$40*p_IVAint</f>
        <v>0</v>
      </c>
      <c r="CI42" s="13" t="n">
        <f aca="false">CI$40*p_IVAint</f>
        <v>0</v>
      </c>
      <c r="CJ42" s="13" t="n">
        <f aca="false">CJ$40*p_IVAint</f>
        <v>0</v>
      </c>
      <c r="CK42" s="13" t="n">
        <f aca="false">CK$40*p_IVAint</f>
        <v>0</v>
      </c>
      <c r="CL42" s="13" t="n">
        <f aca="false">CL$40*p_IVAint</f>
        <v>0</v>
      </c>
      <c r="CM42" s="13" t="n">
        <f aca="false">CM$40*p_IVAint</f>
        <v>0</v>
      </c>
      <c r="CN42" s="13" t="n">
        <f aca="false">CN$40*p_IVAint</f>
        <v>0</v>
      </c>
      <c r="CO42" s="13" t="n">
        <f aca="false">CO$40*p_IVAint</f>
        <v>0</v>
      </c>
      <c r="CP42" s="13" t="n">
        <f aca="false">CP$40*p_IVAint</f>
        <v>0</v>
      </c>
      <c r="CQ42" s="13" t="n">
        <f aca="false">CQ$40*p_IVAint</f>
        <v>0</v>
      </c>
      <c r="CR42" s="13" t="n">
        <f aca="false">CR$40*p_IVAint</f>
        <v>0</v>
      </c>
      <c r="CS42" s="13" t="n">
        <f aca="false">CS$40*p_IVAint</f>
        <v>0</v>
      </c>
      <c r="CT42" s="13" t="n">
        <f aca="false">CT$40*p_IVAint</f>
        <v>0</v>
      </c>
      <c r="CU42" s="13" t="n">
        <f aca="false">CU$40*p_IVAint</f>
        <v>0</v>
      </c>
      <c r="CV42" s="13" t="n">
        <f aca="false">CV$40*p_IVAint</f>
        <v>0</v>
      </c>
      <c r="CW42" s="13" t="n">
        <f aca="false">CW$40*p_IVAint</f>
        <v>0</v>
      </c>
      <c r="CX42" s="13" t="n">
        <f aca="false">CX$40*p_IVAint</f>
        <v>0</v>
      </c>
      <c r="CY42" s="13" t="n">
        <f aca="false">CY$40*p_IVAint</f>
        <v>0</v>
      </c>
      <c r="CZ42" s="13" t="n">
        <f aca="false">CZ$40*p_IVAint</f>
        <v>0</v>
      </c>
      <c r="DA42" s="13" t="n">
        <f aca="false">DA$40*p_IVAint</f>
        <v>0</v>
      </c>
      <c r="DB42" s="13" t="n">
        <f aca="false">DB$40*p_IVAint</f>
        <v>0</v>
      </c>
      <c r="DC42" s="13" t="n">
        <f aca="false">DC$40*p_IVAint</f>
        <v>0</v>
      </c>
      <c r="DD42" s="13" t="n">
        <f aca="false">DD$40*p_IVAint</f>
        <v>0</v>
      </c>
      <c r="DE42" s="13" t="n">
        <f aca="false">DE$40*p_IVAint</f>
        <v>0</v>
      </c>
      <c r="DF42" s="13" t="n">
        <f aca="false">DF$40*p_IVAint</f>
        <v>0</v>
      </c>
      <c r="DG42" s="13" t="n">
        <f aca="false">DG$40*p_IVAint</f>
        <v>0</v>
      </c>
      <c r="DH42" s="13" t="n">
        <f aca="false">DH$40*p_IVAint</f>
        <v>0</v>
      </c>
      <c r="DI42" s="13" t="n">
        <f aca="false">DI$40*p_IVAint</f>
        <v>0</v>
      </c>
      <c r="DJ42" s="13" t="n">
        <f aca="false">DJ$40*p_IVAint</f>
        <v>0</v>
      </c>
      <c r="DK42" s="13" t="n">
        <f aca="false">DK$40*p_IVAint</f>
        <v>0</v>
      </c>
      <c r="DL42" s="13" t="n">
        <f aca="false">DL$40*p_IVAint</f>
        <v>0</v>
      </c>
      <c r="DM42" s="13" t="n">
        <f aca="false">DM$40*p_IVAint</f>
        <v>0</v>
      </c>
      <c r="DN42" s="13" t="n">
        <f aca="false">DN$40*p_IVAint</f>
        <v>0</v>
      </c>
      <c r="DO42" s="13" t="n">
        <f aca="false">DO$40*p_IVAint</f>
        <v>0</v>
      </c>
      <c r="DP42" s="13" t="n">
        <f aca="false">DP$40*p_IVAint</f>
        <v>0</v>
      </c>
      <c r="DQ42" s="13" t="n">
        <f aca="false">DQ$40*p_IVAint</f>
        <v>0</v>
      </c>
      <c r="DR42" s="13" t="n">
        <f aca="false">DR$40*p_IVAint</f>
        <v>0</v>
      </c>
      <c r="DS42" s="13" t="n">
        <f aca="false">DS$40*p_IVAint</f>
        <v>0</v>
      </c>
      <c r="DT42" s="13" t="n">
        <f aca="false">DT$40*p_IVAint</f>
        <v>0</v>
      </c>
      <c r="DU42" s="13" t="n">
        <f aca="false">DU$40*p_IVAint</f>
        <v>0</v>
      </c>
      <c r="DV42" s="13" t="n">
        <f aca="false">DV$40*p_IVAint</f>
        <v>0</v>
      </c>
      <c r="DW42" s="13" t="n">
        <f aca="false">DW$40*p_IVAint</f>
        <v>0</v>
      </c>
      <c r="DX42" s="13" t="n">
        <f aca="false">DX$40*p_IVAint</f>
        <v>0</v>
      </c>
      <c r="DY42" s="13" t="n">
        <f aca="false">DY$40*p_IVAint</f>
        <v>0</v>
      </c>
      <c r="DZ42" s="13" t="n">
        <f aca="false">DZ$40*p_IVAint</f>
        <v>0</v>
      </c>
      <c r="EA42" s="13" t="n">
        <f aca="false">EA$40*p_IVAint</f>
        <v>0</v>
      </c>
      <c r="EB42" s="13" t="n">
        <f aca="false">EB$40*p_IVAint</f>
        <v>0</v>
      </c>
      <c r="EC42" s="13" t="n">
        <f aca="false">EC$40*p_IVAint</f>
        <v>0</v>
      </c>
      <c r="ED42" s="13" t="n">
        <f aca="false">ED$40*p_IVAint</f>
        <v>0</v>
      </c>
      <c r="EE42" s="13" t="n">
        <f aca="false">EE$40*p_IVAint</f>
        <v>0</v>
      </c>
      <c r="EF42" s="13" t="n">
        <f aca="false">EF$40*p_IVAint</f>
        <v>0</v>
      </c>
      <c r="EG42" s="13" t="n">
        <f aca="false">EG$40*p_IVAint</f>
        <v>0</v>
      </c>
      <c r="EH42" s="13" t="n">
        <f aca="false">EH$40*p_IVAint</f>
        <v>0</v>
      </c>
      <c r="EI42" s="13" t="n">
        <f aca="false">EI$40*p_IVAint</f>
        <v>0</v>
      </c>
      <c r="EJ42" s="13" t="n">
        <f aca="false">EJ$40*p_IVAint</f>
        <v>0</v>
      </c>
      <c r="EK42" s="13" t="n">
        <f aca="false">EK$40*p_IVAint</f>
        <v>0</v>
      </c>
      <c r="EL42" s="13" t="n">
        <f aca="false">EL$40*p_IVAint</f>
        <v>0</v>
      </c>
      <c r="EM42" s="13" t="n">
        <f aca="false">EM$40*p_IVAint</f>
        <v>0</v>
      </c>
      <c r="EN42" s="13" t="n">
        <f aca="false">EN$40*p_IVAint</f>
        <v>0</v>
      </c>
      <c r="EO42" s="13" t="n">
        <f aca="false">EO$40*p_IVAint</f>
        <v>0</v>
      </c>
      <c r="EP42" s="13" t="n">
        <f aca="false">EP$40*p_IVAint</f>
        <v>0</v>
      </c>
      <c r="EQ42" s="13" t="n">
        <f aca="false">EQ$40*p_IVAint</f>
        <v>0</v>
      </c>
      <c r="ER42" s="13" t="n">
        <f aca="false">ER$40*p_IVAint</f>
        <v>0</v>
      </c>
      <c r="ES42" s="13" t="n">
        <f aca="false">ES$40*p_IVAint</f>
        <v>0</v>
      </c>
      <c r="ET42" s="13" t="n">
        <f aca="false">ET$40*p_IVAint</f>
        <v>0</v>
      </c>
      <c r="EU42" s="13" t="n">
        <f aca="false">EU$40*p_IVAint</f>
        <v>0</v>
      </c>
      <c r="EV42" s="13" t="n">
        <f aca="false">EV$40*p_IVAint</f>
        <v>0</v>
      </c>
      <c r="EW42" s="13" t="n">
        <f aca="false">EW$40*p_IVAint</f>
        <v>0</v>
      </c>
      <c r="EX42" s="13" t="n">
        <f aca="false">EX$40*p_IVAint</f>
        <v>0</v>
      </c>
      <c r="EY42" s="13" t="n">
        <f aca="false">EY$40*p_IVAint</f>
        <v>0</v>
      </c>
      <c r="EZ42" s="13" t="n">
        <f aca="false">EZ$40*p_IVAint</f>
        <v>0</v>
      </c>
      <c r="FA42" s="13" t="n">
        <f aca="false">FA$40*p_IVAint</f>
        <v>0</v>
      </c>
      <c r="FB42" s="13" t="n">
        <f aca="false">FB$40*p_IVAint</f>
        <v>0</v>
      </c>
      <c r="FC42" s="13" t="n">
        <f aca="false">FC$40*p_IVAint</f>
        <v>0</v>
      </c>
      <c r="FD42" s="13" t="n">
        <f aca="false">FD$40*p_IVAint</f>
        <v>0</v>
      </c>
      <c r="FE42" s="13" t="n">
        <f aca="false">FE$40*p_IVAint</f>
        <v>0</v>
      </c>
      <c r="FF42" s="13" t="n">
        <f aca="false">FF$40*p_IVAint</f>
        <v>0</v>
      </c>
    </row>
    <row r="43" customFormat="false" ht="15" hidden="false" customHeight="false" outlineLevel="0" collapsed="false">
      <c r="A43" s="2" t="s">
        <v>1432</v>
      </c>
      <c r="B43" s="8" t="s">
        <v>1415</v>
      </c>
      <c r="C43" s="8" t="s">
        <v>255</v>
      </c>
      <c r="E43" s="65" t="n">
        <f aca="false">SUM($F43:$FF43)</f>
        <v>0</v>
      </c>
      <c r="F43" s="13" t="n">
        <f aca="false">IF(F$35=0,e_L2_Monto*0,0)</f>
        <v>0</v>
      </c>
      <c r="G43" s="13" t="n">
        <f aca="false">IF(G$35=0,e_L2_Monto*0,0)</f>
        <v>0</v>
      </c>
      <c r="H43" s="13" t="n">
        <f aca="false">IF(H$35=0,e_L2_Monto*0,0)</f>
        <v>0</v>
      </c>
      <c r="I43" s="13" t="n">
        <f aca="false">IF(I$35=0,e_L2_Monto*0,0)</f>
        <v>0</v>
      </c>
      <c r="J43" s="13" t="n">
        <f aca="false">IF(J$35=0,e_L2_Monto*0,0)</f>
        <v>0</v>
      </c>
      <c r="K43" s="13" t="n">
        <f aca="false">IF(K$35=0,e_L2_Monto*0,0)</f>
        <v>0</v>
      </c>
      <c r="L43" s="13" t="n">
        <f aca="false">IF(L$35=0,e_L2_Monto*0,0)</f>
        <v>0</v>
      </c>
      <c r="M43" s="13" t="n">
        <f aca="false">IF(M$35=0,e_L2_Monto*0,0)</f>
        <v>0</v>
      </c>
      <c r="N43" s="13" t="n">
        <f aca="false">IF(N$35=0,e_L2_Monto*0,0)</f>
        <v>0</v>
      </c>
      <c r="O43" s="13" t="n">
        <f aca="false">IF(O$35=0,e_L2_Monto*0,0)</f>
        <v>0</v>
      </c>
      <c r="P43" s="13" t="n">
        <f aca="false">IF(P$35=0,e_L2_Monto*0,0)</f>
        <v>0</v>
      </c>
      <c r="Q43" s="13" t="n">
        <f aca="false">IF(Q$35=0,e_L2_Monto*0,0)</f>
        <v>0</v>
      </c>
      <c r="R43" s="13" t="n">
        <f aca="false">IF(R$35=0,e_L2_Monto*0,0)</f>
        <v>0</v>
      </c>
      <c r="S43" s="13" t="n">
        <f aca="false">IF(S$35=0,e_L2_Monto*0,0)</f>
        <v>0</v>
      </c>
      <c r="T43" s="13" t="n">
        <f aca="false">IF(T$35=0,e_L2_Monto*0,0)</f>
        <v>0</v>
      </c>
      <c r="U43" s="13" t="n">
        <f aca="false">IF(U$35=0,e_L2_Monto*0,0)</f>
        <v>0</v>
      </c>
      <c r="V43" s="13" t="n">
        <f aca="false">IF(V$35=0,e_L2_Monto*0,0)</f>
        <v>0</v>
      </c>
      <c r="W43" s="13" t="n">
        <f aca="false">IF(W$35=0,e_L2_Monto*0,0)</f>
        <v>0</v>
      </c>
      <c r="X43" s="13" t="n">
        <f aca="false">IF(X$35=0,e_L2_Monto*0,0)</f>
        <v>0</v>
      </c>
      <c r="Y43" s="13" t="n">
        <f aca="false">IF(Y$35=0,e_L2_Monto*0,0)</f>
        <v>0</v>
      </c>
      <c r="Z43" s="13" t="n">
        <f aca="false">IF(Z$35=0,e_L2_Monto*0,0)</f>
        <v>0</v>
      </c>
      <c r="AA43" s="13" t="n">
        <f aca="false">IF(AA$35=0,e_L2_Monto*0,0)</f>
        <v>0</v>
      </c>
      <c r="AB43" s="13" t="n">
        <f aca="false">IF(AB$35=0,e_L2_Monto*0,0)</f>
        <v>0</v>
      </c>
      <c r="AC43" s="13" t="n">
        <f aca="false">IF(AC$35=0,e_L2_Monto*0,0)</f>
        <v>0</v>
      </c>
      <c r="AD43" s="13" t="n">
        <f aca="false">IF(AD$35=0,e_L2_Monto*0,0)</f>
        <v>0</v>
      </c>
      <c r="AE43" s="13" t="n">
        <f aca="false">IF(AE$35=0,e_L2_Monto*0,0)</f>
        <v>0</v>
      </c>
      <c r="AF43" s="13" t="n">
        <f aca="false">IF(AF$35=0,e_L2_Monto*0,0)</f>
        <v>0</v>
      </c>
      <c r="AG43" s="13" t="n">
        <f aca="false">IF(AG$35=0,e_L2_Monto*0,0)</f>
        <v>0</v>
      </c>
      <c r="AH43" s="13" t="n">
        <f aca="false">IF(AH$35=0,e_L2_Monto*0,0)</f>
        <v>0</v>
      </c>
      <c r="AI43" s="13" t="n">
        <f aca="false">IF(AI$35=0,e_L2_Monto*0,0)</f>
        <v>0</v>
      </c>
      <c r="AJ43" s="13" t="n">
        <f aca="false">IF(AJ$35=0,e_L2_Monto*0,0)</f>
        <v>0</v>
      </c>
      <c r="AK43" s="13" t="n">
        <f aca="false">IF(AK$35=0,e_L2_Monto*0,0)</f>
        <v>0</v>
      </c>
      <c r="AL43" s="13" t="n">
        <f aca="false">IF(AL$35=0,e_L2_Monto*0,0)</f>
        <v>0</v>
      </c>
      <c r="AM43" s="13" t="n">
        <f aca="false">IF(AM$35=0,e_L2_Monto*0,0)</f>
        <v>0</v>
      </c>
      <c r="AN43" s="13" t="n">
        <f aca="false">IF(AN$35=0,e_L2_Monto*0,0)</f>
        <v>0</v>
      </c>
      <c r="AO43" s="13" t="n">
        <f aca="false">IF(AO$35=0,e_L2_Monto*0,0)</f>
        <v>0</v>
      </c>
      <c r="AP43" s="13" t="n">
        <f aca="false">IF(AP$35=0,e_L2_Monto*0,0)</f>
        <v>0</v>
      </c>
      <c r="AQ43" s="13" t="n">
        <f aca="false">IF(AQ$35=0,e_L2_Monto*0,0)</f>
        <v>0</v>
      </c>
      <c r="AR43" s="13" t="n">
        <f aca="false">IF(AR$35=0,e_L2_Monto*0,0)</f>
        <v>0</v>
      </c>
      <c r="AS43" s="13" t="n">
        <f aca="false">IF(AS$35=0,e_L2_Monto*0,0)</f>
        <v>0</v>
      </c>
      <c r="AT43" s="13" t="n">
        <f aca="false">IF(AT$35=0,e_L2_Monto*0,0)</f>
        <v>0</v>
      </c>
      <c r="AU43" s="13" t="n">
        <f aca="false">IF(AU$35=0,e_L2_Monto*0,0)</f>
        <v>0</v>
      </c>
      <c r="AV43" s="13" t="n">
        <f aca="false">IF(AV$35=0,e_L2_Monto*0,0)</f>
        <v>0</v>
      </c>
      <c r="AW43" s="13" t="n">
        <f aca="false">IF(AW$35=0,e_L2_Monto*0,0)</f>
        <v>0</v>
      </c>
      <c r="AX43" s="13" t="n">
        <f aca="false">IF(AX$35=0,e_L2_Monto*0,0)</f>
        <v>0</v>
      </c>
      <c r="AY43" s="13" t="n">
        <f aca="false">IF(AY$35=0,e_L2_Monto*0,0)</f>
        <v>0</v>
      </c>
      <c r="AZ43" s="13" t="n">
        <f aca="false">IF(AZ$35=0,e_L2_Monto*0,0)</f>
        <v>0</v>
      </c>
      <c r="BA43" s="13" t="n">
        <f aca="false">IF(BA$35=0,e_L2_Monto*0,0)</f>
        <v>0</v>
      </c>
      <c r="BB43" s="13" t="n">
        <f aca="false">IF(BB$35=0,e_L2_Monto*0,0)</f>
        <v>0</v>
      </c>
      <c r="BC43" s="13" t="n">
        <f aca="false">IF(BC$35=0,e_L2_Monto*0,0)</f>
        <v>0</v>
      </c>
      <c r="BD43" s="13" t="n">
        <f aca="false">IF(BD$35=0,e_L2_Monto*0,0)</f>
        <v>0</v>
      </c>
      <c r="BE43" s="13" t="n">
        <f aca="false">IF(BE$35=0,e_L2_Monto*0,0)</f>
        <v>0</v>
      </c>
      <c r="BF43" s="13" t="n">
        <f aca="false">IF(BF$35=0,e_L2_Monto*0,0)</f>
        <v>0</v>
      </c>
      <c r="BG43" s="13" t="n">
        <f aca="false">IF(BG$35=0,e_L2_Monto*0,0)</f>
        <v>0</v>
      </c>
      <c r="BH43" s="13" t="n">
        <f aca="false">IF(BH$35=0,e_L2_Monto*0,0)</f>
        <v>0</v>
      </c>
      <c r="BI43" s="13" t="n">
        <f aca="false">IF(BI$35=0,e_L2_Monto*0,0)</f>
        <v>0</v>
      </c>
      <c r="BJ43" s="13" t="n">
        <f aca="false">IF(BJ$35=0,e_L2_Monto*0,0)</f>
        <v>0</v>
      </c>
      <c r="BK43" s="13" t="n">
        <f aca="false">IF(BK$35=0,e_L2_Monto*0,0)</f>
        <v>0</v>
      </c>
      <c r="BL43" s="13" t="n">
        <f aca="false">IF(BL$35=0,e_L2_Monto*0,0)</f>
        <v>0</v>
      </c>
      <c r="BM43" s="13" t="n">
        <f aca="false">IF(BM$35=0,e_L2_Monto*0,0)</f>
        <v>0</v>
      </c>
      <c r="BN43" s="13" t="n">
        <f aca="false">IF(BN$35=0,e_L2_Monto*0,0)</f>
        <v>0</v>
      </c>
      <c r="BO43" s="13" t="n">
        <f aca="false">IF(BO$35=0,e_L2_Monto*0,0)</f>
        <v>0</v>
      </c>
      <c r="BP43" s="13" t="n">
        <f aca="false">IF(BP$35=0,e_L2_Monto*0,0)</f>
        <v>0</v>
      </c>
      <c r="BQ43" s="13" t="n">
        <f aca="false">IF(BQ$35=0,e_L2_Monto*0,0)</f>
        <v>0</v>
      </c>
      <c r="BR43" s="13" t="n">
        <f aca="false">IF(BR$35=0,e_L2_Monto*0,0)</f>
        <v>0</v>
      </c>
      <c r="BS43" s="13" t="n">
        <f aca="false">IF(BS$35=0,e_L2_Monto*0,0)</f>
        <v>0</v>
      </c>
      <c r="BT43" s="13" t="n">
        <f aca="false">IF(BT$35=0,e_L2_Monto*0,0)</f>
        <v>0</v>
      </c>
      <c r="BU43" s="13" t="n">
        <f aca="false">IF(BU$35=0,e_L2_Monto*0,0)</f>
        <v>0</v>
      </c>
      <c r="BV43" s="13" t="n">
        <f aca="false">IF(BV$35=0,e_L2_Monto*0,0)</f>
        <v>0</v>
      </c>
      <c r="BW43" s="13" t="n">
        <f aca="false">IF(BW$35=0,e_L2_Monto*0,0)</f>
        <v>0</v>
      </c>
      <c r="BX43" s="13" t="n">
        <f aca="false">IF(BX$35=0,e_L2_Monto*0,0)</f>
        <v>0</v>
      </c>
      <c r="BY43" s="13" t="n">
        <f aca="false">IF(BY$35=0,e_L2_Monto*0,0)</f>
        <v>0</v>
      </c>
      <c r="BZ43" s="13" t="n">
        <f aca="false">IF(BZ$35=0,e_L2_Monto*0,0)</f>
        <v>0</v>
      </c>
      <c r="CA43" s="13" t="n">
        <f aca="false">IF(CA$35=0,e_L2_Monto*0,0)</f>
        <v>0</v>
      </c>
      <c r="CB43" s="13" t="n">
        <f aca="false">IF(CB$35=0,e_L2_Monto*0,0)</f>
        <v>0</v>
      </c>
      <c r="CC43" s="13" t="n">
        <f aca="false">IF(CC$35=0,e_L2_Monto*0,0)</f>
        <v>0</v>
      </c>
      <c r="CD43" s="13" t="n">
        <f aca="false">IF(CD$35=0,e_L2_Monto*0,0)</f>
        <v>0</v>
      </c>
      <c r="CE43" s="13" t="n">
        <f aca="false">IF(CE$35=0,e_L2_Monto*0,0)</f>
        <v>0</v>
      </c>
      <c r="CF43" s="13" t="n">
        <f aca="false">IF(CF$35=0,e_L2_Monto*0,0)</f>
        <v>0</v>
      </c>
      <c r="CG43" s="13" t="n">
        <f aca="false">IF(CG$35=0,e_L2_Monto*0,0)</f>
        <v>0</v>
      </c>
      <c r="CH43" s="13" t="n">
        <f aca="false">IF(CH$35=0,e_L2_Monto*0,0)</f>
        <v>0</v>
      </c>
      <c r="CI43" s="13" t="n">
        <f aca="false">IF(CI$35=0,e_L2_Monto*0,0)</f>
        <v>0</v>
      </c>
      <c r="CJ43" s="13" t="n">
        <f aca="false">IF(CJ$35=0,e_L2_Monto*0,0)</f>
        <v>0</v>
      </c>
      <c r="CK43" s="13" t="n">
        <f aca="false">IF(CK$35=0,e_L2_Monto*0,0)</f>
        <v>0</v>
      </c>
      <c r="CL43" s="13" t="n">
        <f aca="false">IF(CL$35=0,e_L2_Monto*0,0)</f>
        <v>0</v>
      </c>
      <c r="CM43" s="13" t="n">
        <f aca="false">IF(CM$35=0,e_L2_Monto*0,0)</f>
        <v>0</v>
      </c>
      <c r="CN43" s="13" t="n">
        <f aca="false">IF(CN$35=0,e_L2_Monto*0,0)</f>
        <v>0</v>
      </c>
      <c r="CO43" s="13" t="n">
        <f aca="false">IF(CO$35=0,e_L2_Monto*0,0)</f>
        <v>0</v>
      </c>
      <c r="CP43" s="13" t="n">
        <f aca="false">IF(CP$35=0,e_L2_Monto*0,0)</f>
        <v>0</v>
      </c>
      <c r="CQ43" s="13" t="n">
        <f aca="false">IF(CQ$35=0,e_L2_Monto*0,0)</f>
        <v>0</v>
      </c>
      <c r="CR43" s="13" t="n">
        <f aca="false">IF(CR$35=0,e_L2_Monto*0,0)</f>
        <v>0</v>
      </c>
      <c r="CS43" s="13" t="n">
        <f aca="false">IF(CS$35=0,e_L2_Monto*0,0)</f>
        <v>0</v>
      </c>
      <c r="CT43" s="13" t="n">
        <f aca="false">IF(CT$35=0,e_L2_Monto*0,0)</f>
        <v>0</v>
      </c>
      <c r="CU43" s="13" t="n">
        <f aca="false">IF(CU$35=0,e_L2_Monto*0,0)</f>
        <v>0</v>
      </c>
      <c r="CV43" s="13" t="n">
        <f aca="false">IF(CV$35=0,e_L2_Monto*0,0)</f>
        <v>0</v>
      </c>
      <c r="CW43" s="13" t="n">
        <f aca="false">IF(CW$35=0,e_L2_Monto*0,0)</f>
        <v>0</v>
      </c>
      <c r="CX43" s="13" t="n">
        <f aca="false">IF(CX$35=0,e_L2_Monto*0,0)</f>
        <v>0</v>
      </c>
      <c r="CY43" s="13" t="n">
        <f aca="false">IF(CY$35=0,e_L2_Monto*0,0)</f>
        <v>0</v>
      </c>
      <c r="CZ43" s="13" t="n">
        <f aca="false">IF(CZ$35=0,e_L2_Monto*0,0)</f>
        <v>0</v>
      </c>
      <c r="DA43" s="13" t="n">
        <f aca="false">IF(DA$35=0,e_L2_Monto*0,0)</f>
        <v>0</v>
      </c>
      <c r="DB43" s="13" t="n">
        <f aca="false">IF(DB$35=0,e_L2_Monto*0,0)</f>
        <v>0</v>
      </c>
      <c r="DC43" s="13" t="n">
        <f aca="false">IF(DC$35=0,e_L2_Monto*0,0)</f>
        <v>0</v>
      </c>
      <c r="DD43" s="13" t="n">
        <f aca="false">IF(DD$35=0,e_L2_Monto*0,0)</f>
        <v>0</v>
      </c>
      <c r="DE43" s="13" t="n">
        <f aca="false">IF(DE$35=0,e_L2_Monto*0,0)</f>
        <v>0</v>
      </c>
      <c r="DF43" s="13" t="n">
        <f aca="false">IF(DF$35=0,e_L2_Monto*0,0)</f>
        <v>0</v>
      </c>
      <c r="DG43" s="13" t="n">
        <f aca="false">IF(DG$35=0,e_L2_Monto*0,0)</f>
        <v>0</v>
      </c>
      <c r="DH43" s="13" t="n">
        <f aca="false">IF(DH$35=0,e_L2_Monto*0,0)</f>
        <v>0</v>
      </c>
      <c r="DI43" s="13" t="n">
        <f aca="false">IF(DI$35=0,e_L2_Monto*0,0)</f>
        <v>0</v>
      </c>
      <c r="DJ43" s="13" t="n">
        <f aca="false">IF(DJ$35=0,e_L2_Monto*0,0)</f>
        <v>0</v>
      </c>
      <c r="DK43" s="13" t="n">
        <f aca="false">IF(DK$35=0,e_L2_Monto*0,0)</f>
        <v>0</v>
      </c>
      <c r="DL43" s="13" t="n">
        <f aca="false">IF(DL$35=0,e_L2_Monto*0,0)</f>
        <v>0</v>
      </c>
      <c r="DM43" s="13" t="n">
        <f aca="false">IF(DM$35=0,e_L2_Monto*0,0)</f>
        <v>0</v>
      </c>
      <c r="DN43" s="13" t="n">
        <f aca="false">IF(DN$35=0,e_L2_Monto*0,0)</f>
        <v>0</v>
      </c>
      <c r="DO43" s="13" t="n">
        <f aca="false">IF(DO$35=0,e_L2_Monto*0,0)</f>
        <v>0</v>
      </c>
      <c r="DP43" s="13" t="n">
        <f aca="false">IF(DP$35=0,e_L2_Monto*0,0)</f>
        <v>0</v>
      </c>
      <c r="DQ43" s="13" t="n">
        <f aca="false">IF(DQ$35=0,e_L2_Monto*0,0)</f>
        <v>0</v>
      </c>
      <c r="DR43" s="13" t="n">
        <f aca="false">IF(DR$35=0,e_L2_Monto*0,0)</f>
        <v>0</v>
      </c>
      <c r="DS43" s="13" t="n">
        <f aca="false">IF(DS$35=0,e_L2_Monto*0,0)</f>
        <v>0</v>
      </c>
      <c r="DT43" s="13" t="n">
        <f aca="false">IF(DT$35=0,e_L2_Monto*0,0)</f>
        <v>0</v>
      </c>
      <c r="DU43" s="13" t="n">
        <f aca="false">IF(DU$35=0,e_L2_Monto*0,0)</f>
        <v>0</v>
      </c>
      <c r="DV43" s="13" t="n">
        <f aca="false">IF(DV$35=0,e_L2_Monto*0,0)</f>
        <v>0</v>
      </c>
      <c r="DW43" s="13" t="n">
        <f aca="false">IF(DW$35=0,e_L2_Monto*0,0)</f>
        <v>0</v>
      </c>
      <c r="DX43" s="13" t="n">
        <f aca="false">IF(DX$35=0,e_L2_Monto*0,0)</f>
        <v>0</v>
      </c>
      <c r="DY43" s="13" t="n">
        <f aca="false">IF(DY$35=0,e_L2_Monto*0,0)</f>
        <v>0</v>
      </c>
      <c r="DZ43" s="13" t="n">
        <f aca="false">IF(DZ$35=0,e_L2_Monto*0,0)</f>
        <v>0</v>
      </c>
      <c r="EA43" s="13" t="n">
        <f aca="false">IF(EA$35=0,e_L2_Monto*0,0)</f>
        <v>0</v>
      </c>
      <c r="EB43" s="13" t="n">
        <f aca="false">IF(EB$35=0,e_L2_Monto*0,0)</f>
        <v>0</v>
      </c>
      <c r="EC43" s="13" t="n">
        <f aca="false">IF(EC$35=0,e_L2_Monto*0,0)</f>
        <v>0</v>
      </c>
      <c r="ED43" s="13" t="n">
        <f aca="false">IF(ED$35=0,e_L2_Monto*0,0)</f>
        <v>0</v>
      </c>
      <c r="EE43" s="13" t="n">
        <f aca="false">IF(EE$35=0,e_L2_Monto*0,0)</f>
        <v>0</v>
      </c>
      <c r="EF43" s="13" t="n">
        <f aca="false">IF(EF$35=0,e_L2_Monto*0,0)</f>
        <v>0</v>
      </c>
      <c r="EG43" s="13" t="n">
        <f aca="false">IF(EG$35=0,e_L2_Monto*0,0)</f>
        <v>0</v>
      </c>
      <c r="EH43" s="13" t="n">
        <f aca="false">IF(EH$35=0,e_L2_Monto*0,0)</f>
        <v>0</v>
      </c>
      <c r="EI43" s="13" t="n">
        <f aca="false">IF(EI$35=0,e_L2_Monto*0,0)</f>
        <v>0</v>
      </c>
      <c r="EJ43" s="13" t="n">
        <f aca="false">IF(EJ$35=0,e_L2_Monto*0,0)</f>
        <v>0</v>
      </c>
      <c r="EK43" s="13" t="n">
        <f aca="false">IF(EK$35=0,e_L2_Monto*0,0)</f>
        <v>0</v>
      </c>
      <c r="EL43" s="13" t="n">
        <f aca="false">IF(EL$35=0,e_L2_Monto*0,0)</f>
        <v>0</v>
      </c>
      <c r="EM43" s="13" t="n">
        <f aca="false">IF(EM$35=0,e_L2_Monto*0,0)</f>
        <v>0</v>
      </c>
      <c r="EN43" s="13" t="n">
        <f aca="false">IF(EN$35=0,e_L2_Monto*0,0)</f>
        <v>0</v>
      </c>
      <c r="EO43" s="13" t="n">
        <f aca="false">IF(EO$35=0,e_L2_Monto*0,0)</f>
        <v>0</v>
      </c>
      <c r="EP43" s="13" t="n">
        <f aca="false">IF(EP$35=0,e_L2_Monto*0,0)</f>
        <v>0</v>
      </c>
      <c r="EQ43" s="13" t="n">
        <f aca="false">IF(EQ$35=0,e_L2_Monto*0,0)</f>
        <v>0</v>
      </c>
      <c r="ER43" s="13" t="n">
        <f aca="false">IF(ER$35=0,e_L2_Monto*0,0)</f>
        <v>0</v>
      </c>
      <c r="ES43" s="13" t="n">
        <f aca="false">IF(ES$35=0,e_L2_Monto*0,0)</f>
        <v>0</v>
      </c>
      <c r="ET43" s="13" t="n">
        <f aca="false">IF(ET$35=0,e_L2_Monto*0,0)</f>
        <v>0</v>
      </c>
      <c r="EU43" s="13" t="n">
        <f aca="false">IF(EU$35=0,e_L2_Monto*0,0)</f>
        <v>0</v>
      </c>
      <c r="EV43" s="13" t="n">
        <f aca="false">IF(EV$35=0,e_L2_Monto*0,0)</f>
        <v>0</v>
      </c>
      <c r="EW43" s="13" t="n">
        <f aca="false">IF(EW$35=0,e_L2_Monto*0,0)</f>
        <v>0</v>
      </c>
      <c r="EX43" s="13" t="n">
        <f aca="false">IF(EX$35=0,e_L2_Monto*0,0)</f>
        <v>0</v>
      </c>
      <c r="EY43" s="13" t="n">
        <f aca="false">IF(EY$35=0,e_L2_Monto*0,0)</f>
        <v>0</v>
      </c>
      <c r="EZ43" s="13" t="n">
        <f aca="false">IF(EZ$35=0,e_L2_Monto*0,0)</f>
        <v>0</v>
      </c>
      <c r="FA43" s="13" t="n">
        <f aca="false">IF(FA$35=0,e_L2_Monto*0,0)</f>
        <v>0</v>
      </c>
      <c r="FB43" s="13" t="n">
        <f aca="false">IF(FB$35=0,e_L2_Monto*0,0)</f>
        <v>0</v>
      </c>
      <c r="FC43" s="13" t="n">
        <f aca="false">IF(FC$35=0,e_L2_Monto*0,0)</f>
        <v>0</v>
      </c>
      <c r="FD43" s="13" t="n">
        <f aca="false">IF(FD$35=0,e_L2_Monto*0,0)</f>
        <v>0</v>
      </c>
      <c r="FE43" s="13" t="n">
        <f aca="false">IF(FE$35=0,e_L2_Monto*0,0)</f>
        <v>0</v>
      </c>
      <c r="FF43" s="13" t="n">
        <f aca="false">IF(FF$35=0,e_L2_Monto*0,0)</f>
        <v>0</v>
      </c>
    </row>
    <row r="44" customFormat="false" ht="15" hidden="false" customHeight="false" outlineLevel="0" collapsed="false">
      <c r="A44" s="2" t="s">
        <v>1433</v>
      </c>
      <c r="B44" s="8" t="s">
        <v>1417</v>
      </c>
      <c r="C44" s="8" t="s">
        <v>255</v>
      </c>
      <c r="F44" s="13" t="n">
        <f aca="false">F$39+F$38-F$41</f>
        <v>0</v>
      </c>
      <c r="G44" s="13" t="n">
        <f aca="false">G$39+G$38-G$41</f>
        <v>0</v>
      </c>
      <c r="H44" s="13" t="n">
        <f aca="false">H$39+H$38-H$41</f>
        <v>0</v>
      </c>
      <c r="I44" s="13" t="n">
        <f aca="false">I$39+I$38-I$41</f>
        <v>0</v>
      </c>
      <c r="J44" s="13" t="n">
        <f aca="false">J$39+J$38-J$41</f>
        <v>0</v>
      </c>
      <c r="K44" s="13" t="n">
        <f aca="false">K$39+K$38-K$41</f>
        <v>0</v>
      </c>
      <c r="L44" s="13" t="n">
        <f aca="false">L$39+L$38-L$41</f>
        <v>0</v>
      </c>
      <c r="M44" s="13" t="n">
        <f aca="false">M$39+M$38-M$41</f>
        <v>0</v>
      </c>
      <c r="N44" s="13" t="n">
        <f aca="false">N$39+N$38-N$41</f>
        <v>0</v>
      </c>
      <c r="O44" s="13" t="n">
        <f aca="false">O$39+O$38-O$41</f>
        <v>0</v>
      </c>
      <c r="P44" s="13" t="n">
        <f aca="false">P$39+P$38-P$41</f>
        <v>0</v>
      </c>
      <c r="Q44" s="13" t="n">
        <f aca="false">Q$39+Q$38-Q$41</f>
        <v>0</v>
      </c>
      <c r="R44" s="13" t="n">
        <f aca="false">R$39+R$38-R$41</f>
        <v>0</v>
      </c>
      <c r="S44" s="13" t="n">
        <f aca="false">S$39+S$38-S$41</f>
        <v>0</v>
      </c>
      <c r="T44" s="13" t="n">
        <f aca="false">T$39+T$38-T$41</f>
        <v>0</v>
      </c>
      <c r="U44" s="13" t="n">
        <f aca="false">U$39+U$38-U$41</f>
        <v>0</v>
      </c>
      <c r="V44" s="13" t="n">
        <f aca="false">V$39+V$38-V$41</f>
        <v>0</v>
      </c>
      <c r="W44" s="13" t="n">
        <f aca="false">W$39+W$38-W$41</f>
        <v>0</v>
      </c>
      <c r="X44" s="13" t="n">
        <f aca="false">X$39+X$38-X$41</f>
        <v>0</v>
      </c>
      <c r="Y44" s="13" t="n">
        <f aca="false">Y$39+Y$38-Y$41</f>
        <v>0</v>
      </c>
      <c r="Z44" s="13" t="n">
        <f aca="false">Z$39+Z$38-Z$41</f>
        <v>0</v>
      </c>
      <c r="AA44" s="13" t="n">
        <f aca="false">AA$39+AA$38-AA$41</f>
        <v>0</v>
      </c>
      <c r="AB44" s="13" t="n">
        <f aca="false">AB$39+AB$38-AB$41</f>
        <v>0</v>
      </c>
      <c r="AC44" s="13" t="n">
        <f aca="false">AC$39+AC$38-AC$41</f>
        <v>0</v>
      </c>
      <c r="AD44" s="13" t="n">
        <f aca="false">AD$39+AD$38-AD$41</f>
        <v>0</v>
      </c>
      <c r="AE44" s="13" t="n">
        <f aca="false">AE$39+AE$38-AE$41</f>
        <v>0</v>
      </c>
      <c r="AF44" s="13" t="n">
        <f aca="false">AF$39+AF$38-AF$41</f>
        <v>0</v>
      </c>
      <c r="AG44" s="13" t="n">
        <f aca="false">AG$39+AG$38-AG$41</f>
        <v>0</v>
      </c>
      <c r="AH44" s="13" t="n">
        <f aca="false">AH$39+AH$38-AH$41</f>
        <v>0</v>
      </c>
      <c r="AI44" s="13" t="n">
        <f aca="false">AI$39+AI$38-AI$41</f>
        <v>0</v>
      </c>
      <c r="AJ44" s="13" t="n">
        <f aca="false">AJ$39+AJ$38-AJ$41</f>
        <v>0</v>
      </c>
      <c r="AK44" s="13" t="n">
        <f aca="false">AK$39+AK$38-AK$41</f>
        <v>0</v>
      </c>
      <c r="AL44" s="13" t="n">
        <f aca="false">AL$39+AL$38-AL$41</f>
        <v>0</v>
      </c>
      <c r="AM44" s="13" t="n">
        <f aca="false">AM$39+AM$38-AM$41</f>
        <v>0</v>
      </c>
      <c r="AN44" s="13" t="n">
        <f aca="false">AN$39+AN$38-AN$41</f>
        <v>0</v>
      </c>
      <c r="AO44" s="13" t="n">
        <f aca="false">AO$39+AO$38-AO$41</f>
        <v>0</v>
      </c>
      <c r="AP44" s="13" t="n">
        <f aca="false">AP$39+AP$38-AP$41</f>
        <v>0</v>
      </c>
      <c r="AQ44" s="13" t="n">
        <f aca="false">AQ$39+AQ$38-AQ$41</f>
        <v>0</v>
      </c>
      <c r="AR44" s="13" t="n">
        <f aca="false">AR$39+AR$38-AR$41</f>
        <v>0</v>
      </c>
      <c r="AS44" s="13" t="n">
        <f aca="false">AS$39+AS$38-AS$41</f>
        <v>0</v>
      </c>
      <c r="AT44" s="13" t="n">
        <f aca="false">AT$39+AT$38-AT$41</f>
        <v>0</v>
      </c>
      <c r="AU44" s="13" t="n">
        <f aca="false">AU$39+AU$38-AU$41</f>
        <v>0</v>
      </c>
      <c r="AV44" s="13" t="n">
        <f aca="false">AV$39+AV$38-AV$41</f>
        <v>0</v>
      </c>
      <c r="AW44" s="13" t="n">
        <f aca="false">AW$39+AW$38-AW$41</f>
        <v>0</v>
      </c>
      <c r="AX44" s="13" t="n">
        <f aca="false">AX$39+AX$38-AX$41</f>
        <v>0</v>
      </c>
      <c r="AY44" s="13" t="n">
        <f aca="false">AY$39+AY$38-AY$41</f>
        <v>0</v>
      </c>
      <c r="AZ44" s="13" t="n">
        <f aca="false">AZ$39+AZ$38-AZ$41</f>
        <v>0</v>
      </c>
      <c r="BA44" s="13" t="n">
        <f aca="false">BA$39+BA$38-BA$41</f>
        <v>0</v>
      </c>
      <c r="BB44" s="13" t="n">
        <f aca="false">BB$39+BB$38-BB$41</f>
        <v>0</v>
      </c>
      <c r="BC44" s="13" t="n">
        <f aca="false">BC$39+BC$38-BC$41</f>
        <v>0</v>
      </c>
      <c r="BD44" s="13" t="n">
        <f aca="false">BD$39+BD$38-BD$41</f>
        <v>0</v>
      </c>
      <c r="BE44" s="13" t="n">
        <f aca="false">BE$39+BE$38-BE$41</f>
        <v>0</v>
      </c>
      <c r="BF44" s="13" t="n">
        <f aca="false">BF$39+BF$38-BF$41</f>
        <v>0</v>
      </c>
      <c r="BG44" s="13" t="n">
        <f aca="false">BG$39+BG$38-BG$41</f>
        <v>0</v>
      </c>
      <c r="BH44" s="13" t="n">
        <f aca="false">BH$39+BH$38-BH$41</f>
        <v>0</v>
      </c>
      <c r="BI44" s="13" t="n">
        <f aca="false">BI$39+BI$38-BI$41</f>
        <v>0</v>
      </c>
      <c r="BJ44" s="13" t="n">
        <f aca="false">BJ$39+BJ$38-BJ$41</f>
        <v>0</v>
      </c>
      <c r="BK44" s="13" t="n">
        <f aca="false">BK$39+BK$38-BK$41</f>
        <v>0</v>
      </c>
      <c r="BL44" s="13" t="n">
        <f aca="false">BL$39+BL$38-BL$41</f>
        <v>0</v>
      </c>
      <c r="BM44" s="13" t="n">
        <f aca="false">BM$39+BM$38-BM$41</f>
        <v>0</v>
      </c>
      <c r="BN44" s="13" t="n">
        <f aca="false">BN$39+BN$38-BN$41</f>
        <v>0</v>
      </c>
      <c r="BO44" s="13" t="n">
        <f aca="false">BO$39+BO$38-BO$41</f>
        <v>0</v>
      </c>
      <c r="BP44" s="13" t="n">
        <f aca="false">BP$39+BP$38-BP$41</f>
        <v>0</v>
      </c>
      <c r="BQ44" s="13" t="n">
        <f aca="false">BQ$39+BQ$38-BQ$41</f>
        <v>0</v>
      </c>
      <c r="BR44" s="13" t="n">
        <f aca="false">BR$39+BR$38-BR$41</f>
        <v>0</v>
      </c>
      <c r="BS44" s="13" t="n">
        <f aca="false">BS$39+BS$38-BS$41</f>
        <v>0</v>
      </c>
      <c r="BT44" s="13" t="n">
        <f aca="false">BT$39+BT$38-BT$41</f>
        <v>0</v>
      </c>
      <c r="BU44" s="13" t="n">
        <f aca="false">BU$39+BU$38-BU$41</f>
        <v>0</v>
      </c>
      <c r="BV44" s="13" t="n">
        <f aca="false">BV$39+BV$38-BV$41</f>
        <v>0</v>
      </c>
      <c r="BW44" s="13" t="n">
        <f aca="false">BW$39+BW$38-BW$41</f>
        <v>0</v>
      </c>
      <c r="BX44" s="13" t="n">
        <f aca="false">BX$39+BX$38-BX$41</f>
        <v>0</v>
      </c>
      <c r="BY44" s="13" t="n">
        <f aca="false">BY$39+BY$38-BY$41</f>
        <v>0</v>
      </c>
      <c r="BZ44" s="13" t="n">
        <f aca="false">BZ$39+BZ$38-BZ$41</f>
        <v>0</v>
      </c>
      <c r="CA44" s="13" t="n">
        <f aca="false">CA$39+CA$38-CA$41</f>
        <v>0</v>
      </c>
      <c r="CB44" s="13" t="n">
        <f aca="false">CB$39+CB$38-CB$41</f>
        <v>0</v>
      </c>
      <c r="CC44" s="13" t="n">
        <f aca="false">CC$39+CC$38-CC$41</f>
        <v>0</v>
      </c>
      <c r="CD44" s="13" t="n">
        <f aca="false">CD$39+CD$38-CD$41</f>
        <v>0</v>
      </c>
      <c r="CE44" s="13" t="n">
        <f aca="false">CE$39+CE$38-CE$41</f>
        <v>0</v>
      </c>
      <c r="CF44" s="13" t="n">
        <f aca="false">CF$39+CF$38-CF$41</f>
        <v>0</v>
      </c>
      <c r="CG44" s="13" t="n">
        <f aca="false">CG$39+CG$38-CG$41</f>
        <v>0</v>
      </c>
      <c r="CH44" s="13" t="n">
        <f aca="false">CH$39+CH$38-CH$41</f>
        <v>0</v>
      </c>
      <c r="CI44" s="13" t="n">
        <f aca="false">CI$39+CI$38-CI$41</f>
        <v>0</v>
      </c>
      <c r="CJ44" s="13" t="n">
        <f aca="false">CJ$39+CJ$38-CJ$41</f>
        <v>0</v>
      </c>
      <c r="CK44" s="13" t="n">
        <f aca="false">CK$39+CK$38-CK$41</f>
        <v>0</v>
      </c>
      <c r="CL44" s="13" t="n">
        <f aca="false">CL$39+CL$38-CL$41</f>
        <v>0</v>
      </c>
      <c r="CM44" s="13" t="n">
        <f aca="false">CM$39+CM$38-CM$41</f>
        <v>0</v>
      </c>
      <c r="CN44" s="13" t="n">
        <f aca="false">CN$39+CN$38-CN$41</f>
        <v>0</v>
      </c>
      <c r="CO44" s="13" t="n">
        <f aca="false">CO$39+CO$38-CO$41</f>
        <v>0</v>
      </c>
      <c r="CP44" s="13" t="n">
        <f aca="false">CP$39+CP$38-CP$41</f>
        <v>0</v>
      </c>
      <c r="CQ44" s="13" t="n">
        <f aca="false">CQ$39+CQ$38-CQ$41</f>
        <v>0</v>
      </c>
      <c r="CR44" s="13" t="n">
        <f aca="false">CR$39+CR$38-CR$41</f>
        <v>0</v>
      </c>
      <c r="CS44" s="13" t="n">
        <f aca="false">CS$39+CS$38-CS$41</f>
        <v>0</v>
      </c>
      <c r="CT44" s="13" t="n">
        <f aca="false">CT$39+CT$38-CT$41</f>
        <v>0</v>
      </c>
      <c r="CU44" s="13" t="n">
        <f aca="false">CU$39+CU$38-CU$41</f>
        <v>0</v>
      </c>
      <c r="CV44" s="13" t="n">
        <f aca="false">CV$39+CV$38-CV$41</f>
        <v>0</v>
      </c>
      <c r="CW44" s="13" t="n">
        <f aca="false">CW$39+CW$38-CW$41</f>
        <v>0</v>
      </c>
      <c r="CX44" s="13" t="n">
        <f aca="false">CX$39+CX$38-CX$41</f>
        <v>0</v>
      </c>
      <c r="CY44" s="13" t="n">
        <f aca="false">CY$39+CY$38-CY$41</f>
        <v>0</v>
      </c>
      <c r="CZ44" s="13" t="n">
        <f aca="false">CZ$39+CZ$38-CZ$41</f>
        <v>0</v>
      </c>
      <c r="DA44" s="13" t="n">
        <f aca="false">DA$39+DA$38-DA$41</f>
        <v>0</v>
      </c>
      <c r="DB44" s="13" t="n">
        <f aca="false">DB$39+DB$38-DB$41</f>
        <v>0</v>
      </c>
      <c r="DC44" s="13" t="n">
        <f aca="false">DC$39+DC$38-DC$41</f>
        <v>0</v>
      </c>
      <c r="DD44" s="13" t="n">
        <f aca="false">DD$39+DD$38-DD$41</f>
        <v>0</v>
      </c>
      <c r="DE44" s="13" t="n">
        <f aca="false">DE$39+DE$38-DE$41</f>
        <v>0</v>
      </c>
      <c r="DF44" s="13" t="n">
        <f aca="false">DF$39+DF$38-DF$41</f>
        <v>0</v>
      </c>
      <c r="DG44" s="13" t="n">
        <f aca="false">DG$39+DG$38-DG$41</f>
        <v>0</v>
      </c>
      <c r="DH44" s="13" t="n">
        <f aca="false">DH$39+DH$38-DH$41</f>
        <v>0</v>
      </c>
      <c r="DI44" s="13" t="n">
        <f aca="false">DI$39+DI$38-DI$41</f>
        <v>0</v>
      </c>
      <c r="DJ44" s="13" t="n">
        <f aca="false">DJ$39+DJ$38-DJ$41</f>
        <v>0</v>
      </c>
      <c r="DK44" s="13" t="n">
        <f aca="false">DK$39+DK$38-DK$41</f>
        <v>0</v>
      </c>
      <c r="DL44" s="13" t="n">
        <f aca="false">DL$39+DL$38-DL$41</f>
        <v>0</v>
      </c>
      <c r="DM44" s="13" t="n">
        <f aca="false">DM$39+DM$38-DM$41</f>
        <v>0</v>
      </c>
      <c r="DN44" s="13" t="n">
        <f aca="false">DN$39+DN$38-DN$41</f>
        <v>0</v>
      </c>
      <c r="DO44" s="13" t="n">
        <f aca="false">DO$39+DO$38-DO$41</f>
        <v>0</v>
      </c>
      <c r="DP44" s="13" t="n">
        <f aca="false">DP$39+DP$38-DP$41</f>
        <v>0</v>
      </c>
      <c r="DQ44" s="13" t="n">
        <f aca="false">DQ$39+DQ$38-DQ$41</f>
        <v>0</v>
      </c>
      <c r="DR44" s="13" t="n">
        <f aca="false">DR$39+DR$38-DR$41</f>
        <v>0</v>
      </c>
      <c r="DS44" s="13" t="n">
        <f aca="false">DS$39+DS$38-DS$41</f>
        <v>0</v>
      </c>
      <c r="DT44" s="13" t="n">
        <f aca="false">DT$39+DT$38-DT$41</f>
        <v>0</v>
      </c>
      <c r="DU44" s="13" t="n">
        <f aca="false">DU$39+DU$38-DU$41</f>
        <v>0</v>
      </c>
      <c r="DV44" s="13" t="n">
        <f aca="false">DV$39+DV$38-DV$41</f>
        <v>0</v>
      </c>
      <c r="DW44" s="13" t="n">
        <f aca="false">DW$39+DW$38-DW$41</f>
        <v>0</v>
      </c>
      <c r="DX44" s="13" t="n">
        <f aca="false">DX$39+DX$38-DX$41</f>
        <v>0</v>
      </c>
      <c r="DY44" s="13" t="n">
        <f aca="false">DY$39+DY$38-DY$41</f>
        <v>0</v>
      </c>
      <c r="DZ44" s="13" t="n">
        <f aca="false">DZ$39+DZ$38-DZ$41</f>
        <v>0</v>
      </c>
      <c r="EA44" s="13" t="n">
        <f aca="false">EA$39+EA$38-EA$41</f>
        <v>0</v>
      </c>
      <c r="EB44" s="13" t="n">
        <f aca="false">EB$39+EB$38-EB$41</f>
        <v>0</v>
      </c>
      <c r="EC44" s="13" t="n">
        <f aca="false">EC$39+EC$38-EC$41</f>
        <v>0</v>
      </c>
      <c r="ED44" s="13" t="n">
        <f aca="false">ED$39+ED$38-ED$41</f>
        <v>0</v>
      </c>
      <c r="EE44" s="13" t="n">
        <f aca="false">EE$39+EE$38-EE$41</f>
        <v>0</v>
      </c>
      <c r="EF44" s="13" t="n">
        <f aca="false">EF$39+EF$38-EF$41</f>
        <v>0</v>
      </c>
      <c r="EG44" s="13" t="n">
        <f aca="false">EG$39+EG$38-EG$41</f>
        <v>0</v>
      </c>
      <c r="EH44" s="13" t="n">
        <f aca="false">EH$39+EH$38-EH$41</f>
        <v>0</v>
      </c>
      <c r="EI44" s="13" t="n">
        <f aca="false">EI$39+EI$38-EI$41</f>
        <v>0</v>
      </c>
      <c r="EJ44" s="13" t="n">
        <f aca="false">EJ$39+EJ$38-EJ$41</f>
        <v>0</v>
      </c>
      <c r="EK44" s="13" t="n">
        <f aca="false">EK$39+EK$38-EK$41</f>
        <v>0</v>
      </c>
      <c r="EL44" s="13" t="n">
        <f aca="false">EL$39+EL$38-EL$41</f>
        <v>0</v>
      </c>
      <c r="EM44" s="13" t="n">
        <f aca="false">EM$39+EM$38-EM$41</f>
        <v>0</v>
      </c>
      <c r="EN44" s="13" t="n">
        <f aca="false">EN$39+EN$38-EN$41</f>
        <v>0</v>
      </c>
      <c r="EO44" s="13" t="n">
        <f aca="false">EO$39+EO$38-EO$41</f>
        <v>0</v>
      </c>
      <c r="EP44" s="13" t="n">
        <f aca="false">EP$39+EP$38-EP$41</f>
        <v>0</v>
      </c>
      <c r="EQ44" s="13" t="n">
        <f aca="false">EQ$39+EQ$38-EQ$41</f>
        <v>0</v>
      </c>
      <c r="ER44" s="13" t="n">
        <f aca="false">ER$39+ER$38-ER$41</f>
        <v>0</v>
      </c>
      <c r="ES44" s="13" t="n">
        <f aca="false">ES$39+ES$38-ES$41</f>
        <v>0</v>
      </c>
      <c r="ET44" s="13" t="n">
        <f aca="false">ET$39+ET$38-ET$41</f>
        <v>0</v>
      </c>
      <c r="EU44" s="13" t="n">
        <f aca="false">EU$39+EU$38-EU$41</f>
        <v>0</v>
      </c>
      <c r="EV44" s="13" t="n">
        <f aca="false">EV$39+EV$38-EV$41</f>
        <v>0</v>
      </c>
      <c r="EW44" s="13" t="n">
        <f aca="false">EW$39+EW$38-EW$41</f>
        <v>0</v>
      </c>
      <c r="EX44" s="13" t="n">
        <f aca="false">EX$39+EX$38-EX$41</f>
        <v>0</v>
      </c>
      <c r="EY44" s="13" t="n">
        <f aca="false">EY$39+EY$38-EY$41</f>
        <v>0</v>
      </c>
      <c r="EZ44" s="13" t="n">
        <f aca="false">EZ$39+EZ$38-EZ$41</f>
        <v>0</v>
      </c>
      <c r="FA44" s="13" t="n">
        <f aca="false">FA$39+FA$38-FA$41</f>
        <v>0</v>
      </c>
      <c r="FB44" s="13" t="n">
        <f aca="false">FB$39+FB$38-FB$41</f>
        <v>0</v>
      </c>
      <c r="FC44" s="13" t="n">
        <f aca="false">FC$39+FC$38-FC$41</f>
        <v>0</v>
      </c>
      <c r="FD44" s="13" t="n">
        <f aca="false">FD$39+FD$38-FD$41</f>
        <v>0</v>
      </c>
      <c r="FE44" s="13" t="n">
        <f aca="false">FE$39+FE$38-FE$41</f>
        <v>0</v>
      </c>
      <c r="FF44" s="13" t="n">
        <f aca="false">FF$39+FF$38-FF$41</f>
        <v>0</v>
      </c>
    </row>
    <row r="45" customFormat="false" ht="15" hidden="false" customHeight="false" outlineLevel="0" collapsed="false">
      <c r="A45" s="2" t="s">
        <v>1434</v>
      </c>
      <c r="B45" s="66" t="s">
        <v>1419</v>
      </c>
      <c r="C45" s="8" t="s">
        <v>255</v>
      </c>
      <c r="E45" s="67" t="n">
        <f aca="false">INDEX($F45:$FF45,1,p_MesFin+1)</f>
        <v>0</v>
      </c>
      <c r="F45" s="12" t="n">
        <f aca="false">IF(AND(0=p_MesCorte,ISNUMBER(r_S_DEUDA2)),r_S_DEUDA2,F$44)</f>
        <v>0</v>
      </c>
      <c r="G45" s="12" t="n">
        <f aca="false">IF(AND(1=p_MesCorte,ISNUMBER(r_S_DEUDA2)),r_S_DEUDA2,G$44)</f>
        <v>0</v>
      </c>
      <c r="H45" s="12" t="n">
        <f aca="false">IF(AND(2=p_MesCorte,ISNUMBER(r_S_DEUDA2)),r_S_DEUDA2,H$44)</f>
        <v>0</v>
      </c>
      <c r="I45" s="12" t="n">
        <f aca="false">IF(AND(3=p_MesCorte,ISNUMBER(r_S_DEUDA2)),r_S_DEUDA2,I$44)</f>
        <v>0</v>
      </c>
      <c r="J45" s="12" t="n">
        <f aca="false">IF(AND(4=p_MesCorte,ISNUMBER(r_S_DEUDA2)),r_S_DEUDA2,J$44)</f>
        <v>0</v>
      </c>
      <c r="K45" s="12" t="n">
        <f aca="false">IF(AND(5=p_MesCorte,ISNUMBER(r_S_DEUDA2)),r_S_DEUDA2,K$44)</f>
        <v>0</v>
      </c>
      <c r="L45" s="12" t="n">
        <f aca="false">IF(AND(6=p_MesCorte,ISNUMBER(r_S_DEUDA2)),r_S_DEUDA2,L$44)</f>
        <v>0</v>
      </c>
      <c r="M45" s="12" t="n">
        <f aca="false">IF(AND(7=p_MesCorte,ISNUMBER(r_S_DEUDA2)),r_S_DEUDA2,M$44)</f>
        <v>0</v>
      </c>
      <c r="N45" s="12" t="n">
        <f aca="false">IF(AND(8=p_MesCorte,ISNUMBER(r_S_DEUDA2)),r_S_DEUDA2,N$44)</f>
        <v>0</v>
      </c>
      <c r="O45" s="12" t="n">
        <f aca="false">IF(AND(9=p_MesCorte,ISNUMBER(r_S_DEUDA2)),r_S_DEUDA2,O$44)</f>
        <v>0</v>
      </c>
      <c r="P45" s="12" t="n">
        <f aca="false">IF(AND(10=p_MesCorte,ISNUMBER(r_S_DEUDA2)),r_S_DEUDA2,P$44)</f>
        <v>0</v>
      </c>
      <c r="Q45" s="12" t="n">
        <f aca="false">IF(AND(11=p_MesCorte,ISNUMBER(r_S_DEUDA2)),r_S_DEUDA2,Q$44)</f>
        <v>0</v>
      </c>
      <c r="R45" s="12" t="n">
        <f aca="false">IF(AND(12=p_MesCorte,ISNUMBER(r_S_DEUDA2)),r_S_DEUDA2,R$44)</f>
        <v>0</v>
      </c>
      <c r="S45" s="12" t="n">
        <f aca="false">IF(AND(13=p_MesCorte,ISNUMBER(r_S_DEUDA2)),r_S_DEUDA2,S$44)</f>
        <v>0</v>
      </c>
      <c r="T45" s="12" t="n">
        <f aca="false">IF(AND(14=p_MesCorte,ISNUMBER(r_S_DEUDA2)),r_S_DEUDA2,T$44)</f>
        <v>0</v>
      </c>
      <c r="U45" s="12" t="n">
        <f aca="false">IF(AND(15=p_MesCorte,ISNUMBER(r_S_DEUDA2)),r_S_DEUDA2,U$44)</f>
        <v>0</v>
      </c>
      <c r="V45" s="12" t="n">
        <f aca="false">IF(AND(16=p_MesCorte,ISNUMBER(r_S_DEUDA2)),r_S_DEUDA2,V$44)</f>
        <v>0</v>
      </c>
      <c r="W45" s="12" t="n">
        <f aca="false">IF(AND(17=p_MesCorte,ISNUMBER(r_S_DEUDA2)),r_S_DEUDA2,W$44)</f>
        <v>0</v>
      </c>
      <c r="X45" s="12" t="n">
        <f aca="false">IF(AND(18=p_MesCorte,ISNUMBER(r_S_DEUDA2)),r_S_DEUDA2,X$44)</f>
        <v>0</v>
      </c>
      <c r="Y45" s="12" t="n">
        <f aca="false">IF(AND(19=p_MesCorte,ISNUMBER(r_S_DEUDA2)),r_S_DEUDA2,Y$44)</f>
        <v>0</v>
      </c>
      <c r="Z45" s="12" t="n">
        <f aca="false">IF(AND(20=p_MesCorte,ISNUMBER(r_S_DEUDA2)),r_S_DEUDA2,Z$44)</f>
        <v>0</v>
      </c>
      <c r="AA45" s="12" t="n">
        <f aca="false">IF(AND(21=p_MesCorte,ISNUMBER(r_S_DEUDA2)),r_S_DEUDA2,AA$44)</f>
        <v>0</v>
      </c>
      <c r="AB45" s="12" t="n">
        <f aca="false">IF(AND(22=p_MesCorte,ISNUMBER(r_S_DEUDA2)),r_S_DEUDA2,AB$44)</f>
        <v>0</v>
      </c>
      <c r="AC45" s="12" t="n">
        <f aca="false">IF(AND(23=p_MesCorte,ISNUMBER(r_S_DEUDA2)),r_S_DEUDA2,AC$44)</f>
        <v>0</v>
      </c>
      <c r="AD45" s="12" t="n">
        <f aca="false">IF(AND(24=p_MesCorte,ISNUMBER(r_S_DEUDA2)),r_S_DEUDA2,AD$44)</f>
        <v>0</v>
      </c>
      <c r="AE45" s="12" t="n">
        <f aca="false">IF(AND(25=p_MesCorte,ISNUMBER(r_S_DEUDA2)),r_S_DEUDA2,AE$44)</f>
        <v>0</v>
      </c>
      <c r="AF45" s="12" t="n">
        <f aca="false">IF(AND(26=p_MesCorte,ISNUMBER(r_S_DEUDA2)),r_S_DEUDA2,AF$44)</f>
        <v>0</v>
      </c>
      <c r="AG45" s="12" t="n">
        <f aca="false">IF(AND(27=p_MesCorte,ISNUMBER(r_S_DEUDA2)),r_S_DEUDA2,AG$44)</f>
        <v>0</v>
      </c>
      <c r="AH45" s="12" t="n">
        <f aca="false">IF(AND(28=p_MesCorte,ISNUMBER(r_S_DEUDA2)),r_S_DEUDA2,AH$44)</f>
        <v>0</v>
      </c>
      <c r="AI45" s="12" t="n">
        <f aca="false">IF(AND(29=p_MesCorte,ISNUMBER(r_S_DEUDA2)),r_S_DEUDA2,AI$44)</f>
        <v>0</v>
      </c>
      <c r="AJ45" s="12" t="n">
        <f aca="false">IF(AND(30=p_MesCorte,ISNUMBER(r_S_DEUDA2)),r_S_DEUDA2,AJ$44)</f>
        <v>0</v>
      </c>
      <c r="AK45" s="12" t="n">
        <f aca="false">IF(AND(31=p_MesCorte,ISNUMBER(r_S_DEUDA2)),r_S_DEUDA2,AK$44)</f>
        <v>0</v>
      </c>
      <c r="AL45" s="12" t="n">
        <f aca="false">IF(AND(32=p_MesCorte,ISNUMBER(r_S_DEUDA2)),r_S_DEUDA2,AL$44)</f>
        <v>0</v>
      </c>
      <c r="AM45" s="12" t="n">
        <f aca="false">IF(AND(33=p_MesCorte,ISNUMBER(r_S_DEUDA2)),r_S_DEUDA2,AM$44)</f>
        <v>0</v>
      </c>
      <c r="AN45" s="12" t="n">
        <f aca="false">IF(AND(34=p_MesCorte,ISNUMBER(r_S_DEUDA2)),r_S_DEUDA2,AN$44)</f>
        <v>0</v>
      </c>
      <c r="AO45" s="12" t="n">
        <f aca="false">IF(AND(35=p_MesCorte,ISNUMBER(r_S_DEUDA2)),r_S_DEUDA2,AO$44)</f>
        <v>0</v>
      </c>
      <c r="AP45" s="12" t="n">
        <f aca="false">IF(AND(36=p_MesCorte,ISNUMBER(r_S_DEUDA2)),r_S_DEUDA2,AP$44)</f>
        <v>0</v>
      </c>
      <c r="AQ45" s="12" t="n">
        <f aca="false">IF(AND(37=p_MesCorte,ISNUMBER(r_S_DEUDA2)),r_S_DEUDA2,AQ$44)</f>
        <v>0</v>
      </c>
      <c r="AR45" s="12" t="n">
        <f aca="false">IF(AND(38=p_MesCorte,ISNUMBER(r_S_DEUDA2)),r_S_DEUDA2,AR$44)</f>
        <v>0</v>
      </c>
      <c r="AS45" s="12" t="n">
        <f aca="false">IF(AND(39=p_MesCorte,ISNUMBER(r_S_DEUDA2)),r_S_DEUDA2,AS$44)</f>
        <v>0</v>
      </c>
      <c r="AT45" s="12" t="n">
        <f aca="false">IF(AND(40=p_MesCorte,ISNUMBER(r_S_DEUDA2)),r_S_DEUDA2,AT$44)</f>
        <v>0</v>
      </c>
      <c r="AU45" s="12" t="n">
        <f aca="false">IF(AND(41=p_MesCorte,ISNUMBER(r_S_DEUDA2)),r_S_DEUDA2,AU$44)</f>
        <v>0</v>
      </c>
      <c r="AV45" s="12" t="n">
        <f aca="false">IF(AND(42=p_MesCorte,ISNUMBER(r_S_DEUDA2)),r_S_DEUDA2,AV$44)</f>
        <v>0</v>
      </c>
      <c r="AW45" s="12" t="n">
        <f aca="false">IF(AND(43=p_MesCorte,ISNUMBER(r_S_DEUDA2)),r_S_DEUDA2,AW$44)</f>
        <v>0</v>
      </c>
      <c r="AX45" s="12" t="n">
        <f aca="false">IF(AND(44=p_MesCorte,ISNUMBER(r_S_DEUDA2)),r_S_DEUDA2,AX$44)</f>
        <v>0</v>
      </c>
      <c r="AY45" s="12" t="n">
        <f aca="false">IF(AND(45=p_MesCorte,ISNUMBER(r_S_DEUDA2)),r_S_DEUDA2,AY$44)</f>
        <v>0</v>
      </c>
      <c r="AZ45" s="12" t="n">
        <f aca="false">IF(AND(46=p_MesCorte,ISNUMBER(r_S_DEUDA2)),r_S_DEUDA2,AZ$44)</f>
        <v>0</v>
      </c>
      <c r="BA45" s="12" t="n">
        <f aca="false">IF(AND(47=p_MesCorte,ISNUMBER(r_S_DEUDA2)),r_S_DEUDA2,BA$44)</f>
        <v>0</v>
      </c>
      <c r="BB45" s="12" t="n">
        <f aca="false">IF(AND(48=p_MesCorte,ISNUMBER(r_S_DEUDA2)),r_S_DEUDA2,BB$44)</f>
        <v>0</v>
      </c>
      <c r="BC45" s="12" t="n">
        <f aca="false">IF(AND(49=p_MesCorte,ISNUMBER(r_S_DEUDA2)),r_S_DEUDA2,BC$44)</f>
        <v>0</v>
      </c>
      <c r="BD45" s="12" t="n">
        <f aca="false">IF(AND(50=p_MesCorte,ISNUMBER(r_S_DEUDA2)),r_S_DEUDA2,BD$44)</f>
        <v>0</v>
      </c>
      <c r="BE45" s="12" t="n">
        <f aca="false">IF(AND(51=p_MesCorte,ISNUMBER(r_S_DEUDA2)),r_S_DEUDA2,BE$44)</f>
        <v>0</v>
      </c>
      <c r="BF45" s="12" t="n">
        <f aca="false">IF(AND(52=p_MesCorte,ISNUMBER(r_S_DEUDA2)),r_S_DEUDA2,BF$44)</f>
        <v>0</v>
      </c>
      <c r="BG45" s="12" t="n">
        <f aca="false">IF(AND(53=p_MesCorte,ISNUMBER(r_S_DEUDA2)),r_S_DEUDA2,BG$44)</f>
        <v>0</v>
      </c>
      <c r="BH45" s="12" t="n">
        <f aca="false">IF(AND(54=p_MesCorte,ISNUMBER(r_S_DEUDA2)),r_S_DEUDA2,BH$44)</f>
        <v>0</v>
      </c>
      <c r="BI45" s="12" t="n">
        <f aca="false">IF(AND(55=p_MesCorte,ISNUMBER(r_S_DEUDA2)),r_S_DEUDA2,BI$44)</f>
        <v>0</v>
      </c>
      <c r="BJ45" s="12" t="n">
        <f aca="false">IF(AND(56=p_MesCorte,ISNUMBER(r_S_DEUDA2)),r_S_DEUDA2,BJ$44)</f>
        <v>0</v>
      </c>
      <c r="BK45" s="12" t="n">
        <f aca="false">IF(AND(57=p_MesCorte,ISNUMBER(r_S_DEUDA2)),r_S_DEUDA2,BK$44)</f>
        <v>0</v>
      </c>
      <c r="BL45" s="12" t="n">
        <f aca="false">IF(AND(58=p_MesCorte,ISNUMBER(r_S_DEUDA2)),r_S_DEUDA2,BL$44)</f>
        <v>0</v>
      </c>
      <c r="BM45" s="12" t="n">
        <f aca="false">IF(AND(59=p_MesCorte,ISNUMBER(r_S_DEUDA2)),r_S_DEUDA2,BM$44)</f>
        <v>0</v>
      </c>
      <c r="BN45" s="12" t="n">
        <f aca="false">IF(AND(60=p_MesCorte,ISNUMBER(r_S_DEUDA2)),r_S_DEUDA2,BN$44)</f>
        <v>0</v>
      </c>
      <c r="BO45" s="12" t="n">
        <f aca="false">IF(AND(61=p_MesCorte,ISNUMBER(r_S_DEUDA2)),r_S_DEUDA2,BO$44)</f>
        <v>0</v>
      </c>
      <c r="BP45" s="12" t="n">
        <f aca="false">IF(AND(62=p_MesCorte,ISNUMBER(r_S_DEUDA2)),r_S_DEUDA2,BP$44)</f>
        <v>0</v>
      </c>
      <c r="BQ45" s="12" t="n">
        <f aca="false">IF(AND(63=p_MesCorte,ISNUMBER(r_S_DEUDA2)),r_S_DEUDA2,BQ$44)</f>
        <v>0</v>
      </c>
      <c r="BR45" s="12" t="n">
        <f aca="false">IF(AND(64=p_MesCorte,ISNUMBER(r_S_DEUDA2)),r_S_DEUDA2,BR$44)</f>
        <v>0</v>
      </c>
      <c r="BS45" s="12" t="n">
        <f aca="false">IF(AND(65=p_MesCorte,ISNUMBER(r_S_DEUDA2)),r_S_DEUDA2,BS$44)</f>
        <v>0</v>
      </c>
      <c r="BT45" s="12" t="n">
        <f aca="false">IF(AND(66=p_MesCorte,ISNUMBER(r_S_DEUDA2)),r_S_DEUDA2,BT$44)</f>
        <v>0</v>
      </c>
      <c r="BU45" s="12" t="n">
        <f aca="false">IF(AND(67=p_MesCorte,ISNUMBER(r_S_DEUDA2)),r_S_DEUDA2,BU$44)</f>
        <v>0</v>
      </c>
      <c r="BV45" s="12" t="n">
        <f aca="false">IF(AND(68=p_MesCorte,ISNUMBER(r_S_DEUDA2)),r_S_DEUDA2,BV$44)</f>
        <v>0</v>
      </c>
      <c r="BW45" s="12" t="n">
        <f aca="false">IF(AND(69=p_MesCorte,ISNUMBER(r_S_DEUDA2)),r_S_DEUDA2,BW$44)</f>
        <v>0</v>
      </c>
      <c r="BX45" s="12" t="n">
        <f aca="false">IF(AND(70=p_MesCorte,ISNUMBER(r_S_DEUDA2)),r_S_DEUDA2,BX$44)</f>
        <v>0</v>
      </c>
      <c r="BY45" s="12" t="n">
        <f aca="false">IF(AND(71=p_MesCorte,ISNUMBER(r_S_DEUDA2)),r_S_DEUDA2,BY$44)</f>
        <v>0</v>
      </c>
      <c r="BZ45" s="12" t="n">
        <f aca="false">IF(AND(72=p_MesCorte,ISNUMBER(r_S_DEUDA2)),r_S_DEUDA2,BZ$44)</f>
        <v>0</v>
      </c>
      <c r="CA45" s="12" t="n">
        <f aca="false">IF(AND(73=p_MesCorte,ISNUMBER(r_S_DEUDA2)),r_S_DEUDA2,CA$44)</f>
        <v>0</v>
      </c>
      <c r="CB45" s="12" t="n">
        <f aca="false">IF(AND(74=p_MesCorte,ISNUMBER(r_S_DEUDA2)),r_S_DEUDA2,CB$44)</f>
        <v>0</v>
      </c>
      <c r="CC45" s="12" t="n">
        <f aca="false">IF(AND(75=p_MesCorte,ISNUMBER(r_S_DEUDA2)),r_S_DEUDA2,CC$44)</f>
        <v>0</v>
      </c>
      <c r="CD45" s="12" t="n">
        <f aca="false">IF(AND(76=p_MesCorte,ISNUMBER(r_S_DEUDA2)),r_S_DEUDA2,CD$44)</f>
        <v>0</v>
      </c>
      <c r="CE45" s="12" t="n">
        <f aca="false">IF(AND(77=p_MesCorte,ISNUMBER(r_S_DEUDA2)),r_S_DEUDA2,CE$44)</f>
        <v>0</v>
      </c>
      <c r="CF45" s="12" t="n">
        <f aca="false">IF(AND(78=p_MesCorte,ISNUMBER(r_S_DEUDA2)),r_S_DEUDA2,CF$44)</f>
        <v>0</v>
      </c>
      <c r="CG45" s="12" t="n">
        <f aca="false">IF(AND(79=p_MesCorte,ISNUMBER(r_S_DEUDA2)),r_S_DEUDA2,CG$44)</f>
        <v>0</v>
      </c>
      <c r="CH45" s="12" t="n">
        <f aca="false">IF(AND(80=p_MesCorte,ISNUMBER(r_S_DEUDA2)),r_S_DEUDA2,CH$44)</f>
        <v>0</v>
      </c>
      <c r="CI45" s="12" t="n">
        <f aca="false">IF(AND(81=p_MesCorte,ISNUMBER(r_S_DEUDA2)),r_S_DEUDA2,CI$44)</f>
        <v>0</v>
      </c>
      <c r="CJ45" s="12" t="n">
        <f aca="false">IF(AND(82=p_MesCorte,ISNUMBER(r_S_DEUDA2)),r_S_DEUDA2,CJ$44)</f>
        <v>0</v>
      </c>
      <c r="CK45" s="12" t="n">
        <f aca="false">IF(AND(83=p_MesCorte,ISNUMBER(r_S_DEUDA2)),r_S_DEUDA2,CK$44)</f>
        <v>0</v>
      </c>
      <c r="CL45" s="12" t="n">
        <f aca="false">IF(AND(84=p_MesCorte,ISNUMBER(r_S_DEUDA2)),r_S_DEUDA2,CL$44)</f>
        <v>0</v>
      </c>
      <c r="CM45" s="12" t="n">
        <f aca="false">IF(AND(85=p_MesCorte,ISNUMBER(r_S_DEUDA2)),r_S_DEUDA2,CM$44)</f>
        <v>0</v>
      </c>
      <c r="CN45" s="12" t="n">
        <f aca="false">IF(AND(86=p_MesCorte,ISNUMBER(r_S_DEUDA2)),r_S_DEUDA2,CN$44)</f>
        <v>0</v>
      </c>
      <c r="CO45" s="12" t="n">
        <f aca="false">IF(AND(87=p_MesCorte,ISNUMBER(r_S_DEUDA2)),r_S_DEUDA2,CO$44)</f>
        <v>0</v>
      </c>
      <c r="CP45" s="12" t="n">
        <f aca="false">IF(AND(88=p_MesCorte,ISNUMBER(r_S_DEUDA2)),r_S_DEUDA2,CP$44)</f>
        <v>0</v>
      </c>
      <c r="CQ45" s="12" t="n">
        <f aca="false">IF(AND(89=p_MesCorte,ISNUMBER(r_S_DEUDA2)),r_S_DEUDA2,CQ$44)</f>
        <v>0</v>
      </c>
      <c r="CR45" s="12" t="n">
        <f aca="false">IF(AND(90=p_MesCorte,ISNUMBER(r_S_DEUDA2)),r_S_DEUDA2,CR$44)</f>
        <v>0</v>
      </c>
      <c r="CS45" s="12" t="n">
        <f aca="false">IF(AND(91=p_MesCorte,ISNUMBER(r_S_DEUDA2)),r_S_DEUDA2,CS$44)</f>
        <v>0</v>
      </c>
      <c r="CT45" s="12" t="n">
        <f aca="false">IF(AND(92=p_MesCorte,ISNUMBER(r_S_DEUDA2)),r_S_DEUDA2,CT$44)</f>
        <v>0</v>
      </c>
      <c r="CU45" s="12" t="n">
        <f aca="false">IF(AND(93=p_MesCorte,ISNUMBER(r_S_DEUDA2)),r_S_DEUDA2,CU$44)</f>
        <v>0</v>
      </c>
      <c r="CV45" s="12" t="n">
        <f aca="false">IF(AND(94=p_MesCorte,ISNUMBER(r_S_DEUDA2)),r_S_DEUDA2,CV$44)</f>
        <v>0</v>
      </c>
      <c r="CW45" s="12" t="n">
        <f aca="false">IF(AND(95=p_MesCorte,ISNUMBER(r_S_DEUDA2)),r_S_DEUDA2,CW$44)</f>
        <v>0</v>
      </c>
      <c r="CX45" s="12" t="n">
        <f aca="false">IF(AND(96=p_MesCorte,ISNUMBER(r_S_DEUDA2)),r_S_DEUDA2,CX$44)</f>
        <v>0</v>
      </c>
      <c r="CY45" s="12" t="n">
        <f aca="false">IF(AND(97=p_MesCorte,ISNUMBER(r_S_DEUDA2)),r_S_DEUDA2,CY$44)</f>
        <v>0</v>
      </c>
      <c r="CZ45" s="12" t="n">
        <f aca="false">IF(AND(98=p_MesCorte,ISNUMBER(r_S_DEUDA2)),r_S_DEUDA2,CZ$44)</f>
        <v>0</v>
      </c>
      <c r="DA45" s="12" t="n">
        <f aca="false">IF(AND(99=p_MesCorte,ISNUMBER(r_S_DEUDA2)),r_S_DEUDA2,DA$44)</f>
        <v>0</v>
      </c>
      <c r="DB45" s="12" t="n">
        <f aca="false">IF(AND(100=p_MesCorte,ISNUMBER(r_S_DEUDA2)),r_S_DEUDA2,DB$44)</f>
        <v>0</v>
      </c>
      <c r="DC45" s="12" t="n">
        <f aca="false">IF(AND(101=p_MesCorte,ISNUMBER(r_S_DEUDA2)),r_S_DEUDA2,DC$44)</f>
        <v>0</v>
      </c>
      <c r="DD45" s="12" t="n">
        <f aca="false">IF(AND(102=p_MesCorte,ISNUMBER(r_S_DEUDA2)),r_S_DEUDA2,DD$44)</f>
        <v>0</v>
      </c>
      <c r="DE45" s="12" t="n">
        <f aca="false">IF(AND(103=p_MesCorte,ISNUMBER(r_S_DEUDA2)),r_S_DEUDA2,DE$44)</f>
        <v>0</v>
      </c>
      <c r="DF45" s="12" t="n">
        <f aca="false">IF(AND(104=p_MesCorte,ISNUMBER(r_S_DEUDA2)),r_S_DEUDA2,DF$44)</f>
        <v>0</v>
      </c>
      <c r="DG45" s="12" t="n">
        <f aca="false">IF(AND(105=p_MesCorte,ISNUMBER(r_S_DEUDA2)),r_S_DEUDA2,DG$44)</f>
        <v>0</v>
      </c>
      <c r="DH45" s="12" t="n">
        <f aca="false">IF(AND(106=p_MesCorte,ISNUMBER(r_S_DEUDA2)),r_S_DEUDA2,DH$44)</f>
        <v>0</v>
      </c>
      <c r="DI45" s="12" t="n">
        <f aca="false">IF(AND(107=p_MesCorte,ISNUMBER(r_S_DEUDA2)),r_S_DEUDA2,DI$44)</f>
        <v>0</v>
      </c>
      <c r="DJ45" s="12" t="n">
        <f aca="false">IF(AND(108=p_MesCorte,ISNUMBER(r_S_DEUDA2)),r_S_DEUDA2,DJ$44)</f>
        <v>0</v>
      </c>
      <c r="DK45" s="12" t="n">
        <f aca="false">IF(AND(109=p_MesCorte,ISNUMBER(r_S_DEUDA2)),r_S_DEUDA2,DK$44)</f>
        <v>0</v>
      </c>
      <c r="DL45" s="12" t="n">
        <f aca="false">IF(AND(110=p_MesCorte,ISNUMBER(r_S_DEUDA2)),r_S_DEUDA2,DL$44)</f>
        <v>0</v>
      </c>
      <c r="DM45" s="12" t="n">
        <f aca="false">IF(AND(111=p_MesCorte,ISNUMBER(r_S_DEUDA2)),r_S_DEUDA2,DM$44)</f>
        <v>0</v>
      </c>
      <c r="DN45" s="12" t="n">
        <f aca="false">IF(AND(112=p_MesCorte,ISNUMBER(r_S_DEUDA2)),r_S_DEUDA2,DN$44)</f>
        <v>0</v>
      </c>
      <c r="DO45" s="12" t="n">
        <f aca="false">IF(AND(113=p_MesCorte,ISNUMBER(r_S_DEUDA2)),r_S_DEUDA2,DO$44)</f>
        <v>0</v>
      </c>
      <c r="DP45" s="12" t="n">
        <f aca="false">IF(AND(114=p_MesCorte,ISNUMBER(r_S_DEUDA2)),r_S_DEUDA2,DP$44)</f>
        <v>0</v>
      </c>
      <c r="DQ45" s="12" t="n">
        <f aca="false">IF(AND(115=p_MesCorte,ISNUMBER(r_S_DEUDA2)),r_S_DEUDA2,DQ$44)</f>
        <v>0</v>
      </c>
      <c r="DR45" s="12" t="n">
        <f aca="false">IF(AND(116=p_MesCorte,ISNUMBER(r_S_DEUDA2)),r_S_DEUDA2,DR$44)</f>
        <v>0</v>
      </c>
      <c r="DS45" s="12" t="n">
        <f aca="false">IF(AND(117=p_MesCorte,ISNUMBER(r_S_DEUDA2)),r_S_DEUDA2,DS$44)</f>
        <v>0</v>
      </c>
      <c r="DT45" s="12" t="n">
        <f aca="false">IF(AND(118=p_MesCorte,ISNUMBER(r_S_DEUDA2)),r_S_DEUDA2,DT$44)</f>
        <v>0</v>
      </c>
      <c r="DU45" s="12" t="n">
        <f aca="false">IF(AND(119=p_MesCorte,ISNUMBER(r_S_DEUDA2)),r_S_DEUDA2,DU$44)</f>
        <v>0</v>
      </c>
      <c r="DV45" s="12" t="n">
        <f aca="false">IF(AND(120=p_MesCorte,ISNUMBER(r_S_DEUDA2)),r_S_DEUDA2,DV$44)</f>
        <v>0</v>
      </c>
      <c r="DW45" s="12" t="n">
        <f aca="false">IF(AND(121=p_MesCorte,ISNUMBER(r_S_DEUDA2)),r_S_DEUDA2,DW$44)</f>
        <v>0</v>
      </c>
      <c r="DX45" s="12" t="n">
        <f aca="false">IF(AND(122=p_MesCorte,ISNUMBER(r_S_DEUDA2)),r_S_DEUDA2,DX$44)</f>
        <v>0</v>
      </c>
      <c r="DY45" s="12" t="n">
        <f aca="false">IF(AND(123=p_MesCorte,ISNUMBER(r_S_DEUDA2)),r_S_DEUDA2,DY$44)</f>
        <v>0</v>
      </c>
      <c r="DZ45" s="12" t="n">
        <f aca="false">IF(AND(124=p_MesCorte,ISNUMBER(r_S_DEUDA2)),r_S_DEUDA2,DZ$44)</f>
        <v>0</v>
      </c>
      <c r="EA45" s="12" t="n">
        <f aca="false">IF(AND(125=p_MesCorte,ISNUMBER(r_S_DEUDA2)),r_S_DEUDA2,EA$44)</f>
        <v>0</v>
      </c>
      <c r="EB45" s="12" t="n">
        <f aca="false">IF(AND(126=p_MesCorte,ISNUMBER(r_S_DEUDA2)),r_S_DEUDA2,EB$44)</f>
        <v>0</v>
      </c>
      <c r="EC45" s="12" t="n">
        <f aca="false">IF(AND(127=p_MesCorte,ISNUMBER(r_S_DEUDA2)),r_S_DEUDA2,EC$44)</f>
        <v>0</v>
      </c>
      <c r="ED45" s="12" t="n">
        <f aca="false">IF(AND(128=p_MesCorte,ISNUMBER(r_S_DEUDA2)),r_S_DEUDA2,ED$44)</f>
        <v>0</v>
      </c>
      <c r="EE45" s="12" t="n">
        <f aca="false">IF(AND(129=p_MesCorte,ISNUMBER(r_S_DEUDA2)),r_S_DEUDA2,EE$44)</f>
        <v>0</v>
      </c>
      <c r="EF45" s="12" t="n">
        <f aca="false">IF(AND(130=p_MesCorte,ISNUMBER(r_S_DEUDA2)),r_S_DEUDA2,EF$44)</f>
        <v>0</v>
      </c>
      <c r="EG45" s="12" t="n">
        <f aca="false">IF(AND(131=p_MesCorte,ISNUMBER(r_S_DEUDA2)),r_S_DEUDA2,EG$44)</f>
        <v>0</v>
      </c>
      <c r="EH45" s="12" t="n">
        <f aca="false">IF(AND(132=p_MesCorte,ISNUMBER(r_S_DEUDA2)),r_S_DEUDA2,EH$44)</f>
        <v>0</v>
      </c>
      <c r="EI45" s="12" t="n">
        <f aca="false">IF(AND(133=p_MesCorte,ISNUMBER(r_S_DEUDA2)),r_S_DEUDA2,EI$44)</f>
        <v>0</v>
      </c>
      <c r="EJ45" s="12" t="n">
        <f aca="false">IF(AND(134=p_MesCorte,ISNUMBER(r_S_DEUDA2)),r_S_DEUDA2,EJ$44)</f>
        <v>0</v>
      </c>
      <c r="EK45" s="12" t="n">
        <f aca="false">IF(AND(135=p_MesCorte,ISNUMBER(r_S_DEUDA2)),r_S_DEUDA2,EK$44)</f>
        <v>0</v>
      </c>
      <c r="EL45" s="12" t="n">
        <f aca="false">IF(AND(136=p_MesCorte,ISNUMBER(r_S_DEUDA2)),r_S_DEUDA2,EL$44)</f>
        <v>0</v>
      </c>
      <c r="EM45" s="12" t="n">
        <f aca="false">IF(AND(137=p_MesCorte,ISNUMBER(r_S_DEUDA2)),r_S_DEUDA2,EM$44)</f>
        <v>0</v>
      </c>
      <c r="EN45" s="12" t="n">
        <f aca="false">IF(AND(138=p_MesCorte,ISNUMBER(r_S_DEUDA2)),r_S_DEUDA2,EN$44)</f>
        <v>0</v>
      </c>
      <c r="EO45" s="12" t="n">
        <f aca="false">IF(AND(139=p_MesCorte,ISNUMBER(r_S_DEUDA2)),r_S_DEUDA2,EO$44)</f>
        <v>0</v>
      </c>
      <c r="EP45" s="12" t="n">
        <f aca="false">IF(AND(140=p_MesCorte,ISNUMBER(r_S_DEUDA2)),r_S_DEUDA2,EP$44)</f>
        <v>0</v>
      </c>
      <c r="EQ45" s="12" t="n">
        <f aca="false">IF(AND(141=p_MesCorte,ISNUMBER(r_S_DEUDA2)),r_S_DEUDA2,EQ$44)</f>
        <v>0</v>
      </c>
      <c r="ER45" s="12" t="n">
        <f aca="false">IF(AND(142=p_MesCorte,ISNUMBER(r_S_DEUDA2)),r_S_DEUDA2,ER$44)</f>
        <v>0</v>
      </c>
      <c r="ES45" s="12" t="n">
        <f aca="false">IF(AND(143=p_MesCorte,ISNUMBER(r_S_DEUDA2)),r_S_DEUDA2,ES$44)</f>
        <v>0</v>
      </c>
      <c r="ET45" s="12" t="n">
        <f aca="false">IF(AND(144=p_MesCorte,ISNUMBER(r_S_DEUDA2)),r_S_DEUDA2,ET$44)</f>
        <v>0</v>
      </c>
      <c r="EU45" s="12" t="n">
        <f aca="false">IF(AND(145=p_MesCorte,ISNUMBER(r_S_DEUDA2)),r_S_DEUDA2,EU$44)</f>
        <v>0</v>
      </c>
      <c r="EV45" s="12" t="n">
        <f aca="false">IF(AND(146=p_MesCorte,ISNUMBER(r_S_DEUDA2)),r_S_DEUDA2,EV$44)</f>
        <v>0</v>
      </c>
      <c r="EW45" s="12" t="n">
        <f aca="false">IF(AND(147=p_MesCorte,ISNUMBER(r_S_DEUDA2)),r_S_DEUDA2,EW$44)</f>
        <v>0</v>
      </c>
      <c r="EX45" s="12" t="n">
        <f aca="false">IF(AND(148=p_MesCorte,ISNUMBER(r_S_DEUDA2)),r_S_DEUDA2,EX$44)</f>
        <v>0</v>
      </c>
      <c r="EY45" s="12" t="n">
        <f aca="false">IF(AND(149=p_MesCorte,ISNUMBER(r_S_DEUDA2)),r_S_DEUDA2,EY$44)</f>
        <v>0</v>
      </c>
      <c r="EZ45" s="12" t="n">
        <f aca="false">IF(AND(150=p_MesCorte,ISNUMBER(r_S_DEUDA2)),r_S_DEUDA2,EZ$44)</f>
        <v>0</v>
      </c>
      <c r="FA45" s="12" t="n">
        <f aca="false">IF(AND(151=p_MesCorte,ISNUMBER(r_S_DEUDA2)),r_S_DEUDA2,FA$44)</f>
        <v>0</v>
      </c>
      <c r="FB45" s="12" t="n">
        <f aca="false">IF(AND(152=p_MesCorte,ISNUMBER(r_S_DEUDA2)),r_S_DEUDA2,FB$44)</f>
        <v>0</v>
      </c>
      <c r="FC45" s="12" t="n">
        <f aca="false">IF(AND(153=p_MesCorte,ISNUMBER(r_S_DEUDA2)),r_S_DEUDA2,FC$44)</f>
        <v>0</v>
      </c>
      <c r="FD45" s="12" t="n">
        <f aca="false">IF(AND(154=p_MesCorte,ISNUMBER(r_S_DEUDA2)),r_S_DEUDA2,FD$44)</f>
        <v>0</v>
      </c>
      <c r="FE45" s="12" t="n">
        <f aca="false">IF(AND(155=p_MesCorte,ISNUMBER(r_S_DEUDA2)),r_S_DEUDA2,FE$44)</f>
        <v>0</v>
      </c>
      <c r="FF45" s="12" t="n">
        <f aca="false">IF(AND(156=p_MesCorte,ISNUMBER(r_S_DEUDA2)),r_S_DEUDA2,FF$44)</f>
        <v>0</v>
      </c>
    </row>
    <row r="46" customFormat="false" ht="15" hidden="false" customHeight="false" outlineLevel="0" collapsed="false">
      <c r="A46" s="2" t="s">
        <v>1435</v>
      </c>
      <c r="B46" s="8" t="s">
        <v>1308</v>
      </c>
      <c r="C46" s="8" t="s">
        <v>255</v>
      </c>
      <c r="E46" s="65" t="n">
        <f aca="false">SUM($F46:$FF46)</f>
        <v>0</v>
      </c>
      <c r="F46" s="13" t="n">
        <f aca="false">F$45-F$44</f>
        <v>0</v>
      </c>
      <c r="G46" s="13" t="n">
        <f aca="false">G$45-G$44</f>
        <v>0</v>
      </c>
      <c r="H46" s="13" t="n">
        <f aca="false">H$45-H$44</f>
        <v>0</v>
      </c>
      <c r="I46" s="13" t="n">
        <f aca="false">I$45-I$44</f>
        <v>0</v>
      </c>
      <c r="J46" s="13" t="n">
        <f aca="false">J$45-J$44</f>
        <v>0</v>
      </c>
      <c r="K46" s="13" t="n">
        <f aca="false">K$45-K$44</f>
        <v>0</v>
      </c>
      <c r="L46" s="13" t="n">
        <f aca="false">L$45-L$44</f>
        <v>0</v>
      </c>
      <c r="M46" s="13" t="n">
        <f aca="false">M$45-M$44</f>
        <v>0</v>
      </c>
      <c r="N46" s="13" t="n">
        <f aca="false">N$45-N$44</f>
        <v>0</v>
      </c>
      <c r="O46" s="13" t="n">
        <f aca="false">O$45-O$44</f>
        <v>0</v>
      </c>
      <c r="P46" s="13" t="n">
        <f aca="false">P$45-P$44</f>
        <v>0</v>
      </c>
      <c r="Q46" s="13" t="n">
        <f aca="false">Q$45-Q$44</f>
        <v>0</v>
      </c>
      <c r="R46" s="13" t="n">
        <f aca="false">R$45-R$44</f>
        <v>0</v>
      </c>
      <c r="S46" s="13" t="n">
        <f aca="false">S$45-S$44</f>
        <v>0</v>
      </c>
      <c r="T46" s="13" t="n">
        <f aca="false">T$45-T$44</f>
        <v>0</v>
      </c>
      <c r="U46" s="13" t="n">
        <f aca="false">U$45-U$44</f>
        <v>0</v>
      </c>
      <c r="V46" s="13" t="n">
        <f aca="false">V$45-V$44</f>
        <v>0</v>
      </c>
      <c r="W46" s="13" t="n">
        <f aca="false">W$45-W$44</f>
        <v>0</v>
      </c>
      <c r="X46" s="13" t="n">
        <f aca="false">X$45-X$44</f>
        <v>0</v>
      </c>
      <c r="Y46" s="13" t="n">
        <f aca="false">Y$45-Y$44</f>
        <v>0</v>
      </c>
      <c r="Z46" s="13" t="n">
        <f aca="false">Z$45-Z$44</f>
        <v>0</v>
      </c>
      <c r="AA46" s="13" t="n">
        <f aca="false">AA$45-AA$44</f>
        <v>0</v>
      </c>
      <c r="AB46" s="13" t="n">
        <f aca="false">AB$45-AB$44</f>
        <v>0</v>
      </c>
      <c r="AC46" s="13" t="n">
        <f aca="false">AC$45-AC$44</f>
        <v>0</v>
      </c>
      <c r="AD46" s="13" t="n">
        <f aca="false">AD$45-AD$44</f>
        <v>0</v>
      </c>
      <c r="AE46" s="13" t="n">
        <f aca="false">AE$45-AE$44</f>
        <v>0</v>
      </c>
      <c r="AF46" s="13" t="n">
        <f aca="false">AF$45-AF$44</f>
        <v>0</v>
      </c>
      <c r="AG46" s="13" t="n">
        <f aca="false">AG$45-AG$44</f>
        <v>0</v>
      </c>
      <c r="AH46" s="13" t="n">
        <f aca="false">AH$45-AH$44</f>
        <v>0</v>
      </c>
      <c r="AI46" s="13" t="n">
        <f aca="false">AI$45-AI$44</f>
        <v>0</v>
      </c>
      <c r="AJ46" s="13" t="n">
        <f aca="false">AJ$45-AJ$44</f>
        <v>0</v>
      </c>
      <c r="AK46" s="13" t="n">
        <f aca="false">AK$45-AK$44</f>
        <v>0</v>
      </c>
      <c r="AL46" s="13" t="n">
        <f aca="false">AL$45-AL$44</f>
        <v>0</v>
      </c>
      <c r="AM46" s="13" t="n">
        <f aca="false">AM$45-AM$44</f>
        <v>0</v>
      </c>
      <c r="AN46" s="13" t="n">
        <f aca="false">AN$45-AN$44</f>
        <v>0</v>
      </c>
      <c r="AO46" s="13" t="n">
        <f aca="false">AO$45-AO$44</f>
        <v>0</v>
      </c>
      <c r="AP46" s="13" t="n">
        <f aca="false">AP$45-AP$44</f>
        <v>0</v>
      </c>
      <c r="AQ46" s="13" t="n">
        <f aca="false">AQ$45-AQ$44</f>
        <v>0</v>
      </c>
      <c r="AR46" s="13" t="n">
        <f aca="false">AR$45-AR$44</f>
        <v>0</v>
      </c>
      <c r="AS46" s="13" t="n">
        <f aca="false">AS$45-AS$44</f>
        <v>0</v>
      </c>
      <c r="AT46" s="13" t="n">
        <f aca="false">AT$45-AT$44</f>
        <v>0</v>
      </c>
      <c r="AU46" s="13" t="n">
        <f aca="false">AU$45-AU$44</f>
        <v>0</v>
      </c>
      <c r="AV46" s="13" t="n">
        <f aca="false">AV$45-AV$44</f>
        <v>0</v>
      </c>
      <c r="AW46" s="13" t="n">
        <f aca="false">AW$45-AW$44</f>
        <v>0</v>
      </c>
      <c r="AX46" s="13" t="n">
        <f aca="false">AX$45-AX$44</f>
        <v>0</v>
      </c>
      <c r="AY46" s="13" t="n">
        <f aca="false">AY$45-AY$44</f>
        <v>0</v>
      </c>
      <c r="AZ46" s="13" t="n">
        <f aca="false">AZ$45-AZ$44</f>
        <v>0</v>
      </c>
      <c r="BA46" s="13" t="n">
        <f aca="false">BA$45-BA$44</f>
        <v>0</v>
      </c>
      <c r="BB46" s="13" t="n">
        <f aca="false">BB$45-BB$44</f>
        <v>0</v>
      </c>
      <c r="BC46" s="13" t="n">
        <f aca="false">BC$45-BC$44</f>
        <v>0</v>
      </c>
      <c r="BD46" s="13" t="n">
        <f aca="false">BD$45-BD$44</f>
        <v>0</v>
      </c>
      <c r="BE46" s="13" t="n">
        <f aca="false">BE$45-BE$44</f>
        <v>0</v>
      </c>
      <c r="BF46" s="13" t="n">
        <f aca="false">BF$45-BF$44</f>
        <v>0</v>
      </c>
      <c r="BG46" s="13" t="n">
        <f aca="false">BG$45-BG$44</f>
        <v>0</v>
      </c>
      <c r="BH46" s="13" t="n">
        <f aca="false">BH$45-BH$44</f>
        <v>0</v>
      </c>
      <c r="BI46" s="13" t="n">
        <f aca="false">BI$45-BI$44</f>
        <v>0</v>
      </c>
      <c r="BJ46" s="13" t="n">
        <f aca="false">BJ$45-BJ$44</f>
        <v>0</v>
      </c>
      <c r="BK46" s="13" t="n">
        <f aca="false">BK$45-BK$44</f>
        <v>0</v>
      </c>
      <c r="BL46" s="13" t="n">
        <f aca="false">BL$45-BL$44</f>
        <v>0</v>
      </c>
      <c r="BM46" s="13" t="n">
        <f aca="false">BM$45-BM$44</f>
        <v>0</v>
      </c>
      <c r="BN46" s="13" t="n">
        <f aca="false">BN$45-BN$44</f>
        <v>0</v>
      </c>
      <c r="BO46" s="13" t="n">
        <f aca="false">BO$45-BO$44</f>
        <v>0</v>
      </c>
      <c r="BP46" s="13" t="n">
        <f aca="false">BP$45-BP$44</f>
        <v>0</v>
      </c>
      <c r="BQ46" s="13" t="n">
        <f aca="false">BQ$45-BQ$44</f>
        <v>0</v>
      </c>
      <c r="BR46" s="13" t="n">
        <f aca="false">BR$45-BR$44</f>
        <v>0</v>
      </c>
      <c r="BS46" s="13" t="n">
        <f aca="false">BS$45-BS$44</f>
        <v>0</v>
      </c>
      <c r="BT46" s="13" t="n">
        <f aca="false">BT$45-BT$44</f>
        <v>0</v>
      </c>
      <c r="BU46" s="13" t="n">
        <f aca="false">BU$45-BU$44</f>
        <v>0</v>
      </c>
      <c r="BV46" s="13" t="n">
        <f aca="false">BV$45-BV$44</f>
        <v>0</v>
      </c>
      <c r="BW46" s="13" t="n">
        <f aca="false">BW$45-BW$44</f>
        <v>0</v>
      </c>
      <c r="BX46" s="13" t="n">
        <f aca="false">BX$45-BX$44</f>
        <v>0</v>
      </c>
      <c r="BY46" s="13" t="n">
        <f aca="false">BY$45-BY$44</f>
        <v>0</v>
      </c>
      <c r="BZ46" s="13" t="n">
        <f aca="false">BZ$45-BZ$44</f>
        <v>0</v>
      </c>
      <c r="CA46" s="13" t="n">
        <f aca="false">CA$45-CA$44</f>
        <v>0</v>
      </c>
      <c r="CB46" s="13" t="n">
        <f aca="false">CB$45-CB$44</f>
        <v>0</v>
      </c>
      <c r="CC46" s="13" t="n">
        <f aca="false">CC$45-CC$44</f>
        <v>0</v>
      </c>
      <c r="CD46" s="13" t="n">
        <f aca="false">CD$45-CD$44</f>
        <v>0</v>
      </c>
      <c r="CE46" s="13" t="n">
        <f aca="false">CE$45-CE$44</f>
        <v>0</v>
      </c>
      <c r="CF46" s="13" t="n">
        <f aca="false">CF$45-CF$44</f>
        <v>0</v>
      </c>
      <c r="CG46" s="13" t="n">
        <f aca="false">CG$45-CG$44</f>
        <v>0</v>
      </c>
      <c r="CH46" s="13" t="n">
        <f aca="false">CH$45-CH$44</f>
        <v>0</v>
      </c>
      <c r="CI46" s="13" t="n">
        <f aca="false">CI$45-CI$44</f>
        <v>0</v>
      </c>
      <c r="CJ46" s="13" t="n">
        <f aca="false">CJ$45-CJ$44</f>
        <v>0</v>
      </c>
      <c r="CK46" s="13" t="n">
        <f aca="false">CK$45-CK$44</f>
        <v>0</v>
      </c>
      <c r="CL46" s="13" t="n">
        <f aca="false">CL$45-CL$44</f>
        <v>0</v>
      </c>
      <c r="CM46" s="13" t="n">
        <f aca="false">CM$45-CM$44</f>
        <v>0</v>
      </c>
      <c r="CN46" s="13" t="n">
        <f aca="false">CN$45-CN$44</f>
        <v>0</v>
      </c>
      <c r="CO46" s="13" t="n">
        <f aca="false">CO$45-CO$44</f>
        <v>0</v>
      </c>
      <c r="CP46" s="13" t="n">
        <f aca="false">CP$45-CP$44</f>
        <v>0</v>
      </c>
      <c r="CQ46" s="13" t="n">
        <f aca="false">CQ$45-CQ$44</f>
        <v>0</v>
      </c>
      <c r="CR46" s="13" t="n">
        <f aca="false">CR$45-CR$44</f>
        <v>0</v>
      </c>
      <c r="CS46" s="13" t="n">
        <f aca="false">CS$45-CS$44</f>
        <v>0</v>
      </c>
      <c r="CT46" s="13" t="n">
        <f aca="false">CT$45-CT$44</f>
        <v>0</v>
      </c>
      <c r="CU46" s="13" t="n">
        <f aca="false">CU$45-CU$44</f>
        <v>0</v>
      </c>
      <c r="CV46" s="13" t="n">
        <f aca="false">CV$45-CV$44</f>
        <v>0</v>
      </c>
      <c r="CW46" s="13" t="n">
        <f aca="false">CW$45-CW$44</f>
        <v>0</v>
      </c>
      <c r="CX46" s="13" t="n">
        <f aca="false">CX$45-CX$44</f>
        <v>0</v>
      </c>
      <c r="CY46" s="13" t="n">
        <f aca="false">CY$45-CY$44</f>
        <v>0</v>
      </c>
      <c r="CZ46" s="13" t="n">
        <f aca="false">CZ$45-CZ$44</f>
        <v>0</v>
      </c>
      <c r="DA46" s="13" t="n">
        <f aca="false">DA$45-DA$44</f>
        <v>0</v>
      </c>
      <c r="DB46" s="13" t="n">
        <f aca="false">DB$45-DB$44</f>
        <v>0</v>
      </c>
      <c r="DC46" s="13" t="n">
        <f aca="false">DC$45-DC$44</f>
        <v>0</v>
      </c>
      <c r="DD46" s="13" t="n">
        <f aca="false">DD$45-DD$44</f>
        <v>0</v>
      </c>
      <c r="DE46" s="13" t="n">
        <f aca="false">DE$45-DE$44</f>
        <v>0</v>
      </c>
      <c r="DF46" s="13" t="n">
        <f aca="false">DF$45-DF$44</f>
        <v>0</v>
      </c>
      <c r="DG46" s="13" t="n">
        <f aca="false">DG$45-DG$44</f>
        <v>0</v>
      </c>
      <c r="DH46" s="13" t="n">
        <f aca="false">DH$45-DH$44</f>
        <v>0</v>
      </c>
      <c r="DI46" s="13" t="n">
        <f aca="false">DI$45-DI$44</f>
        <v>0</v>
      </c>
      <c r="DJ46" s="13" t="n">
        <f aca="false">DJ$45-DJ$44</f>
        <v>0</v>
      </c>
      <c r="DK46" s="13" t="n">
        <f aca="false">DK$45-DK$44</f>
        <v>0</v>
      </c>
      <c r="DL46" s="13" t="n">
        <f aca="false">DL$45-DL$44</f>
        <v>0</v>
      </c>
      <c r="DM46" s="13" t="n">
        <f aca="false">DM$45-DM$44</f>
        <v>0</v>
      </c>
      <c r="DN46" s="13" t="n">
        <f aca="false">DN$45-DN$44</f>
        <v>0</v>
      </c>
      <c r="DO46" s="13" t="n">
        <f aca="false">DO$45-DO$44</f>
        <v>0</v>
      </c>
      <c r="DP46" s="13" t="n">
        <f aca="false">DP$45-DP$44</f>
        <v>0</v>
      </c>
      <c r="DQ46" s="13" t="n">
        <f aca="false">DQ$45-DQ$44</f>
        <v>0</v>
      </c>
      <c r="DR46" s="13" t="n">
        <f aca="false">DR$45-DR$44</f>
        <v>0</v>
      </c>
      <c r="DS46" s="13" t="n">
        <f aca="false">DS$45-DS$44</f>
        <v>0</v>
      </c>
      <c r="DT46" s="13" t="n">
        <f aca="false">DT$45-DT$44</f>
        <v>0</v>
      </c>
      <c r="DU46" s="13" t="n">
        <f aca="false">DU$45-DU$44</f>
        <v>0</v>
      </c>
      <c r="DV46" s="13" t="n">
        <f aca="false">DV$45-DV$44</f>
        <v>0</v>
      </c>
      <c r="DW46" s="13" t="n">
        <f aca="false">DW$45-DW$44</f>
        <v>0</v>
      </c>
      <c r="DX46" s="13" t="n">
        <f aca="false">DX$45-DX$44</f>
        <v>0</v>
      </c>
      <c r="DY46" s="13" t="n">
        <f aca="false">DY$45-DY$44</f>
        <v>0</v>
      </c>
      <c r="DZ46" s="13" t="n">
        <f aca="false">DZ$45-DZ$44</f>
        <v>0</v>
      </c>
      <c r="EA46" s="13" t="n">
        <f aca="false">EA$45-EA$44</f>
        <v>0</v>
      </c>
      <c r="EB46" s="13" t="n">
        <f aca="false">EB$45-EB$44</f>
        <v>0</v>
      </c>
      <c r="EC46" s="13" t="n">
        <f aca="false">EC$45-EC$44</f>
        <v>0</v>
      </c>
      <c r="ED46" s="13" t="n">
        <f aca="false">ED$45-ED$44</f>
        <v>0</v>
      </c>
      <c r="EE46" s="13" t="n">
        <f aca="false">EE$45-EE$44</f>
        <v>0</v>
      </c>
      <c r="EF46" s="13" t="n">
        <f aca="false">EF$45-EF$44</f>
        <v>0</v>
      </c>
      <c r="EG46" s="13" t="n">
        <f aca="false">EG$45-EG$44</f>
        <v>0</v>
      </c>
      <c r="EH46" s="13" t="n">
        <f aca="false">EH$45-EH$44</f>
        <v>0</v>
      </c>
      <c r="EI46" s="13" t="n">
        <f aca="false">EI$45-EI$44</f>
        <v>0</v>
      </c>
      <c r="EJ46" s="13" t="n">
        <f aca="false">EJ$45-EJ$44</f>
        <v>0</v>
      </c>
      <c r="EK46" s="13" t="n">
        <f aca="false">EK$45-EK$44</f>
        <v>0</v>
      </c>
      <c r="EL46" s="13" t="n">
        <f aca="false">EL$45-EL$44</f>
        <v>0</v>
      </c>
      <c r="EM46" s="13" t="n">
        <f aca="false">EM$45-EM$44</f>
        <v>0</v>
      </c>
      <c r="EN46" s="13" t="n">
        <f aca="false">EN$45-EN$44</f>
        <v>0</v>
      </c>
      <c r="EO46" s="13" t="n">
        <f aca="false">EO$45-EO$44</f>
        <v>0</v>
      </c>
      <c r="EP46" s="13" t="n">
        <f aca="false">EP$45-EP$44</f>
        <v>0</v>
      </c>
      <c r="EQ46" s="13" t="n">
        <f aca="false">EQ$45-EQ$44</f>
        <v>0</v>
      </c>
      <c r="ER46" s="13" t="n">
        <f aca="false">ER$45-ER$44</f>
        <v>0</v>
      </c>
      <c r="ES46" s="13" t="n">
        <f aca="false">ES$45-ES$44</f>
        <v>0</v>
      </c>
      <c r="ET46" s="13" t="n">
        <f aca="false">ET$45-ET$44</f>
        <v>0</v>
      </c>
      <c r="EU46" s="13" t="n">
        <f aca="false">EU$45-EU$44</f>
        <v>0</v>
      </c>
      <c r="EV46" s="13" t="n">
        <f aca="false">EV$45-EV$44</f>
        <v>0</v>
      </c>
      <c r="EW46" s="13" t="n">
        <f aca="false">EW$45-EW$44</f>
        <v>0</v>
      </c>
      <c r="EX46" s="13" t="n">
        <f aca="false">EX$45-EX$44</f>
        <v>0</v>
      </c>
      <c r="EY46" s="13" t="n">
        <f aca="false">EY$45-EY$44</f>
        <v>0</v>
      </c>
      <c r="EZ46" s="13" t="n">
        <f aca="false">EZ$45-EZ$44</f>
        <v>0</v>
      </c>
      <c r="FA46" s="13" t="n">
        <f aca="false">FA$45-FA$44</f>
        <v>0</v>
      </c>
      <c r="FB46" s="13" t="n">
        <f aca="false">FB$45-FB$44</f>
        <v>0</v>
      </c>
      <c r="FC46" s="13" t="n">
        <f aca="false">FC$45-FC$44</f>
        <v>0</v>
      </c>
      <c r="FD46" s="13" t="n">
        <f aca="false">FD$45-FD$44</f>
        <v>0</v>
      </c>
      <c r="FE46" s="13" t="n">
        <f aca="false">FE$45-FE$44</f>
        <v>0</v>
      </c>
      <c r="FF46" s="13" t="n">
        <f aca="false">FF$45-FF$44</f>
        <v>0</v>
      </c>
    </row>
    <row r="47" customFormat="false" ht="15" hidden="false" customHeight="false" outlineLevel="0" collapsed="false">
      <c r="A47" s="2" t="s">
        <v>1436</v>
      </c>
      <c r="B47" s="8" t="s">
        <v>1422</v>
      </c>
      <c r="C47" s="8" t="s">
        <v>255</v>
      </c>
      <c r="E47" s="70" t="n">
        <f aca="false">MIN($F47:$FF47)</f>
        <v>0</v>
      </c>
      <c r="F47" s="19" t="n">
        <f aca="false">MIN(0,F$45)</f>
        <v>0</v>
      </c>
      <c r="G47" s="19" t="n">
        <f aca="false">MIN(0,G$45)</f>
        <v>0</v>
      </c>
      <c r="H47" s="19" t="n">
        <f aca="false">MIN(0,H$45)</f>
        <v>0</v>
      </c>
      <c r="I47" s="19" t="n">
        <f aca="false">MIN(0,I$45)</f>
        <v>0</v>
      </c>
      <c r="J47" s="19" t="n">
        <f aca="false">MIN(0,J$45)</f>
        <v>0</v>
      </c>
      <c r="K47" s="19" t="n">
        <f aca="false">MIN(0,K$45)</f>
        <v>0</v>
      </c>
      <c r="L47" s="19" t="n">
        <f aca="false">MIN(0,L$45)</f>
        <v>0</v>
      </c>
      <c r="M47" s="19" t="n">
        <f aca="false">MIN(0,M$45)</f>
        <v>0</v>
      </c>
      <c r="N47" s="19" t="n">
        <f aca="false">MIN(0,N$45)</f>
        <v>0</v>
      </c>
      <c r="O47" s="19" t="n">
        <f aca="false">MIN(0,O$45)</f>
        <v>0</v>
      </c>
      <c r="P47" s="19" t="n">
        <f aca="false">MIN(0,P$45)</f>
        <v>0</v>
      </c>
      <c r="Q47" s="19" t="n">
        <f aca="false">MIN(0,Q$45)</f>
        <v>0</v>
      </c>
      <c r="R47" s="19" t="n">
        <f aca="false">MIN(0,R$45)</f>
        <v>0</v>
      </c>
      <c r="S47" s="19" t="n">
        <f aca="false">MIN(0,S$45)</f>
        <v>0</v>
      </c>
      <c r="T47" s="19" t="n">
        <f aca="false">MIN(0,T$45)</f>
        <v>0</v>
      </c>
      <c r="U47" s="19" t="n">
        <f aca="false">MIN(0,U$45)</f>
        <v>0</v>
      </c>
      <c r="V47" s="19" t="n">
        <f aca="false">MIN(0,V$45)</f>
        <v>0</v>
      </c>
      <c r="W47" s="19" t="n">
        <f aca="false">MIN(0,W$45)</f>
        <v>0</v>
      </c>
      <c r="X47" s="19" t="n">
        <f aca="false">MIN(0,X$45)</f>
        <v>0</v>
      </c>
      <c r="Y47" s="19" t="n">
        <f aca="false">MIN(0,Y$45)</f>
        <v>0</v>
      </c>
      <c r="Z47" s="19" t="n">
        <f aca="false">MIN(0,Z$45)</f>
        <v>0</v>
      </c>
      <c r="AA47" s="19" t="n">
        <f aca="false">MIN(0,AA$45)</f>
        <v>0</v>
      </c>
      <c r="AB47" s="19" t="n">
        <f aca="false">MIN(0,AB$45)</f>
        <v>0</v>
      </c>
      <c r="AC47" s="19" t="n">
        <f aca="false">MIN(0,AC$45)</f>
        <v>0</v>
      </c>
      <c r="AD47" s="19" t="n">
        <f aca="false">MIN(0,AD$45)</f>
        <v>0</v>
      </c>
      <c r="AE47" s="19" t="n">
        <f aca="false">MIN(0,AE$45)</f>
        <v>0</v>
      </c>
      <c r="AF47" s="19" t="n">
        <f aca="false">MIN(0,AF$45)</f>
        <v>0</v>
      </c>
      <c r="AG47" s="19" t="n">
        <f aca="false">MIN(0,AG$45)</f>
        <v>0</v>
      </c>
      <c r="AH47" s="19" t="n">
        <f aca="false">MIN(0,AH$45)</f>
        <v>0</v>
      </c>
      <c r="AI47" s="19" t="n">
        <f aca="false">MIN(0,AI$45)</f>
        <v>0</v>
      </c>
      <c r="AJ47" s="19" t="n">
        <f aca="false">MIN(0,AJ$45)</f>
        <v>0</v>
      </c>
      <c r="AK47" s="19" t="n">
        <f aca="false">MIN(0,AK$45)</f>
        <v>0</v>
      </c>
      <c r="AL47" s="19" t="n">
        <f aca="false">MIN(0,AL$45)</f>
        <v>0</v>
      </c>
      <c r="AM47" s="19" t="n">
        <f aca="false">MIN(0,AM$45)</f>
        <v>0</v>
      </c>
      <c r="AN47" s="19" t="n">
        <f aca="false">MIN(0,AN$45)</f>
        <v>0</v>
      </c>
      <c r="AO47" s="19" t="n">
        <f aca="false">MIN(0,AO$45)</f>
        <v>0</v>
      </c>
      <c r="AP47" s="19" t="n">
        <f aca="false">MIN(0,AP$45)</f>
        <v>0</v>
      </c>
      <c r="AQ47" s="19" t="n">
        <f aca="false">MIN(0,AQ$45)</f>
        <v>0</v>
      </c>
      <c r="AR47" s="19" t="n">
        <f aca="false">MIN(0,AR$45)</f>
        <v>0</v>
      </c>
      <c r="AS47" s="19" t="n">
        <f aca="false">MIN(0,AS$45)</f>
        <v>0</v>
      </c>
      <c r="AT47" s="19" t="n">
        <f aca="false">MIN(0,AT$45)</f>
        <v>0</v>
      </c>
      <c r="AU47" s="19" t="n">
        <f aca="false">MIN(0,AU$45)</f>
        <v>0</v>
      </c>
      <c r="AV47" s="19" t="n">
        <f aca="false">MIN(0,AV$45)</f>
        <v>0</v>
      </c>
      <c r="AW47" s="19" t="n">
        <f aca="false">MIN(0,AW$45)</f>
        <v>0</v>
      </c>
      <c r="AX47" s="19" t="n">
        <f aca="false">MIN(0,AX$45)</f>
        <v>0</v>
      </c>
      <c r="AY47" s="19" t="n">
        <f aca="false">MIN(0,AY$45)</f>
        <v>0</v>
      </c>
      <c r="AZ47" s="19" t="n">
        <f aca="false">MIN(0,AZ$45)</f>
        <v>0</v>
      </c>
      <c r="BA47" s="19" t="n">
        <f aca="false">MIN(0,BA$45)</f>
        <v>0</v>
      </c>
      <c r="BB47" s="19" t="n">
        <f aca="false">MIN(0,BB$45)</f>
        <v>0</v>
      </c>
      <c r="BC47" s="19" t="n">
        <f aca="false">MIN(0,BC$45)</f>
        <v>0</v>
      </c>
      <c r="BD47" s="19" t="n">
        <f aca="false">MIN(0,BD$45)</f>
        <v>0</v>
      </c>
      <c r="BE47" s="19" t="n">
        <f aca="false">MIN(0,BE$45)</f>
        <v>0</v>
      </c>
      <c r="BF47" s="19" t="n">
        <f aca="false">MIN(0,BF$45)</f>
        <v>0</v>
      </c>
      <c r="BG47" s="19" t="n">
        <f aca="false">MIN(0,BG$45)</f>
        <v>0</v>
      </c>
      <c r="BH47" s="19" t="n">
        <f aca="false">MIN(0,BH$45)</f>
        <v>0</v>
      </c>
      <c r="BI47" s="19" t="n">
        <f aca="false">MIN(0,BI$45)</f>
        <v>0</v>
      </c>
      <c r="BJ47" s="19" t="n">
        <f aca="false">MIN(0,BJ$45)</f>
        <v>0</v>
      </c>
      <c r="BK47" s="19" t="n">
        <f aca="false">MIN(0,BK$45)</f>
        <v>0</v>
      </c>
      <c r="BL47" s="19" t="n">
        <f aca="false">MIN(0,BL$45)</f>
        <v>0</v>
      </c>
      <c r="BM47" s="19" t="n">
        <f aca="false">MIN(0,BM$45)</f>
        <v>0</v>
      </c>
      <c r="BN47" s="19" t="n">
        <f aca="false">MIN(0,BN$45)</f>
        <v>0</v>
      </c>
      <c r="BO47" s="19" t="n">
        <f aca="false">MIN(0,BO$45)</f>
        <v>0</v>
      </c>
      <c r="BP47" s="19" t="n">
        <f aca="false">MIN(0,BP$45)</f>
        <v>0</v>
      </c>
      <c r="BQ47" s="19" t="n">
        <f aca="false">MIN(0,BQ$45)</f>
        <v>0</v>
      </c>
      <c r="BR47" s="19" t="n">
        <f aca="false">MIN(0,BR$45)</f>
        <v>0</v>
      </c>
      <c r="BS47" s="19" t="n">
        <f aca="false">MIN(0,BS$45)</f>
        <v>0</v>
      </c>
      <c r="BT47" s="19" t="n">
        <f aca="false">MIN(0,BT$45)</f>
        <v>0</v>
      </c>
      <c r="BU47" s="19" t="n">
        <f aca="false">MIN(0,BU$45)</f>
        <v>0</v>
      </c>
      <c r="BV47" s="19" t="n">
        <f aca="false">MIN(0,BV$45)</f>
        <v>0</v>
      </c>
      <c r="BW47" s="19" t="n">
        <f aca="false">MIN(0,BW$45)</f>
        <v>0</v>
      </c>
      <c r="BX47" s="19" t="n">
        <f aca="false">MIN(0,BX$45)</f>
        <v>0</v>
      </c>
      <c r="BY47" s="19" t="n">
        <f aca="false">MIN(0,BY$45)</f>
        <v>0</v>
      </c>
      <c r="BZ47" s="19" t="n">
        <f aca="false">MIN(0,BZ$45)</f>
        <v>0</v>
      </c>
      <c r="CA47" s="19" t="n">
        <f aca="false">MIN(0,CA$45)</f>
        <v>0</v>
      </c>
      <c r="CB47" s="19" t="n">
        <f aca="false">MIN(0,CB$45)</f>
        <v>0</v>
      </c>
      <c r="CC47" s="19" t="n">
        <f aca="false">MIN(0,CC$45)</f>
        <v>0</v>
      </c>
      <c r="CD47" s="19" t="n">
        <f aca="false">MIN(0,CD$45)</f>
        <v>0</v>
      </c>
      <c r="CE47" s="19" t="n">
        <f aca="false">MIN(0,CE$45)</f>
        <v>0</v>
      </c>
      <c r="CF47" s="19" t="n">
        <f aca="false">MIN(0,CF$45)</f>
        <v>0</v>
      </c>
      <c r="CG47" s="19" t="n">
        <f aca="false">MIN(0,CG$45)</f>
        <v>0</v>
      </c>
      <c r="CH47" s="19" t="n">
        <f aca="false">MIN(0,CH$45)</f>
        <v>0</v>
      </c>
      <c r="CI47" s="19" t="n">
        <f aca="false">MIN(0,CI$45)</f>
        <v>0</v>
      </c>
      <c r="CJ47" s="19" t="n">
        <f aca="false">MIN(0,CJ$45)</f>
        <v>0</v>
      </c>
      <c r="CK47" s="19" t="n">
        <f aca="false">MIN(0,CK$45)</f>
        <v>0</v>
      </c>
      <c r="CL47" s="19" t="n">
        <f aca="false">MIN(0,CL$45)</f>
        <v>0</v>
      </c>
      <c r="CM47" s="19" t="n">
        <f aca="false">MIN(0,CM$45)</f>
        <v>0</v>
      </c>
      <c r="CN47" s="19" t="n">
        <f aca="false">MIN(0,CN$45)</f>
        <v>0</v>
      </c>
      <c r="CO47" s="19" t="n">
        <f aca="false">MIN(0,CO$45)</f>
        <v>0</v>
      </c>
      <c r="CP47" s="19" t="n">
        <f aca="false">MIN(0,CP$45)</f>
        <v>0</v>
      </c>
      <c r="CQ47" s="19" t="n">
        <f aca="false">MIN(0,CQ$45)</f>
        <v>0</v>
      </c>
      <c r="CR47" s="19" t="n">
        <f aca="false">MIN(0,CR$45)</f>
        <v>0</v>
      </c>
      <c r="CS47" s="19" t="n">
        <f aca="false">MIN(0,CS$45)</f>
        <v>0</v>
      </c>
      <c r="CT47" s="19" t="n">
        <f aca="false">MIN(0,CT$45)</f>
        <v>0</v>
      </c>
      <c r="CU47" s="19" t="n">
        <f aca="false">MIN(0,CU$45)</f>
        <v>0</v>
      </c>
      <c r="CV47" s="19" t="n">
        <f aca="false">MIN(0,CV$45)</f>
        <v>0</v>
      </c>
      <c r="CW47" s="19" t="n">
        <f aca="false">MIN(0,CW$45)</f>
        <v>0</v>
      </c>
      <c r="CX47" s="19" t="n">
        <f aca="false">MIN(0,CX$45)</f>
        <v>0</v>
      </c>
      <c r="CY47" s="19" t="n">
        <f aca="false">MIN(0,CY$45)</f>
        <v>0</v>
      </c>
      <c r="CZ47" s="19" t="n">
        <f aca="false">MIN(0,CZ$45)</f>
        <v>0</v>
      </c>
      <c r="DA47" s="19" t="n">
        <f aca="false">MIN(0,DA$45)</f>
        <v>0</v>
      </c>
      <c r="DB47" s="19" t="n">
        <f aca="false">MIN(0,DB$45)</f>
        <v>0</v>
      </c>
      <c r="DC47" s="19" t="n">
        <f aca="false">MIN(0,DC$45)</f>
        <v>0</v>
      </c>
      <c r="DD47" s="19" t="n">
        <f aca="false">MIN(0,DD$45)</f>
        <v>0</v>
      </c>
      <c r="DE47" s="19" t="n">
        <f aca="false">MIN(0,DE$45)</f>
        <v>0</v>
      </c>
      <c r="DF47" s="19" t="n">
        <f aca="false">MIN(0,DF$45)</f>
        <v>0</v>
      </c>
      <c r="DG47" s="19" t="n">
        <f aca="false">MIN(0,DG$45)</f>
        <v>0</v>
      </c>
      <c r="DH47" s="19" t="n">
        <f aca="false">MIN(0,DH$45)</f>
        <v>0</v>
      </c>
      <c r="DI47" s="19" t="n">
        <f aca="false">MIN(0,DI$45)</f>
        <v>0</v>
      </c>
      <c r="DJ47" s="19" t="n">
        <f aca="false">MIN(0,DJ$45)</f>
        <v>0</v>
      </c>
      <c r="DK47" s="19" t="n">
        <f aca="false">MIN(0,DK$45)</f>
        <v>0</v>
      </c>
      <c r="DL47" s="19" t="n">
        <f aca="false">MIN(0,DL$45)</f>
        <v>0</v>
      </c>
      <c r="DM47" s="19" t="n">
        <f aca="false">MIN(0,DM$45)</f>
        <v>0</v>
      </c>
      <c r="DN47" s="19" t="n">
        <f aca="false">MIN(0,DN$45)</f>
        <v>0</v>
      </c>
      <c r="DO47" s="19" t="n">
        <f aca="false">MIN(0,DO$45)</f>
        <v>0</v>
      </c>
      <c r="DP47" s="19" t="n">
        <f aca="false">MIN(0,DP$45)</f>
        <v>0</v>
      </c>
      <c r="DQ47" s="19" t="n">
        <f aca="false">MIN(0,DQ$45)</f>
        <v>0</v>
      </c>
      <c r="DR47" s="19" t="n">
        <f aca="false">MIN(0,DR$45)</f>
        <v>0</v>
      </c>
      <c r="DS47" s="19" t="n">
        <f aca="false">MIN(0,DS$45)</f>
        <v>0</v>
      </c>
      <c r="DT47" s="19" t="n">
        <f aca="false">MIN(0,DT$45)</f>
        <v>0</v>
      </c>
      <c r="DU47" s="19" t="n">
        <f aca="false">MIN(0,DU$45)</f>
        <v>0</v>
      </c>
      <c r="DV47" s="19" t="n">
        <f aca="false">MIN(0,DV$45)</f>
        <v>0</v>
      </c>
      <c r="DW47" s="19" t="n">
        <f aca="false">MIN(0,DW$45)</f>
        <v>0</v>
      </c>
      <c r="DX47" s="19" t="n">
        <f aca="false">MIN(0,DX$45)</f>
        <v>0</v>
      </c>
      <c r="DY47" s="19" t="n">
        <f aca="false">MIN(0,DY$45)</f>
        <v>0</v>
      </c>
      <c r="DZ47" s="19" t="n">
        <f aca="false">MIN(0,DZ$45)</f>
        <v>0</v>
      </c>
      <c r="EA47" s="19" t="n">
        <f aca="false">MIN(0,EA$45)</f>
        <v>0</v>
      </c>
      <c r="EB47" s="19" t="n">
        <f aca="false">MIN(0,EB$45)</f>
        <v>0</v>
      </c>
      <c r="EC47" s="19" t="n">
        <f aca="false">MIN(0,EC$45)</f>
        <v>0</v>
      </c>
      <c r="ED47" s="19" t="n">
        <f aca="false">MIN(0,ED$45)</f>
        <v>0</v>
      </c>
      <c r="EE47" s="19" t="n">
        <f aca="false">MIN(0,EE$45)</f>
        <v>0</v>
      </c>
      <c r="EF47" s="19" t="n">
        <f aca="false">MIN(0,EF$45)</f>
        <v>0</v>
      </c>
      <c r="EG47" s="19" t="n">
        <f aca="false">MIN(0,EG$45)</f>
        <v>0</v>
      </c>
      <c r="EH47" s="19" t="n">
        <f aca="false">MIN(0,EH$45)</f>
        <v>0</v>
      </c>
      <c r="EI47" s="19" t="n">
        <f aca="false">MIN(0,EI$45)</f>
        <v>0</v>
      </c>
      <c r="EJ47" s="19" t="n">
        <f aca="false">MIN(0,EJ$45)</f>
        <v>0</v>
      </c>
      <c r="EK47" s="19" t="n">
        <f aca="false">MIN(0,EK$45)</f>
        <v>0</v>
      </c>
      <c r="EL47" s="19" t="n">
        <f aca="false">MIN(0,EL$45)</f>
        <v>0</v>
      </c>
      <c r="EM47" s="19" t="n">
        <f aca="false">MIN(0,EM$45)</f>
        <v>0</v>
      </c>
      <c r="EN47" s="19" t="n">
        <f aca="false">MIN(0,EN$45)</f>
        <v>0</v>
      </c>
      <c r="EO47" s="19" t="n">
        <f aca="false">MIN(0,EO$45)</f>
        <v>0</v>
      </c>
      <c r="EP47" s="19" t="n">
        <f aca="false">MIN(0,EP$45)</f>
        <v>0</v>
      </c>
      <c r="EQ47" s="19" t="n">
        <f aca="false">MIN(0,EQ$45)</f>
        <v>0</v>
      </c>
      <c r="ER47" s="19" t="n">
        <f aca="false">MIN(0,ER$45)</f>
        <v>0</v>
      </c>
      <c r="ES47" s="19" t="n">
        <f aca="false">MIN(0,ES$45)</f>
        <v>0</v>
      </c>
      <c r="ET47" s="19" t="n">
        <f aca="false">MIN(0,ET$45)</f>
        <v>0</v>
      </c>
      <c r="EU47" s="19" t="n">
        <f aca="false">MIN(0,EU$45)</f>
        <v>0</v>
      </c>
      <c r="EV47" s="19" t="n">
        <f aca="false">MIN(0,EV$45)</f>
        <v>0</v>
      </c>
      <c r="EW47" s="19" t="n">
        <f aca="false">MIN(0,EW$45)</f>
        <v>0</v>
      </c>
      <c r="EX47" s="19" t="n">
        <f aca="false">MIN(0,EX$45)</f>
        <v>0</v>
      </c>
      <c r="EY47" s="19" t="n">
        <f aca="false">MIN(0,EY$45)</f>
        <v>0</v>
      </c>
      <c r="EZ47" s="19" t="n">
        <f aca="false">MIN(0,EZ$45)</f>
        <v>0</v>
      </c>
      <c r="FA47" s="19" t="n">
        <f aca="false">MIN(0,FA$45)</f>
        <v>0</v>
      </c>
      <c r="FB47" s="19" t="n">
        <f aca="false">MIN(0,FB$45)</f>
        <v>0</v>
      </c>
      <c r="FC47" s="19" t="n">
        <f aca="false">MIN(0,FC$45)</f>
        <v>0</v>
      </c>
      <c r="FD47" s="19" t="n">
        <f aca="false">MIN(0,FD$45)</f>
        <v>0</v>
      </c>
      <c r="FE47" s="19" t="n">
        <f aca="false">MIN(0,FE$45)</f>
        <v>0</v>
      </c>
      <c r="FF47" s="19" t="n">
        <f aca="false">MIN(0,FF$45)</f>
        <v>0</v>
      </c>
    </row>
    <row r="48" customFormat="false" ht="15" hidden="false" customHeight="false" outlineLevel="0" collapsed="false">
      <c r="A48" s="4"/>
      <c r="B48" s="3" t="s">
        <v>1437</v>
      </c>
      <c r="C48" s="4"/>
      <c r="D48" s="4"/>
      <c r="E48" s="4"/>
    </row>
    <row r="49" customFormat="false" ht="15" hidden="false" customHeight="false" outlineLevel="0" collapsed="false">
      <c r="A49" s="2" t="s">
        <v>1438</v>
      </c>
      <c r="B49" s="8" t="s">
        <v>1439</v>
      </c>
      <c r="C49" s="8" t="s">
        <v>255</v>
      </c>
      <c r="E49" s="65" t="n">
        <f aca="false">SUM($F49:$FF49)</f>
        <v>200000</v>
      </c>
      <c r="F49" s="13" t="n">
        <f aca="false">IF(0=0,Base_PDF!$E$14,0)</f>
        <v>200000</v>
      </c>
      <c r="G49" s="13" t="n">
        <f aca="false">IF(1=0,Base_PDF!$E$14,0)</f>
        <v>0</v>
      </c>
      <c r="H49" s="13" t="n">
        <f aca="false">IF(2=0,Base_PDF!$E$14,0)</f>
        <v>0</v>
      </c>
      <c r="I49" s="13" t="n">
        <f aca="false">IF(3=0,Base_PDF!$E$14,0)</f>
        <v>0</v>
      </c>
      <c r="J49" s="13" t="n">
        <f aca="false">IF(4=0,Base_PDF!$E$14,0)</f>
        <v>0</v>
      </c>
      <c r="K49" s="13" t="n">
        <f aca="false">IF(5=0,Base_PDF!$E$14,0)</f>
        <v>0</v>
      </c>
      <c r="L49" s="13" t="n">
        <f aca="false">IF(6=0,Base_PDF!$E$14,0)</f>
        <v>0</v>
      </c>
      <c r="M49" s="13" t="n">
        <f aca="false">IF(7=0,Base_PDF!$E$14,0)</f>
        <v>0</v>
      </c>
      <c r="N49" s="13" t="n">
        <f aca="false">IF(8=0,Base_PDF!$E$14,0)</f>
        <v>0</v>
      </c>
      <c r="O49" s="13" t="n">
        <f aca="false">IF(9=0,Base_PDF!$E$14,0)</f>
        <v>0</v>
      </c>
      <c r="P49" s="13" t="n">
        <f aca="false">IF(10=0,Base_PDF!$E$14,0)</f>
        <v>0</v>
      </c>
      <c r="Q49" s="13" t="n">
        <f aca="false">IF(11=0,Base_PDF!$E$14,0)</f>
        <v>0</v>
      </c>
      <c r="R49" s="13" t="n">
        <f aca="false">IF(12=0,Base_PDF!$E$14,0)</f>
        <v>0</v>
      </c>
      <c r="S49" s="13" t="n">
        <f aca="false">IF(13=0,Base_PDF!$E$14,0)</f>
        <v>0</v>
      </c>
      <c r="T49" s="13" t="n">
        <f aca="false">IF(14=0,Base_PDF!$E$14,0)</f>
        <v>0</v>
      </c>
      <c r="U49" s="13" t="n">
        <f aca="false">IF(15=0,Base_PDF!$E$14,0)</f>
        <v>0</v>
      </c>
      <c r="V49" s="13" t="n">
        <f aca="false">IF(16=0,Base_PDF!$E$14,0)</f>
        <v>0</v>
      </c>
      <c r="W49" s="13" t="n">
        <f aca="false">IF(17=0,Base_PDF!$E$14,0)</f>
        <v>0</v>
      </c>
      <c r="X49" s="13" t="n">
        <f aca="false">IF(18=0,Base_PDF!$E$14,0)</f>
        <v>0</v>
      </c>
      <c r="Y49" s="13" t="n">
        <f aca="false">IF(19=0,Base_PDF!$E$14,0)</f>
        <v>0</v>
      </c>
      <c r="Z49" s="13" t="n">
        <f aca="false">IF(20=0,Base_PDF!$E$14,0)</f>
        <v>0</v>
      </c>
      <c r="AA49" s="13" t="n">
        <f aca="false">IF(21=0,Base_PDF!$E$14,0)</f>
        <v>0</v>
      </c>
      <c r="AB49" s="13" t="n">
        <f aca="false">IF(22=0,Base_PDF!$E$14,0)</f>
        <v>0</v>
      </c>
      <c r="AC49" s="13" t="n">
        <f aca="false">IF(23=0,Base_PDF!$E$14,0)</f>
        <v>0</v>
      </c>
      <c r="AD49" s="13" t="n">
        <f aca="false">IF(24=0,Base_PDF!$E$14,0)</f>
        <v>0</v>
      </c>
      <c r="AE49" s="13" t="n">
        <f aca="false">IF(25=0,Base_PDF!$E$14,0)</f>
        <v>0</v>
      </c>
      <c r="AF49" s="13" t="n">
        <f aca="false">IF(26=0,Base_PDF!$E$14,0)</f>
        <v>0</v>
      </c>
      <c r="AG49" s="13" t="n">
        <f aca="false">IF(27=0,Base_PDF!$E$14,0)</f>
        <v>0</v>
      </c>
      <c r="AH49" s="13" t="n">
        <f aca="false">IF(28=0,Base_PDF!$E$14,0)</f>
        <v>0</v>
      </c>
      <c r="AI49" s="13" t="n">
        <f aca="false">IF(29=0,Base_PDF!$E$14,0)</f>
        <v>0</v>
      </c>
      <c r="AJ49" s="13" t="n">
        <f aca="false">IF(30=0,Base_PDF!$E$14,0)</f>
        <v>0</v>
      </c>
      <c r="AK49" s="13" t="n">
        <f aca="false">IF(31=0,Base_PDF!$E$14,0)</f>
        <v>0</v>
      </c>
      <c r="AL49" s="13" t="n">
        <f aca="false">IF(32=0,Base_PDF!$E$14,0)</f>
        <v>0</v>
      </c>
      <c r="AM49" s="13" t="n">
        <f aca="false">IF(33=0,Base_PDF!$E$14,0)</f>
        <v>0</v>
      </c>
      <c r="AN49" s="13" t="n">
        <f aca="false">IF(34=0,Base_PDF!$E$14,0)</f>
        <v>0</v>
      </c>
      <c r="AO49" s="13" t="n">
        <f aca="false">IF(35=0,Base_PDF!$E$14,0)</f>
        <v>0</v>
      </c>
      <c r="AP49" s="13" t="n">
        <f aca="false">IF(36=0,Base_PDF!$E$14,0)</f>
        <v>0</v>
      </c>
      <c r="AQ49" s="13" t="n">
        <f aca="false">IF(37=0,Base_PDF!$E$14,0)</f>
        <v>0</v>
      </c>
      <c r="AR49" s="13" t="n">
        <f aca="false">IF(38=0,Base_PDF!$E$14,0)</f>
        <v>0</v>
      </c>
      <c r="AS49" s="13" t="n">
        <f aca="false">IF(39=0,Base_PDF!$E$14,0)</f>
        <v>0</v>
      </c>
      <c r="AT49" s="13" t="n">
        <f aca="false">IF(40=0,Base_PDF!$E$14,0)</f>
        <v>0</v>
      </c>
      <c r="AU49" s="13" t="n">
        <f aca="false">IF(41=0,Base_PDF!$E$14,0)</f>
        <v>0</v>
      </c>
      <c r="AV49" s="13" t="n">
        <f aca="false">IF(42=0,Base_PDF!$E$14,0)</f>
        <v>0</v>
      </c>
      <c r="AW49" s="13" t="n">
        <f aca="false">IF(43=0,Base_PDF!$E$14,0)</f>
        <v>0</v>
      </c>
      <c r="AX49" s="13" t="n">
        <f aca="false">IF(44=0,Base_PDF!$E$14,0)</f>
        <v>0</v>
      </c>
      <c r="AY49" s="13" t="n">
        <f aca="false">IF(45=0,Base_PDF!$E$14,0)</f>
        <v>0</v>
      </c>
      <c r="AZ49" s="13" t="n">
        <f aca="false">IF(46=0,Base_PDF!$E$14,0)</f>
        <v>0</v>
      </c>
      <c r="BA49" s="13" t="n">
        <f aca="false">IF(47=0,Base_PDF!$E$14,0)</f>
        <v>0</v>
      </c>
      <c r="BB49" s="13" t="n">
        <f aca="false">IF(48=0,Base_PDF!$E$14,0)</f>
        <v>0</v>
      </c>
      <c r="BC49" s="13" t="n">
        <f aca="false">IF(49=0,Base_PDF!$E$14,0)</f>
        <v>0</v>
      </c>
      <c r="BD49" s="13" t="n">
        <f aca="false">IF(50=0,Base_PDF!$E$14,0)</f>
        <v>0</v>
      </c>
      <c r="BE49" s="13" t="n">
        <f aca="false">IF(51=0,Base_PDF!$E$14,0)</f>
        <v>0</v>
      </c>
      <c r="BF49" s="13" t="n">
        <f aca="false">IF(52=0,Base_PDF!$E$14,0)</f>
        <v>0</v>
      </c>
      <c r="BG49" s="13" t="n">
        <f aca="false">IF(53=0,Base_PDF!$E$14,0)</f>
        <v>0</v>
      </c>
      <c r="BH49" s="13" t="n">
        <f aca="false">IF(54=0,Base_PDF!$E$14,0)</f>
        <v>0</v>
      </c>
      <c r="BI49" s="13" t="n">
        <f aca="false">IF(55=0,Base_PDF!$E$14,0)</f>
        <v>0</v>
      </c>
      <c r="BJ49" s="13" t="n">
        <f aca="false">IF(56=0,Base_PDF!$E$14,0)</f>
        <v>0</v>
      </c>
      <c r="BK49" s="13" t="n">
        <f aca="false">IF(57=0,Base_PDF!$E$14,0)</f>
        <v>0</v>
      </c>
      <c r="BL49" s="13" t="n">
        <f aca="false">IF(58=0,Base_PDF!$E$14,0)</f>
        <v>0</v>
      </c>
      <c r="BM49" s="13" t="n">
        <f aca="false">IF(59=0,Base_PDF!$E$14,0)</f>
        <v>0</v>
      </c>
      <c r="BN49" s="13" t="n">
        <f aca="false">IF(60=0,Base_PDF!$E$14,0)</f>
        <v>0</v>
      </c>
      <c r="BO49" s="13" t="n">
        <f aca="false">IF(61=0,Base_PDF!$E$14,0)</f>
        <v>0</v>
      </c>
      <c r="BP49" s="13" t="n">
        <f aca="false">IF(62=0,Base_PDF!$E$14,0)</f>
        <v>0</v>
      </c>
      <c r="BQ49" s="13" t="n">
        <f aca="false">IF(63=0,Base_PDF!$E$14,0)</f>
        <v>0</v>
      </c>
      <c r="BR49" s="13" t="n">
        <f aca="false">IF(64=0,Base_PDF!$E$14,0)</f>
        <v>0</v>
      </c>
      <c r="BS49" s="13" t="n">
        <f aca="false">IF(65=0,Base_PDF!$E$14,0)</f>
        <v>0</v>
      </c>
      <c r="BT49" s="13" t="n">
        <f aca="false">IF(66=0,Base_PDF!$E$14,0)</f>
        <v>0</v>
      </c>
      <c r="BU49" s="13" t="n">
        <f aca="false">IF(67=0,Base_PDF!$E$14,0)</f>
        <v>0</v>
      </c>
      <c r="BV49" s="13" t="n">
        <f aca="false">IF(68=0,Base_PDF!$E$14,0)</f>
        <v>0</v>
      </c>
      <c r="BW49" s="13" t="n">
        <f aca="false">IF(69=0,Base_PDF!$E$14,0)</f>
        <v>0</v>
      </c>
      <c r="BX49" s="13" t="n">
        <f aca="false">IF(70=0,Base_PDF!$E$14,0)</f>
        <v>0</v>
      </c>
      <c r="BY49" s="13" t="n">
        <f aca="false">IF(71=0,Base_PDF!$E$14,0)</f>
        <v>0</v>
      </c>
      <c r="BZ49" s="13" t="n">
        <f aca="false">IF(72=0,Base_PDF!$E$14,0)</f>
        <v>0</v>
      </c>
      <c r="CA49" s="13" t="n">
        <f aca="false">IF(73=0,Base_PDF!$E$14,0)</f>
        <v>0</v>
      </c>
      <c r="CB49" s="13" t="n">
        <f aca="false">IF(74=0,Base_PDF!$E$14,0)</f>
        <v>0</v>
      </c>
      <c r="CC49" s="13" t="n">
        <f aca="false">IF(75=0,Base_PDF!$E$14,0)</f>
        <v>0</v>
      </c>
      <c r="CD49" s="13" t="n">
        <f aca="false">IF(76=0,Base_PDF!$E$14,0)</f>
        <v>0</v>
      </c>
      <c r="CE49" s="13" t="n">
        <f aca="false">IF(77=0,Base_PDF!$E$14,0)</f>
        <v>0</v>
      </c>
      <c r="CF49" s="13" t="n">
        <f aca="false">IF(78=0,Base_PDF!$E$14,0)</f>
        <v>0</v>
      </c>
      <c r="CG49" s="13" t="n">
        <f aca="false">IF(79=0,Base_PDF!$E$14,0)</f>
        <v>0</v>
      </c>
      <c r="CH49" s="13" t="n">
        <f aca="false">IF(80=0,Base_PDF!$E$14,0)</f>
        <v>0</v>
      </c>
      <c r="CI49" s="13" t="n">
        <f aca="false">IF(81=0,Base_PDF!$E$14,0)</f>
        <v>0</v>
      </c>
      <c r="CJ49" s="13" t="n">
        <f aca="false">IF(82=0,Base_PDF!$E$14,0)</f>
        <v>0</v>
      </c>
      <c r="CK49" s="13" t="n">
        <f aca="false">IF(83=0,Base_PDF!$E$14,0)</f>
        <v>0</v>
      </c>
      <c r="CL49" s="13" t="n">
        <f aca="false">IF(84=0,Base_PDF!$E$14,0)</f>
        <v>0</v>
      </c>
      <c r="CM49" s="13" t="n">
        <f aca="false">IF(85=0,Base_PDF!$E$14,0)</f>
        <v>0</v>
      </c>
      <c r="CN49" s="13" t="n">
        <f aca="false">IF(86=0,Base_PDF!$E$14,0)</f>
        <v>0</v>
      </c>
      <c r="CO49" s="13" t="n">
        <f aca="false">IF(87=0,Base_PDF!$E$14,0)</f>
        <v>0</v>
      </c>
      <c r="CP49" s="13" t="n">
        <f aca="false">IF(88=0,Base_PDF!$E$14,0)</f>
        <v>0</v>
      </c>
      <c r="CQ49" s="13" t="n">
        <f aca="false">IF(89=0,Base_PDF!$E$14,0)</f>
        <v>0</v>
      </c>
      <c r="CR49" s="13" t="n">
        <f aca="false">IF(90=0,Base_PDF!$E$14,0)</f>
        <v>0</v>
      </c>
      <c r="CS49" s="13" t="n">
        <f aca="false">IF(91=0,Base_PDF!$E$14,0)</f>
        <v>0</v>
      </c>
      <c r="CT49" s="13" t="n">
        <f aca="false">IF(92=0,Base_PDF!$E$14,0)</f>
        <v>0</v>
      </c>
      <c r="CU49" s="13" t="n">
        <f aca="false">IF(93=0,Base_PDF!$E$14,0)</f>
        <v>0</v>
      </c>
      <c r="CV49" s="13" t="n">
        <f aca="false">IF(94=0,Base_PDF!$E$14,0)</f>
        <v>0</v>
      </c>
      <c r="CW49" s="13" t="n">
        <f aca="false">IF(95=0,Base_PDF!$E$14,0)</f>
        <v>0</v>
      </c>
      <c r="CX49" s="13" t="n">
        <f aca="false">IF(96=0,Base_PDF!$E$14,0)</f>
        <v>0</v>
      </c>
      <c r="CY49" s="13" t="n">
        <f aca="false">IF(97=0,Base_PDF!$E$14,0)</f>
        <v>0</v>
      </c>
      <c r="CZ49" s="13" t="n">
        <f aca="false">IF(98=0,Base_PDF!$E$14,0)</f>
        <v>0</v>
      </c>
      <c r="DA49" s="13" t="n">
        <f aca="false">IF(99=0,Base_PDF!$E$14,0)</f>
        <v>0</v>
      </c>
      <c r="DB49" s="13" t="n">
        <f aca="false">IF(100=0,Base_PDF!$E$14,0)</f>
        <v>0</v>
      </c>
      <c r="DC49" s="13" t="n">
        <f aca="false">IF(101=0,Base_PDF!$E$14,0)</f>
        <v>0</v>
      </c>
      <c r="DD49" s="13" t="n">
        <f aca="false">IF(102=0,Base_PDF!$E$14,0)</f>
        <v>0</v>
      </c>
      <c r="DE49" s="13" t="n">
        <f aca="false">IF(103=0,Base_PDF!$E$14,0)</f>
        <v>0</v>
      </c>
      <c r="DF49" s="13" t="n">
        <f aca="false">IF(104=0,Base_PDF!$E$14,0)</f>
        <v>0</v>
      </c>
      <c r="DG49" s="13" t="n">
        <f aca="false">IF(105=0,Base_PDF!$E$14,0)</f>
        <v>0</v>
      </c>
      <c r="DH49" s="13" t="n">
        <f aca="false">IF(106=0,Base_PDF!$E$14,0)</f>
        <v>0</v>
      </c>
      <c r="DI49" s="13" t="n">
        <f aca="false">IF(107=0,Base_PDF!$E$14,0)</f>
        <v>0</v>
      </c>
      <c r="DJ49" s="13" t="n">
        <f aca="false">IF(108=0,Base_PDF!$E$14,0)</f>
        <v>0</v>
      </c>
      <c r="DK49" s="13" t="n">
        <f aca="false">IF(109=0,Base_PDF!$E$14,0)</f>
        <v>0</v>
      </c>
      <c r="DL49" s="13" t="n">
        <f aca="false">IF(110=0,Base_PDF!$E$14,0)</f>
        <v>0</v>
      </c>
      <c r="DM49" s="13" t="n">
        <f aca="false">IF(111=0,Base_PDF!$E$14,0)</f>
        <v>0</v>
      </c>
      <c r="DN49" s="13" t="n">
        <f aca="false">IF(112=0,Base_PDF!$E$14,0)</f>
        <v>0</v>
      </c>
      <c r="DO49" s="13" t="n">
        <f aca="false">IF(113=0,Base_PDF!$E$14,0)</f>
        <v>0</v>
      </c>
      <c r="DP49" s="13" t="n">
        <f aca="false">IF(114=0,Base_PDF!$E$14,0)</f>
        <v>0</v>
      </c>
      <c r="DQ49" s="13" t="n">
        <f aca="false">IF(115=0,Base_PDF!$E$14,0)</f>
        <v>0</v>
      </c>
      <c r="DR49" s="13" t="n">
        <f aca="false">IF(116=0,Base_PDF!$E$14,0)</f>
        <v>0</v>
      </c>
      <c r="DS49" s="13" t="n">
        <f aca="false">IF(117=0,Base_PDF!$E$14,0)</f>
        <v>0</v>
      </c>
      <c r="DT49" s="13" t="n">
        <f aca="false">IF(118=0,Base_PDF!$E$14,0)</f>
        <v>0</v>
      </c>
      <c r="DU49" s="13" t="n">
        <f aca="false">IF(119=0,Base_PDF!$E$14,0)</f>
        <v>0</v>
      </c>
      <c r="DV49" s="13" t="n">
        <f aca="false">IF(120=0,Base_PDF!$E$14,0)</f>
        <v>0</v>
      </c>
      <c r="DW49" s="13" t="n">
        <f aca="false">IF(121=0,Base_PDF!$E$14,0)</f>
        <v>0</v>
      </c>
      <c r="DX49" s="13" t="n">
        <f aca="false">IF(122=0,Base_PDF!$E$14,0)</f>
        <v>0</v>
      </c>
      <c r="DY49" s="13" t="n">
        <f aca="false">IF(123=0,Base_PDF!$E$14,0)</f>
        <v>0</v>
      </c>
      <c r="DZ49" s="13" t="n">
        <f aca="false">IF(124=0,Base_PDF!$E$14,0)</f>
        <v>0</v>
      </c>
      <c r="EA49" s="13" t="n">
        <f aca="false">IF(125=0,Base_PDF!$E$14,0)</f>
        <v>0</v>
      </c>
      <c r="EB49" s="13" t="n">
        <f aca="false">IF(126=0,Base_PDF!$E$14,0)</f>
        <v>0</v>
      </c>
      <c r="EC49" s="13" t="n">
        <f aca="false">IF(127=0,Base_PDF!$E$14,0)</f>
        <v>0</v>
      </c>
      <c r="ED49" s="13" t="n">
        <f aca="false">IF(128=0,Base_PDF!$E$14,0)</f>
        <v>0</v>
      </c>
      <c r="EE49" s="13" t="n">
        <f aca="false">IF(129=0,Base_PDF!$E$14,0)</f>
        <v>0</v>
      </c>
      <c r="EF49" s="13" t="n">
        <f aca="false">IF(130=0,Base_PDF!$E$14,0)</f>
        <v>0</v>
      </c>
      <c r="EG49" s="13" t="n">
        <f aca="false">IF(131=0,Base_PDF!$E$14,0)</f>
        <v>0</v>
      </c>
      <c r="EH49" s="13" t="n">
        <f aca="false">IF(132=0,Base_PDF!$E$14,0)</f>
        <v>0</v>
      </c>
      <c r="EI49" s="13" t="n">
        <f aca="false">IF(133=0,Base_PDF!$E$14,0)</f>
        <v>0</v>
      </c>
      <c r="EJ49" s="13" t="n">
        <f aca="false">IF(134=0,Base_PDF!$E$14,0)</f>
        <v>0</v>
      </c>
      <c r="EK49" s="13" t="n">
        <f aca="false">IF(135=0,Base_PDF!$E$14,0)</f>
        <v>0</v>
      </c>
      <c r="EL49" s="13" t="n">
        <f aca="false">IF(136=0,Base_PDF!$E$14,0)</f>
        <v>0</v>
      </c>
      <c r="EM49" s="13" t="n">
        <f aca="false">IF(137=0,Base_PDF!$E$14,0)</f>
        <v>0</v>
      </c>
      <c r="EN49" s="13" t="n">
        <f aca="false">IF(138=0,Base_PDF!$E$14,0)</f>
        <v>0</v>
      </c>
      <c r="EO49" s="13" t="n">
        <f aca="false">IF(139=0,Base_PDF!$E$14,0)</f>
        <v>0</v>
      </c>
      <c r="EP49" s="13" t="n">
        <f aca="false">IF(140=0,Base_PDF!$E$14,0)</f>
        <v>0</v>
      </c>
      <c r="EQ49" s="13" t="n">
        <f aca="false">IF(141=0,Base_PDF!$E$14,0)</f>
        <v>0</v>
      </c>
      <c r="ER49" s="13" t="n">
        <f aca="false">IF(142=0,Base_PDF!$E$14,0)</f>
        <v>0</v>
      </c>
      <c r="ES49" s="13" t="n">
        <f aca="false">IF(143=0,Base_PDF!$E$14,0)</f>
        <v>0</v>
      </c>
      <c r="ET49" s="13" t="n">
        <f aca="false">IF(144=0,Base_PDF!$E$14,0)</f>
        <v>0</v>
      </c>
      <c r="EU49" s="13" t="n">
        <f aca="false">IF(145=0,Base_PDF!$E$14,0)</f>
        <v>0</v>
      </c>
      <c r="EV49" s="13" t="n">
        <f aca="false">IF(146=0,Base_PDF!$E$14,0)</f>
        <v>0</v>
      </c>
      <c r="EW49" s="13" t="n">
        <f aca="false">IF(147=0,Base_PDF!$E$14,0)</f>
        <v>0</v>
      </c>
      <c r="EX49" s="13" t="n">
        <f aca="false">IF(148=0,Base_PDF!$E$14,0)</f>
        <v>0</v>
      </c>
      <c r="EY49" s="13" t="n">
        <f aca="false">IF(149=0,Base_PDF!$E$14,0)</f>
        <v>0</v>
      </c>
      <c r="EZ49" s="13" t="n">
        <f aca="false">IF(150=0,Base_PDF!$E$14,0)</f>
        <v>0</v>
      </c>
      <c r="FA49" s="13" t="n">
        <f aca="false">IF(151=0,Base_PDF!$E$14,0)</f>
        <v>0</v>
      </c>
      <c r="FB49" s="13" t="n">
        <f aca="false">IF(152=0,Base_PDF!$E$14,0)</f>
        <v>0</v>
      </c>
      <c r="FC49" s="13" t="n">
        <f aca="false">IF(153=0,Base_PDF!$E$14,0)</f>
        <v>0</v>
      </c>
      <c r="FD49" s="13" t="n">
        <f aca="false">IF(154=0,Base_PDF!$E$14,0)</f>
        <v>0</v>
      </c>
      <c r="FE49" s="13" t="n">
        <f aca="false">IF(155=0,Base_PDF!$E$14,0)</f>
        <v>0</v>
      </c>
      <c r="FF49" s="13" t="n">
        <f aca="false">IF(156=0,Base_PDF!$E$14,0)</f>
        <v>0</v>
      </c>
    </row>
    <row r="50" customFormat="false" ht="15" hidden="false" customHeight="false" outlineLevel="0" collapsed="false">
      <c r="A50" s="2" t="s">
        <v>1440</v>
      </c>
      <c r="B50" s="8" t="s">
        <v>1441</v>
      </c>
      <c r="C50" s="8" t="s">
        <v>255</v>
      </c>
      <c r="E50" s="65" t="n">
        <f aca="false">SUM($F50:$FF50)</f>
        <v>939710</v>
      </c>
      <c r="F50" s="13" t="n">
        <f aca="false">e_AportesPDF*(IF(0=p_ImplMeses+1,Base_PDF!$E$54,0)+IF(0=p_ImplMeses+13,Base_PDF!$E$55,0))</f>
        <v>0</v>
      </c>
      <c r="G50" s="13" t="n">
        <f aca="false">e_AportesPDF*(IF(1=p_ImplMeses+1,Base_PDF!$E$54,0)+IF(1=p_ImplMeses+13,Base_PDF!$E$55,0))</f>
        <v>567782</v>
      </c>
      <c r="H50" s="13" t="n">
        <f aca="false">e_AportesPDF*(IF(2=p_ImplMeses+1,Base_PDF!$E$54,0)+IF(2=p_ImplMeses+13,Base_PDF!$E$55,0))</f>
        <v>0</v>
      </c>
      <c r="I50" s="13" t="n">
        <f aca="false">e_AportesPDF*(IF(3=p_ImplMeses+1,Base_PDF!$E$54,0)+IF(3=p_ImplMeses+13,Base_PDF!$E$55,0))</f>
        <v>0</v>
      </c>
      <c r="J50" s="13" t="n">
        <f aca="false">e_AportesPDF*(IF(4=p_ImplMeses+1,Base_PDF!$E$54,0)+IF(4=p_ImplMeses+13,Base_PDF!$E$55,0))</f>
        <v>0</v>
      </c>
      <c r="K50" s="13" t="n">
        <f aca="false">e_AportesPDF*(IF(5=p_ImplMeses+1,Base_PDF!$E$54,0)+IF(5=p_ImplMeses+13,Base_PDF!$E$55,0))</f>
        <v>0</v>
      </c>
      <c r="L50" s="13" t="n">
        <f aca="false">e_AportesPDF*(IF(6=p_ImplMeses+1,Base_PDF!$E$54,0)+IF(6=p_ImplMeses+13,Base_PDF!$E$55,0))</f>
        <v>0</v>
      </c>
      <c r="M50" s="13" t="n">
        <f aca="false">e_AportesPDF*(IF(7=p_ImplMeses+1,Base_PDF!$E$54,0)+IF(7=p_ImplMeses+13,Base_PDF!$E$55,0))</f>
        <v>0</v>
      </c>
      <c r="N50" s="13" t="n">
        <f aca="false">e_AportesPDF*(IF(8=p_ImplMeses+1,Base_PDF!$E$54,0)+IF(8=p_ImplMeses+13,Base_PDF!$E$55,0))</f>
        <v>0</v>
      </c>
      <c r="O50" s="13" t="n">
        <f aca="false">e_AportesPDF*(IF(9=p_ImplMeses+1,Base_PDF!$E$54,0)+IF(9=p_ImplMeses+13,Base_PDF!$E$55,0))</f>
        <v>0</v>
      </c>
      <c r="P50" s="13" t="n">
        <f aca="false">e_AportesPDF*(IF(10=p_ImplMeses+1,Base_PDF!$E$54,0)+IF(10=p_ImplMeses+13,Base_PDF!$E$55,0))</f>
        <v>0</v>
      </c>
      <c r="Q50" s="13" t="n">
        <f aca="false">e_AportesPDF*(IF(11=p_ImplMeses+1,Base_PDF!$E$54,0)+IF(11=p_ImplMeses+13,Base_PDF!$E$55,0))</f>
        <v>0</v>
      </c>
      <c r="R50" s="13" t="n">
        <f aca="false">e_AportesPDF*(IF(12=p_ImplMeses+1,Base_PDF!$E$54,0)+IF(12=p_ImplMeses+13,Base_PDF!$E$55,0))</f>
        <v>0</v>
      </c>
      <c r="S50" s="13" t="n">
        <f aca="false">e_AportesPDF*(IF(13=p_ImplMeses+1,Base_PDF!$E$54,0)+IF(13=p_ImplMeses+13,Base_PDF!$E$55,0))</f>
        <v>371928</v>
      </c>
      <c r="T50" s="13" t="n">
        <f aca="false">e_AportesPDF*(IF(14=p_ImplMeses+1,Base_PDF!$E$54,0)+IF(14=p_ImplMeses+13,Base_PDF!$E$55,0))</f>
        <v>0</v>
      </c>
      <c r="U50" s="13" t="n">
        <f aca="false">e_AportesPDF*(IF(15=p_ImplMeses+1,Base_PDF!$E$54,0)+IF(15=p_ImplMeses+13,Base_PDF!$E$55,0))</f>
        <v>0</v>
      </c>
      <c r="V50" s="13" t="n">
        <f aca="false">e_AportesPDF*(IF(16=p_ImplMeses+1,Base_PDF!$E$54,0)+IF(16=p_ImplMeses+13,Base_PDF!$E$55,0))</f>
        <v>0</v>
      </c>
      <c r="W50" s="13" t="n">
        <f aca="false">e_AportesPDF*(IF(17=p_ImplMeses+1,Base_PDF!$E$54,0)+IF(17=p_ImplMeses+13,Base_PDF!$E$55,0))</f>
        <v>0</v>
      </c>
      <c r="X50" s="13" t="n">
        <f aca="false">e_AportesPDF*(IF(18=p_ImplMeses+1,Base_PDF!$E$54,0)+IF(18=p_ImplMeses+13,Base_PDF!$E$55,0))</f>
        <v>0</v>
      </c>
      <c r="Y50" s="13" t="n">
        <f aca="false">e_AportesPDF*(IF(19=p_ImplMeses+1,Base_PDF!$E$54,0)+IF(19=p_ImplMeses+13,Base_PDF!$E$55,0))</f>
        <v>0</v>
      </c>
      <c r="Z50" s="13" t="n">
        <f aca="false">e_AportesPDF*(IF(20=p_ImplMeses+1,Base_PDF!$E$54,0)+IF(20=p_ImplMeses+13,Base_PDF!$E$55,0))</f>
        <v>0</v>
      </c>
      <c r="AA50" s="13" t="n">
        <f aca="false">e_AportesPDF*(IF(21=p_ImplMeses+1,Base_PDF!$E$54,0)+IF(21=p_ImplMeses+13,Base_PDF!$E$55,0))</f>
        <v>0</v>
      </c>
      <c r="AB50" s="13" t="n">
        <f aca="false">e_AportesPDF*(IF(22=p_ImplMeses+1,Base_PDF!$E$54,0)+IF(22=p_ImplMeses+13,Base_PDF!$E$55,0))</f>
        <v>0</v>
      </c>
      <c r="AC50" s="13" t="n">
        <f aca="false">e_AportesPDF*(IF(23=p_ImplMeses+1,Base_PDF!$E$54,0)+IF(23=p_ImplMeses+13,Base_PDF!$E$55,0))</f>
        <v>0</v>
      </c>
      <c r="AD50" s="13" t="n">
        <f aca="false">e_AportesPDF*(IF(24=p_ImplMeses+1,Base_PDF!$E$54,0)+IF(24=p_ImplMeses+13,Base_PDF!$E$55,0))</f>
        <v>0</v>
      </c>
      <c r="AE50" s="13" t="n">
        <f aca="false">e_AportesPDF*(IF(25=p_ImplMeses+1,Base_PDF!$E$54,0)+IF(25=p_ImplMeses+13,Base_PDF!$E$55,0))</f>
        <v>0</v>
      </c>
      <c r="AF50" s="13" t="n">
        <f aca="false">e_AportesPDF*(IF(26=p_ImplMeses+1,Base_PDF!$E$54,0)+IF(26=p_ImplMeses+13,Base_PDF!$E$55,0))</f>
        <v>0</v>
      </c>
      <c r="AG50" s="13" t="n">
        <f aca="false">e_AportesPDF*(IF(27=p_ImplMeses+1,Base_PDF!$E$54,0)+IF(27=p_ImplMeses+13,Base_PDF!$E$55,0))</f>
        <v>0</v>
      </c>
      <c r="AH50" s="13" t="n">
        <f aca="false">e_AportesPDF*(IF(28=p_ImplMeses+1,Base_PDF!$E$54,0)+IF(28=p_ImplMeses+13,Base_PDF!$E$55,0))</f>
        <v>0</v>
      </c>
      <c r="AI50" s="13" t="n">
        <f aca="false">e_AportesPDF*(IF(29=p_ImplMeses+1,Base_PDF!$E$54,0)+IF(29=p_ImplMeses+13,Base_PDF!$E$55,0))</f>
        <v>0</v>
      </c>
      <c r="AJ50" s="13" t="n">
        <f aca="false">e_AportesPDF*(IF(30=p_ImplMeses+1,Base_PDF!$E$54,0)+IF(30=p_ImplMeses+13,Base_PDF!$E$55,0))</f>
        <v>0</v>
      </c>
      <c r="AK50" s="13" t="n">
        <f aca="false">e_AportesPDF*(IF(31=p_ImplMeses+1,Base_PDF!$E$54,0)+IF(31=p_ImplMeses+13,Base_PDF!$E$55,0))</f>
        <v>0</v>
      </c>
      <c r="AL50" s="13" t="n">
        <f aca="false">e_AportesPDF*(IF(32=p_ImplMeses+1,Base_PDF!$E$54,0)+IF(32=p_ImplMeses+13,Base_PDF!$E$55,0))</f>
        <v>0</v>
      </c>
      <c r="AM50" s="13" t="n">
        <f aca="false">e_AportesPDF*(IF(33=p_ImplMeses+1,Base_PDF!$E$54,0)+IF(33=p_ImplMeses+13,Base_PDF!$E$55,0))</f>
        <v>0</v>
      </c>
      <c r="AN50" s="13" t="n">
        <f aca="false">e_AportesPDF*(IF(34=p_ImplMeses+1,Base_PDF!$E$54,0)+IF(34=p_ImplMeses+13,Base_PDF!$E$55,0))</f>
        <v>0</v>
      </c>
      <c r="AO50" s="13" t="n">
        <f aca="false">e_AportesPDF*(IF(35=p_ImplMeses+1,Base_PDF!$E$54,0)+IF(35=p_ImplMeses+13,Base_PDF!$E$55,0))</f>
        <v>0</v>
      </c>
      <c r="AP50" s="13" t="n">
        <f aca="false">e_AportesPDF*(IF(36=p_ImplMeses+1,Base_PDF!$E$54,0)+IF(36=p_ImplMeses+13,Base_PDF!$E$55,0))</f>
        <v>0</v>
      </c>
      <c r="AQ50" s="13" t="n">
        <f aca="false">e_AportesPDF*(IF(37=p_ImplMeses+1,Base_PDF!$E$54,0)+IF(37=p_ImplMeses+13,Base_PDF!$E$55,0))</f>
        <v>0</v>
      </c>
      <c r="AR50" s="13" t="n">
        <f aca="false">e_AportesPDF*(IF(38=p_ImplMeses+1,Base_PDF!$E$54,0)+IF(38=p_ImplMeses+13,Base_PDF!$E$55,0))</f>
        <v>0</v>
      </c>
      <c r="AS50" s="13" t="n">
        <f aca="false">e_AportesPDF*(IF(39=p_ImplMeses+1,Base_PDF!$E$54,0)+IF(39=p_ImplMeses+13,Base_PDF!$E$55,0))</f>
        <v>0</v>
      </c>
      <c r="AT50" s="13" t="n">
        <f aca="false">e_AportesPDF*(IF(40=p_ImplMeses+1,Base_PDF!$E$54,0)+IF(40=p_ImplMeses+13,Base_PDF!$E$55,0))</f>
        <v>0</v>
      </c>
      <c r="AU50" s="13" t="n">
        <f aca="false">e_AportesPDF*(IF(41=p_ImplMeses+1,Base_PDF!$E$54,0)+IF(41=p_ImplMeses+13,Base_PDF!$E$55,0))</f>
        <v>0</v>
      </c>
      <c r="AV50" s="13" t="n">
        <f aca="false">e_AportesPDF*(IF(42=p_ImplMeses+1,Base_PDF!$E$54,0)+IF(42=p_ImplMeses+13,Base_PDF!$E$55,0))</f>
        <v>0</v>
      </c>
      <c r="AW50" s="13" t="n">
        <f aca="false">e_AportesPDF*(IF(43=p_ImplMeses+1,Base_PDF!$E$54,0)+IF(43=p_ImplMeses+13,Base_PDF!$E$55,0))</f>
        <v>0</v>
      </c>
      <c r="AX50" s="13" t="n">
        <f aca="false">e_AportesPDF*(IF(44=p_ImplMeses+1,Base_PDF!$E$54,0)+IF(44=p_ImplMeses+13,Base_PDF!$E$55,0))</f>
        <v>0</v>
      </c>
      <c r="AY50" s="13" t="n">
        <f aca="false">e_AportesPDF*(IF(45=p_ImplMeses+1,Base_PDF!$E$54,0)+IF(45=p_ImplMeses+13,Base_PDF!$E$55,0))</f>
        <v>0</v>
      </c>
      <c r="AZ50" s="13" t="n">
        <f aca="false">e_AportesPDF*(IF(46=p_ImplMeses+1,Base_PDF!$E$54,0)+IF(46=p_ImplMeses+13,Base_PDF!$E$55,0))</f>
        <v>0</v>
      </c>
      <c r="BA50" s="13" t="n">
        <f aca="false">e_AportesPDF*(IF(47=p_ImplMeses+1,Base_PDF!$E$54,0)+IF(47=p_ImplMeses+13,Base_PDF!$E$55,0))</f>
        <v>0</v>
      </c>
      <c r="BB50" s="13" t="n">
        <f aca="false">e_AportesPDF*(IF(48=p_ImplMeses+1,Base_PDF!$E$54,0)+IF(48=p_ImplMeses+13,Base_PDF!$E$55,0))</f>
        <v>0</v>
      </c>
      <c r="BC50" s="13" t="n">
        <f aca="false">e_AportesPDF*(IF(49=p_ImplMeses+1,Base_PDF!$E$54,0)+IF(49=p_ImplMeses+13,Base_PDF!$E$55,0))</f>
        <v>0</v>
      </c>
      <c r="BD50" s="13" t="n">
        <f aca="false">e_AportesPDF*(IF(50=p_ImplMeses+1,Base_PDF!$E$54,0)+IF(50=p_ImplMeses+13,Base_PDF!$E$55,0))</f>
        <v>0</v>
      </c>
      <c r="BE50" s="13" t="n">
        <f aca="false">e_AportesPDF*(IF(51=p_ImplMeses+1,Base_PDF!$E$54,0)+IF(51=p_ImplMeses+13,Base_PDF!$E$55,0))</f>
        <v>0</v>
      </c>
      <c r="BF50" s="13" t="n">
        <f aca="false">e_AportesPDF*(IF(52=p_ImplMeses+1,Base_PDF!$E$54,0)+IF(52=p_ImplMeses+13,Base_PDF!$E$55,0))</f>
        <v>0</v>
      </c>
      <c r="BG50" s="13" t="n">
        <f aca="false">e_AportesPDF*(IF(53=p_ImplMeses+1,Base_PDF!$E$54,0)+IF(53=p_ImplMeses+13,Base_PDF!$E$55,0))</f>
        <v>0</v>
      </c>
      <c r="BH50" s="13" t="n">
        <f aca="false">e_AportesPDF*(IF(54=p_ImplMeses+1,Base_PDF!$E$54,0)+IF(54=p_ImplMeses+13,Base_PDF!$E$55,0))</f>
        <v>0</v>
      </c>
      <c r="BI50" s="13" t="n">
        <f aca="false">e_AportesPDF*(IF(55=p_ImplMeses+1,Base_PDF!$E$54,0)+IF(55=p_ImplMeses+13,Base_PDF!$E$55,0))</f>
        <v>0</v>
      </c>
      <c r="BJ50" s="13" t="n">
        <f aca="false">e_AportesPDF*(IF(56=p_ImplMeses+1,Base_PDF!$E$54,0)+IF(56=p_ImplMeses+13,Base_PDF!$E$55,0))</f>
        <v>0</v>
      </c>
      <c r="BK50" s="13" t="n">
        <f aca="false">e_AportesPDF*(IF(57=p_ImplMeses+1,Base_PDF!$E$54,0)+IF(57=p_ImplMeses+13,Base_PDF!$E$55,0))</f>
        <v>0</v>
      </c>
      <c r="BL50" s="13" t="n">
        <f aca="false">e_AportesPDF*(IF(58=p_ImplMeses+1,Base_PDF!$E$54,0)+IF(58=p_ImplMeses+13,Base_PDF!$E$55,0))</f>
        <v>0</v>
      </c>
      <c r="BM50" s="13" t="n">
        <f aca="false">e_AportesPDF*(IF(59=p_ImplMeses+1,Base_PDF!$E$54,0)+IF(59=p_ImplMeses+13,Base_PDF!$E$55,0))</f>
        <v>0</v>
      </c>
      <c r="BN50" s="13" t="n">
        <f aca="false">e_AportesPDF*(IF(60=p_ImplMeses+1,Base_PDF!$E$54,0)+IF(60=p_ImplMeses+13,Base_PDF!$E$55,0))</f>
        <v>0</v>
      </c>
      <c r="BO50" s="13" t="n">
        <f aca="false">e_AportesPDF*(IF(61=p_ImplMeses+1,Base_PDF!$E$54,0)+IF(61=p_ImplMeses+13,Base_PDF!$E$55,0))</f>
        <v>0</v>
      </c>
      <c r="BP50" s="13" t="n">
        <f aca="false">e_AportesPDF*(IF(62=p_ImplMeses+1,Base_PDF!$E$54,0)+IF(62=p_ImplMeses+13,Base_PDF!$E$55,0))</f>
        <v>0</v>
      </c>
      <c r="BQ50" s="13" t="n">
        <f aca="false">e_AportesPDF*(IF(63=p_ImplMeses+1,Base_PDF!$E$54,0)+IF(63=p_ImplMeses+13,Base_PDF!$E$55,0))</f>
        <v>0</v>
      </c>
      <c r="BR50" s="13" t="n">
        <f aca="false">e_AportesPDF*(IF(64=p_ImplMeses+1,Base_PDF!$E$54,0)+IF(64=p_ImplMeses+13,Base_PDF!$E$55,0))</f>
        <v>0</v>
      </c>
      <c r="BS50" s="13" t="n">
        <f aca="false">e_AportesPDF*(IF(65=p_ImplMeses+1,Base_PDF!$E$54,0)+IF(65=p_ImplMeses+13,Base_PDF!$E$55,0))</f>
        <v>0</v>
      </c>
      <c r="BT50" s="13" t="n">
        <f aca="false">e_AportesPDF*(IF(66=p_ImplMeses+1,Base_PDF!$E$54,0)+IF(66=p_ImplMeses+13,Base_PDF!$E$55,0))</f>
        <v>0</v>
      </c>
      <c r="BU50" s="13" t="n">
        <f aca="false">e_AportesPDF*(IF(67=p_ImplMeses+1,Base_PDF!$E$54,0)+IF(67=p_ImplMeses+13,Base_PDF!$E$55,0))</f>
        <v>0</v>
      </c>
      <c r="BV50" s="13" t="n">
        <f aca="false">e_AportesPDF*(IF(68=p_ImplMeses+1,Base_PDF!$E$54,0)+IF(68=p_ImplMeses+13,Base_PDF!$E$55,0))</f>
        <v>0</v>
      </c>
      <c r="BW50" s="13" t="n">
        <f aca="false">e_AportesPDF*(IF(69=p_ImplMeses+1,Base_PDF!$E$54,0)+IF(69=p_ImplMeses+13,Base_PDF!$E$55,0))</f>
        <v>0</v>
      </c>
      <c r="BX50" s="13" t="n">
        <f aca="false">e_AportesPDF*(IF(70=p_ImplMeses+1,Base_PDF!$E$54,0)+IF(70=p_ImplMeses+13,Base_PDF!$E$55,0))</f>
        <v>0</v>
      </c>
      <c r="BY50" s="13" t="n">
        <f aca="false">e_AportesPDF*(IF(71=p_ImplMeses+1,Base_PDF!$E$54,0)+IF(71=p_ImplMeses+13,Base_PDF!$E$55,0))</f>
        <v>0</v>
      </c>
      <c r="BZ50" s="13" t="n">
        <f aca="false">e_AportesPDF*(IF(72=p_ImplMeses+1,Base_PDF!$E$54,0)+IF(72=p_ImplMeses+13,Base_PDF!$E$55,0))</f>
        <v>0</v>
      </c>
      <c r="CA50" s="13" t="n">
        <f aca="false">e_AportesPDF*(IF(73=p_ImplMeses+1,Base_PDF!$E$54,0)+IF(73=p_ImplMeses+13,Base_PDF!$E$55,0))</f>
        <v>0</v>
      </c>
      <c r="CB50" s="13" t="n">
        <f aca="false">e_AportesPDF*(IF(74=p_ImplMeses+1,Base_PDF!$E$54,0)+IF(74=p_ImplMeses+13,Base_PDF!$E$55,0))</f>
        <v>0</v>
      </c>
      <c r="CC50" s="13" t="n">
        <f aca="false">e_AportesPDF*(IF(75=p_ImplMeses+1,Base_PDF!$E$54,0)+IF(75=p_ImplMeses+13,Base_PDF!$E$55,0))</f>
        <v>0</v>
      </c>
      <c r="CD50" s="13" t="n">
        <f aca="false">e_AportesPDF*(IF(76=p_ImplMeses+1,Base_PDF!$E$54,0)+IF(76=p_ImplMeses+13,Base_PDF!$E$55,0))</f>
        <v>0</v>
      </c>
      <c r="CE50" s="13" t="n">
        <f aca="false">e_AportesPDF*(IF(77=p_ImplMeses+1,Base_PDF!$E$54,0)+IF(77=p_ImplMeses+13,Base_PDF!$E$55,0))</f>
        <v>0</v>
      </c>
      <c r="CF50" s="13" t="n">
        <f aca="false">e_AportesPDF*(IF(78=p_ImplMeses+1,Base_PDF!$E$54,0)+IF(78=p_ImplMeses+13,Base_PDF!$E$55,0))</f>
        <v>0</v>
      </c>
      <c r="CG50" s="13" t="n">
        <f aca="false">e_AportesPDF*(IF(79=p_ImplMeses+1,Base_PDF!$E$54,0)+IF(79=p_ImplMeses+13,Base_PDF!$E$55,0))</f>
        <v>0</v>
      </c>
      <c r="CH50" s="13" t="n">
        <f aca="false">e_AportesPDF*(IF(80=p_ImplMeses+1,Base_PDF!$E$54,0)+IF(80=p_ImplMeses+13,Base_PDF!$E$55,0))</f>
        <v>0</v>
      </c>
      <c r="CI50" s="13" t="n">
        <f aca="false">e_AportesPDF*(IF(81=p_ImplMeses+1,Base_PDF!$E$54,0)+IF(81=p_ImplMeses+13,Base_PDF!$E$55,0))</f>
        <v>0</v>
      </c>
      <c r="CJ50" s="13" t="n">
        <f aca="false">e_AportesPDF*(IF(82=p_ImplMeses+1,Base_PDF!$E$54,0)+IF(82=p_ImplMeses+13,Base_PDF!$E$55,0))</f>
        <v>0</v>
      </c>
      <c r="CK50" s="13" t="n">
        <f aca="false">e_AportesPDF*(IF(83=p_ImplMeses+1,Base_PDF!$E$54,0)+IF(83=p_ImplMeses+13,Base_PDF!$E$55,0))</f>
        <v>0</v>
      </c>
      <c r="CL50" s="13" t="n">
        <f aca="false">e_AportesPDF*(IF(84=p_ImplMeses+1,Base_PDF!$E$54,0)+IF(84=p_ImplMeses+13,Base_PDF!$E$55,0))</f>
        <v>0</v>
      </c>
      <c r="CM50" s="13" t="n">
        <f aca="false">e_AportesPDF*(IF(85=p_ImplMeses+1,Base_PDF!$E$54,0)+IF(85=p_ImplMeses+13,Base_PDF!$E$55,0))</f>
        <v>0</v>
      </c>
      <c r="CN50" s="13" t="n">
        <f aca="false">e_AportesPDF*(IF(86=p_ImplMeses+1,Base_PDF!$E$54,0)+IF(86=p_ImplMeses+13,Base_PDF!$E$55,0))</f>
        <v>0</v>
      </c>
      <c r="CO50" s="13" t="n">
        <f aca="false">e_AportesPDF*(IF(87=p_ImplMeses+1,Base_PDF!$E$54,0)+IF(87=p_ImplMeses+13,Base_PDF!$E$55,0))</f>
        <v>0</v>
      </c>
      <c r="CP50" s="13" t="n">
        <f aca="false">e_AportesPDF*(IF(88=p_ImplMeses+1,Base_PDF!$E$54,0)+IF(88=p_ImplMeses+13,Base_PDF!$E$55,0))</f>
        <v>0</v>
      </c>
      <c r="CQ50" s="13" t="n">
        <f aca="false">e_AportesPDF*(IF(89=p_ImplMeses+1,Base_PDF!$E$54,0)+IF(89=p_ImplMeses+13,Base_PDF!$E$55,0))</f>
        <v>0</v>
      </c>
      <c r="CR50" s="13" t="n">
        <f aca="false">e_AportesPDF*(IF(90=p_ImplMeses+1,Base_PDF!$E$54,0)+IF(90=p_ImplMeses+13,Base_PDF!$E$55,0))</f>
        <v>0</v>
      </c>
      <c r="CS50" s="13" t="n">
        <f aca="false">e_AportesPDF*(IF(91=p_ImplMeses+1,Base_PDF!$E$54,0)+IF(91=p_ImplMeses+13,Base_PDF!$E$55,0))</f>
        <v>0</v>
      </c>
      <c r="CT50" s="13" t="n">
        <f aca="false">e_AportesPDF*(IF(92=p_ImplMeses+1,Base_PDF!$E$54,0)+IF(92=p_ImplMeses+13,Base_PDF!$E$55,0))</f>
        <v>0</v>
      </c>
      <c r="CU50" s="13" t="n">
        <f aca="false">e_AportesPDF*(IF(93=p_ImplMeses+1,Base_PDF!$E$54,0)+IF(93=p_ImplMeses+13,Base_PDF!$E$55,0))</f>
        <v>0</v>
      </c>
      <c r="CV50" s="13" t="n">
        <f aca="false">e_AportesPDF*(IF(94=p_ImplMeses+1,Base_PDF!$E$54,0)+IF(94=p_ImplMeses+13,Base_PDF!$E$55,0))</f>
        <v>0</v>
      </c>
      <c r="CW50" s="13" t="n">
        <f aca="false">e_AportesPDF*(IF(95=p_ImplMeses+1,Base_PDF!$E$54,0)+IF(95=p_ImplMeses+13,Base_PDF!$E$55,0))</f>
        <v>0</v>
      </c>
      <c r="CX50" s="13" t="n">
        <f aca="false">e_AportesPDF*(IF(96=p_ImplMeses+1,Base_PDF!$E$54,0)+IF(96=p_ImplMeses+13,Base_PDF!$E$55,0))</f>
        <v>0</v>
      </c>
      <c r="CY50" s="13" t="n">
        <f aca="false">e_AportesPDF*(IF(97=p_ImplMeses+1,Base_PDF!$E$54,0)+IF(97=p_ImplMeses+13,Base_PDF!$E$55,0))</f>
        <v>0</v>
      </c>
      <c r="CZ50" s="13" t="n">
        <f aca="false">e_AportesPDF*(IF(98=p_ImplMeses+1,Base_PDF!$E$54,0)+IF(98=p_ImplMeses+13,Base_PDF!$E$55,0))</f>
        <v>0</v>
      </c>
      <c r="DA50" s="13" t="n">
        <f aca="false">e_AportesPDF*(IF(99=p_ImplMeses+1,Base_PDF!$E$54,0)+IF(99=p_ImplMeses+13,Base_PDF!$E$55,0))</f>
        <v>0</v>
      </c>
      <c r="DB50" s="13" t="n">
        <f aca="false">e_AportesPDF*(IF(100=p_ImplMeses+1,Base_PDF!$E$54,0)+IF(100=p_ImplMeses+13,Base_PDF!$E$55,0))</f>
        <v>0</v>
      </c>
      <c r="DC50" s="13" t="n">
        <f aca="false">e_AportesPDF*(IF(101=p_ImplMeses+1,Base_PDF!$E$54,0)+IF(101=p_ImplMeses+13,Base_PDF!$E$55,0))</f>
        <v>0</v>
      </c>
      <c r="DD50" s="13" t="n">
        <f aca="false">e_AportesPDF*(IF(102=p_ImplMeses+1,Base_PDF!$E$54,0)+IF(102=p_ImplMeses+13,Base_PDF!$E$55,0))</f>
        <v>0</v>
      </c>
      <c r="DE50" s="13" t="n">
        <f aca="false">e_AportesPDF*(IF(103=p_ImplMeses+1,Base_PDF!$E$54,0)+IF(103=p_ImplMeses+13,Base_PDF!$E$55,0))</f>
        <v>0</v>
      </c>
      <c r="DF50" s="13" t="n">
        <f aca="false">e_AportesPDF*(IF(104=p_ImplMeses+1,Base_PDF!$E$54,0)+IF(104=p_ImplMeses+13,Base_PDF!$E$55,0))</f>
        <v>0</v>
      </c>
      <c r="DG50" s="13" t="n">
        <f aca="false">e_AportesPDF*(IF(105=p_ImplMeses+1,Base_PDF!$E$54,0)+IF(105=p_ImplMeses+13,Base_PDF!$E$55,0))</f>
        <v>0</v>
      </c>
      <c r="DH50" s="13" t="n">
        <f aca="false">e_AportesPDF*(IF(106=p_ImplMeses+1,Base_PDF!$E$54,0)+IF(106=p_ImplMeses+13,Base_PDF!$E$55,0))</f>
        <v>0</v>
      </c>
      <c r="DI50" s="13" t="n">
        <f aca="false">e_AportesPDF*(IF(107=p_ImplMeses+1,Base_PDF!$E$54,0)+IF(107=p_ImplMeses+13,Base_PDF!$E$55,0))</f>
        <v>0</v>
      </c>
      <c r="DJ50" s="13" t="n">
        <f aca="false">e_AportesPDF*(IF(108=p_ImplMeses+1,Base_PDF!$E$54,0)+IF(108=p_ImplMeses+13,Base_PDF!$E$55,0))</f>
        <v>0</v>
      </c>
      <c r="DK50" s="13" t="n">
        <f aca="false">e_AportesPDF*(IF(109=p_ImplMeses+1,Base_PDF!$E$54,0)+IF(109=p_ImplMeses+13,Base_PDF!$E$55,0))</f>
        <v>0</v>
      </c>
      <c r="DL50" s="13" t="n">
        <f aca="false">e_AportesPDF*(IF(110=p_ImplMeses+1,Base_PDF!$E$54,0)+IF(110=p_ImplMeses+13,Base_PDF!$E$55,0))</f>
        <v>0</v>
      </c>
      <c r="DM50" s="13" t="n">
        <f aca="false">e_AportesPDF*(IF(111=p_ImplMeses+1,Base_PDF!$E$54,0)+IF(111=p_ImplMeses+13,Base_PDF!$E$55,0))</f>
        <v>0</v>
      </c>
      <c r="DN50" s="13" t="n">
        <f aca="false">e_AportesPDF*(IF(112=p_ImplMeses+1,Base_PDF!$E$54,0)+IF(112=p_ImplMeses+13,Base_PDF!$E$55,0))</f>
        <v>0</v>
      </c>
      <c r="DO50" s="13" t="n">
        <f aca="false">e_AportesPDF*(IF(113=p_ImplMeses+1,Base_PDF!$E$54,0)+IF(113=p_ImplMeses+13,Base_PDF!$E$55,0))</f>
        <v>0</v>
      </c>
      <c r="DP50" s="13" t="n">
        <f aca="false">e_AportesPDF*(IF(114=p_ImplMeses+1,Base_PDF!$E$54,0)+IF(114=p_ImplMeses+13,Base_PDF!$E$55,0))</f>
        <v>0</v>
      </c>
      <c r="DQ50" s="13" t="n">
        <f aca="false">e_AportesPDF*(IF(115=p_ImplMeses+1,Base_PDF!$E$54,0)+IF(115=p_ImplMeses+13,Base_PDF!$E$55,0))</f>
        <v>0</v>
      </c>
      <c r="DR50" s="13" t="n">
        <f aca="false">e_AportesPDF*(IF(116=p_ImplMeses+1,Base_PDF!$E$54,0)+IF(116=p_ImplMeses+13,Base_PDF!$E$55,0))</f>
        <v>0</v>
      </c>
      <c r="DS50" s="13" t="n">
        <f aca="false">e_AportesPDF*(IF(117=p_ImplMeses+1,Base_PDF!$E$54,0)+IF(117=p_ImplMeses+13,Base_PDF!$E$55,0))</f>
        <v>0</v>
      </c>
      <c r="DT50" s="13" t="n">
        <f aca="false">e_AportesPDF*(IF(118=p_ImplMeses+1,Base_PDF!$E$54,0)+IF(118=p_ImplMeses+13,Base_PDF!$E$55,0))</f>
        <v>0</v>
      </c>
      <c r="DU50" s="13" t="n">
        <f aca="false">e_AportesPDF*(IF(119=p_ImplMeses+1,Base_PDF!$E$54,0)+IF(119=p_ImplMeses+13,Base_PDF!$E$55,0))</f>
        <v>0</v>
      </c>
      <c r="DV50" s="13" t="n">
        <f aca="false">e_AportesPDF*(IF(120=p_ImplMeses+1,Base_PDF!$E$54,0)+IF(120=p_ImplMeses+13,Base_PDF!$E$55,0))</f>
        <v>0</v>
      </c>
      <c r="DW50" s="13" t="n">
        <f aca="false">e_AportesPDF*(IF(121=p_ImplMeses+1,Base_PDF!$E$54,0)+IF(121=p_ImplMeses+13,Base_PDF!$E$55,0))</f>
        <v>0</v>
      </c>
      <c r="DX50" s="13" t="n">
        <f aca="false">e_AportesPDF*(IF(122=p_ImplMeses+1,Base_PDF!$E$54,0)+IF(122=p_ImplMeses+13,Base_PDF!$E$55,0))</f>
        <v>0</v>
      </c>
      <c r="DY50" s="13" t="n">
        <f aca="false">e_AportesPDF*(IF(123=p_ImplMeses+1,Base_PDF!$E$54,0)+IF(123=p_ImplMeses+13,Base_PDF!$E$55,0))</f>
        <v>0</v>
      </c>
      <c r="DZ50" s="13" t="n">
        <f aca="false">e_AportesPDF*(IF(124=p_ImplMeses+1,Base_PDF!$E$54,0)+IF(124=p_ImplMeses+13,Base_PDF!$E$55,0))</f>
        <v>0</v>
      </c>
      <c r="EA50" s="13" t="n">
        <f aca="false">e_AportesPDF*(IF(125=p_ImplMeses+1,Base_PDF!$E$54,0)+IF(125=p_ImplMeses+13,Base_PDF!$E$55,0))</f>
        <v>0</v>
      </c>
      <c r="EB50" s="13" t="n">
        <f aca="false">e_AportesPDF*(IF(126=p_ImplMeses+1,Base_PDF!$E$54,0)+IF(126=p_ImplMeses+13,Base_PDF!$E$55,0))</f>
        <v>0</v>
      </c>
      <c r="EC50" s="13" t="n">
        <f aca="false">e_AportesPDF*(IF(127=p_ImplMeses+1,Base_PDF!$E$54,0)+IF(127=p_ImplMeses+13,Base_PDF!$E$55,0))</f>
        <v>0</v>
      </c>
      <c r="ED50" s="13" t="n">
        <f aca="false">e_AportesPDF*(IF(128=p_ImplMeses+1,Base_PDF!$E$54,0)+IF(128=p_ImplMeses+13,Base_PDF!$E$55,0))</f>
        <v>0</v>
      </c>
      <c r="EE50" s="13" t="n">
        <f aca="false">e_AportesPDF*(IF(129=p_ImplMeses+1,Base_PDF!$E$54,0)+IF(129=p_ImplMeses+13,Base_PDF!$E$55,0))</f>
        <v>0</v>
      </c>
      <c r="EF50" s="13" t="n">
        <f aca="false">e_AportesPDF*(IF(130=p_ImplMeses+1,Base_PDF!$E$54,0)+IF(130=p_ImplMeses+13,Base_PDF!$E$55,0))</f>
        <v>0</v>
      </c>
      <c r="EG50" s="13" t="n">
        <f aca="false">e_AportesPDF*(IF(131=p_ImplMeses+1,Base_PDF!$E$54,0)+IF(131=p_ImplMeses+13,Base_PDF!$E$55,0))</f>
        <v>0</v>
      </c>
      <c r="EH50" s="13" t="n">
        <f aca="false">e_AportesPDF*(IF(132=p_ImplMeses+1,Base_PDF!$E$54,0)+IF(132=p_ImplMeses+13,Base_PDF!$E$55,0))</f>
        <v>0</v>
      </c>
      <c r="EI50" s="13" t="n">
        <f aca="false">e_AportesPDF*(IF(133=p_ImplMeses+1,Base_PDF!$E$54,0)+IF(133=p_ImplMeses+13,Base_PDF!$E$55,0))</f>
        <v>0</v>
      </c>
      <c r="EJ50" s="13" t="n">
        <f aca="false">e_AportesPDF*(IF(134=p_ImplMeses+1,Base_PDF!$E$54,0)+IF(134=p_ImplMeses+13,Base_PDF!$E$55,0))</f>
        <v>0</v>
      </c>
      <c r="EK50" s="13" t="n">
        <f aca="false">e_AportesPDF*(IF(135=p_ImplMeses+1,Base_PDF!$E$54,0)+IF(135=p_ImplMeses+13,Base_PDF!$E$55,0))</f>
        <v>0</v>
      </c>
      <c r="EL50" s="13" t="n">
        <f aca="false">e_AportesPDF*(IF(136=p_ImplMeses+1,Base_PDF!$E$54,0)+IF(136=p_ImplMeses+13,Base_PDF!$E$55,0))</f>
        <v>0</v>
      </c>
      <c r="EM50" s="13" t="n">
        <f aca="false">e_AportesPDF*(IF(137=p_ImplMeses+1,Base_PDF!$E$54,0)+IF(137=p_ImplMeses+13,Base_PDF!$E$55,0))</f>
        <v>0</v>
      </c>
      <c r="EN50" s="13" t="n">
        <f aca="false">e_AportesPDF*(IF(138=p_ImplMeses+1,Base_PDF!$E$54,0)+IF(138=p_ImplMeses+13,Base_PDF!$E$55,0))</f>
        <v>0</v>
      </c>
      <c r="EO50" s="13" t="n">
        <f aca="false">e_AportesPDF*(IF(139=p_ImplMeses+1,Base_PDF!$E$54,0)+IF(139=p_ImplMeses+13,Base_PDF!$E$55,0))</f>
        <v>0</v>
      </c>
      <c r="EP50" s="13" t="n">
        <f aca="false">e_AportesPDF*(IF(140=p_ImplMeses+1,Base_PDF!$E$54,0)+IF(140=p_ImplMeses+13,Base_PDF!$E$55,0))</f>
        <v>0</v>
      </c>
      <c r="EQ50" s="13" t="n">
        <f aca="false">e_AportesPDF*(IF(141=p_ImplMeses+1,Base_PDF!$E$54,0)+IF(141=p_ImplMeses+13,Base_PDF!$E$55,0))</f>
        <v>0</v>
      </c>
      <c r="ER50" s="13" t="n">
        <f aca="false">e_AportesPDF*(IF(142=p_ImplMeses+1,Base_PDF!$E$54,0)+IF(142=p_ImplMeses+13,Base_PDF!$E$55,0))</f>
        <v>0</v>
      </c>
      <c r="ES50" s="13" t="n">
        <f aca="false">e_AportesPDF*(IF(143=p_ImplMeses+1,Base_PDF!$E$54,0)+IF(143=p_ImplMeses+13,Base_PDF!$E$55,0))</f>
        <v>0</v>
      </c>
      <c r="ET50" s="13" t="n">
        <f aca="false">e_AportesPDF*(IF(144=p_ImplMeses+1,Base_PDF!$E$54,0)+IF(144=p_ImplMeses+13,Base_PDF!$E$55,0))</f>
        <v>0</v>
      </c>
      <c r="EU50" s="13" t="n">
        <f aca="false">e_AportesPDF*(IF(145=p_ImplMeses+1,Base_PDF!$E$54,0)+IF(145=p_ImplMeses+13,Base_PDF!$E$55,0))</f>
        <v>0</v>
      </c>
      <c r="EV50" s="13" t="n">
        <f aca="false">e_AportesPDF*(IF(146=p_ImplMeses+1,Base_PDF!$E$54,0)+IF(146=p_ImplMeses+13,Base_PDF!$E$55,0))</f>
        <v>0</v>
      </c>
      <c r="EW50" s="13" t="n">
        <f aca="false">e_AportesPDF*(IF(147=p_ImplMeses+1,Base_PDF!$E$54,0)+IF(147=p_ImplMeses+13,Base_PDF!$E$55,0))</f>
        <v>0</v>
      </c>
      <c r="EX50" s="13" t="n">
        <f aca="false">e_AportesPDF*(IF(148=p_ImplMeses+1,Base_PDF!$E$54,0)+IF(148=p_ImplMeses+13,Base_PDF!$E$55,0))</f>
        <v>0</v>
      </c>
      <c r="EY50" s="13" t="n">
        <f aca="false">e_AportesPDF*(IF(149=p_ImplMeses+1,Base_PDF!$E$54,0)+IF(149=p_ImplMeses+13,Base_PDF!$E$55,0))</f>
        <v>0</v>
      </c>
      <c r="EZ50" s="13" t="n">
        <f aca="false">e_AportesPDF*(IF(150=p_ImplMeses+1,Base_PDF!$E$54,0)+IF(150=p_ImplMeses+13,Base_PDF!$E$55,0))</f>
        <v>0</v>
      </c>
      <c r="FA50" s="13" t="n">
        <f aca="false">e_AportesPDF*(IF(151=p_ImplMeses+1,Base_PDF!$E$54,0)+IF(151=p_ImplMeses+13,Base_PDF!$E$55,0))</f>
        <v>0</v>
      </c>
      <c r="FB50" s="13" t="n">
        <f aca="false">e_AportesPDF*(IF(152=p_ImplMeses+1,Base_PDF!$E$54,0)+IF(152=p_ImplMeses+13,Base_PDF!$E$55,0))</f>
        <v>0</v>
      </c>
      <c r="FC50" s="13" t="n">
        <f aca="false">e_AportesPDF*(IF(153=p_ImplMeses+1,Base_PDF!$E$54,0)+IF(153=p_ImplMeses+13,Base_PDF!$E$55,0))</f>
        <v>0</v>
      </c>
      <c r="FD50" s="13" t="n">
        <f aca="false">e_AportesPDF*(IF(154=p_ImplMeses+1,Base_PDF!$E$54,0)+IF(154=p_ImplMeses+13,Base_PDF!$E$55,0))</f>
        <v>0</v>
      </c>
      <c r="FE50" s="13" t="n">
        <f aca="false">e_AportesPDF*(IF(155=p_ImplMeses+1,Base_PDF!$E$54,0)+IF(155=p_ImplMeses+13,Base_PDF!$E$55,0))</f>
        <v>0</v>
      </c>
      <c r="FF50" s="13" t="n">
        <f aca="false">e_AportesPDF*(IF(156=p_ImplMeses+1,Base_PDF!$E$54,0)+IF(156=p_ImplMeses+13,Base_PDF!$E$55,0))</f>
        <v>0</v>
      </c>
    </row>
    <row r="51" customFormat="false" ht="15" hidden="false" customHeight="false" outlineLevel="0" collapsed="false">
      <c r="A51" s="2" t="s">
        <v>1442</v>
      </c>
      <c r="B51" s="8" t="s">
        <v>1443</v>
      </c>
      <c r="C51" s="8" t="s">
        <v>255</v>
      </c>
      <c r="E51" s="65" t="n">
        <f aca="false">SUM($F51:$FF51)</f>
        <v>0</v>
      </c>
      <c r="F51" s="13" t="n">
        <f aca="false">SUMIF(p_ApMes,0,p_ApMonto)</f>
        <v>0</v>
      </c>
      <c r="G51" s="13" t="n">
        <f aca="false">SUMIF(p_ApMes,1,p_ApMonto)</f>
        <v>0</v>
      </c>
      <c r="H51" s="13" t="n">
        <f aca="false">SUMIF(p_ApMes,2,p_ApMonto)</f>
        <v>0</v>
      </c>
      <c r="I51" s="13" t="n">
        <f aca="false">SUMIF(p_ApMes,3,p_ApMonto)</f>
        <v>0</v>
      </c>
      <c r="J51" s="13" t="n">
        <f aca="false">SUMIF(p_ApMes,4,p_ApMonto)</f>
        <v>0</v>
      </c>
      <c r="K51" s="13" t="n">
        <f aca="false">SUMIF(p_ApMes,5,p_ApMonto)</f>
        <v>0</v>
      </c>
      <c r="L51" s="13" t="n">
        <f aca="false">SUMIF(p_ApMes,6,p_ApMonto)</f>
        <v>0</v>
      </c>
      <c r="M51" s="13" t="n">
        <f aca="false">SUMIF(p_ApMes,7,p_ApMonto)</f>
        <v>0</v>
      </c>
      <c r="N51" s="13" t="n">
        <f aca="false">SUMIF(p_ApMes,8,p_ApMonto)</f>
        <v>0</v>
      </c>
      <c r="O51" s="13" t="n">
        <f aca="false">SUMIF(p_ApMes,9,p_ApMonto)</f>
        <v>0</v>
      </c>
      <c r="P51" s="13" t="n">
        <f aca="false">SUMIF(p_ApMes,10,p_ApMonto)</f>
        <v>0</v>
      </c>
      <c r="Q51" s="13" t="n">
        <f aca="false">SUMIF(p_ApMes,11,p_ApMonto)</f>
        <v>0</v>
      </c>
      <c r="R51" s="13" t="n">
        <f aca="false">SUMIF(p_ApMes,12,p_ApMonto)</f>
        <v>0</v>
      </c>
      <c r="S51" s="13" t="n">
        <f aca="false">SUMIF(p_ApMes,13,p_ApMonto)</f>
        <v>0</v>
      </c>
      <c r="T51" s="13" t="n">
        <f aca="false">SUMIF(p_ApMes,14,p_ApMonto)</f>
        <v>0</v>
      </c>
      <c r="U51" s="13" t="n">
        <f aca="false">SUMIF(p_ApMes,15,p_ApMonto)</f>
        <v>0</v>
      </c>
      <c r="V51" s="13" t="n">
        <f aca="false">SUMIF(p_ApMes,16,p_ApMonto)</f>
        <v>0</v>
      </c>
      <c r="W51" s="13" t="n">
        <f aca="false">SUMIF(p_ApMes,17,p_ApMonto)</f>
        <v>0</v>
      </c>
      <c r="X51" s="13" t="n">
        <f aca="false">SUMIF(p_ApMes,18,p_ApMonto)</f>
        <v>0</v>
      </c>
      <c r="Y51" s="13" t="n">
        <f aca="false">SUMIF(p_ApMes,19,p_ApMonto)</f>
        <v>0</v>
      </c>
      <c r="Z51" s="13" t="n">
        <f aca="false">SUMIF(p_ApMes,20,p_ApMonto)</f>
        <v>0</v>
      </c>
      <c r="AA51" s="13" t="n">
        <f aca="false">SUMIF(p_ApMes,21,p_ApMonto)</f>
        <v>0</v>
      </c>
      <c r="AB51" s="13" t="n">
        <f aca="false">SUMIF(p_ApMes,22,p_ApMonto)</f>
        <v>0</v>
      </c>
      <c r="AC51" s="13" t="n">
        <f aca="false">SUMIF(p_ApMes,23,p_ApMonto)</f>
        <v>0</v>
      </c>
      <c r="AD51" s="13" t="n">
        <f aca="false">SUMIF(p_ApMes,24,p_ApMonto)</f>
        <v>0</v>
      </c>
      <c r="AE51" s="13" t="n">
        <f aca="false">SUMIF(p_ApMes,25,p_ApMonto)</f>
        <v>0</v>
      </c>
      <c r="AF51" s="13" t="n">
        <f aca="false">SUMIF(p_ApMes,26,p_ApMonto)</f>
        <v>0</v>
      </c>
      <c r="AG51" s="13" t="n">
        <f aca="false">SUMIF(p_ApMes,27,p_ApMonto)</f>
        <v>0</v>
      </c>
      <c r="AH51" s="13" t="n">
        <f aca="false">SUMIF(p_ApMes,28,p_ApMonto)</f>
        <v>0</v>
      </c>
      <c r="AI51" s="13" t="n">
        <f aca="false">SUMIF(p_ApMes,29,p_ApMonto)</f>
        <v>0</v>
      </c>
      <c r="AJ51" s="13" t="n">
        <f aca="false">SUMIF(p_ApMes,30,p_ApMonto)</f>
        <v>0</v>
      </c>
      <c r="AK51" s="13" t="n">
        <f aca="false">SUMIF(p_ApMes,31,p_ApMonto)</f>
        <v>0</v>
      </c>
      <c r="AL51" s="13" t="n">
        <f aca="false">SUMIF(p_ApMes,32,p_ApMonto)</f>
        <v>0</v>
      </c>
      <c r="AM51" s="13" t="n">
        <f aca="false">SUMIF(p_ApMes,33,p_ApMonto)</f>
        <v>0</v>
      </c>
      <c r="AN51" s="13" t="n">
        <f aca="false">SUMIF(p_ApMes,34,p_ApMonto)</f>
        <v>0</v>
      </c>
      <c r="AO51" s="13" t="n">
        <f aca="false">SUMIF(p_ApMes,35,p_ApMonto)</f>
        <v>0</v>
      </c>
      <c r="AP51" s="13" t="n">
        <f aca="false">SUMIF(p_ApMes,36,p_ApMonto)</f>
        <v>0</v>
      </c>
      <c r="AQ51" s="13" t="n">
        <f aca="false">SUMIF(p_ApMes,37,p_ApMonto)</f>
        <v>0</v>
      </c>
      <c r="AR51" s="13" t="n">
        <f aca="false">SUMIF(p_ApMes,38,p_ApMonto)</f>
        <v>0</v>
      </c>
      <c r="AS51" s="13" t="n">
        <f aca="false">SUMIF(p_ApMes,39,p_ApMonto)</f>
        <v>0</v>
      </c>
      <c r="AT51" s="13" t="n">
        <f aca="false">SUMIF(p_ApMes,40,p_ApMonto)</f>
        <v>0</v>
      </c>
      <c r="AU51" s="13" t="n">
        <f aca="false">SUMIF(p_ApMes,41,p_ApMonto)</f>
        <v>0</v>
      </c>
      <c r="AV51" s="13" t="n">
        <f aca="false">SUMIF(p_ApMes,42,p_ApMonto)</f>
        <v>0</v>
      </c>
      <c r="AW51" s="13" t="n">
        <f aca="false">SUMIF(p_ApMes,43,p_ApMonto)</f>
        <v>0</v>
      </c>
      <c r="AX51" s="13" t="n">
        <f aca="false">SUMIF(p_ApMes,44,p_ApMonto)</f>
        <v>0</v>
      </c>
      <c r="AY51" s="13" t="n">
        <f aca="false">SUMIF(p_ApMes,45,p_ApMonto)</f>
        <v>0</v>
      </c>
      <c r="AZ51" s="13" t="n">
        <f aca="false">SUMIF(p_ApMes,46,p_ApMonto)</f>
        <v>0</v>
      </c>
      <c r="BA51" s="13" t="n">
        <f aca="false">SUMIF(p_ApMes,47,p_ApMonto)</f>
        <v>0</v>
      </c>
      <c r="BB51" s="13" t="n">
        <f aca="false">SUMIF(p_ApMes,48,p_ApMonto)</f>
        <v>0</v>
      </c>
      <c r="BC51" s="13" t="n">
        <f aca="false">SUMIF(p_ApMes,49,p_ApMonto)</f>
        <v>0</v>
      </c>
      <c r="BD51" s="13" t="n">
        <f aca="false">SUMIF(p_ApMes,50,p_ApMonto)</f>
        <v>0</v>
      </c>
      <c r="BE51" s="13" t="n">
        <f aca="false">SUMIF(p_ApMes,51,p_ApMonto)</f>
        <v>0</v>
      </c>
      <c r="BF51" s="13" t="n">
        <f aca="false">SUMIF(p_ApMes,52,p_ApMonto)</f>
        <v>0</v>
      </c>
      <c r="BG51" s="13" t="n">
        <f aca="false">SUMIF(p_ApMes,53,p_ApMonto)</f>
        <v>0</v>
      </c>
      <c r="BH51" s="13" t="n">
        <f aca="false">SUMIF(p_ApMes,54,p_ApMonto)</f>
        <v>0</v>
      </c>
      <c r="BI51" s="13" t="n">
        <f aca="false">SUMIF(p_ApMes,55,p_ApMonto)</f>
        <v>0</v>
      </c>
      <c r="BJ51" s="13" t="n">
        <f aca="false">SUMIF(p_ApMes,56,p_ApMonto)</f>
        <v>0</v>
      </c>
      <c r="BK51" s="13" t="n">
        <f aca="false">SUMIF(p_ApMes,57,p_ApMonto)</f>
        <v>0</v>
      </c>
      <c r="BL51" s="13" t="n">
        <f aca="false">SUMIF(p_ApMes,58,p_ApMonto)</f>
        <v>0</v>
      </c>
      <c r="BM51" s="13" t="n">
        <f aca="false">SUMIF(p_ApMes,59,p_ApMonto)</f>
        <v>0</v>
      </c>
      <c r="BN51" s="13" t="n">
        <f aca="false">SUMIF(p_ApMes,60,p_ApMonto)</f>
        <v>0</v>
      </c>
      <c r="BO51" s="13" t="n">
        <f aca="false">SUMIF(p_ApMes,61,p_ApMonto)</f>
        <v>0</v>
      </c>
      <c r="BP51" s="13" t="n">
        <f aca="false">SUMIF(p_ApMes,62,p_ApMonto)</f>
        <v>0</v>
      </c>
      <c r="BQ51" s="13" t="n">
        <f aca="false">SUMIF(p_ApMes,63,p_ApMonto)</f>
        <v>0</v>
      </c>
      <c r="BR51" s="13" t="n">
        <f aca="false">SUMIF(p_ApMes,64,p_ApMonto)</f>
        <v>0</v>
      </c>
      <c r="BS51" s="13" t="n">
        <f aca="false">SUMIF(p_ApMes,65,p_ApMonto)</f>
        <v>0</v>
      </c>
      <c r="BT51" s="13" t="n">
        <f aca="false">SUMIF(p_ApMes,66,p_ApMonto)</f>
        <v>0</v>
      </c>
      <c r="BU51" s="13" t="n">
        <f aca="false">SUMIF(p_ApMes,67,p_ApMonto)</f>
        <v>0</v>
      </c>
      <c r="BV51" s="13" t="n">
        <f aca="false">SUMIF(p_ApMes,68,p_ApMonto)</f>
        <v>0</v>
      </c>
      <c r="BW51" s="13" t="n">
        <f aca="false">SUMIF(p_ApMes,69,p_ApMonto)</f>
        <v>0</v>
      </c>
      <c r="BX51" s="13" t="n">
        <f aca="false">SUMIF(p_ApMes,70,p_ApMonto)</f>
        <v>0</v>
      </c>
      <c r="BY51" s="13" t="n">
        <f aca="false">SUMIF(p_ApMes,71,p_ApMonto)</f>
        <v>0</v>
      </c>
      <c r="BZ51" s="13" t="n">
        <f aca="false">SUMIF(p_ApMes,72,p_ApMonto)</f>
        <v>0</v>
      </c>
      <c r="CA51" s="13" t="n">
        <f aca="false">SUMIF(p_ApMes,73,p_ApMonto)</f>
        <v>0</v>
      </c>
      <c r="CB51" s="13" t="n">
        <f aca="false">SUMIF(p_ApMes,74,p_ApMonto)</f>
        <v>0</v>
      </c>
      <c r="CC51" s="13" t="n">
        <f aca="false">SUMIF(p_ApMes,75,p_ApMonto)</f>
        <v>0</v>
      </c>
      <c r="CD51" s="13" t="n">
        <f aca="false">SUMIF(p_ApMes,76,p_ApMonto)</f>
        <v>0</v>
      </c>
      <c r="CE51" s="13" t="n">
        <f aca="false">SUMIF(p_ApMes,77,p_ApMonto)</f>
        <v>0</v>
      </c>
      <c r="CF51" s="13" t="n">
        <f aca="false">SUMIF(p_ApMes,78,p_ApMonto)</f>
        <v>0</v>
      </c>
      <c r="CG51" s="13" t="n">
        <f aca="false">SUMIF(p_ApMes,79,p_ApMonto)</f>
        <v>0</v>
      </c>
      <c r="CH51" s="13" t="n">
        <f aca="false">SUMIF(p_ApMes,80,p_ApMonto)</f>
        <v>0</v>
      </c>
      <c r="CI51" s="13" t="n">
        <f aca="false">SUMIF(p_ApMes,81,p_ApMonto)</f>
        <v>0</v>
      </c>
      <c r="CJ51" s="13" t="n">
        <f aca="false">SUMIF(p_ApMes,82,p_ApMonto)</f>
        <v>0</v>
      </c>
      <c r="CK51" s="13" t="n">
        <f aca="false">SUMIF(p_ApMes,83,p_ApMonto)</f>
        <v>0</v>
      </c>
      <c r="CL51" s="13" t="n">
        <f aca="false">SUMIF(p_ApMes,84,p_ApMonto)</f>
        <v>0</v>
      </c>
      <c r="CM51" s="13" t="n">
        <f aca="false">SUMIF(p_ApMes,85,p_ApMonto)</f>
        <v>0</v>
      </c>
      <c r="CN51" s="13" t="n">
        <f aca="false">SUMIF(p_ApMes,86,p_ApMonto)</f>
        <v>0</v>
      </c>
      <c r="CO51" s="13" t="n">
        <f aca="false">SUMIF(p_ApMes,87,p_ApMonto)</f>
        <v>0</v>
      </c>
      <c r="CP51" s="13" t="n">
        <f aca="false">SUMIF(p_ApMes,88,p_ApMonto)</f>
        <v>0</v>
      </c>
      <c r="CQ51" s="13" t="n">
        <f aca="false">SUMIF(p_ApMes,89,p_ApMonto)</f>
        <v>0</v>
      </c>
      <c r="CR51" s="13" t="n">
        <f aca="false">SUMIF(p_ApMes,90,p_ApMonto)</f>
        <v>0</v>
      </c>
      <c r="CS51" s="13" t="n">
        <f aca="false">SUMIF(p_ApMes,91,p_ApMonto)</f>
        <v>0</v>
      </c>
      <c r="CT51" s="13" t="n">
        <f aca="false">SUMIF(p_ApMes,92,p_ApMonto)</f>
        <v>0</v>
      </c>
      <c r="CU51" s="13" t="n">
        <f aca="false">SUMIF(p_ApMes,93,p_ApMonto)</f>
        <v>0</v>
      </c>
      <c r="CV51" s="13" t="n">
        <f aca="false">SUMIF(p_ApMes,94,p_ApMonto)</f>
        <v>0</v>
      </c>
      <c r="CW51" s="13" t="n">
        <f aca="false">SUMIF(p_ApMes,95,p_ApMonto)</f>
        <v>0</v>
      </c>
      <c r="CX51" s="13" t="n">
        <f aca="false">SUMIF(p_ApMes,96,p_ApMonto)</f>
        <v>0</v>
      </c>
      <c r="CY51" s="13" t="n">
        <f aca="false">SUMIF(p_ApMes,97,p_ApMonto)</f>
        <v>0</v>
      </c>
      <c r="CZ51" s="13" t="n">
        <f aca="false">SUMIF(p_ApMes,98,p_ApMonto)</f>
        <v>0</v>
      </c>
      <c r="DA51" s="13" t="n">
        <f aca="false">SUMIF(p_ApMes,99,p_ApMonto)</f>
        <v>0</v>
      </c>
      <c r="DB51" s="13" t="n">
        <f aca="false">SUMIF(p_ApMes,100,p_ApMonto)</f>
        <v>0</v>
      </c>
      <c r="DC51" s="13" t="n">
        <f aca="false">SUMIF(p_ApMes,101,p_ApMonto)</f>
        <v>0</v>
      </c>
      <c r="DD51" s="13" t="n">
        <f aca="false">SUMIF(p_ApMes,102,p_ApMonto)</f>
        <v>0</v>
      </c>
      <c r="DE51" s="13" t="n">
        <f aca="false">SUMIF(p_ApMes,103,p_ApMonto)</f>
        <v>0</v>
      </c>
      <c r="DF51" s="13" t="n">
        <f aca="false">SUMIF(p_ApMes,104,p_ApMonto)</f>
        <v>0</v>
      </c>
      <c r="DG51" s="13" t="n">
        <f aca="false">SUMIF(p_ApMes,105,p_ApMonto)</f>
        <v>0</v>
      </c>
      <c r="DH51" s="13" t="n">
        <f aca="false">SUMIF(p_ApMes,106,p_ApMonto)</f>
        <v>0</v>
      </c>
      <c r="DI51" s="13" t="n">
        <f aca="false">SUMIF(p_ApMes,107,p_ApMonto)</f>
        <v>0</v>
      </c>
      <c r="DJ51" s="13" t="n">
        <f aca="false">SUMIF(p_ApMes,108,p_ApMonto)</f>
        <v>0</v>
      </c>
      <c r="DK51" s="13" t="n">
        <f aca="false">SUMIF(p_ApMes,109,p_ApMonto)</f>
        <v>0</v>
      </c>
      <c r="DL51" s="13" t="n">
        <f aca="false">SUMIF(p_ApMes,110,p_ApMonto)</f>
        <v>0</v>
      </c>
      <c r="DM51" s="13" t="n">
        <f aca="false">SUMIF(p_ApMes,111,p_ApMonto)</f>
        <v>0</v>
      </c>
      <c r="DN51" s="13" t="n">
        <f aca="false">SUMIF(p_ApMes,112,p_ApMonto)</f>
        <v>0</v>
      </c>
      <c r="DO51" s="13" t="n">
        <f aca="false">SUMIF(p_ApMes,113,p_ApMonto)</f>
        <v>0</v>
      </c>
      <c r="DP51" s="13" t="n">
        <f aca="false">SUMIF(p_ApMes,114,p_ApMonto)</f>
        <v>0</v>
      </c>
      <c r="DQ51" s="13" t="n">
        <f aca="false">SUMIF(p_ApMes,115,p_ApMonto)</f>
        <v>0</v>
      </c>
      <c r="DR51" s="13" t="n">
        <f aca="false">SUMIF(p_ApMes,116,p_ApMonto)</f>
        <v>0</v>
      </c>
      <c r="DS51" s="13" t="n">
        <f aca="false">SUMIF(p_ApMes,117,p_ApMonto)</f>
        <v>0</v>
      </c>
      <c r="DT51" s="13" t="n">
        <f aca="false">SUMIF(p_ApMes,118,p_ApMonto)</f>
        <v>0</v>
      </c>
      <c r="DU51" s="13" t="n">
        <f aca="false">SUMIF(p_ApMes,119,p_ApMonto)</f>
        <v>0</v>
      </c>
      <c r="DV51" s="13" t="n">
        <f aca="false">SUMIF(p_ApMes,120,p_ApMonto)</f>
        <v>0</v>
      </c>
      <c r="DW51" s="13" t="n">
        <f aca="false">SUMIF(p_ApMes,121,p_ApMonto)</f>
        <v>0</v>
      </c>
      <c r="DX51" s="13" t="n">
        <f aca="false">SUMIF(p_ApMes,122,p_ApMonto)</f>
        <v>0</v>
      </c>
      <c r="DY51" s="13" t="n">
        <f aca="false">SUMIF(p_ApMes,123,p_ApMonto)</f>
        <v>0</v>
      </c>
      <c r="DZ51" s="13" t="n">
        <f aca="false">SUMIF(p_ApMes,124,p_ApMonto)</f>
        <v>0</v>
      </c>
      <c r="EA51" s="13" t="n">
        <f aca="false">SUMIF(p_ApMes,125,p_ApMonto)</f>
        <v>0</v>
      </c>
      <c r="EB51" s="13" t="n">
        <f aca="false">SUMIF(p_ApMes,126,p_ApMonto)</f>
        <v>0</v>
      </c>
      <c r="EC51" s="13" t="n">
        <f aca="false">SUMIF(p_ApMes,127,p_ApMonto)</f>
        <v>0</v>
      </c>
      <c r="ED51" s="13" t="n">
        <f aca="false">SUMIF(p_ApMes,128,p_ApMonto)</f>
        <v>0</v>
      </c>
      <c r="EE51" s="13" t="n">
        <f aca="false">SUMIF(p_ApMes,129,p_ApMonto)</f>
        <v>0</v>
      </c>
      <c r="EF51" s="13" t="n">
        <f aca="false">SUMIF(p_ApMes,130,p_ApMonto)</f>
        <v>0</v>
      </c>
      <c r="EG51" s="13" t="n">
        <f aca="false">SUMIF(p_ApMes,131,p_ApMonto)</f>
        <v>0</v>
      </c>
      <c r="EH51" s="13" t="n">
        <f aca="false">SUMIF(p_ApMes,132,p_ApMonto)</f>
        <v>0</v>
      </c>
      <c r="EI51" s="13" t="n">
        <f aca="false">SUMIF(p_ApMes,133,p_ApMonto)</f>
        <v>0</v>
      </c>
      <c r="EJ51" s="13" t="n">
        <f aca="false">SUMIF(p_ApMes,134,p_ApMonto)</f>
        <v>0</v>
      </c>
      <c r="EK51" s="13" t="n">
        <f aca="false">SUMIF(p_ApMes,135,p_ApMonto)</f>
        <v>0</v>
      </c>
      <c r="EL51" s="13" t="n">
        <f aca="false">SUMIF(p_ApMes,136,p_ApMonto)</f>
        <v>0</v>
      </c>
      <c r="EM51" s="13" t="n">
        <f aca="false">SUMIF(p_ApMes,137,p_ApMonto)</f>
        <v>0</v>
      </c>
      <c r="EN51" s="13" t="n">
        <f aca="false">SUMIF(p_ApMes,138,p_ApMonto)</f>
        <v>0</v>
      </c>
      <c r="EO51" s="13" t="n">
        <f aca="false">SUMIF(p_ApMes,139,p_ApMonto)</f>
        <v>0</v>
      </c>
      <c r="EP51" s="13" t="n">
        <f aca="false">SUMIF(p_ApMes,140,p_ApMonto)</f>
        <v>0</v>
      </c>
      <c r="EQ51" s="13" t="n">
        <f aca="false">SUMIF(p_ApMes,141,p_ApMonto)</f>
        <v>0</v>
      </c>
      <c r="ER51" s="13" t="n">
        <f aca="false">SUMIF(p_ApMes,142,p_ApMonto)</f>
        <v>0</v>
      </c>
      <c r="ES51" s="13" t="n">
        <f aca="false">SUMIF(p_ApMes,143,p_ApMonto)</f>
        <v>0</v>
      </c>
      <c r="ET51" s="13" t="n">
        <f aca="false">SUMIF(p_ApMes,144,p_ApMonto)</f>
        <v>0</v>
      </c>
      <c r="EU51" s="13" t="n">
        <f aca="false">SUMIF(p_ApMes,145,p_ApMonto)</f>
        <v>0</v>
      </c>
      <c r="EV51" s="13" t="n">
        <f aca="false">SUMIF(p_ApMes,146,p_ApMonto)</f>
        <v>0</v>
      </c>
      <c r="EW51" s="13" t="n">
        <f aca="false">SUMIF(p_ApMes,147,p_ApMonto)</f>
        <v>0</v>
      </c>
      <c r="EX51" s="13" t="n">
        <f aca="false">SUMIF(p_ApMes,148,p_ApMonto)</f>
        <v>0</v>
      </c>
      <c r="EY51" s="13" t="n">
        <f aca="false">SUMIF(p_ApMes,149,p_ApMonto)</f>
        <v>0</v>
      </c>
      <c r="EZ51" s="13" t="n">
        <f aca="false">SUMIF(p_ApMes,150,p_ApMonto)</f>
        <v>0</v>
      </c>
      <c r="FA51" s="13" t="n">
        <f aca="false">SUMIF(p_ApMes,151,p_ApMonto)</f>
        <v>0</v>
      </c>
      <c r="FB51" s="13" t="n">
        <f aca="false">SUMIF(p_ApMes,152,p_ApMonto)</f>
        <v>0</v>
      </c>
      <c r="FC51" s="13" t="n">
        <f aca="false">SUMIF(p_ApMes,153,p_ApMonto)</f>
        <v>0</v>
      </c>
      <c r="FD51" s="13" t="n">
        <f aca="false">SUMIF(p_ApMes,154,p_ApMonto)</f>
        <v>0</v>
      </c>
      <c r="FE51" s="13" t="n">
        <f aca="false">SUMIF(p_ApMes,155,p_ApMonto)</f>
        <v>0</v>
      </c>
      <c r="FF51" s="13" t="n">
        <f aca="false">SUMIF(p_ApMes,156,p_ApMonto)</f>
        <v>0</v>
      </c>
    </row>
    <row r="52" customFormat="false" ht="15" hidden="false" customHeight="false" outlineLevel="0" collapsed="false">
      <c r="A52" s="2" t="s">
        <v>1444</v>
      </c>
      <c r="B52" s="66" t="s">
        <v>1445</v>
      </c>
      <c r="C52" s="8" t="s">
        <v>255</v>
      </c>
      <c r="E52" s="67" t="n">
        <f aca="false">SUM($F52:$FF52)</f>
        <v>1139710</v>
      </c>
      <c r="F52" s="12" t="n">
        <f aca="false">IF(F$9=1,SUMIFS(dr_USD,dr_Mes,0,dr_Cod,"APORTE",dr_Est,"&lt;&gt;Excluido"),F$49+F$50+F$51)</f>
        <v>200000</v>
      </c>
      <c r="G52" s="12" t="n">
        <f aca="false">IF(G$9=1,SUMIFS(dr_USD,dr_Mes,1,dr_Cod,"APORTE",dr_Est,"&lt;&gt;Excluido"),G$49+G$50+G$51)</f>
        <v>567782</v>
      </c>
      <c r="H52" s="12" t="n">
        <f aca="false">IF(H$9=1,SUMIFS(dr_USD,dr_Mes,2,dr_Cod,"APORTE",dr_Est,"&lt;&gt;Excluido"),H$49+H$50+H$51)</f>
        <v>0</v>
      </c>
      <c r="I52" s="12" t="n">
        <f aca="false">IF(I$9=1,SUMIFS(dr_USD,dr_Mes,3,dr_Cod,"APORTE",dr_Est,"&lt;&gt;Excluido"),I$49+I$50+I$51)</f>
        <v>0</v>
      </c>
      <c r="J52" s="12" t="n">
        <f aca="false">IF(J$9=1,SUMIFS(dr_USD,dr_Mes,4,dr_Cod,"APORTE",dr_Est,"&lt;&gt;Excluido"),J$49+J$50+J$51)</f>
        <v>0</v>
      </c>
      <c r="K52" s="12" t="n">
        <f aca="false">IF(K$9=1,SUMIFS(dr_USD,dr_Mes,5,dr_Cod,"APORTE",dr_Est,"&lt;&gt;Excluido"),K$49+K$50+K$51)</f>
        <v>0</v>
      </c>
      <c r="L52" s="12" t="n">
        <f aca="false">IF(L$9=1,SUMIFS(dr_USD,dr_Mes,6,dr_Cod,"APORTE",dr_Est,"&lt;&gt;Excluido"),L$49+L$50+L$51)</f>
        <v>0</v>
      </c>
      <c r="M52" s="12" t="n">
        <f aca="false">IF(M$9=1,SUMIFS(dr_USD,dr_Mes,7,dr_Cod,"APORTE",dr_Est,"&lt;&gt;Excluido"),M$49+M$50+M$51)</f>
        <v>0</v>
      </c>
      <c r="N52" s="12" t="n">
        <f aca="false">IF(N$9=1,SUMIFS(dr_USD,dr_Mes,8,dr_Cod,"APORTE",dr_Est,"&lt;&gt;Excluido"),N$49+N$50+N$51)</f>
        <v>0</v>
      </c>
      <c r="O52" s="12" t="n">
        <f aca="false">IF(O$9=1,SUMIFS(dr_USD,dr_Mes,9,dr_Cod,"APORTE",dr_Est,"&lt;&gt;Excluido"),O$49+O$50+O$51)</f>
        <v>0</v>
      </c>
      <c r="P52" s="12" t="n">
        <f aca="false">IF(P$9=1,SUMIFS(dr_USD,dr_Mes,10,dr_Cod,"APORTE",dr_Est,"&lt;&gt;Excluido"),P$49+P$50+P$51)</f>
        <v>0</v>
      </c>
      <c r="Q52" s="12" t="n">
        <f aca="false">IF(Q$9=1,SUMIFS(dr_USD,dr_Mes,11,dr_Cod,"APORTE",dr_Est,"&lt;&gt;Excluido"),Q$49+Q$50+Q$51)</f>
        <v>0</v>
      </c>
      <c r="R52" s="12" t="n">
        <f aca="false">IF(R$9=1,SUMIFS(dr_USD,dr_Mes,12,dr_Cod,"APORTE",dr_Est,"&lt;&gt;Excluido"),R$49+R$50+R$51)</f>
        <v>0</v>
      </c>
      <c r="S52" s="12" t="n">
        <f aca="false">IF(S$9=1,SUMIFS(dr_USD,dr_Mes,13,dr_Cod,"APORTE",dr_Est,"&lt;&gt;Excluido"),S$49+S$50+S$51)</f>
        <v>371928</v>
      </c>
      <c r="T52" s="12" t="n">
        <f aca="false">IF(T$9=1,SUMIFS(dr_USD,dr_Mes,14,dr_Cod,"APORTE",dr_Est,"&lt;&gt;Excluido"),T$49+T$50+T$51)</f>
        <v>0</v>
      </c>
      <c r="U52" s="12" t="n">
        <f aca="false">IF(U$9=1,SUMIFS(dr_USD,dr_Mes,15,dr_Cod,"APORTE",dr_Est,"&lt;&gt;Excluido"),U$49+U$50+U$51)</f>
        <v>0</v>
      </c>
      <c r="V52" s="12" t="n">
        <f aca="false">IF(V$9=1,SUMIFS(dr_USD,dr_Mes,16,dr_Cod,"APORTE",dr_Est,"&lt;&gt;Excluido"),V$49+V$50+V$51)</f>
        <v>0</v>
      </c>
      <c r="W52" s="12" t="n">
        <f aca="false">IF(W$9=1,SUMIFS(dr_USD,dr_Mes,17,dr_Cod,"APORTE",dr_Est,"&lt;&gt;Excluido"),W$49+W$50+W$51)</f>
        <v>0</v>
      </c>
      <c r="X52" s="12" t="n">
        <f aca="false">IF(X$9=1,SUMIFS(dr_USD,dr_Mes,18,dr_Cod,"APORTE",dr_Est,"&lt;&gt;Excluido"),X$49+X$50+X$51)</f>
        <v>0</v>
      </c>
      <c r="Y52" s="12" t="n">
        <f aca="false">IF(Y$9=1,SUMIFS(dr_USD,dr_Mes,19,dr_Cod,"APORTE",dr_Est,"&lt;&gt;Excluido"),Y$49+Y$50+Y$51)</f>
        <v>0</v>
      </c>
      <c r="Z52" s="12" t="n">
        <f aca="false">IF(Z$9=1,SUMIFS(dr_USD,dr_Mes,20,dr_Cod,"APORTE",dr_Est,"&lt;&gt;Excluido"),Z$49+Z$50+Z$51)</f>
        <v>0</v>
      </c>
      <c r="AA52" s="12" t="n">
        <f aca="false">IF(AA$9=1,SUMIFS(dr_USD,dr_Mes,21,dr_Cod,"APORTE",dr_Est,"&lt;&gt;Excluido"),AA$49+AA$50+AA$51)</f>
        <v>0</v>
      </c>
      <c r="AB52" s="12" t="n">
        <f aca="false">IF(AB$9=1,SUMIFS(dr_USD,dr_Mes,22,dr_Cod,"APORTE",dr_Est,"&lt;&gt;Excluido"),AB$49+AB$50+AB$51)</f>
        <v>0</v>
      </c>
      <c r="AC52" s="12" t="n">
        <f aca="false">IF(AC$9=1,SUMIFS(dr_USD,dr_Mes,23,dr_Cod,"APORTE",dr_Est,"&lt;&gt;Excluido"),AC$49+AC$50+AC$51)</f>
        <v>0</v>
      </c>
      <c r="AD52" s="12" t="n">
        <f aca="false">IF(AD$9=1,SUMIFS(dr_USD,dr_Mes,24,dr_Cod,"APORTE",dr_Est,"&lt;&gt;Excluido"),AD$49+AD$50+AD$51)</f>
        <v>0</v>
      </c>
      <c r="AE52" s="12" t="n">
        <f aca="false">IF(AE$9=1,SUMIFS(dr_USD,dr_Mes,25,dr_Cod,"APORTE",dr_Est,"&lt;&gt;Excluido"),AE$49+AE$50+AE$51)</f>
        <v>0</v>
      </c>
      <c r="AF52" s="12" t="n">
        <f aca="false">IF(AF$9=1,SUMIFS(dr_USD,dr_Mes,26,dr_Cod,"APORTE",dr_Est,"&lt;&gt;Excluido"),AF$49+AF$50+AF$51)</f>
        <v>0</v>
      </c>
      <c r="AG52" s="12" t="n">
        <f aca="false">IF(AG$9=1,SUMIFS(dr_USD,dr_Mes,27,dr_Cod,"APORTE",dr_Est,"&lt;&gt;Excluido"),AG$49+AG$50+AG$51)</f>
        <v>0</v>
      </c>
      <c r="AH52" s="12" t="n">
        <f aca="false">IF(AH$9=1,SUMIFS(dr_USD,dr_Mes,28,dr_Cod,"APORTE",dr_Est,"&lt;&gt;Excluido"),AH$49+AH$50+AH$51)</f>
        <v>0</v>
      </c>
      <c r="AI52" s="12" t="n">
        <f aca="false">IF(AI$9=1,SUMIFS(dr_USD,dr_Mes,29,dr_Cod,"APORTE",dr_Est,"&lt;&gt;Excluido"),AI$49+AI$50+AI$51)</f>
        <v>0</v>
      </c>
      <c r="AJ52" s="12" t="n">
        <f aca="false">IF(AJ$9=1,SUMIFS(dr_USD,dr_Mes,30,dr_Cod,"APORTE",dr_Est,"&lt;&gt;Excluido"),AJ$49+AJ$50+AJ$51)</f>
        <v>0</v>
      </c>
      <c r="AK52" s="12" t="n">
        <f aca="false">IF(AK$9=1,SUMIFS(dr_USD,dr_Mes,31,dr_Cod,"APORTE",dr_Est,"&lt;&gt;Excluido"),AK$49+AK$50+AK$51)</f>
        <v>0</v>
      </c>
      <c r="AL52" s="12" t="n">
        <f aca="false">IF(AL$9=1,SUMIFS(dr_USD,dr_Mes,32,dr_Cod,"APORTE",dr_Est,"&lt;&gt;Excluido"),AL$49+AL$50+AL$51)</f>
        <v>0</v>
      </c>
      <c r="AM52" s="12" t="n">
        <f aca="false">IF(AM$9=1,SUMIFS(dr_USD,dr_Mes,33,dr_Cod,"APORTE",dr_Est,"&lt;&gt;Excluido"),AM$49+AM$50+AM$51)</f>
        <v>0</v>
      </c>
      <c r="AN52" s="12" t="n">
        <f aca="false">IF(AN$9=1,SUMIFS(dr_USD,dr_Mes,34,dr_Cod,"APORTE",dr_Est,"&lt;&gt;Excluido"),AN$49+AN$50+AN$51)</f>
        <v>0</v>
      </c>
      <c r="AO52" s="12" t="n">
        <f aca="false">IF(AO$9=1,SUMIFS(dr_USD,dr_Mes,35,dr_Cod,"APORTE",dr_Est,"&lt;&gt;Excluido"),AO$49+AO$50+AO$51)</f>
        <v>0</v>
      </c>
      <c r="AP52" s="12" t="n">
        <f aca="false">IF(AP$9=1,SUMIFS(dr_USD,dr_Mes,36,dr_Cod,"APORTE",dr_Est,"&lt;&gt;Excluido"),AP$49+AP$50+AP$51)</f>
        <v>0</v>
      </c>
      <c r="AQ52" s="12" t="n">
        <f aca="false">IF(AQ$9=1,SUMIFS(dr_USD,dr_Mes,37,dr_Cod,"APORTE",dr_Est,"&lt;&gt;Excluido"),AQ$49+AQ$50+AQ$51)</f>
        <v>0</v>
      </c>
      <c r="AR52" s="12" t="n">
        <f aca="false">IF(AR$9=1,SUMIFS(dr_USD,dr_Mes,38,dr_Cod,"APORTE",dr_Est,"&lt;&gt;Excluido"),AR$49+AR$50+AR$51)</f>
        <v>0</v>
      </c>
      <c r="AS52" s="12" t="n">
        <f aca="false">IF(AS$9=1,SUMIFS(dr_USD,dr_Mes,39,dr_Cod,"APORTE",dr_Est,"&lt;&gt;Excluido"),AS$49+AS$50+AS$51)</f>
        <v>0</v>
      </c>
      <c r="AT52" s="12" t="n">
        <f aca="false">IF(AT$9=1,SUMIFS(dr_USD,dr_Mes,40,dr_Cod,"APORTE",dr_Est,"&lt;&gt;Excluido"),AT$49+AT$50+AT$51)</f>
        <v>0</v>
      </c>
      <c r="AU52" s="12" t="n">
        <f aca="false">IF(AU$9=1,SUMIFS(dr_USD,dr_Mes,41,dr_Cod,"APORTE",dr_Est,"&lt;&gt;Excluido"),AU$49+AU$50+AU$51)</f>
        <v>0</v>
      </c>
      <c r="AV52" s="12" t="n">
        <f aca="false">IF(AV$9=1,SUMIFS(dr_USD,dr_Mes,42,dr_Cod,"APORTE",dr_Est,"&lt;&gt;Excluido"),AV$49+AV$50+AV$51)</f>
        <v>0</v>
      </c>
      <c r="AW52" s="12" t="n">
        <f aca="false">IF(AW$9=1,SUMIFS(dr_USD,dr_Mes,43,dr_Cod,"APORTE",dr_Est,"&lt;&gt;Excluido"),AW$49+AW$50+AW$51)</f>
        <v>0</v>
      </c>
      <c r="AX52" s="12" t="n">
        <f aca="false">IF(AX$9=1,SUMIFS(dr_USD,dr_Mes,44,dr_Cod,"APORTE",dr_Est,"&lt;&gt;Excluido"),AX$49+AX$50+AX$51)</f>
        <v>0</v>
      </c>
      <c r="AY52" s="12" t="n">
        <f aca="false">IF(AY$9=1,SUMIFS(dr_USD,dr_Mes,45,dr_Cod,"APORTE",dr_Est,"&lt;&gt;Excluido"),AY$49+AY$50+AY$51)</f>
        <v>0</v>
      </c>
      <c r="AZ52" s="12" t="n">
        <f aca="false">IF(AZ$9=1,SUMIFS(dr_USD,dr_Mes,46,dr_Cod,"APORTE",dr_Est,"&lt;&gt;Excluido"),AZ$49+AZ$50+AZ$51)</f>
        <v>0</v>
      </c>
      <c r="BA52" s="12" t="n">
        <f aca="false">IF(BA$9=1,SUMIFS(dr_USD,dr_Mes,47,dr_Cod,"APORTE",dr_Est,"&lt;&gt;Excluido"),BA$49+BA$50+BA$51)</f>
        <v>0</v>
      </c>
      <c r="BB52" s="12" t="n">
        <f aca="false">IF(BB$9=1,SUMIFS(dr_USD,dr_Mes,48,dr_Cod,"APORTE",dr_Est,"&lt;&gt;Excluido"),BB$49+BB$50+BB$51)</f>
        <v>0</v>
      </c>
      <c r="BC52" s="12" t="n">
        <f aca="false">IF(BC$9=1,SUMIFS(dr_USD,dr_Mes,49,dr_Cod,"APORTE",dr_Est,"&lt;&gt;Excluido"),BC$49+BC$50+BC$51)</f>
        <v>0</v>
      </c>
      <c r="BD52" s="12" t="n">
        <f aca="false">IF(BD$9=1,SUMIFS(dr_USD,dr_Mes,50,dr_Cod,"APORTE",dr_Est,"&lt;&gt;Excluido"),BD$49+BD$50+BD$51)</f>
        <v>0</v>
      </c>
      <c r="BE52" s="12" t="n">
        <f aca="false">IF(BE$9=1,SUMIFS(dr_USD,dr_Mes,51,dr_Cod,"APORTE",dr_Est,"&lt;&gt;Excluido"),BE$49+BE$50+BE$51)</f>
        <v>0</v>
      </c>
      <c r="BF52" s="12" t="n">
        <f aca="false">IF(BF$9=1,SUMIFS(dr_USD,dr_Mes,52,dr_Cod,"APORTE",dr_Est,"&lt;&gt;Excluido"),BF$49+BF$50+BF$51)</f>
        <v>0</v>
      </c>
      <c r="BG52" s="12" t="n">
        <f aca="false">IF(BG$9=1,SUMIFS(dr_USD,dr_Mes,53,dr_Cod,"APORTE",dr_Est,"&lt;&gt;Excluido"),BG$49+BG$50+BG$51)</f>
        <v>0</v>
      </c>
      <c r="BH52" s="12" t="n">
        <f aca="false">IF(BH$9=1,SUMIFS(dr_USD,dr_Mes,54,dr_Cod,"APORTE",dr_Est,"&lt;&gt;Excluido"),BH$49+BH$50+BH$51)</f>
        <v>0</v>
      </c>
      <c r="BI52" s="12" t="n">
        <f aca="false">IF(BI$9=1,SUMIFS(dr_USD,dr_Mes,55,dr_Cod,"APORTE",dr_Est,"&lt;&gt;Excluido"),BI$49+BI$50+BI$51)</f>
        <v>0</v>
      </c>
      <c r="BJ52" s="12" t="n">
        <f aca="false">IF(BJ$9=1,SUMIFS(dr_USD,dr_Mes,56,dr_Cod,"APORTE",dr_Est,"&lt;&gt;Excluido"),BJ$49+BJ$50+BJ$51)</f>
        <v>0</v>
      </c>
      <c r="BK52" s="12" t="n">
        <f aca="false">IF(BK$9=1,SUMIFS(dr_USD,dr_Mes,57,dr_Cod,"APORTE",dr_Est,"&lt;&gt;Excluido"),BK$49+BK$50+BK$51)</f>
        <v>0</v>
      </c>
      <c r="BL52" s="12" t="n">
        <f aca="false">IF(BL$9=1,SUMIFS(dr_USD,dr_Mes,58,dr_Cod,"APORTE",dr_Est,"&lt;&gt;Excluido"),BL$49+BL$50+BL$51)</f>
        <v>0</v>
      </c>
      <c r="BM52" s="12" t="n">
        <f aca="false">IF(BM$9=1,SUMIFS(dr_USD,dr_Mes,59,dr_Cod,"APORTE",dr_Est,"&lt;&gt;Excluido"),BM$49+BM$50+BM$51)</f>
        <v>0</v>
      </c>
      <c r="BN52" s="12" t="n">
        <f aca="false">IF(BN$9=1,SUMIFS(dr_USD,dr_Mes,60,dr_Cod,"APORTE",dr_Est,"&lt;&gt;Excluido"),BN$49+BN$50+BN$51)</f>
        <v>0</v>
      </c>
      <c r="BO52" s="12" t="n">
        <f aca="false">IF(BO$9=1,SUMIFS(dr_USD,dr_Mes,61,dr_Cod,"APORTE",dr_Est,"&lt;&gt;Excluido"),BO$49+BO$50+BO$51)</f>
        <v>0</v>
      </c>
      <c r="BP52" s="12" t="n">
        <f aca="false">IF(BP$9=1,SUMIFS(dr_USD,dr_Mes,62,dr_Cod,"APORTE",dr_Est,"&lt;&gt;Excluido"),BP$49+BP$50+BP$51)</f>
        <v>0</v>
      </c>
      <c r="BQ52" s="12" t="n">
        <f aca="false">IF(BQ$9=1,SUMIFS(dr_USD,dr_Mes,63,dr_Cod,"APORTE",dr_Est,"&lt;&gt;Excluido"),BQ$49+BQ$50+BQ$51)</f>
        <v>0</v>
      </c>
      <c r="BR52" s="12" t="n">
        <f aca="false">IF(BR$9=1,SUMIFS(dr_USD,dr_Mes,64,dr_Cod,"APORTE",dr_Est,"&lt;&gt;Excluido"),BR$49+BR$50+BR$51)</f>
        <v>0</v>
      </c>
      <c r="BS52" s="12" t="n">
        <f aca="false">IF(BS$9=1,SUMIFS(dr_USD,dr_Mes,65,dr_Cod,"APORTE",dr_Est,"&lt;&gt;Excluido"),BS$49+BS$50+BS$51)</f>
        <v>0</v>
      </c>
      <c r="BT52" s="12" t="n">
        <f aca="false">IF(BT$9=1,SUMIFS(dr_USD,dr_Mes,66,dr_Cod,"APORTE",dr_Est,"&lt;&gt;Excluido"),BT$49+BT$50+BT$51)</f>
        <v>0</v>
      </c>
      <c r="BU52" s="12" t="n">
        <f aca="false">IF(BU$9=1,SUMIFS(dr_USD,dr_Mes,67,dr_Cod,"APORTE",dr_Est,"&lt;&gt;Excluido"),BU$49+BU$50+BU$51)</f>
        <v>0</v>
      </c>
      <c r="BV52" s="12" t="n">
        <f aca="false">IF(BV$9=1,SUMIFS(dr_USD,dr_Mes,68,dr_Cod,"APORTE",dr_Est,"&lt;&gt;Excluido"),BV$49+BV$50+BV$51)</f>
        <v>0</v>
      </c>
      <c r="BW52" s="12" t="n">
        <f aca="false">IF(BW$9=1,SUMIFS(dr_USD,dr_Mes,69,dr_Cod,"APORTE",dr_Est,"&lt;&gt;Excluido"),BW$49+BW$50+BW$51)</f>
        <v>0</v>
      </c>
      <c r="BX52" s="12" t="n">
        <f aca="false">IF(BX$9=1,SUMIFS(dr_USD,dr_Mes,70,dr_Cod,"APORTE",dr_Est,"&lt;&gt;Excluido"),BX$49+BX$50+BX$51)</f>
        <v>0</v>
      </c>
      <c r="BY52" s="12" t="n">
        <f aca="false">IF(BY$9=1,SUMIFS(dr_USD,dr_Mes,71,dr_Cod,"APORTE",dr_Est,"&lt;&gt;Excluido"),BY$49+BY$50+BY$51)</f>
        <v>0</v>
      </c>
      <c r="BZ52" s="12" t="n">
        <f aca="false">IF(BZ$9=1,SUMIFS(dr_USD,dr_Mes,72,dr_Cod,"APORTE",dr_Est,"&lt;&gt;Excluido"),BZ$49+BZ$50+BZ$51)</f>
        <v>0</v>
      </c>
      <c r="CA52" s="12" t="n">
        <f aca="false">IF(CA$9=1,SUMIFS(dr_USD,dr_Mes,73,dr_Cod,"APORTE",dr_Est,"&lt;&gt;Excluido"),CA$49+CA$50+CA$51)</f>
        <v>0</v>
      </c>
      <c r="CB52" s="12" t="n">
        <f aca="false">IF(CB$9=1,SUMIFS(dr_USD,dr_Mes,74,dr_Cod,"APORTE",dr_Est,"&lt;&gt;Excluido"),CB$49+CB$50+CB$51)</f>
        <v>0</v>
      </c>
      <c r="CC52" s="12" t="n">
        <f aca="false">IF(CC$9=1,SUMIFS(dr_USD,dr_Mes,75,dr_Cod,"APORTE",dr_Est,"&lt;&gt;Excluido"),CC$49+CC$50+CC$51)</f>
        <v>0</v>
      </c>
      <c r="CD52" s="12" t="n">
        <f aca="false">IF(CD$9=1,SUMIFS(dr_USD,dr_Mes,76,dr_Cod,"APORTE",dr_Est,"&lt;&gt;Excluido"),CD$49+CD$50+CD$51)</f>
        <v>0</v>
      </c>
      <c r="CE52" s="12" t="n">
        <f aca="false">IF(CE$9=1,SUMIFS(dr_USD,dr_Mes,77,dr_Cod,"APORTE",dr_Est,"&lt;&gt;Excluido"),CE$49+CE$50+CE$51)</f>
        <v>0</v>
      </c>
      <c r="CF52" s="12" t="n">
        <f aca="false">IF(CF$9=1,SUMIFS(dr_USD,dr_Mes,78,dr_Cod,"APORTE",dr_Est,"&lt;&gt;Excluido"),CF$49+CF$50+CF$51)</f>
        <v>0</v>
      </c>
      <c r="CG52" s="12" t="n">
        <f aca="false">IF(CG$9=1,SUMIFS(dr_USD,dr_Mes,79,dr_Cod,"APORTE",dr_Est,"&lt;&gt;Excluido"),CG$49+CG$50+CG$51)</f>
        <v>0</v>
      </c>
      <c r="CH52" s="12" t="n">
        <f aca="false">IF(CH$9=1,SUMIFS(dr_USD,dr_Mes,80,dr_Cod,"APORTE",dr_Est,"&lt;&gt;Excluido"),CH$49+CH$50+CH$51)</f>
        <v>0</v>
      </c>
      <c r="CI52" s="12" t="n">
        <f aca="false">IF(CI$9=1,SUMIFS(dr_USD,dr_Mes,81,dr_Cod,"APORTE",dr_Est,"&lt;&gt;Excluido"),CI$49+CI$50+CI$51)</f>
        <v>0</v>
      </c>
      <c r="CJ52" s="12" t="n">
        <f aca="false">IF(CJ$9=1,SUMIFS(dr_USD,dr_Mes,82,dr_Cod,"APORTE",dr_Est,"&lt;&gt;Excluido"),CJ$49+CJ$50+CJ$51)</f>
        <v>0</v>
      </c>
      <c r="CK52" s="12" t="n">
        <f aca="false">IF(CK$9=1,SUMIFS(dr_USD,dr_Mes,83,dr_Cod,"APORTE",dr_Est,"&lt;&gt;Excluido"),CK$49+CK$50+CK$51)</f>
        <v>0</v>
      </c>
      <c r="CL52" s="12" t="n">
        <f aca="false">IF(CL$9=1,SUMIFS(dr_USD,dr_Mes,84,dr_Cod,"APORTE",dr_Est,"&lt;&gt;Excluido"),CL$49+CL$50+CL$51)</f>
        <v>0</v>
      </c>
      <c r="CM52" s="12" t="n">
        <f aca="false">IF(CM$9=1,SUMIFS(dr_USD,dr_Mes,85,dr_Cod,"APORTE",dr_Est,"&lt;&gt;Excluido"),CM$49+CM$50+CM$51)</f>
        <v>0</v>
      </c>
      <c r="CN52" s="12" t="n">
        <f aca="false">IF(CN$9=1,SUMIFS(dr_USD,dr_Mes,86,dr_Cod,"APORTE",dr_Est,"&lt;&gt;Excluido"),CN$49+CN$50+CN$51)</f>
        <v>0</v>
      </c>
      <c r="CO52" s="12" t="n">
        <f aca="false">IF(CO$9=1,SUMIFS(dr_USD,dr_Mes,87,dr_Cod,"APORTE",dr_Est,"&lt;&gt;Excluido"),CO$49+CO$50+CO$51)</f>
        <v>0</v>
      </c>
      <c r="CP52" s="12" t="n">
        <f aca="false">IF(CP$9=1,SUMIFS(dr_USD,dr_Mes,88,dr_Cod,"APORTE",dr_Est,"&lt;&gt;Excluido"),CP$49+CP$50+CP$51)</f>
        <v>0</v>
      </c>
      <c r="CQ52" s="12" t="n">
        <f aca="false">IF(CQ$9=1,SUMIFS(dr_USD,dr_Mes,89,dr_Cod,"APORTE",dr_Est,"&lt;&gt;Excluido"),CQ$49+CQ$50+CQ$51)</f>
        <v>0</v>
      </c>
      <c r="CR52" s="12" t="n">
        <f aca="false">IF(CR$9=1,SUMIFS(dr_USD,dr_Mes,90,dr_Cod,"APORTE",dr_Est,"&lt;&gt;Excluido"),CR$49+CR$50+CR$51)</f>
        <v>0</v>
      </c>
      <c r="CS52" s="12" t="n">
        <f aca="false">IF(CS$9=1,SUMIFS(dr_USD,dr_Mes,91,dr_Cod,"APORTE",dr_Est,"&lt;&gt;Excluido"),CS$49+CS$50+CS$51)</f>
        <v>0</v>
      </c>
      <c r="CT52" s="12" t="n">
        <f aca="false">IF(CT$9=1,SUMIFS(dr_USD,dr_Mes,92,dr_Cod,"APORTE",dr_Est,"&lt;&gt;Excluido"),CT$49+CT$50+CT$51)</f>
        <v>0</v>
      </c>
      <c r="CU52" s="12" t="n">
        <f aca="false">IF(CU$9=1,SUMIFS(dr_USD,dr_Mes,93,dr_Cod,"APORTE",dr_Est,"&lt;&gt;Excluido"),CU$49+CU$50+CU$51)</f>
        <v>0</v>
      </c>
      <c r="CV52" s="12" t="n">
        <f aca="false">IF(CV$9=1,SUMIFS(dr_USD,dr_Mes,94,dr_Cod,"APORTE",dr_Est,"&lt;&gt;Excluido"),CV$49+CV$50+CV$51)</f>
        <v>0</v>
      </c>
      <c r="CW52" s="12" t="n">
        <f aca="false">IF(CW$9=1,SUMIFS(dr_USD,dr_Mes,95,dr_Cod,"APORTE",dr_Est,"&lt;&gt;Excluido"),CW$49+CW$50+CW$51)</f>
        <v>0</v>
      </c>
      <c r="CX52" s="12" t="n">
        <f aca="false">IF(CX$9=1,SUMIFS(dr_USD,dr_Mes,96,dr_Cod,"APORTE",dr_Est,"&lt;&gt;Excluido"),CX$49+CX$50+CX$51)</f>
        <v>0</v>
      </c>
      <c r="CY52" s="12" t="n">
        <f aca="false">IF(CY$9=1,SUMIFS(dr_USD,dr_Mes,97,dr_Cod,"APORTE",dr_Est,"&lt;&gt;Excluido"),CY$49+CY$50+CY$51)</f>
        <v>0</v>
      </c>
      <c r="CZ52" s="12" t="n">
        <f aca="false">IF(CZ$9=1,SUMIFS(dr_USD,dr_Mes,98,dr_Cod,"APORTE",dr_Est,"&lt;&gt;Excluido"),CZ$49+CZ$50+CZ$51)</f>
        <v>0</v>
      </c>
      <c r="DA52" s="12" t="n">
        <f aca="false">IF(DA$9=1,SUMIFS(dr_USD,dr_Mes,99,dr_Cod,"APORTE",dr_Est,"&lt;&gt;Excluido"),DA$49+DA$50+DA$51)</f>
        <v>0</v>
      </c>
      <c r="DB52" s="12" t="n">
        <f aca="false">IF(DB$9=1,SUMIFS(dr_USD,dr_Mes,100,dr_Cod,"APORTE",dr_Est,"&lt;&gt;Excluido"),DB$49+DB$50+DB$51)</f>
        <v>0</v>
      </c>
      <c r="DC52" s="12" t="n">
        <f aca="false">IF(DC$9=1,SUMIFS(dr_USD,dr_Mes,101,dr_Cod,"APORTE",dr_Est,"&lt;&gt;Excluido"),DC$49+DC$50+DC$51)</f>
        <v>0</v>
      </c>
      <c r="DD52" s="12" t="n">
        <f aca="false">IF(DD$9=1,SUMIFS(dr_USD,dr_Mes,102,dr_Cod,"APORTE",dr_Est,"&lt;&gt;Excluido"),DD$49+DD$50+DD$51)</f>
        <v>0</v>
      </c>
      <c r="DE52" s="12" t="n">
        <f aca="false">IF(DE$9=1,SUMIFS(dr_USD,dr_Mes,103,dr_Cod,"APORTE",dr_Est,"&lt;&gt;Excluido"),DE$49+DE$50+DE$51)</f>
        <v>0</v>
      </c>
      <c r="DF52" s="12" t="n">
        <f aca="false">IF(DF$9=1,SUMIFS(dr_USD,dr_Mes,104,dr_Cod,"APORTE",dr_Est,"&lt;&gt;Excluido"),DF$49+DF$50+DF$51)</f>
        <v>0</v>
      </c>
      <c r="DG52" s="12" t="n">
        <f aca="false">IF(DG$9=1,SUMIFS(dr_USD,dr_Mes,105,dr_Cod,"APORTE",dr_Est,"&lt;&gt;Excluido"),DG$49+DG$50+DG$51)</f>
        <v>0</v>
      </c>
      <c r="DH52" s="12" t="n">
        <f aca="false">IF(DH$9=1,SUMIFS(dr_USD,dr_Mes,106,dr_Cod,"APORTE",dr_Est,"&lt;&gt;Excluido"),DH$49+DH$50+DH$51)</f>
        <v>0</v>
      </c>
      <c r="DI52" s="12" t="n">
        <f aca="false">IF(DI$9=1,SUMIFS(dr_USD,dr_Mes,107,dr_Cod,"APORTE",dr_Est,"&lt;&gt;Excluido"),DI$49+DI$50+DI$51)</f>
        <v>0</v>
      </c>
      <c r="DJ52" s="12" t="n">
        <f aca="false">IF(DJ$9=1,SUMIFS(dr_USD,dr_Mes,108,dr_Cod,"APORTE",dr_Est,"&lt;&gt;Excluido"),DJ$49+DJ$50+DJ$51)</f>
        <v>0</v>
      </c>
      <c r="DK52" s="12" t="n">
        <f aca="false">IF(DK$9=1,SUMIFS(dr_USD,dr_Mes,109,dr_Cod,"APORTE",dr_Est,"&lt;&gt;Excluido"),DK$49+DK$50+DK$51)</f>
        <v>0</v>
      </c>
      <c r="DL52" s="12" t="n">
        <f aca="false">IF(DL$9=1,SUMIFS(dr_USD,dr_Mes,110,dr_Cod,"APORTE",dr_Est,"&lt;&gt;Excluido"),DL$49+DL$50+DL$51)</f>
        <v>0</v>
      </c>
      <c r="DM52" s="12" t="n">
        <f aca="false">IF(DM$9=1,SUMIFS(dr_USD,dr_Mes,111,dr_Cod,"APORTE",dr_Est,"&lt;&gt;Excluido"),DM$49+DM$50+DM$51)</f>
        <v>0</v>
      </c>
      <c r="DN52" s="12" t="n">
        <f aca="false">IF(DN$9=1,SUMIFS(dr_USD,dr_Mes,112,dr_Cod,"APORTE",dr_Est,"&lt;&gt;Excluido"),DN$49+DN$50+DN$51)</f>
        <v>0</v>
      </c>
      <c r="DO52" s="12" t="n">
        <f aca="false">IF(DO$9=1,SUMIFS(dr_USD,dr_Mes,113,dr_Cod,"APORTE",dr_Est,"&lt;&gt;Excluido"),DO$49+DO$50+DO$51)</f>
        <v>0</v>
      </c>
      <c r="DP52" s="12" t="n">
        <f aca="false">IF(DP$9=1,SUMIFS(dr_USD,dr_Mes,114,dr_Cod,"APORTE",dr_Est,"&lt;&gt;Excluido"),DP$49+DP$50+DP$51)</f>
        <v>0</v>
      </c>
      <c r="DQ52" s="12" t="n">
        <f aca="false">IF(DQ$9=1,SUMIFS(dr_USD,dr_Mes,115,dr_Cod,"APORTE",dr_Est,"&lt;&gt;Excluido"),DQ$49+DQ$50+DQ$51)</f>
        <v>0</v>
      </c>
      <c r="DR52" s="12" t="n">
        <f aca="false">IF(DR$9=1,SUMIFS(dr_USD,dr_Mes,116,dr_Cod,"APORTE",dr_Est,"&lt;&gt;Excluido"),DR$49+DR$50+DR$51)</f>
        <v>0</v>
      </c>
      <c r="DS52" s="12" t="n">
        <f aca="false">IF(DS$9=1,SUMIFS(dr_USD,dr_Mes,117,dr_Cod,"APORTE",dr_Est,"&lt;&gt;Excluido"),DS$49+DS$50+DS$51)</f>
        <v>0</v>
      </c>
      <c r="DT52" s="12" t="n">
        <f aca="false">IF(DT$9=1,SUMIFS(dr_USD,dr_Mes,118,dr_Cod,"APORTE",dr_Est,"&lt;&gt;Excluido"),DT$49+DT$50+DT$51)</f>
        <v>0</v>
      </c>
      <c r="DU52" s="12" t="n">
        <f aca="false">IF(DU$9=1,SUMIFS(dr_USD,dr_Mes,119,dr_Cod,"APORTE",dr_Est,"&lt;&gt;Excluido"),DU$49+DU$50+DU$51)</f>
        <v>0</v>
      </c>
      <c r="DV52" s="12" t="n">
        <f aca="false">IF(DV$9=1,SUMIFS(dr_USD,dr_Mes,120,dr_Cod,"APORTE",dr_Est,"&lt;&gt;Excluido"),DV$49+DV$50+DV$51)</f>
        <v>0</v>
      </c>
      <c r="DW52" s="12" t="n">
        <f aca="false">IF(DW$9=1,SUMIFS(dr_USD,dr_Mes,121,dr_Cod,"APORTE",dr_Est,"&lt;&gt;Excluido"),DW$49+DW$50+DW$51)</f>
        <v>0</v>
      </c>
      <c r="DX52" s="12" t="n">
        <f aca="false">IF(DX$9=1,SUMIFS(dr_USD,dr_Mes,122,dr_Cod,"APORTE",dr_Est,"&lt;&gt;Excluido"),DX$49+DX$50+DX$51)</f>
        <v>0</v>
      </c>
      <c r="DY52" s="12" t="n">
        <f aca="false">IF(DY$9=1,SUMIFS(dr_USD,dr_Mes,123,dr_Cod,"APORTE",dr_Est,"&lt;&gt;Excluido"),DY$49+DY$50+DY$51)</f>
        <v>0</v>
      </c>
      <c r="DZ52" s="12" t="n">
        <f aca="false">IF(DZ$9=1,SUMIFS(dr_USD,dr_Mes,124,dr_Cod,"APORTE",dr_Est,"&lt;&gt;Excluido"),DZ$49+DZ$50+DZ$51)</f>
        <v>0</v>
      </c>
      <c r="EA52" s="12" t="n">
        <f aca="false">IF(EA$9=1,SUMIFS(dr_USD,dr_Mes,125,dr_Cod,"APORTE",dr_Est,"&lt;&gt;Excluido"),EA$49+EA$50+EA$51)</f>
        <v>0</v>
      </c>
      <c r="EB52" s="12" t="n">
        <f aca="false">IF(EB$9=1,SUMIFS(dr_USD,dr_Mes,126,dr_Cod,"APORTE",dr_Est,"&lt;&gt;Excluido"),EB$49+EB$50+EB$51)</f>
        <v>0</v>
      </c>
      <c r="EC52" s="12" t="n">
        <f aca="false">IF(EC$9=1,SUMIFS(dr_USD,dr_Mes,127,dr_Cod,"APORTE",dr_Est,"&lt;&gt;Excluido"),EC$49+EC$50+EC$51)</f>
        <v>0</v>
      </c>
      <c r="ED52" s="12" t="n">
        <f aca="false">IF(ED$9=1,SUMIFS(dr_USD,dr_Mes,128,dr_Cod,"APORTE",dr_Est,"&lt;&gt;Excluido"),ED$49+ED$50+ED$51)</f>
        <v>0</v>
      </c>
      <c r="EE52" s="12" t="n">
        <f aca="false">IF(EE$9=1,SUMIFS(dr_USD,dr_Mes,129,dr_Cod,"APORTE",dr_Est,"&lt;&gt;Excluido"),EE$49+EE$50+EE$51)</f>
        <v>0</v>
      </c>
      <c r="EF52" s="12" t="n">
        <f aca="false">IF(EF$9=1,SUMIFS(dr_USD,dr_Mes,130,dr_Cod,"APORTE",dr_Est,"&lt;&gt;Excluido"),EF$49+EF$50+EF$51)</f>
        <v>0</v>
      </c>
      <c r="EG52" s="12" t="n">
        <f aca="false">IF(EG$9=1,SUMIFS(dr_USD,dr_Mes,131,dr_Cod,"APORTE",dr_Est,"&lt;&gt;Excluido"),EG$49+EG$50+EG$51)</f>
        <v>0</v>
      </c>
      <c r="EH52" s="12" t="n">
        <f aca="false">IF(EH$9=1,SUMIFS(dr_USD,dr_Mes,132,dr_Cod,"APORTE",dr_Est,"&lt;&gt;Excluido"),EH$49+EH$50+EH$51)</f>
        <v>0</v>
      </c>
      <c r="EI52" s="12" t="n">
        <f aca="false">IF(EI$9=1,SUMIFS(dr_USD,dr_Mes,133,dr_Cod,"APORTE",dr_Est,"&lt;&gt;Excluido"),EI$49+EI$50+EI$51)</f>
        <v>0</v>
      </c>
      <c r="EJ52" s="12" t="n">
        <f aca="false">IF(EJ$9=1,SUMIFS(dr_USD,dr_Mes,134,dr_Cod,"APORTE",dr_Est,"&lt;&gt;Excluido"),EJ$49+EJ$50+EJ$51)</f>
        <v>0</v>
      </c>
      <c r="EK52" s="12" t="n">
        <f aca="false">IF(EK$9=1,SUMIFS(dr_USD,dr_Mes,135,dr_Cod,"APORTE",dr_Est,"&lt;&gt;Excluido"),EK$49+EK$50+EK$51)</f>
        <v>0</v>
      </c>
      <c r="EL52" s="12" t="n">
        <f aca="false">IF(EL$9=1,SUMIFS(dr_USD,dr_Mes,136,dr_Cod,"APORTE",dr_Est,"&lt;&gt;Excluido"),EL$49+EL$50+EL$51)</f>
        <v>0</v>
      </c>
      <c r="EM52" s="12" t="n">
        <f aca="false">IF(EM$9=1,SUMIFS(dr_USD,dr_Mes,137,dr_Cod,"APORTE",dr_Est,"&lt;&gt;Excluido"),EM$49+EM$50+EM$51)</f>
        <v>0</v>
      </c>
      <c r="EN52" s="12" t="n">
        <f aca="false">IF(EN$9=1,SUMIFS(dr_USD,dr_Mes,138,dr_Cod,"APORTE",dr_Est,"&lt;&gt;Excluido"),EN$49+EN$50+EN$51)</f>
        <v>0</v>
      </c>
      <c r="EO52" s="12" t="n">
        <f aca="false">IF(EO$9=1,SUMIFS(dr_USD,dr_Mes,139,dr_Cod,"APORTE",dr_Est,"&lt;&gt;Excluido"),EO$49+EO$50+EO$51)</f>
        <v>0</v>
      </c>
      <c r="EP52" s="12" t="n">
        <f aca="false">IF(EP$9=1,SUMIFS(dr_USD,dr_Mes,140,dr_Cod,"APORTE",dr_Est,"&lt;&gt;Excluido"),EP$49+EP$50+EP$51)</f>
        <v>0</v>
      </c>
      <c r="EQ52" s="12" t="n">
        <f aca="false">IF(EQ$9=1,SUMIFS(dr_USD,dr_Mes,141,dr_Cod,"APORTE",dr_Est,"&lt;&gt;Excluido"),EQ$49+EQ$50+EQ$51)</f>
        <v>0</v>
      </c>
      <c r="ER52" s="12" t="n">
        <f aca="false">IF(ER$9=1,SUMIFS(dr_USD,dr_Mes,142,dr_Cod,"APORTE",dr_Est,"&lt;&gt;Excluido"),ER$49+ER$50+ER$51)</f>
        <v>0</v>
      </c>
      <c r="ES52" s="12" t="n">
        <f aca="false">IF(ES$9=1,SUMIFS(dr_USD,dr_Mes,143,dr_Cod,"APORTE",dr_Est,"&lt;&gt;Excluido"),ES$49+ES$50+ES$51)</f>
        <v>0</v>
      </c>
      <c r="ET52" s="12" t="n">
        <f aca="false">IF(ET$9=1,SUMIFS(dr_USD,dr_Mes,144,dr_Cod,"APORTE",dr_Est,"&lt;&gt;Excluido"),ET$49+ET$50+ET$51)</f>
        <v>0</v>
      </c>
      <c r="EU52" s="12" t="n">
        <f aca="false">IF(EU$9=1,SUMIFS(dr_USD,dr_Mes,145,dr_Cod,"APORTE",dr_Est,"&lt;&gt;Excluido"),EU$49+EU$50+EU$51)</f>
        <v>0</v>
      </c>
      <c r="EV52" s="12" t="n">
        <f aca="false">IF(EV$9=1,SUMIFS(dr_USD,dr_Mes,146,dr_Cod,"APORTE",dr_Est,"&lt;&gt;Excluido"),EV$49+EV$50+EV$51)</f>
        <v>0</v>
      </c>
      <c r="EW52" s="12" t="n">
        <f aca="false">IF(EW$9=1,SUMIFS(dr_USD,dr_Mes,147,dr_Cod,"APORTE",dr_Est,"&lt;&gt;Excluido"),EW$49+EW$50+EW$51)</f>
        <v>0</v>
      </c>
      <c r="EX52" s="12" t="n">
        <f aca="false">IF(EX$9=1,SUMIFS(dr_USD,dr_Mes,148,dr_Cod,"APORTE",dr_Est,"&lt;&gt;Excluido"),EX$49+EX$50+EX$51)</f>
        <v>0</v>
      </c>
      <c r="EY52" s="12" t="n">
        <f aca="false">IF(EY$9=1,SUMIFS(dr_USD,dr_Mes,149,dr_Cod,"APORTE",dr_Est,"&lt;&gt;Excluido"),EY$49+EY$50+EY$51)</f>
        <v>0</v>
      </c>
      <c r="EZ52" s="12" t="n">
        <f aca="false">IF(EZ$9=1,SUMIFS(dr_USD,dr_Mes,150,dr_Cod,"APORTE",dr_Est,"&lt;&gt;Excluido"),EZ$49+EZ$50+EZ$51)</f>
        <v>0</v>
      </c>
      <c r="FA52" s="12" t="n">
        <f aca="false">IF(FA$9=1,SUMIFS(dr_USD,dr_Mes,151,dr_Cod,"APORTE",dr_Est,"&lt;&gt;Excluido"),FA$49+FA$50+FA$51)</f>
        <v>0</v>
      </c>
      <c r="FB52" s="12" t="n">
        <f aca="false">IF(FB$9=1,SUMIFS(dr_USD,dr_Mes,152,dr_Cod,"APORTE",dr_Est,"&lt;&gt;Excluido"),FB$49+FB$50+FB$51)</f>
        <v>0</v>
      </c>
      <c r="FC52" s="12" t="n">
        <f aca="false">IF(FC$9=1,SUMIFS(dr_USD,dr_Mes,153,dr_Cod,"APORTE",dr_Est,"&lt;&gt;Excluido"),FC$49+FC$50+FC$51)</f>
        <v>0</v>
      </c>
      <c r="FD52" s="12" t="n">
        <f aca="false">IF(FD$9=1,SUMIFS(dr_USD,dr_Mes,154,dr_Cod,"APORTE",dr_Est,"&lt;&gt;Excluido"),FD$49+FD$50+FD$51)</f>
        <v>0</v>
      </c>
      <c r="FE52" s="12" t="n">
        <f aca="false">IF(FE$9=1,SUMIFS(dr_USD,dr_Mes,155,dr_Cod,"APORTE",dr_Est,"&lt;&gt;Excluido"),FE$49+FE$50+FE$51)</f>
        <v>0</v>
      </c>
      <c r="FF52" s="12" t="n">
        <f aca="false">IF(FF$9=1,SUMIFS(dr_USD,dr_Mes,156,dr_Cod,"APORTE",dr_Est,"&lt;&gt;Excluido"),FF$49+FF$50+FF$51)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F1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9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162" min="6" style="0" width="11.5"/>
  </cols>
  <sheetData>
    <row r="1" customFormat="false" ht="16.15" hidden="false" customHeight="false" outlineLevel="0" collapsed="false">
      <c r="A1" s="1" t="s">
        <v>1446</v>
      </c>
    </row>
    <row r="2" customFormat="false" ht="15" hidden="false" customHeight="false" outlineLevel="0" collapsed="false">
      <c r="A2" s="2" t="s">
        <v>767</v>
      </c>
    </row>
    <row r="4" customFormat="false" ht="15" hidden="false" customHeight="false" outlineLevel="0" collapsed="false">
      <c r="A4" s="62" t="s">
        <v>807</v>
      </c>
      <c r="B4" s="58" t="s">
        <v>808</v>
      </c>
      <c r="C4" s="63"/>
      <c r="D4" s="63"/>
      <c r="E4" s="58" t="s">
        <v>809</v>
      </c>
      <c r="F4" s="59" t="n">
        <f aca="false">Calendario!F$5</f>
        <v>0</v>
      </c>
      <c r="G4" s="59" t="n">
        <f aca="false">Calendario!G$5</f>
        <v>1</v>
      </c>
      <c r="H4" s="59" t="n">
        <f aca="false">Calendario!H$5</f>
        <v>2</v>
      </c>
      <c r="I4" s="59" t="n">
        <f aca="false">Calendario!I$5</f>
        <v>3</v>
      </c>
      <c r="J4" s="59" t="n">
        <f aca="false">Calendario!J$5</f>
        <v>4</v>
      </c>
      <c r="K4" s="59" t="n">
        <f aca="false">Calendario!K$5</f>
        <v>5</v>
      </c>
      <c r="L4" s="59" t="n">
        <f aca="false">Calendario!L$5</f>
        <v>6</v>
      </c>
      <c r="M4" s="59" t="n">
        <f aca="false">Calendario!M$5</f>
        <v>7</v>
      </c>
      <c r="N4" s="59" t="n">
        <f aca="false">Calendario!N$5</f>
        <v>8</v>
      </c>
      <c r="O4" s="59" t="n">
        <f aca="false">Calendario!O$5</f>
        <v>9</v>
      </c>
      <c r="P4" s="59" t="n">
        <f aca="false">Calendario!P$5</f>
        <v>10</v>
      </c>
      <c r="Q4" s="59" t="n">
        <f aca="false">Calendario!Q$5</f>
        <v>11</v>
      </c>
      <c r="R4" s="59" t="n">
        <f aca="false">Calendario!R$5</f>
        <v>12</v>
      </c>
      <c r="S4" s="59" t="n">
        <f aca="false">Calendario!S$5</f>
        <v>13</v>
      </c>
      <c r="T4" s="59" t="n">
        <f aca="false">Calendario!T$5</f>
        <v>14</v>
      </c>
      <c r="U4" s="59" t="n">
        <f aca="false">Calendario!U$5</f>
        <v>15</v>
      </c>
      <c r="V4" s="59" t="n">
        <f aca="false">Calendario!V$5</f>
        <v>16</v>
      </c>
      <c r="W4" s="59" t="n">
        <f aca="false">Calendario!W$5</f>
        <v>17</v>
      </c>
      <c r="X4" s="59" t="n">
        <f aca="false">Calendario!X$5</f>
        <v>18</v>
      </c>
      <c r="Y4" s="59" t="n">
        <f aca="false">Calendario!Y$5</f>
        <v>19</v>
      </c>
      <c r="Z4" s="59" t="n">
        <f aca="false">Calendario!Z$5</f>
        <v>20</v>
      </c>
      <c r="AA4" s="59" t="n">
        <f aca="false">Calendario!AA$5</f>
        <v>21</v>
      </c>
      <c r="AB4" s="59" t="n">
        <f aca="false">Calendario!AB$5</f>
        <v>22</v>
      </c>
      <c r="AC4" s="59" t="n">
        <f aca="false">Calendario!AC$5</f>
        <v>23</v>
      </c>
      <c r="AD4" s="59" t="n">
        <f aca="false">Calendario!AD$5</f>
        <v>24</v>
      </c>
      <c r="AE4" s="59" t="n">
        <f aca="false">Calendario!AE$5</f>
        <v>25</v>
      </c>
      <c r="AF4" s="59" t="n">
        <f aca="false">Calendario!AF$5</f>
        <v>26</v>
      </c>
      <c r="AG4" s="59" t="n">
        <f aca="false">Calendario!AG$5</f>
        <v>27</v>
      </c>
      <c r="AH4" s="59" t="n">
        <f aca="false">Calendario!AH$5</f>
        <v>28</v>
      </c>
      <c r="AI4" s="59" t="n">
        <f aca="false">Calendario!AI$5</f>
        <v>29</v>
      </c>
      <c r="AJ4" s="59" t="n">
        <f aca="false">Calendario!AJ$5</f>
        <v>30</v>
      </c>
      <c r="AK4" s="59" t="n">
        <f aca="false">Calendario!AK$5</f>
        <v>31</v>
      </c>
      <c r="AL4" s="59" t="n">
        <f aca="false">Calendario!AL$5</f>
        <v>32</v>
      </c>
      <c r="AM4" s="59" t="n">
        <f aca="false">Calendario!AM$5</f>
        <v>33</v>
      </c>
      <c r="AN4" s="59" t="n">
        <f aca="false">Calendario!AN$5</f>
        <v>34</v>
      </c>
      <c r="AO4" s="59" t="n">
        <f aca="false">Calendario!AO$5</f>
        <v>35</v>
      </c>
      <c r="AP4" s="59" t="n">
        <f aca="false">Calendario!AP$5</f>
        <v>36</v>
      </c>
      <c r="AQ4" s="59" t="n">
        <f aca="false">Calendario!AQ$5</f>
        <v>37</v>
      </c>
      <c r="AR4" s="59" t="n">
        <f aca="false">Calendario!AR$5</f>
        <v>38</v>
      </c>
      <c r="AS4" s="59" t="n">
        <f aca="false">Calendario!AS$5</f>
        <v>39</v>
      </c>
      <c r="AT4" s="59" t="n">
        <f aca="false">Calendario!AT$5</f>
        <v>40</v>
      </c>
      <c r="AU4" s="59" t="n">
        <f aca="false">Calendario!AU$5</f>
        <v>41</v>
      </c>
      <c r="AV4" s="59" t="n">
        <f aca="false">Calendario!AV$5</f>
        <v>42</v>
      </c>
      <c r="AW4" s="59" t="n">
        <f aca="false">Calendario!AW$5</f>
        <v>43</v>
      </c>
      <c r="AX4" s="59" t="n">
        <f aca="false">Calendario!AX$5</f>
        <v>44</v>
      </c>
      <c r="AY4" s="59" t="n">
        <f aca="false">Calendario!AY$5</f>
        <v>45</v>
      </c>
      <c r="AZ4" s="59" t="n">
        <f aca="false">Calendario!AZ$5</f>
        <v>46</v>
      </c>
      <c r="BA4" s="59" t="n">
        <f aca="false">Calendario!BA$5</f>
        <v>47</v>
      </c>
      <c r="BB4" s="59" t="n">
        <f aca="false">Calendario!BB$5</f>
        <v>48</v>
      </c>
      <c r="BC4" s="59" t="n">
        <f aca="false">Calendario!BC$5</f>
        <v>49</v>
      </c>
      <c r="BD4" s="59" t="n">
        <f aca="false">Calendario!BD$5</f>
        <v>50</v>
      </c>
      <c r="BE4" s="59" t="n">
        <f aca="false">Calendario!BE$5</f>
        <v>51</v>
      </c>
      <c r="BF4" s="59" t="n">
        <f aca="false">Calendario!BF$5</f>
        <v>52</v>
      </c>
      <c r="BG4" s="59" t="n">
        <f aca="false">Calendario!BG$5</f>
        <v>53</v>
      </c>
      <c r="BH4" s="59" t="n">
        <f aca="false">Calendario!BH$5</f>
        <v>54</v>
      </c>
      <c r="BI4" s="59" t="n">
        <f aca="false">Calendario!BI$5</f>
        <v>55</v>
      </c>
      <c r="BJ4" s="59" t="n">
        <f aca="false">Calendario!BJ$5</f>
        <v>56</v>
      </c>
      <c r="BK4" s="59" t="n">
        <f aca="false">Calendario!BK$5</f>
        <v>57</v>
      </c>
      <c r="BL4" s="59" t="n">
        <f aca="false">Calendario!BL$5</f>
        <v>58</v>
      </c>
      <c r="BM4" s="59" t="n">
        <f aca="false">Calendario!BM$5</f>
        <v>59</v>
      </c>
      <c r="BN4" s="59" t="n">
        <f aca="false">Calendario!BN$5</f>
        <v>60</v>
      </c>
      <c r="BO4" s="59" t="n">
        <f aca="false">Calendario!BO$5</f>
        <v>61</v>
      </c>
      <c r="BP4" s="59" t="n">
        <f aca="false">Calendario!BP$5</f>
        <v>62</v>
      </c>
      <c r="BQ4" s="59" t="n">
        <f aca="false">Calendario!BQ$5</f>
        <v>63</v>
      </c>
      <c r="BR4" s="59" t="n">
        <f aca="false">Calendario!BR$5</f>
        <v>64</v>
      </c>
      <c r="BS4" s="59" t="n">
        <f aca="false">Calendario!BS$5</f>
        <v>65</v>
      </c>
      <c r="BT4" s="59" t="n">
        <f aca="false">Calendario!BT$5</f>
        <v>66</v>
      </c>
      <c r="BU4" s="59" t="n">
        <f aca="false">Calendario!BU$5</f>
        <v>67</v>
      </c>
      <c r="BV4" s="59" t="n">
        <f aca="false">Calendario!BV$5</f>
        <v>68</v>
      </c>
      <c r="BW4" s="59" t="n">
        <f aca="false">Calendario!BW$5</f>
        <v>69</v>
      </c>
      <c r="BX4" s="59" t="n">
        <f aca="false">Calendario!BX$5</f>
        <v>70</v>
      </c>
      <c r="BY4" s="59" t="n">
        <f aca="false">Calendario!BY$5</f>
        <v>71</v>
      </c>
      <c r="BZ4" s="59" t="n">
        <f aca="false">Calendario!BZ$5</f>
        <v>72</v>
      </c>
      <c r="CA4" s="59" t="n">
        <f aca="false">Calendario!CA$5</f>
        <v>73</v>
      </c>
      <c r="CB4" s="59" t="n">
        <f aca="false">Calendario!CB$5</f>
        <v>74</v>
      </c>
      <c r="CC4" s="59" t="n">
        <f aca="false">Calendario!CC$5</f>
        <v>75</v>
      </c>
      <c r="CD4" s="59" t="n">
        <f aca="false">Calendario!CD$5</f>
        <v>76</v>
      </c>
      <c r="CE4" s="59" t="n">
        <f aca="false">Calendario!CE$5</f>
        <v>77</v>
      </c>
      <c r="CF4" s="59" t="n">
        <f aca="false">Calendario!CF$5</f>
        <v>78</v>
      </c>
      <c r="CG4" s="59" t="n">
        <f aca="false">Calendario!CG$5</f>
        <v>79</v>
      </c>
      <c r="CH4" s="59" t="n">
        <f aca="false">Calendario!CH$5</f>
        <v>80</v>
      </c>
      <c r="CI4" s="59" t="n">
        <f aca="false">Calendario!CI$5</f>
        <v>81</v>
      </c>
      <c r="CJ4" s="59" t="n">
        <f aca="false">Calendario!CJ$5</f>
        <v>82</v>
      </c>
      <c r="CK4" s="59" t="n">
        <f aca="false">Calendario!CK$5</f>
        <v>83</v>
      </c>
      <c r="CL4" s="59" t="n">
        <f aca="false">Calendario!CL$5</f>
        <v>84</v>
      </c>
      <c r="CM4" s="59" t="n">
        <f aca="false">Calendario!CM$5</f>
        <v>85</v>
      </c>
      <c r="CN4" s="59" t="n">
        <f aca="false">Calendario!CN$5</f>
        <v>86</v>
      </c>
      <c r="CO4" s="59" t="n">
        <f aca="false">Calendario!CO$5</f>
        <v>87</v>
      </c>
      <c r="CP4" s="59" t="n">
        <f aca="false">Calendario!CP$5</f>
        <v>88</v>
      </c>
      <c r="CQ4" s="59" t="n">
        <f aca="false">Calendario!CQ$5</f>
        <v>89</v>
      </c>
      <c r="CR4" s="59" t="n">
        <f aca="false">Calendario!CR$5</f>
        <v>90</v>
      </c>
      <c r="CS4" s="59" t="n">
        <f aca="false">Calendario!CS$5</f>
        <v>91</v>
      </c>
      <c r="CT4" s="59" t="n">
        <f aca="false">Calendario!CT$5</f>
        <v>92</v>
      </c>
      <c r="CU4" s="59" t="n">
        <f aca="false">Calendario!CU$5</f>
        <v>93</v>
      </c>
      <c r="CV4" s="59" t="n">
        <f aca="false">Calendario!CV$5</f>
        <v>94</v>
      </c>
      <c r="CW4" s="59" t="n">
        <f aca="false">Calendario!CW$5</f>
        <v>95</v>
      </c>
      <c r="CX4" s="59" t="n">
        <f aca="false">Calendario!CX$5</f>
        <v>96</v>
      </c>
      <c r="CY4" s="59" t="n">
        <f aca="false">Calendario!CY$5</f>
        <v>97</v>
      </c>
      <c r="CZ4" s="59" t="n">
        <f aca="false">Calendario!CZ$5</f>
        <v>98</v>
      </c>
      <c r="DA4" s="59" t="n">
        <f aca="false">Calendario!DA$5</f>
        <v>99</v>
      </c>
      <c r="DB4" s="59" t="n">
        <f aca="false">Calendario!DB$5</f>
        <v>100</v>
      </c>
      <c r="DC4" s="59" t="n">
        <f aca="false">Calendario!DC$5</f>
        <v>101</v>
      </c>
      <c r="DD4" s="59" t="n">
        <f aca="false">Calendario!DD$5</f>
        <v>102</v>
      </c>
      <c r="DE4" s="59" t="n">
        <f aca="false">Calendario!DE$5</f>
        <v>103</v>
      </c>
      <c r="DF4" s="59" t="n">
        <f aca="false">Calendario!DF$5</f>
        <v>104</v>
      </c>
      <c r="DG4" s="59" t="n">
        <f aca="false">Calendario!DG$5</f>
        <v>105</v>
      </c>
      <c r="DH4" s="59" t="n">
        <f aca="false">Calendario!DH$5</f>
        <v>106</v>
      </c>
      <c r="DI4" s="59" t="n">
        <f aca="false">Calendario!DI$5</f>
        <v>107</v>
      </c>
      <c r="DJ4" s="59" t="n">
        <f aca="false">Calendario!DJ$5</f>
        <v>108</v>
      </c>
      <c r="DK4" s="59" t="n">
        <f aca="false">Calendario!DK$5</f>
        <v>109</v>
      </c>
      <c r="DL4" s="59" t="n">
        <f aca="false">Calendario!DL$5</f>
        <v>110</v>
      </c>
      <c r="DM4" s="59" t="n">
        <f aca="false">Calendario!DM$5</f>
        <v>111</v>
      </c>
      <c r="DN4" s="59" t="n">
        <f aca="false">Calendario!DN$5</f>
        <v>112</v>
      </c>
      <c r="DO4" s="59" t="n">
        <f aca="false">Calendario!DO$5</f>
        <v>113</v>
      </c>
      <c r="DP4" s="59" t="n">
        <f aca="false">Calendario!DP$5</f>
        <v>114</v>
      </c>
      <c r="DQ4" s="59" t="n">
        <f aca="false">Calendario!DQ$5</f>
        <v>115</v>
      </c>
      <c r="DR4" s="59" t="n">
        <f aca="false">Calendario!DR$5</f>
        <v>116</v>
      </c>
      <c r="DS4" s="59" t="n">
        <f aca="false">Calendario!DS$5</f>
        <v>117</v>
      </c>
      <c r="DT4" s="59" t="n">
        <f aca="false">Calendario!DT$5</f>
        <v>118</v>
      </c>
      <c r="DU4" s="59" t="n">
        <f aca="false">Calendario!DU$5</f>
        <v>119</v>
      </c>
      <c r="DV4" s="59" t="n">
        <f aca="false">Calendario!DV$5</f>
        <v>120</v>
      </c>
      <c r="DW4" s="59" t="n">
        <f aca="false">Calendario!DW$5</f>
        <v>121</v>
      </c>
      <c r="DX4" s="59" t="n">
        <f aca="false">Calendario!DX$5</f>
        <v>122</v>
      </c>
      <c r="DY4" s="59" t="n">
        <f aca="false">Calendario!DY$5</f>
        <v>123</v>
      </c>
      <c r="DZ4" s="59" t="n">
        <f aca="false">Calendario!DZ$5</f>
        <v>124</v>
      </c>
      <c r="EA4" s="59" t="n">
        <f aca="false">Calendario!EA$5</f>
        <v>125</v>
      </c>
      <c r="EB4" s="59" t="n">
        <f aca="false">Calendario!EB$5</f>
        <v>126</v>
      </c>
      <c r="EC4" s="59" t="n">
        <f aca="false">Calendario!EC$5</f>
        <v>127</v>
      </c>
      <c r="ED4" s="59" t="n">
        <f aca="false">Calendario!ED$5</f>
        <v>128</v>
      </c>
      <c r="EE4" s="59" t="n">
        <f aca="false">Calendario!EE$5</f>
        <v>129</v>
      </c>
      <c r="EF4" s="59" t="n">
        <f aca="false">Calendario!EF$5</f>
        <v>130</v>
      </c>
      <c r="EG4" s="59" t="n">
        <f aca="false">Calendario!EG$5</f>
        <v>131</v>
      </c>
      <c r="EH4" s="59" t="n">
        <f aca="false">Calendario!EH$5</f>
        <v>132</v>
      </c>
      <c r="EI4" s="59" t="n">
        <f aca="false">Calendario!EI$5</f>
        <v>133</v>
      </c>
      <c r="EJ4" s="59" t="n">
        <f aca="false">Calendario!EJ$5</f>
        <v>134</v>
      </c>
      <c r="EK4" s="59" t="n">
        <f aca="false">Calendario!EK$5</f>
        <v>135</v>
      </c>
      <c r="EL4" s="59" t="n">
        <f aca="false">Calendario!EL$5</f>
        <v>136</v>
      </c>
      <c r="EM4" s="59" t="n">
        <f aca="false">Calendario!EM$5</f>
        <v>137</v>
      </c>
      <c r="EN4" s="59" t="n">
        <f aca="false">Calendario!EN$5</f>
        <v>138</v>
      </c>
      <c r="EO4" s="59" t="n">
        <f aca="false">Calendario!EO$5</f>
        <v>139</v>
      </c>
      <c r="EP4" s="59" t="n">
        <f aca="false">Calendario!EP$5</f>
        <v>140</v>
      </c>
      <c r="EQ4" s="59" t="n">
        <f aca="false">Calendario!EQ$5</f>
        <v>141</v>
      </c>
      <c r="ER4" s="59" t="n">
        <f aca="false">Calendario!ER$5</f>
        <v>142</v>
      </c>
      <c r="ES4" s="59" t="n">
        <f aca="false">Calendario!ES$5</f>
        <v>143</v>
      </c>
      <c r="ET4" s="59" t="n">
        <f aca="false">Calendario!ET$5</f>
        <v>144</v>
      </c>
      <c r="EU4" s="59" t="n">
        <f aca="false">Calendario!EU$5</f>
        <v>145</v>
      </c>
      <c r="EV4" s="59" t="n">
        <f aca="false">Calendario!EV$5</f>
        <v>146</v>
      </c>
      <c r="EW4" s="59" t="n">
        <f aca="false">Calendario!EW$5</f>
        <v>147</v>
      </c>
      <c r="EX4" s="59" t="n">
        <f aca="false">Calendario!EX$5</f>
        <v>148</v>
      </c>
      <c r="EY4" s="59" t="n">
        <f aca="false">Calendario!EY$5</f>
        <v>149</v>
      </c>
      <c r="EZ4" s="59" t="n">
        <f aca="false">Calendario!EZ$5</f>
        <v>150</v>
      </c>
      <c r="FA4" s="59" t="n">
        <f aca="false">Calendario!FA$5</f>
        <v>151</v>
      </c>
      <c r="FB4" s="59" t="n">
        <f aca="false">Calendario!FB$5</f>
        <v>152</v>
      </c>
      <c r="FC4" s="59" t="n">
        <f aca="false">Calendario!FC$5</f>
        <v>153</v>
      </c>
      <c r="FD4" s="59" t="n">
        <f aca="false">Calendario!FD$5</f>
        <v>154</v>
      </c>
      <c r="FE4" s="59" t="n">
        <f aca="false">Calendario!FE$5</f>
        <v>155</v>
      </c>
      <c r="FF4" s="59" t="n">
        <f aca="false">Calendario!FF$5</f>
        <v>156</v>
      </c>
    </row>
    <row r="5" customFormat="false" ht="15" hidden="false" customHeight="false" outlineLevel="0" collapsed="false">
      <c r="A5" s="8" t="s">
        <v>810</v>
      </c>
      <c r="B5" s="5" t="s">
        <v>811</v>
      </c>
      <c r="F5" s="64" t="str">
        <f aca="false">Calendario!F$6</f>
        <v>s/f</v>
      </c>
      <c r="G5" s="64" t="str">
        <f aca="false">Calendario!G$6</f>
        <v>s/f</v>
      </c>
      <c r="H5" s="64" t="str">
        <f aca="false">Calendario!H$6</f>
        <v>s/f</v>
      </c>
      <c r="I5" s="64" t="str">
        <f aca="false">Calendario!I$6</f>
        <v>s/f</v>
      </c>
      <c r="J5" s="64" t="str">
        <f aca="false">Calendario!J$6</f>
        <v>s/f</v>
      </c>
      <c r="K5" s="64" t="str">
        <f aca="false">Calendario!K$6</f>
        <v>s/f</v>
      </c>
      <c r="L5" s="64" t="str">
        <f aca="false">Calendario!L$6</f>
        <v>s/f</v>
      </c>
      <c r="M5" s="64" t="str">
        <f aca="false">Calendario!M$6</f>
        <v>s/f</v>
      </c>
      <c r="N5" s="64" t="str">
        <f aca="false">Calendario!N$6</f>
        <v>s/f</v>
      </c>
      <c r="O5" s="64" t="str">
        <f aca="false">Calendario!O$6</f>
        <v>s/f</v>
      </c>
      <c r="P5" s="64" t="str">
        <f aca="false">Calendario!P$6</f>
        <v>s/f</v>
      </c>
      <c r="Q5" s="64" t="str">
        <f aca="false">Calendario!Q$6</f>
        <v>s/f</v>
      </c>
      <c r="R5" s="64" t="str">
        <f aca="false">Calendario!R$6</f>
        <v>s/f</v>
      </c>
      <c r="S5" s="64" t="str">
        <f aca="false">Calendario!S$6</f>
        <v>s/f</v>
      </c>
      <c r="T5" s="64" t="str">
        <f aca="false">Calendario!T$6</f>
        <v>s/f</v>
      </c>
      <c r="U5" s="64" t="str">
        <f aca="false">Calendario!U$6</f>
        <v>s/f</v>
      </c>
      <c r="V5" s="64" t="str">
        <f aca="false">Calendario!V$6</f>
        <v>s/f</v>
      </c>
      <c r="W5" s="64" t="str">
        <f aca="false">Calendario!W$6</f>
        <v>s/f</v>
      </c>
      <c r="X5" s="64" t="str">
        <f aca="false">Calendario!X$6</f>
        <v>s/f</v>
      </c>
      <c r="Y5" s="64" t="str">
        <f aca="false">Calendario!Y$6</f>
        <v>s/f</v>
      </c>
      <c r="Z5" s="64" t="str">
        <f aca="false">Calendario!Z$6</f>
        <v>s/f</v>
      </c>
      <c r="AA5" s="64" t="str">
        <f aca="false">Calendario!AA$6</f>
        <v>s/f</v>
      </c>
      <c r="AB5" s="64" t="str">
        <f aca="false">Calendario!AB$6</f>
        <v>s/f</v>
      </c>
      <c r="AC5" s="64" t="str">
        <f aca="false">Calendario!AC$6</f>
        <v>s/f</v>
      </c>
      <c r="AD5" s="64" t="str">
        <f aca="false">Calendario!AD$6</f>
        <v>s/f</v>
      </c>
      <c r="AE5" s="64" t="str">
        <f aca="false">Calendario!AE$6</f>
        <v>s/f</v>
      </c>
      <c r="AF5" s="64" t="str">
        <f aca="false">Calendario!AF$6</f>
        <v>s/f</v>
      </c>
      <c r="AG5" s="64" t="str">
        <f aca="false">Calendario!AG$6</f>
        <v>s/f</v>
      </c>
      <c r="AH5" s="64" t="str">
        <f aca="false">Calendario!AH$6</f>
        <v>s/f</v>
      </c>
      <c r="AI5" s="64" t="str">
        <f aca="false">Calendario!AI$6</f>
        <v>s/f</v>
      </c>
      <c r="AJ5" s="64" t="str">
        <f aca="false">Calendario!AJ$6</f>
        <v>s/f</v>
      </c>
      <c r="AK5" s="64" t="str">
        <f aca="false">Calendario!AK$6</f>
        <v>s/f</v>
      </c>
      <c r="AL5" s="64" t="str">
        <f aca="false">Calendario!AL$6</f>
        <v>s/f</v>
      </c>
      <c r="AM5" s="64" t="str">
        <f aca="false">Calendario!AM$6</f>
        <v>s/f</v>
      </c>
      <c r="AN5" s="64" t="str">
        <f aca="false">Calendario!AN$6</f>
        <v>s/f</v>
      </c>
      <c r="AO5" s="64" t="str">
        <f aca="false">Calendario!AO$6</f>
        <v>s/f</v>
      </c>
      <c r="AP5" s="64" t="str">
        <f aca="false">Calendario!AP$6</f>
        <v>s/f</v>
      </c>
      <c r="AQ5" s="64" t="str">
        <f aca="false">Calendario!AQ$6</f>
        <v>s/f</v>
      </c>
      <c r="AR5" s="64" t="str">
        <f aca="false">Calendario!AR$6</f>
        <v>s/f</v>
      </c>
      <c r="AS5" s="64" t="str">
        <f aca="false">Calendario!AS$6</f>
        <v>s/f</v>
      </c>
      <c r="AT5" s="64" t="str">
        <f aca="false">Calendario!AT$6</f>
        <v>s/f</v>
      </c>
      <c r="AU5" s="64" t="str">
        <f aca="false">Calendario!AU$6</f>
        <v>s/f</v>
      </c>
      <c r="AV5" s="64" t="str">
        <f aca="false">Calendario!AV$6</f>
        <v>s/f</v>
      </c>
      <c r="AW5" s="64" t="str">
        <f aca="false">Calendario!AW$6</f>
        <v>s/f</v>
      </c>
      <c r="AX5" s="64" t="str">
        <f aca="false">Calendario!AX$6</f>
        <v>s/f</v>
      </c>
      <c r="AY5" s="64" t="str">
        <f aca="false">Calendario!AY$6</f>
        <v>s/f</v>
      </c>
      <c r="AZ5" s="64" t="str">
        <f aca="false">Calendario!AZ$6</f>
        <v>s/f</v>
      </c>
      <c r="BA5" s="64" t="str">
        <f aca="false">Calendario!BA$6</f>
        <v>s/f</v>
      </c>
      <c r="BB5" s="64" t="str">
        <f aca="false">Calendario!BB$6</f>
        <v>s/f</v>
      </c>
      <c r="BC5" s="64" t="str">
        <f aca="false">Calendario!BC$6</f>
        <v>s/f</v>
      </c>
      <c r="BD5" s="64" t="str">
        <f aca="false">Calendario!BD$6</f>
        <v>s/f</v>
      </c>
      <c r="BE5" s="64" t="str">
        <f aca="false">Calendario!BE$6</f>
        <v>s/f</v>
      </c>
      <c r="BF5" s="64" t="str">
        <f aca="false">Calendario!BF$6</f>
        <v>s/f</v>
      </c>
      <c r="BG5" s="64" t="str">
        <f aca="false">Calendario!BG$6</f>
        <v>s/f</v>
      </c>
      <c r="BH5" s="64" t="str">
        <f aca="false">Calendario!BH$6</f>
        <v>s/f</v>
      </c>
      <c r="BI5" s="64" t="str">
        <f aca="false">Calendario!BI$6</f>
        <v>s/f</v>
      </c>
      <c r="BJ5" s="64" t="str">
        <f aca="false">Calendario!BJ$6</f>
        <v>s/f</v>
      </c>
      <c r="BK5" s="64" t="str">
        <f aca="false">Calendario!BK$6</f>
        <v>s/f</v>
      </c>
      <c r="BL5" s="64" t="str">
        <f aca="false">Calendario!BL$6</f>
        <v>s/f</v>
      </c>
      <c r="BM5" s="64" t="str">
        <f aca="false">Calendario!BM$6</f>
        <v>s/f</v>
      </c>
      <c r="BN5" s="64" t="str">
        <f aca="false">Calendario!BN$6</f>
        <v>s/f</v>
      </c>
      <c r="BO5" s="64" t="str">
        <f aca="false">Calendario!BO$6</f>
        <v>s/f</v>
      </c>
      <c r="BP5" s="64" t="str">
        <f aca="false">Calendario!BP$6</f>
        <v>s/f</v>
      </c>
      <c r="BQ5" s="64" t="str">
        <f aca="false">Calendario!BQ$6</f>
        <v>s/f</v>
      </c>
      <c r="BR5" s="64" t="str">
        <f aca="false">Calendario!BR$6</f>
        <v>s/f</v>
      </c>
      <c r="BS5" s="64" t="str">
        <f aca="false">Calendario!BS$6</f>
        <v>s/f</v>
      </c>
      <c r="BT5" s="64" t="str">
        <f aca="false">Calendario!BT$6</f>
        <v>s/f</v>
      </c>
      <c r="BU5" s="64" t="str">
        <f aca="false">Calendario!BU$6</f>
        <v>s/f</v>
      </c>
      <c r="BV5" s="64" t="str">
        <f aca="false">Calendario!BV$6</f>
        <v>s/f</v>
      </c>
      <c r="BW5" s="64" t="str">
        <f aca="false">Calendario!BW$6</f>
        <v>s/f</v>
      </c>
      <c r="BX5" s="64" t="str">
        <f aca="false">Calendario!BX$6</f>
        <v>s/f</v>
      </c>
      <c r="BY5" s="64" t="str">
        <f aca="false">Calendario!BY$6</f>
        <v>s/f</v>
      </c>
      <c r="BZ5" s="64" t="str">
        <f aca="false">Calendario!BZ$6</f>
        <v>s/f</v>
      </c>
      <c r="CA5" s="64" t="str">
        <f aca="false">Calendario!CA$6</f>
        <v>s/f</v>
      </c>
      <c r="CB5" s="64" t="str">
        <f aca="false">Calendario!CB$6</f>
        <v>s/f</v>
      </c>
      <c r="CC5" s="64" t="str">
        <f aca="false">Calendario!CC$6</f>
        <v>s/f</v>
      </c>
      <c r="CD5" s="64" t="str">
        <f aca="false">Calendario!CD$6</f>
        <v>s/f</v>
      </c>
      <c r="CE5" s="64" t="str">
        <f aca="false">Calendario!CE$6</f>
        <v>s/f</v>
      </c>
      <c r="CF5" s="64" t="str">
        <f aca="false">Calendario!CF$6</f>
        <v>s/f</v>
      </c>
      <c r="CG5" s="64" t="str">
        <f aca="false">Calendario!CG$6</f>
        <v>s/f</v>
      </c>
      <c r="CH5" s="64" t="str">
        <f aca="false">Calendario!CH$6</f>
        <v>s/f</v>
      </c>
      <c r="CI5" s="64" t="str">
        <f aca="false">Calendario!CI$6</f>
        <v>s/f</v>
      </c>
      <c r="CJ5" s="64" t="str">
        <f aca="false">Calendario!CJ$6</f>
        <v>s/f</v>
      </c>
      <c r="CK5" s="64" t="str">
        <f aca="false">Calendario!CK$6</f>
        <v>s/f</v>
      </c>
      <c r="CL5" s="64" t="str">
        <f aca="false">Calendario!CL$6</f>
        <v>s/f</v>
      </c>
      <c r="CM5" s="64" t="str">
        <f aca="false">Calendario!CM$6</f>
        <v>s/f</v>
      </c>
      <c r="CN5" s="64" t="str">
        <f aca="false">Calendario!CN$6</f>
        <v>s/f</v>
      </c>
      <c r="CO5" s="64" t="str">
        <f aca="false">Calendario!CO$6</f>
        <v>s/f</v>
      </c>
      <c r="CP5" s="64" t="str">
        <f aca="false">Calendario!CP$6</f>
        <v>s/f</v>
      </c>
      <c r="CQ5" s="64" t="str">
        <f aca="false">Calendario!CQ$6</f>
        <v>s/f</v>
      </c>
      <c r="CR5" s="64" t="str">
        <f aca="false">Calendario!CR$6</f>
        <v>s/f</v>
      </c>
      <c r="CS5" s="64" t="str">
        <f aca="false">Calendario!CS$6</f>
        <v>s/f</v>
      </c>
      <c r="CT5" s="64" t="str">
        <f aca="false">Calendario!CT$6</f>
        <v>s/f</v>
      </c>
      <c r="CU5" s="64" t="str">
        <f aca="false">Calendario!CU$6</f>
        <v>s/f</v>
      </c>
      <c r="CV5" s="64" t="str">
        <f aca="false">Calendario!CV$6</f>
        <v>s/f</v>
      </c>
      <c r="CW5" s="64" t="str">
        <f aca="false">Calendario!CW$6</f>
        <v>s/f</v>
      </c>
      <c r="CX5" s="64" t="str">
        <f aca="false">Calendario!CX$6</f>
        <v>s/f</v>
      </c>
      <c r="CY5" s="64" t="str">
        <f aca="false">Calendario!CY$6</f>
        <v>s/f</v>
      </c>
      <c r="CZ5" s="64" t="str">
        <f aca="false">Calendario!CZ$6</f>
        <v>s/f</v>
      </c>
      <c r="DA5" s="64" t="str">
        <f aca="false">Calendario!DA$6</f>
        <v>s/f</v>
      </c>
      <c r="DB5" s="64" t="str">
        <f aca="false">Calendario!DB$6</f>
        <v>s/f</v>
      </c>
      <c r="DC5" s="64" t="str">
        <f aca="false">Calendario!DC$6</f>
        <v>s/f</v>
      </c>
      <c r="DD5" s="64" t="str">
        <f aca="false">Calendario!DD$6</f>
        <v>s/f</v>
      </c>
      <c r="DE5" s="64" t="str">
        <f aca="false">Calendario!DE$6</f>
        <v>s/f</v>
      </c>
      <c r="DF5" s="64" t="str">
        <f aca="false">Calendario!DF$6</f>
        <v>s/f</v>
      </c>
      <c r="DG5" s="64" t="str">
        <f aca="false">Calendario!DG$6</f>
        <v>s/f</v>
      </c>
      <c r="DH5" s="64" t="str">
        <f aca="false">Calendario!DH$6</f>
        <v>s/f</v>
      </c>
      <c r="DI5" s="64" t="str">
        <f aca="false">Calendario!DI$6</f>
        <v>s/f</v>
      </c>
      <c r="DJ5" s="64" t="str">
        <f aca="false">Calendario!DJ$6</f>
        <v>s/f</v>
      </c>
      <c r="DK5" s="64" t="str">
        <f aca="false">Calendario!DK$6</f>
        <v>s/f</v>
      </c>
      <c r="DL5" s="64" t="str">
        <f aca="false">Calendario!DL$6</f>
        <v>s/f</v>
      </c>
      <c r="DM5" s="64" t="str">
        <f aca="false">Calendario!DM$6</f>
        <v>s/f</v>
      </c>
      <c r="DN5" s="64" t="str">
        <f aca="false">Calendario!DN$6</f>
        <v>s/f</v>
      </c>
      <c r="DO5" s="64" t="str">
        <f aca="false">Calendario!DO$6</f>
        <v>s/f</v>
      </c>
      <c r="DP5" s="64" t="str">
        <f aca="false">Calendario!DP$6</f>
        <v>s/f</v>
      </c>
      <c r="DQ5" s="64" t="str">
        <f aca="false">Calendario!DQ$6</f>
        <v>s/f</v>
      </c>
      <c r="DR5" s="64" t="str">
        <f aca="false">Calendario!DR$6</f>
        <v>s/f</v>
      </c>
      <c r="DS5" s="64" t="str">
        <f aca="false">Calendario!DS$6</f>
        <v>s/f</v>
      </c>
      <c r="DT5" s="64" t="str">
        <f aca="false">Calendario!DT$6</f>
        <v>s/f</v>
      </c>
      <c r="DU5" s="64" t="str">
        <f aca="false">Calendario!DU$6</f>
        <v>s/f</v>
      </c>
      <c r="DV5" s="64" t="str">
        <f aca="false">Calendario!DV$6</f>
        <v>s/f</v>
      </c>
      <c r="DW5" s="64" t="str">
        <f aca="false">Calendario!DW$6</f>
        <v>s/f</v>
      </c>
      <c r="DX5" s="64" t="str">
        <f aca="false">Calendario!DX$6</f>
        <v>s/f</v>
      </c>
      <c r="DY5" s="64" t="str">
        <f aca="false">Calendario!DY$6</f>
        <v>s/f</v>
      </c>
      <c r="DZ5" s="64" t="str">
        <f aca="false">Calendario!DZ$6</f>
        <v>s/f</v>
      </c>
      <c r="EA5" s="64" t="str">
        <f aca="false">Calendario!EA$6</f>
        <v>s/f</v>
      </c>
      <c r="EB5" s="64" t="str">
        <f aca="false">Calendario!EB$6</f>
        <v>s/f</v>
      </c>
      <c r="EC5" s="64" t="str">
        <f aca="false">Calendario!EC$6</f>
        <v>s/f</v>
      </c>
      <c r="ED5" s="64" t="str">
        <f aca="false">Calendario!ED$6</f>
        <v>s/f</v>
      </c>
      <c r="EE5" s="64" t="str">
        <f aca="false">Calendario!EE$6</f>
        <v>s/f</v>
      </c>
      <c r="EF5" s="64" t="str">
        <f aca="false">Calendario!EF$6</f>
        <v>s/f</v>
      </c>
      <c r="EG5" s="64" t="str">
        <f aca="false">Calendario!EG$6</f>
        <v>s/f</v>
      </c>
      <c r="EH5" s="64" t="str">
        <f aca="false">Calendario!EH$6</f>
        <v>s/f</v>
      </c>
      <c r="EI5" s="64" t="str">
        <f aca="false">Calendario!EI$6</f>
        <v>s/f</v>
      </c>
      <c r="EJ5" s="64" t="str">
        <f aca="false">Calendario!EJ$6</f>
        <v>s/f</v>
      </c>
      <c r="EK5" s="64" t="str">
        <f aca="false">Calendario!EK$6</f>
        <v>s/f</v>
      </c>
      <c r="EL5" s="64" t="str">
        <f aca="false">Calendario!EL$6</f>
        <v>s/f</v>
      </c>
      <c r="EM5" s="64" t="str">
        <f aca="false">Calendario!EM$6</f>
        <v>s/f</v>
      </c>
      <c r="EN5" s="64" t="str">
        <f aca="false">Calendario!EN$6</f>
        <v>s/f</v>
      </c>
      <c r="EO5" s="64" t="str">
        <f aca="false">Calendario!EO$6</f>
        <v>s/f</v>
      </c>
      <c r="EP5" s="64" t="str">
        <f aca="false">Calendario!EP$6</f>
        <v>s/f</v>
      </c>
      <c r="EQ5" s="64" t="str">
        <f aca="false">Calendario!EQ$6</f>
        <v>s/f</v>
      </c>
      <c r="ER5" s="64" t="str">
        <f aca="false">Calendario!ER$6</f>
        <v>s/f</v>
      </c>
      <c r="ES5" s="64" t="str">
        <f aca="false">Calendario!ES$6</f>
        <v>s/f</v>
      </c>
      <c r="ET5" s="64" t="str">
        <f aca="false">Calendario!ET$6</f>
        <v>s/f</v>
      </c>
      <c r="EU5" s="64" t="str">
        <f aca="false">Calendario!EU$6</f>
        <v>s/f</v>
      </c>
      <c r="EV5" s="64" t="str">
        <f aca="false">Calendario!EV$6</f>
        <v>s/f</v>
      </c>
      <c r="EW5" s="64" t="str">
        <f aca="false">Calendario!EW$6</f>
        <v>s/f</v>
      </c>
      <c r="EX5" s="64" t="str">
        <f aca="false">Calendario!EX$6</f>
        <v>s/f</v>
      </c>
      <c r="EY5" s="64" t="str">
        <f aca="false">Calendario!EY$6</f>
        <v>s/f</v>
      </c>
      <c r="EZ5" s="64" t="str">
        <f aca="false">Calendario!EZ$6</f>
        <v>s/f</v>
      </c>
      <c r="FA5" s="64" t="str">
        <f aca="false">Calendario!FA$6</f>
        <v>s/f</v>
      </c>
      <c r="FB5" s="64" t="str">
        <f aca="false">Calendario!FB$6</f>
        <v>s/f</v>
      </c>
      <c r="FC5" s="64" t="str">
        <f aca="false">Calendario!FC$6</f>
        <v>s/f</v>
      </c>
      <c r="FD5" s="64" t="str">
        <f aca="false">Calendario!FD$6</f>
        <v>s/f</v>
      </c>
      <c r="FE5" s="64" t="str">
        <f aca="false">Calendario!FE$6</f>
        <v>s/f</v>
      </c>
      <c r="FF5" s="64" t="str">
        <f aca="false">Calendario!FF$6</f>
        <v>s/f</v>
      </c>
    </row>
    <row r="6" customFormat="false" ht="15" hidden="false" customHeight="false" outlineLevel="0" collapsed="false">
      <c r="A6" s="8" t="s">
        <v>812</v>
      </c>
      <c r="B6" s="5" t="s">
        <v>813</v>
      </c>
      <c r="F6" s="43" t="n">
        <f aca="false">Calendario!F$7</f>
        <v>0</v>
      </c>
      <c r="G6" s="43" t="n">
        <f aca="false">Calendario!G$7</f>
        <v>1</v>
      </c>
      <c r="H6" s="43" t="n">
        <f aca="false">Calendario!H$7</f>
        <v>1</v>
      </c>
      <c r="I6" s="43" t="n">
        <f aca="false">Calendario!I$7</f>
        <v>1</v>
      </c>
      <c r="J6" s="43" t="n">
        <f aca="false">Calendario!J$7</f>
        <v>1</v>
      </c>
      <c r="K6" s="43" t="n">
        <f aca="false">Calendario!K$7</f>
        <v>1</v>
      </c>
      <c r="L6" s="43" t="n">
        <f aca="false">Calendario!L$7</f>
        <v>1</v>
      </c>
      <c r="M6" s="43" t="n">
        <f aca="false">Calendario!M$7</f>
        <v>1</v>
      </c>
      <c r="N6" s="43" t="n">
        <f aca="false">Calendario!N$7</f>
        <v>1</v>
      </c>
      <c r="O6" s="43" t="n">
        <f aca="false">Calendario!O$7</f>
        <v>1</v>
      </c>
      <c r="P6" s="43" t="n">
        <f aca="false">Calendario!P$7</f>
        <v>1</v>
      </c>
      <c r="Q6" s="43" t="n">
        <f aca="false">Calendario!Q$7</f>
        <v>1</v>
      </c>
      <c r="R6" s="43" t="n">
        <f aca="false">Calendario!R$7</f>
        <v>1</v>
      </c>
      <c r="S6" s="43" t="n">
        <f aca="false">Calendario!S$7</f>
        <v>2</v>
      </c>
      <c r="T6" s="43" t="n">
        <f aca="false">Calendario!T$7</f>
        <v>2</v>
      </c>
      <c r="U6" s="43" t="n">
        <f aca="false">Calendario!U$7</f>
        <v>2</v>
      </c>
      <c r="V6" s="43" t="n">
        <f aca="false">Calendario!V$7</f>
        <v>2</v>
      </c>
      <c r="W6" s="43" t="n">
        <f aca="false">Calendario!W$7</f>
        <v>2</v>
      </c>
      <c r="X6" s="43" t="n">
        <f aca="false">Calendario!X$7</f>
        <v>2</v>
      </c>
      <c r="Y6" s="43" t="n">
        <f aca="false">Calendario!Y$7</f>
        <v>2</v>
      </c>
      <c r="Z6" s="43" t="n">
        <f aca="false">Calendario!Z$7</f>
        <v>2</v>
      </c>
      <c r="AA6" s="43" t="n">
        <f aca="false">Calendario!AA$7</f>
        <v>2</v>
      </c>
      <c r="AB6" s="43" t="n">
        <f aca="false">Calendario!AB$7</f>
        <v>2</v>
      </c>
      <c r="AC6" s="43" t="n">
        <f aca="false">Calendario!AC$7</f>
        <v>2</v>
      </c>
      <c r="AD6" s="43" t="n">
        <f aca="false">Calendario!AD$7</f>
        <v>2</v>
      </c>
      <c r="AE6" s="43" t="n">
        <f aca="false">Calendario!AE$7</f>
        <v>3</v>
      </c>
      <c r="AF6" s="43" t="n">
        <f aca="false">Calendario!AF$7</f>
        <v>3</v>
      </c>
      <c r="AG6" s="43" t="n">
        <f aca="false">Calendario!AG$7</f>
        <v>3</v>
      </c>
      <c r="AH6" s="43" t="n">
        <f aca="false">Calendario!AH$7</f>
        <v>3</v>
      </c>
      <c r="AI6" s="43" t="n">
        <f aca="false">Calendario!AI$7</f>
        <v>3</v>
      </c>
      <c r="AJ6" s="43" t="n">
        <f aca="false">Calendario!AJ$7</f>
        <v>3</v>
      </c>
      <c r="AK6" s="43" t="n">
        <f aca="false">Calendario!AK$7</f>
        <v>3</v>
      </c>
      <c r="AL6" s="43" t="n">
        <f aca="false">Calendario!AL$7</f>
        <v>3</v>
      </c>
      <c r="AM6" s="43" t="n">
        <f aca="false">Calendario!AM$7</f>
        <v>3</v>
      </c>
      <c r="AN6" s="43" t="n">
        <f aca="false">Calendario!AN$7</f>
        <v>3</v>
      </c>
      <c r="AO6" s="43" t="n">
        <f aca="false">Calendario!AO$7</f>
        <v>3</v>
      </c>
      <c r="AP6" s="43" t="n">
        <f aca="false">Calendario!AP$7</f>
        <v>3</v>
      </c>
      <c r="AQ6" s="43" t="n">
        <f aca="false">Calendario!AQ$7</f>
        <v>4</v>
      </c>
      <c r="AR6" s="43" t="n">
        <f aca="false">Calendario!AR$7</f>
        <v>4</v>
      </c>
      <c r="AS6" s="43" t="n">
        <f aca="false">Calendario!AS$7</f>
        <v>4</v>
      </c>
      <c r="AT6" s="43" t="n">
        <f aca="false">Calendario!AT$7</f>
        <v>4</v>
      </c>
      <c r="AU6" s="43" t="n">
        <f aca="false">Calendario!AU$7</f>
        <v>4</v>
      </c>
      <c r="AV6" s="43" t="n">
        <f aca="false">Calendario!AV$7</f>
        <v>4</v>
      </c>
      <c r="AW6" s="43" t="n">
        <f aca="false">Calendario!AW$7</f>
        <v>4</v>
      </c>
      <c r="AX6" s="43" t="n">
        <f aca="false">Calendario!AX$7</f>
        <v>4</v>
      </c>
      <c r="AY6" s="43" t="n">
        <f aca="false">Calendario!AY$7</f>
        <v>4</v>
      </c>
      <c r="AZ6" s="43" t="n">
        <f aca="false">Calendario!AZ$7</f>
        <v>4</v>
      </c>
      <c r="BA6" s="43" t="n">
        <f aca="false">Calendario!BA$7</f>
        <v>4</v>
      </c>
      <c r="BB6" s="43" t="n">
        <f aca="false">Calendario!BB$7</f>
        <v>4</v>
      </c>
      <c r="BC6" s="43" t="n">
        <f aca="false">Calendario!BC$7</f>
        <v>5</v>
      </c>
      <c r="BD6" s="43" t="n">
        <f aca="false">Calendario!BD$7</f>
        <v>5</v>
      </c>
      <c r="BE6" s="43" t="n">
        <f aca="false">Calendario!BE$7</f>
        <v>5</v>
      </c>
      <c r="BF6" s="43" t="n">
        <f aca="false">Calendario!BF$7</f>
        <v>5</v>
      </c>
      <c r="BG6" s="43" t="n">
        <f aca="false">Calendario!BG$7</f>
        <v>5</v>
      </c>
      <c r="BH6" s="43" t="n">
        <f aca="false">Calendario!BH$7</f>
        <v>5</v>
      </c>
      <c r="BI6" s="43" t="n">
        <f aca="false">Calendario!BI$7</f>
        <v>5</v>
      </c>
      <c r="BJ6" s="43" t="n">
        <f aca="false">Calendario!BJ$7</f>
        <v>5</v>
      </c>
      <c r="BK6" s="43" t="n">
        <f aca="false">Calendario!BK$7</f>
        <v>5</v>
      </c>
      <c r="BL6" s="43" t="n">
        <f aca="false">Calendario!BL$7</f>
        <v>5</v>
      </c>
      <c r="BM6" s="43" t="n">
        <f aca="false">Calendario!BM$7</f>
        <v>5</v>
      </c>
      <c r="BN6" s="43" t="n">
        <f aca="false">Calendario!BN$7</f>
        <v>5</v>
      </c>
      <c r="BO6" s="43" t="n">
        <f aca="false">Calendario!BO$7</f>
        <v>6</v>
      </c>
      <c r="BP6" s="43" t="n">
        <f aca="false">Calendario!BP$7</f>
        <v>6</v>
      </c>
      <c r="BQ6" s="43" t="n">
        <f aca="false">Calendario!BQ$7</f>
        <v>6</v>
      </c>
      <c r="BR6" s="43" t="n">
        <f aca="false">Calendario!BR$7</f>
        <v>6</v>
      </c>
      <c r="BS6" s="43" t="n">
        <f aca="false">Calendario!BS$7</f>
        <v>6</v>
      </c>
      <c r="BT6" s="43" t="n">
        <f aca="false">Calendario!BT$7</f>
        <v>6</v>
      </c>
      <c r="BU6" s="43" t="n">
        <f aca="false">Calendario!BU$7</f>
        <v>6</v>
      </c>
      <c r="BV6" s="43" t="n">
        <f aca="false">Calendario!BV$7</f>
        <v>6</v>
      </c>
      <c r="BW6" s="43" t="n">
        <f aca="false">Calendario!BW$7</f>
        <v>6</v>
      </c>
      <c r="BX6" s="43" t="n">
        <f aca="false">Calendario!BX$7</f>
        <v>6</v>
      </c>
      <c r="BY6" s="43" t="n">
        <f aca="false">Calendario!BY$7</f>
        <v>6</v>
      </c>
      <c r="BZ6" s="43" t="n">
        <f aca="false">Calendario!BZ$7</f>
        <v>6</v>
      </c>
      <c r="CA6" s="43" t="n">
        <f aca="false">Calendario!CA$7</f>
        <v>7</v>
      </c>
      <c r="CB6" s="43" t="n">
        <f aca="false">Calendario!CB$7</f>
        <v>7</v>
      </c>
      <c r="CC6" s="43" t="n">
        <f aca="false">Calendario!CC$7</f>
        <v>7</v>
      </c>
      <c r="CD6" s="43" t="n">
        <f aca="false">Calendario!CD$7</f>
        <v>7</v>
      </c>
      <c r="CE6" s="43" t="n">
        <f aca="false">Calendario!CE$7</f>
        <v>7</v>
      </c>
      <c r="CF6" s="43" t="n">
        <f aca="false">Calendario!CF$7</f>
        <v>7</v>
      </c>
      <c r="CG6" s="43" t="n">
        <f aca="false">Calendario!CG$7</f>
        <v>7</v>
      </c>
      <c r="CH6" s="43" t="n">
        <f aca="false">Calendario!CH$7</f>
        <v>7</v>
      </c>
      <c r="CI6" s="43" t="n">
        <f aca="false">Calendario!CI$7</f>
        <v>7</v>
      </c>
      <c r="CJ6" s="43" t="n">
        <f aca="false">Calendario!CJ$7</f>
        <v>7</v>
      </c>
      <c r="CK6" s="43" t="n">
        <f aca="false">Calendario!CK$7</f>
        <v>7</v>
      </c>
      <c r="CL6" s="43" t="n">
        <f aca="false">Calendario!CL$7</f>
        <v>7</v>
      </c>
      <c r="CM6" s="43" t="n">
        <f aca="false">Calendario!CM$7</f>
        <v>8</v>
      </c>
      <c r="CN6" s="43" t="n">
        <f aca="false">Calendario!CN$7</f>
        <v>8</v>
      </c>
      <c r="CO6" s="43" t="n">
        <f aca="false">Calendario!CO$7</f>
        <v>8</v>
      </c>
      <c r="CP6" s="43" t="n">
        <f aca="false">Calendario!CP$7</f>
        <v>8</v>
      </c>
      <c r="CQ6" s="43" t="n">
        <f aca="false">Calendario!CQ$7</f>
        <v>8</v>
      </c>
      <c r="CR6" s="43" t="n">
        <f aca="false">Calendario!CR$7</f>
        <v>8</v>
      </c>
      <c r="CS6" s="43" t="n">
        <f aca="false">Calendario!CS$7</f>
        <v>8</v>
      </c>
      <c r="CT6" s="43" t="n">
        <f aca="false">Calendario!CT$7</f>
        <v>8</v>
      </c>
      <c r="CU6" s="43" t="n">
        <f aca="false">Calendario!CU$7</f>
        <v>8</v>
      </c>
      <c r="CV6" s="43" t="n">
        <f aca="false">Calendario!CV$7</f>
        <v>8</v>
      </c>
      <c r="CW6" s="43" t="n">
        <f aca="false">Calendario!CW$7</f>
        <v>8</v>
      </c>
      <c r="CX6" s="43" t="n">
        <f aca="false">Calendario!CX$7</f>
        <v>8</v>
      </c>
      <c r="CY6" s="43" t="n">
        <f aca="false">Calendario!CY$7</f>
        <v>9</v>
      </c>
      <c r="CZ6" s="43" t="n">
        <f aca="false">Calendario!CZ$7</f>
        <v>9</v>
      </c>
      <c r="DA6" s="43" t="n">
        <f aca="false">Calendario!DA$7</f>
        <v>9</v>
      </c>
      <c r="DB6" s="43" t="n">
        <f aca="false">Calendario!DB$7</f>
        <v>9</v>
      </c>
      <c r="DC6" s="43" t="n">
        <f aca="false">Calendario!DC$7</f>
        <v>9</v>
      </c>
      <c r="DD6" s="43" t="n">
        <f aca="false">Calendario!DD$7</f>
        <v>9</v>
      </c>
      <c r="DE6" s="43" t="n">
        <f aca="false">Calendario!DE$7</f>
        <v>9</v>
      </c>
      <c r="DF6" s="43" t="n">
        <f aca="false">Calendario!DF$7</f>
        <v>9</v>
      </c>
      <c r="DG6" s="43" t="n">
        <f aca="false">Calendario!DG$7</f>
        <v>9</v>
      </c>
      <c r="DH6" s="43" t="n">
        <f aca="false">Calendario!DH$7</f>
        <v>9</v>
      </c>
      <c r="DI6" s="43" t="n">
        <f aca="false">Calendario!DI$7</f>
        <v>9</v>
      </c>
      <c r="DJ6" s="43" t="n">
        <f aca="false">Calendario!DJ$7</f>
        <v>9</v>
      </c>
      <c r="DK6" s="43" t="n">
        <f aca="false">Calendario!DK$7</f>
        <v>10</v>
      </c>
      <c r="DL6" s="43" t="n">
        <f aca="false">Calendario!DL$7</f>
        <v>10</v>
      </c>
      <c r="DM6" s="43" t="n">
        <f aca="false">Calendario!DM$7</f>
        <v>10</v>
      </c>
      <c r="DN6" s="43" t="n">
        <f aca="false">Calendario!DN$7</f>
        <v>10</v>
      </c>
      <c r="DO6" s="43" t="n">
        <f aca="false">Calendario!DO$7</f>
        <v>10</v>
      </c>
      <c r="DP6" s="43" t="n">
        <f aca="false">Calendario!DP$7</f>
        <v>10</v>
      </c>
      <c r="DQ6" s="43" t="n">
        <f aca="false">Calendario!DQ$7</f>
        <v>10</v>
      </c>
      <c r="DR6" s="43" t="n">
        <f aca="false">Calendario!DR$7</f>
        <v>10</v>
      </c>
      <c r="DS6" s="43" t="n">
        <f aca="false">Calendario!DS$7</f>
        <v>10</v>
      </c>
      <c r="DT6" s="43" t="n">
        <f aca="false">Calendario!DT$7</f>
        <v>10</v>
      </c>
      <c r="DU6" s="43" t="n">
        <f aca="false">Calendario!DU$7</f>
        <v>10</v>
      </c>
      <c r="DV6" s="43" t="n">
        <f aca="false">Calendario!DV$7</f>
        <v>10</v>
      </c>
      <c r="DW6" s="43" t="n">
        <f aca="false">Calendario!DW$7</f>
        <v>11</v>
      </c>
      <c r="DX6" s="43" t="n">
        <f aca="false">Calendario!DX$7</f>
        <v>11</v>
      </c>
      <c r="DY6" s="43" t="n">
        <f aca="false">Calendario!DY$7</f>
        <v>11</v>
      </c>
      <c r="DZ6" s="43" t="n">
        <f aca="false">Calendario!DZ$7</f>
        <v>11</v>
      </c>
      <c r="EA6" s="43" t="n">
        <f aca="false">Calendario!EA$7</f>
        <v>11</v>
      </c>
      <c r="EB6" s="43" t="n">
        <f aca="false">Calendario!EB$7</f>
        <v>11</v>
      </c>
      <c r="EC6" s="43" t="n">
        <f aca="false">Calendario!EC$7</f>
        <v>11</v>
      </c>
      <c r="ED6" s="43" t="n">
        <f aca="false">Calendario!ED$7</f>
        <v>11</v>
      </c>
      <c r="EE6" s="43" t="n">
        <f aca="false">Calendario!EE$7</f>
        <v>11</v>
      </c>
      <c r="EF6" s="43" t="n">
        <f aca="false">Calendario!EF$7</f>
        <v>11</v>
      </c>
      <c r="EG6" s="43" t="n">
        <f aca="false">Calendario!EG$7</f>
        <v>11</v>
      </c>
      <c r="EH6" s="43" t="n">
        <f aca="false">Calendario!EH$7</f>
        <v>11</v>
      </c>
      <c r="EI6" s="43" t="n">
        <f aca="false">Calendario!EI$7</f>
        <v>12</v>
      </c>
      <c r="EJ6" s="43" t="n">
        <f aca="false">Calendario!EJ$7</f>
        <v>12</v>
      </c>
      <c r="EK6" s="43" t="n">
        <f aca="false">Calendario!EK$7</f>
        <v>12</v>
      </c>
      <c r="EL6" s="43" t="n">
        <f aca="false">Calendario!EL$7</f>
        <v>12</v>
      </c>
      <c r="EM6" s="43" t="n">
        <f aca="false">Calendario!EM$7</f>
        <v>12</v>
      </c>
      <c r="EN6" s="43" t="n">
        <f aca="false">Calendario!EN$7</f>
        <v>12</v>
      </c>
      <c r="EO6" s="43" t="n">
        <f aca="false">Calendario!EO$7</f>
        <v>12</v>
      </c>
      <c r="EP6" s="43" t="n">
        <f aca="false">Calendario!EP$7</f>
        <v>12</v>
      </c>
      <c r="EQ6" s="43" t="n">
        <f aca="false">Calendario!EQ$7</f>
        <v>12</v>
      </c>
      <c r="ER6" s="43" t="n">
        <f aca="false">Calendario!ER$7</f>
        <v>12</v>
      </c>
      <c r="ES6" s="43" t="n">
        <f aca="false">Calendario!ES$7</f>
        <v>12</v>
      </c>
      <c r="ET6" s="43" t="n">
        <f aca="false">Calendario!ET$7</f>
        <v>12</v>
      </c>
      <c r="EU6" s="43" t="n">
        <f aca="false">Calendario!EU$7</f>
        <v>13</v>
      </c>
      <c r="EV6" s="43" t="n">
        <f aca="false">Calendario!EV$7</f>
        <v>13</v>
      </c>
      <c r="EW6" s="43" t="n">
        <f aca="false">Calendario!EW$7</f>
        <v>13</v>
      </c>
      <c r="EX6" s="43" t="n">
        <f aca="false">Calendario!EX$7</f>
        <v>13</v>
      </c>
      <c r="EY6" s="43" t="n">
        <f aca="false">Calendario!EY$7</f>
        <v>13</v>
      </c>
      <c r="EZ6" s="43" t="n">
        <f aca="false">Calendario!EZ$7</f>
        <v>13</v>
      </c>
      <c r="FA6" s="43" t="n">
        <f aca="false">Calendario!FA$7</f>
        <v>13</v>
      </c>
      <c r="FB6" s="43" t="n">
        <f aca="false">Calendario!FB$7</f>
        <v>13</v>
      </c>
      <c r="FC6" s="43" t="n">
        <f aca="false">Calendario!FC$7</f>
        <v>13</v>
      </c>
      <c r="FD6" s="43" t="n">
        <f aca="false">Calendario!FD$7</f>
        <v>13</v>
      </c>
      <c r="FE6" s="43" t="n">
        <f aca="false">Calendario!FE$7</f>
        <v>13</v>
      </c>
      <c r="FF6" s="43" t="n">
        <f aca="false">Calendario!FF$7</f>
        <v>13</v>
      </c>
    </row>
    <row r="7" customFormat="false" ht="15" hidden="false" customHeight="false" outlineLevel="0" collapsed="false">
      <c r="A7" s="8" t="s">
        <v>814</v>
      </c>
      <c r="B7" s="5" t="s">
        <v>815</v>
      </c>
      <c r="F7" s="43" t="n">
        <f aca="false">Calendario!F$11</f>
        <v>0</v>
      </c>
      <c r="G7" s="43" t="n">
        <f aca="false">Calendario!G$11</f>
        <v>1</v>
      </c>
      <c r="H7" s="43" t="n">
        <f aca="false">Calendario!H$11</f>
        <v>1</v>
      </c>
      <c r="I7" s="43" t="n">
        <f aca="false">Calendario!I$11</f>
        <v>1</v>
      </c>
      <c r="J7" s="43" t="n">
        <f aca="false">Calendario!J$11</f>
        <v>1</v>
      </c>
      <c r="K7" s="43" t="n">
        <f aca="false">Calendario!K$11</f>
        <v>1</v>
      </c>
      <c r="L7" s="43" t="n">
        <f aca="false">Calendario!L$11</f>
        <v>1</v>
      </c>
      <c r="M7" s="43" t="n">
        <f aca="false">Calendario!M$11</f>
        <v>1</v>
      </c>
      <c r="N7" s="43" t="n">
        <f aca="false">Calendario!N$11</f>
        <v>1</v>
      </c>
      <c r="O7" s="43" t="n">
        <f aca="false">Calendario!O$11</f>
        <v>1</v>
      </c>
      <c r="P7" s="43" t="n">
        <f aca="false">Calendario!P$11</f>
        <v>1</v>
      </c>
      <c r="Q7" s="43" t="n">
        <f aca="false">Calendario!Q$11</f>
        <v>1</v>
      </c>
      <c r="R7" s="43" t="n">
        <f aca="false">Calendario!R$11</f>
        <v>1</v>
      </c>
      <c r="S7" s="43" t="n">
        <f aca="false">Calendario!S$11</f>
        <v>2</v>
      </c>
      <c r="T7" s="43" t="n">
        <f aca="false">Calendario!T$11</f>
        <v>2</v>
      </c>
      <c r="U7" s="43" t="n">
        <f aca="false">Calendario!U$11</f>
        <v>2</v>
      </c>
      <c r="V7" s="43" t="n">
        <f aca="false">Calendario!V$11</f>
        <v>2</v>
      </c>
      <c r="W7" s="43" t="n">
        <f aca="false">Calendario!W$11</f>
        <v>2</v>
      </c>
      <c r="X7" s="43" t="n">
        <f aca="false">Calendario!X$11</f>
        <v>2</v>
      </c>
      <c r="Y7" s="43" t="n">
        <f aca="false">Calendario!Y$11</f>
        <v>2</v>
      </c>
      <c r="Z7" s="43" t="n">
        <f aca="false">Calendario!Z$11</f>
        <v>2</v>
      </c>
      <c r="AA7" s="43" t="n">
        <f aca="false">Calendario!AA$11</f>
        <v>2</v>
      </c>
      <c r="AB7" s="43" t="n">
        <f aca="false">Calendario!AB$11</f>
        <v>2</v>
      </c>
      <c r="AC7" s="43" t="n">
        <f aca="false">Calendario!AC$11</f>
        <v>2</v>
      </c>
      <c r="AD7" s="43" t="n">
        <f aca="false">Calendario!AD$11</f>
        <v>2</v>
      </c>
      <c r="AE7" s="43" t="n">
        <f aca="false">Calendario!AE$11</f>
        <v>3</v>
      </c>
      <c r="AF7" s="43" t="n">
        <f aca="false">Calendario!AF$11</f>
        <v>3</v>
      </c>
      <c r="AG7" s="43" t="n">
        <f aca="false">Calendario!AG$11</f>
        <v>3</v>
      </c>
      <c r="AH7" s="43" t="n">
        <f aca="false">Calendario!AH$11</f>
        <v>3</v>
      </c>
      <c r="AI7" s="43" t="n">
        <f aca="false">Calendario!AI$11</f>
        <v>3</v>
      </c>
      <c r="AJ7" s="43" t="n">
        <f aca="false">Calendario!AJ$11</f>
        <v>3</v>
      </c>
      <c r="AK7" s="43" t="n">
        <f aca="false">Calendario!AK$11</f>
        <v>3</v>
      </c>
      <c r="AL7" s="43" t="n">
        <f aca="false">Calendario!AL$11</f>
        <v>3</v>
      </c>
      <c r="AM7" s="43" t="n">
        <f aca="false">Calendario!AM$11</f>
        <v>3</v>
      </c>
      <c r="AN7" s="43" t="n">
        <f aca="false">Calendario!AN$11</f>
        <v>3</v>
      </c>
      <c r="AO7" s="43" t="n">
        <f aca="false">Calendario!AO$11</f>
        <v>3</v>
      </c>
      <c r="AP7" s="43" t="n">
        <f aca="false">Calendario!AP$11</f>
        <v>3</v>
      </c>
      <c r="AQ7" s="43" t="n">
        <f aca="false">Calendario!AQ$11</f>
        <v>4</v>
      </c>
      <c r="AR7" s="43" t="n">
        <f aca="false">Calendario!AR$11</f>
        <v>4</v>
      </c>
      <c r="AS7" s="43" t="n">
        <f aca="false">Calendario!AS$11</f>
        <v>4</v>
      </c>
      <c r="AT7" s="43" t="n">
        <f aca="false">Calendario!AT$11</f>
        <v>4</v>
      </c>
      <c r="AU7" s="43" t="n">
        <f aca="false">Calendario!AU$11</f>
        <v>4</v>
      </c>
      <c r="AV7" s="43" t="n">
        <f aca="false">Calendario!AV$11</f>
        <v>4</v>
      </c>
      <c r="AW7" s="43" t="n">
        <f aca="false">Calendario!AW$11</f>
        <v>4</v>
      </c>
      <c r="AX7" s="43" t="n">
        <f aca="false">Calendario!AX$11</f>
        <v>4</v>
      </c>
      <c r="AY7" s="43" t="n">
        <f aca="false">Calendario!AY$11</f>
        <v>4</v>
      </c>
      <c r="AZ7" s="43" t="n">
        <f aca="false">Calendario!AZ$11</f>
        <v>4</v>
      </c>
      <c r="BA7" s="43" t="n">
        <f aca="false">Calendario!BA$11</f>
        <v>4</v>
      </c>
      <c r="BB7" s="43" t="n">
        <f aca="false">Calendario!BB$11</f>
        <v>4</v>
      </c>
      <c r="BC7" s="43" t="n">
        <f aca="false">Calendario!BC$11</f>
        <v>5</v>
      </c>
      <c r="BD7" s="43" t="n">
        <f aca="false">Calendario!BD$11</f>
        <v>5</v>
      </c>
      <c r="BE7" s="43" t="n">
        <f aca="false">Calendario!BE$11</f>
        <v>5</v>
      </c>
      <c r="BF7" s="43" t="n">
        <f aca="false">Calendario!BF$11</f>
        <v>5</v>
      </c>
      <c r="BG7" s="43" t="n">
        <f aca="false">Calendario!BG$11</f>
        <v>5</v>
      </c>
      <c r="BH7" s="43" t="n">
        <f aca="false">Calendario!BH$11</f>
        <v>5</v>
      </c>
      <c r="BI7" s="43" t="n">
        <f aca="false">Calendario!BI$11</f>
        <v>5</v>
      </c>
      <c r="BJ7" s="43" t="n">
        <f aca="false">Calendario!BJ$11</f>
        <v>5</v>
      </c>
      <c r="BK7" s="43" t="n">
        <f aca="false">Calendario!BK$11</f>
        <v>5</v>
      </c>
      <c r="BL7" s="43" t="n">
        <f aca="false">Calendario!BL$11</f>
        <v>5</v>
      </c>
      <c r="BM7" s="43" t="n">
        <f aca="false">Calendario!BM$11</f>
        <v>5</v>
      </c>
      <c r="BN7" s="43" t="n">
        <f aca="false">Calendario!BN$11</f>
        <v>5</v>
      </c>
      <c r="BO7" s="43" t="n">
        <f aca="false">Calendario!BO$11</f>
        <v>6</v>
      </c>
      <c r="BP7" s="43" t="n">
        <f aca="false">Calendario!BP$11</f>
        <v>6</v>
      </c>
      <c r="BQ7" s="43" t="n">
        <f aca="false">Calendario!BQ$11</f>
        <v>6</v>
      </c>
      <c r="BR7" s="43" t="n">
        <f aca="false">Calendario!BR$11</f>
        <v>6</v>
      </c>
      <c r="BS7" s="43" t="n">
        <f aca="false">Calendario!BS$11</f>
        <v>6</v>
      </c>
      <c r="BT7" s="43" t="n">
        <f aca="false">Calendario!BT$11</f>
        <v>6</v>
      </c>
      <c r="BU7" s="43" t="n">
        <f aca="false">Calendario!BU$11</f>
        <v>6</v>
      </c>
      <c r="BV7" s="43" t="n">
        <f aca="false">Calendario!BV$11</f>
        <v>6</v>
      </c>
      <c r="BW7" s="43" t="n">
        <f aca="false">Calendario!BW$11</f>
        <v>6</v>
      </c>
      <c r="BX7" s="43" t="n">
        <f aca="false">Calendario!BX$11</f>
        <v>6</v>
      </c>
      <c r="BY7" s="43" t="n">
        <f aca="false">Calendario!BY$11</f>
        <v>6</v>
      </c>
      <c r="BZ7" s="43" t="n">
        <f aca="false">Calendario!BZ$11</f>
        <v>6</v>
      </c>
      <c r="CA7" s="43" t="n">
        <f aca="false">Calendario!CA$11</f>
        <v>7</v>
      </c>
      <c r="CB7" s="43" t="n">
        <f aca="false">Calendario!CB$11</f>
        <v>7</v>
      </c>
      <c r="CC7" s="43" t="n">
        <f aca="false">Calendario!CC$11</f>
        <v>7</v>
      </c>
      <c r="CD7" s="43" t="n">
        <f aca="false">Calendario!CD$11</f>
        <v>7</v>
      </c>
      <c r="CE7" s="43" t="n">
        <f aca="false">Calendario!CE$11</f>
        <v>7</v>
      </c>
      <c r="CF7" s="43" t="n">
        <f aca="false">Calendario!CF$11</f>
        <v>7</v>
      </c>
      <c r="CG7" s="43" t="n">
        <f aca="false">Calendario!CG$11</f>
        <v>7</v>
      </c>
      <c r="CH7" s="43" t="n">
        <f aca="false">Calendario!CH$11</f>
        <v>7</v>
      </c>
      <c r="CI7" s="43" t="n">
        <f aca="false">Calendario!CI$11</f>
        <v>7</v>
      </c>
      <c r="CJ7" s="43" t="n">
        <f aca="false">Calendario!CJ$11</f>
        <v>7</v>
      </c>
      <c r="CK7" s="43" t="n">
        <f aca="false">Calendario!CK$11</f>
        <v>7</v>
      </c>
      <c r="CL7" s="43" t="n">
        <f aca="false">Calendario!CL$11</f>
        <v>7</v>
      </c>
      <c r="CM7" s="43" t="n">
        <f aca="false">Calendario!CM$11</f>
        <v>8</v>
      </c>
      <c r="CN7" s="43" t="n">
        <f aca="false">Calendario!CN$11</f>
        <v>8</v>
      </c>
      <c r="CO7" s="43" t="n">
        <f aca="false">Calendario!CO$11</f>
        <v>8</v>
      </c>
      <c r="CP7" s="43" t="n">
        <f aca="false">Calendario!CP$11</f>
        <v>8</v>
      </c>
      <c r="CQ7" s="43" t="n">
        <f aca="false">Calendario!CQ$11</f>
        <v>8</v>
      </c>
      <c r="CR7" s="43" t="n">
        <f aca="false">Calendario!CR$11</f>
        <v>8</v>
      </c>
      <c r="CS7" s="43" t="n">
        <f aca="false">Calendario!CS$11</f>
        <v>8</v>
      </c>
      <c r="CT7" s="43" t="n">
        <f aca="false">Calendario!CT$11</f>
        <v>8</v>
      </c>
      <c r="CU7" s="43" t="n">
        <f aca="false">Calendario!CU$11</f>
        <v>8</v>
      </c>
      <c r="CV7" s="43" t="n">
        <f aca="false">Calendario!CV$11</f>
        <v>8</v>
      </c>
      <c r="CW7" s="43" t="n">
        <f aca="false">Calendario!CW$11</f>
        <v>8</v>
      </c>
      <c r="CX7" s="43" t="n">
        <f aca="false">Calendario!CX$11</f>
        <v>8</v>
      </c>
      <c r="CY7" s="43" t="n">
        <f aca="false">Calendario!CY$11</f>
        <v>9</v>
      </c>
      <c r="CZ7" s="43" t="n">
        <f aca="false">Calendario!CZ$11</f>
        <v>9</v>
      </c>
      <c r="DA7" s="43" t="n">
        <f aca="false">Calendario!DA$11</f>
        <v>9</v>
      </c>
      <c r="DB7" s="43" t="n">
        <f aca="false">Calendario!DB$11</f>
        <v>9</v>
      </c>
      <c r="DC7" s="43" t="n">
        <f aca="false">Calendario!DC$11</f>
        <v>9</v>
      </c>
      <c r="DD7" s="43" t="n">
        <f aca="false">Calendario!DD$11</f>
        <v>9</v>
      </c>
      <c r="DE7" s="43" t="n">
        <f aca="false">Calendario!DE$11</f>
        <v>9</v>
      </c>
      <c r="DF7" s="43" t="n">
        <f aca="false">Calendario!DF$11</f>
        <v>9</v>
      </c>
      <c r="DG7" s="43" t="n">
        <f aca="false">Calendario!DG$11</f>
        <v>9</v>
      </c>
      <c r="DH7" s="43" t="n">
        <f aca="false">Calendario!DH$11</f>
        <v>9</v>
      </c>
      <c r="DI7" s="43" t="n">
        <f aca="false">Calendario!DI$11</f>
        <v>9</v>
      </c>
      <c r="DJ7" s="43" t="n">
        <f aca="false">Calendario!DJ$11</f>
        <v>9</v>
      </c>
      <c r="DK7" s="43" t="n">
        <f aca="false">Calendario!DK$11</f>
        <v>10</v>
      </c>
      <c r="DL7" s="43" t="n">
        <f aca="false">Calendario!DL$11</f>
        <v>10</v>
      </c>
      <c r="DM7" s="43" t="n">
        <f aca="false">Calendario!DM$11</f>
        <v>10</v>
      </c>
      <c r="DN7" s="43" t="n">
        <f aca="false">Calendario!DN$11</f>
        <v>10</v>
      </c>
      <c r="DO7" s="43" t="n">
        <f aca="false">Calendario!DO$11</f>
        <v>10</v>
      </c>
      <c r="DP7" s="43" t="n">
        <f aca="false">Calendario!DP$11</f>
        <v>10</v>
      </c>
      <c r="DQ7" s="43" t="n">
        <f aca="false">Calendario!DQ$11</f>
        <v>10</v>
      </c>
      <c r="DR7" s="43" t="n">
        <f aca="false">Calendario!DR$11</f>
        <v>10</v>
      </c>
      <c r="DS7" s="43" t="n">
        <f aca="false">Calendario!DS$11</f>
        <v>10</v>
      </c>
      <c r="DT7" s="43" t="n">
        <f aca="false">Calendario!DT$11</f>
        <v>10</v>
      </c>
      <c r="DU7" s="43" t="n">
        <f aca="false">Calendario!DU$11</f>
        <v>10</v>
      </c>
      <c r="DV7" s="43" t="n">
        <f aca="false">Calendario!DV$11</f>
        <v>10</v>
      </c>
      <c r="DW7" s="43" t="n">
        <f aca="false">Calendario!DW$11</f>
        <v>0</v>
      </c>
      <c r="DX7" s="43" t="n">
        <f aca="false">Calendario!DX$11</f>
        <v>0</v>
      </c>
      <c r="DY7" s="43" t="n">
        <f aca="false">Calendario!DY$11</f>
        <v>0</v>
      </c>
      <c r="DZ7" s="43" t="n">
        <f aca="false">Calendario!DZ$11</f>
        <v>0</v>
      </c>
      <c r="EA7" s="43" t="n">
        <f aca="false">Calendario!EA$11</f>
        <v>0</v>
      </c>
      <c r="EB7" s="43" t="n">
        <f aca="false">Calendario!EB$11</f>
        <v>0</v>
      </c>
      <c r="EC7" s="43" t="n">
        <f aca="false">Calendario!EC$11</f>
        <v>0</v>
      </c>
      <c r="ED7" s="43" t="n">
        <f aca="false">Calendario!ED$11</f>
        <v>0</v>
      </c>
      <c r="EE7" s="43" t="n">
        <f aca="false">Calendario!EE$11</f>
        <v>0</v>
      </c>
      <c r="EF7" s="43" t="n">
        <f aca="false">Calendario!EF$11</f>
        <v>0</v>
      </c>
      <c r="EG7" s="43" t="n">
        <f aca="false">Calendario!EG$11</f>
        <v>0</v>
      </c>
      <c r="EH7" s="43" t="n">
        <f aca="false">Calendario!EH$11</f>
        <v>0</v>
      </c>
      <c r="EI7" s="43" t="n">
        <f aca="false">Calendario!EI$11</f>
        <v>0</v>
      </c>
      <c r="EJ7" s="43" t="n">
        <f aca="false">Calendario!EJ$11</f>
        <v>0</v>
      </c>
      <c r="EK7" s="43" t="n">
        <f aca="false">Calendario!EK$11</f>
        <v>0</v>
      </c>
      <c r="EL7" s="43" t="n">
        <f aca="false">Calendario!EL$11</f>
        <v>0</v>
      </c>
      <c r="EM7" s="43" t="n">
        <f aca="false">Calendario!EM$11</f>
        <v>0</v>
      </c>
      <c r="EN7" s="43" t="n">
        <f aca="false">Calendario!EN$11</f>
        <v>0</v>
      </c>
      <c r="EO7" s="43" t="n">
        <f aca="false">Calendario!EO$11</f>
        <v>0</v>
      </c>
      <c r="EP7" s="43" t="n">
        <f aca="false">Calendario!EP$11</f>
        <v>0</v>
      </c>
      <c r="EQ7" s="43" t="n">
        <f aca="false">Calendario!EQ$11</f>
        <v>0</v>
      </c>
      <c r="ER7" s="43" t="n">
        <f aca="false">Calendario!ER$11</f>
        <v>0</v>
      </c>
      <c r="ES7" s="43" t="n">
        <f aca="false">Calendario!ES$11</f>
        <v>0</v>
      </c>
      <c r="ET7" s="43" t="n">
        <f aca="false">Calendario!ET$11</f>
        <v>0</v>
      </c>
      <c r="EU7" s="43" t="n">
        <f aca="false">Calendario!EU$11</f>
        <v>0</v>
      </c>
      <c r="EV7" s="43" t="n">
        <f aca="false">Calendario!EV$11</f>
        <v>0</v>
      </c>
      <c r="EW7" s="43" t="n">
        <f aca="false">Calendario!EW$11</f>
        <v>0</v>
      </c>
      <c r="EX7" s="43" t="n">
        <f aca="false">Calendario!EX$11</f>
        <v>0</v>
      </c>
      <c r="EY7" s="43" t="n">
        <f aca="false">Calendario!EY$11</f>
        <v>0</v>
      </c>
      <c r="EZ7" s="43" t="n">
        <f aca="false">Calendario!EZ$11</f>
        <v>0</v>
      </c>
      <c r="FA7" s="43" t="n">
        <f aca="false">Calendario!FA$11</f>
        <v>0</v>
      </c>
      <c r="FB7" s="43" t="n">
        <f aca="false">Calendario!FB$11</f>
        <v>0</v>
      </c>
      <c r="FC7" s="43" t="n">
        <f aca="false">Calendario!FC$11</f>
        <v>0</v>
      </c>
      <c r="FD7" s="43" t="n">
        <f aca="false">Calendario!FD$11</f>
        <v>0</v>
      </c>
      <c r="FE7" s="43" t="n">
        <f aca="false">Calendario!FE$11</f>
        <v>0</v>
      </c>
      <c r="FF7" s="43" t="n">
        <f aca="false">Calendario!FF$11</f>
        <v>0</v>
      </c>
    </row>
    <row r="8" customFormat="false" ht="15" hidden="false" customHeight="false" outlineLevel="0" collapsed="false">
      <c r="A8" s="8" t="s">
        <v>816</v>
      </c>
      <c r="B8" s="5" t="s">
        <v>784</v>
      </c>
      <c r="F8" s="43" t="n">
        <f aca="false">Calendario!F$12</f>
        <v>0</v>
      </c>
      <c r="G8" s="43" t="n">
        <f aca="false">Calendario!G$12</f>
        <v>1</v>
      </c>
      <c r="H8" s="43" t="n">
        <f aca="false">Calendario!H$12</f>
        <v>1</v>
      </c>
      <c r="I8" s="43" t="n">
        <f aca="false">Calendario!I$12</f>
        <v>1</v>
      </c>
      <c r="J8" s="43" t="n">
        <f aca="false">Calendario!J$12</f>
        <v>1</v>
      </c>
      <c r="K8" s="43" t="n">
        <f aca="false">Calendario!K$12</f>
        <v>1</v>
      </c>
      <c r="L8" s="43" t="n">
        <f aca="false">Calendario!L$12</f>
        <v>1</v>
      </c>
      <c r="M8" s="43" t="n">
        <f aca="false">Calendario!M$12</f>
        <v>1</v>
      </c>
      <c r="N8" s="43" t="n">
        <f aca="false">Calendario!N$12</f>
        <v>1</v>
      </c>
      <c r="O8" s="43" t="n">
        <f aca="false">Calendario!O$12</f>
        <v>1</v>
      </c>
      <c r="P8" s="43" t="n">
        <f aca="false">Calendario!P$12</f>
        <v>1</v>
      </c>
      <c r="Q8" s="43" t="n">
        <f aca="false">Calendario!Q$12</f>
        <v>1</v>
      </c>
      <c r="R8" s="43" t="n">
        <f aca="false">Calendario!R$12</f>
        <v>1</v>
      </c>
      <c r="S8" s="43" t="n">
        <f aca="false">Calendario!S$12</f>
        <v>1</v>
      </c>
      <c r="T8" s="43" t="n">
        <f aca="false">Calendario!T$12</f>
        <v>1</v>
      </c>
      <c r="U8" s="43" t="n">
        <f aca="false">Calendario!U$12</f>
        <v>1</v>
      </c>
      <c r="V8" s="43" t="n">
        <f aca="false">Calendario!V$12</f>
        <v>1</v>
      </c>
      <c r="W8" s="43" t="n">
        <f aca="false">Calendario!W$12</f>
        <v>1</v>
      </c>
      <c r="X8" s="43" t="n">
        <f aca="false">Calendario!X$12</f>
        <v>1</v>
      </c>
      <c r="Y8" s="43" t="n">
        <f aca="false">Calendario!Y$12</f>
        <v>1</v>
      </c>
      <c r="Z8" s="43" t="n">
        <f aca="false">Calendario!Z$12</f>
        <v>1</v>
      </c>
      <c r="AA8" s="43" t="n">
        <f aca="false">Calendario!AA$12</f>
        <v>1</v>
      </c>
      <c r="AB8" s="43" t="n">
        <f aca="false">Calendario!AB$12</f>
        <v>1</v>
      </c>
      <c r="AC8" s="43" t="n">
        <f aca="false">Calendario!AC$12</f>
        <v>1</v>
      </c>
      <c r="AD8" s="43" t="n">
        <f aca="false">Calendario!AD$12</f>
        <v>1</v>
      </c>
      <c r="AE8" s="43" t="n">
        <f aca="false">Calendario!AE$12</f>
        <v>1</v>
      </c>
      <c r="AF8" s="43" t="n">
        <f aca="false">Calendario!AF$12</f>
        <v>1</v>
      </c>
      <c r="AG8" s="43" t="n">
        <f aca="false">Calendario!AG$12</f>
        <v>1</v>
      </c>
      <c r="AH8" s="43" t="n">
        <f aca="false">Calendario!AH$12</f>
        <v>1</v>
      </c>
      <c r="AI8" s="43" t="n">
        <f aca="false">Calendario!AI$12</f>
        <v>1</v>
      </c>
      <c r="AJ8" s="43" t="n">
        <f aca="false">Calendario!AJ$12</f>
        <v>1</v>
      </c>
      <c r="AK8" s="43" t="n">
        <f aca="false">Calendario!AK$12</f>
        <v>1</v>
      </c>
      <c r="AL8" s="43" t="n">
        <f aca="false">Calendario!AL$12</f>
        <v>1</v>
      </c>
      <c r="AM8" s="43" t="n">
        <f aca="false">Calendario!AM$12</f>
        <v>1</v>
      </c>
      <c r="AN8" s="43" t="n">
        <f aca="false">Calendario!AN$12</f>
        <v>1</v>
      </c>
      <c r="AO8" s="43" t="n">
        <f aca="false">Calendario!AO$12</f>
        <v>1</v>
      </c>
      <c r="AP8" s="43" t="n">
        <f aca="false">Calendario!AP$12</f>
        <v>1</v>
      </c>
      <c r="AQ8" s="43" t="n">
        <f aca="false">Calendario!AQ$12</f>
        <v>1</v>
      </c>
      <c r="AR8" s="43" t="n">
        <f aca="false">Calendario!AR$12</f>
        <v>1</v>
      </c>
      <c r="AS8" s="43" t="n">
        <f aca="false">Calendario!AS$12</f>
        <v>1</v>
      </c>
      <c r="AT8" s="43" t="n">
        <f aca="false">Calendario!AT$12</f>
        <v>1</v>
      </c>
      <c r="AU8" s="43" t="n">
        <f aca="false">Calendario!AU$12</f>
        <v>1</v>
      </c>
      <c r="AV8" s="43" t="n">
        <f aca="false">Calendario!AV$12</f>
        <v>1</v>
      </c>
      <c r="AW8" s="43" t="n">
        <f aca="false">Calendario!AW$12</f>
        <v>1</v>
      </c>
      <c r="AX8" s="43" t="n">
        <f aca="false">Calendario!AX$12</f>
        <v>1</v>
      </c>
      <c r="AY8" s="43" t="n">
        <f aca="false">Calendario!AY$12</f>
        <v>1</v>
      </c>
      <c r="AZ8" s="43" t="n">
        <f aca="false">Calendario!AZ$12</f>
        <v>1</v>
      </c>
      <c r="BA8" s="43" t="n">
        <f aca="false">Calendario!BA$12</f>
        <v>1</v>
      </c>
      <c r="BB8" s="43" t="n">
        <f aca="false">Calendario!BB$12</f>
        <v>1</v>
      </c>
      <c r="BC8" s="43" t="n">
        <f aca="false">Calendario!BC$12</f>
        <v>1</v>
      </c>
      <c r="BD8" s="43" t="n">
        <f aca="false">Calendario!BD$12</f>
        <v>1</v>
      </c>
      <c r="BE8" s="43" t="n">
        <f aca="false">Calendario!BE$12</f>
        <v>1</v>
      </c>
      <c r="BF8" s="43" t="n">
        <f aca="false">Calendario!BF$12</f>
        <v>1</v>
      </c>
      <c r="BG8" s="43" t="n">
        <f aca="false">Calendario!BG$12</f>
        <v>1</v>
      </c>
      <c r="BH8" s="43" t="n">
        <f aca="false">Calendario!BH$12</f>
        <v>1</v>
      </c>
      <c r="BI8" s="43" t="n">
        <f aca="false">Calendario!BI$12</f>
        <v>1</v>
      </c>
      <c r="BJ8" s="43" t="n">
        <f aca="false">Calendario!BJ$12</f>
        <v>1</v>
      </c>
      <c r="BK8" s="43" t="n">
        <f aca="false">Calendario!BK$12</f>
        <v>1</v>
      </c>
      <c r="BL8" s="43" t="n">
        <f aca="false">Calendario!BL$12</f>
        <v>1</v>
      </c>
      <c r="BM8" s="43" t="n">
        <f aca="false">Calendario!BM$12</f>
        <v>1</v>
      </c>
      <c r="BN8" s="43" t="n">
        <f aca="false">Calendario!BN$12</f>
        <v>1</v>
      </c>
      <c r="BO8" s="43" t="n">
        <f aca="false">Calendario!BO$12</f>
        <v>1</v>
      </c>
      <c r="BP8" s="43" t="n">
        <f aca="false">Calendario!BP$12</f>
        <v>1</v>
      </c>
      <c r="BQ8" s="43" t="n">
        <f aca="false">Calendario!BQ$12</f>
        <v>1</v>
      </c>
      <c r="BR8" s="43" t="n">
        <f aca="false">Calendario!BR$12</f>
        <v>1</v>
      </c>
      <c r="BS8" s="43" t="n">
        <f aca="false">Calendario!BS$12</f>
        <v>1</v>
      </c>
      <c r="BT8" s="43" t="n">
        <f aca="false">Calendario!BT$12</f>
        <v>1</v>
      </c>
      <c r="BU8" s="43" t="n">
        <f aca="false">Calendario!BU$12</f>
        <v>1</v>
      </c>
      <c r="BV8" s="43" t="n">
        <f aca="false">Calendario!BV$12</f>
        <v>1</v>
      </c>
      <c r="BW8" s="43" t="n">
        <f aca="false">Calendario!BW$12</f>
        <v>1</v>
      </c>
      <c r="BX8" s="43" t="n">
        <f aca="false">Calendario!BX$12</f>
        <v>1</v>
      </c>
      <c r="BY8" s="43" t="n">
        <f aca="false">Calendario!BY$12</f>
        <v>1</v>
      </c>
      <c r="BZ8" s="43" t="n">
        <f aca="false">Calendario!BZ$12</f>
        <v>1</v>
      </c>
      <c r="CA8" s="43" t="n">
        <f aca="false">Calendario!CA$12</f>
        <v>1</v>
      </c>
      <c r="CB8" s="43" t="n">
        <f aca="false">Calendario!CB$12</f>
        <v>1</v>
      </c>
      <c r="CC8" s="43" t="n">
        <f aca="false">Calendario!CC$12</f>
        <v>1</v>
      </c>
      <c r="CD8" s="43" t="n">
        <f aca="false">Calendario!CD$12</f>
        <v>1</v>
      </c>
      <c r="CE8" s="43" t="n">
        <f aca="false">Calendario!CE$12</f>
        <v>1</v>
      </c>
      <c r="CF8" s="43" t="n">
        <f aca="false">Calendario!CF$12</f>
        <v>1</v>
      </c>
      <c r="CG8" s="43" t="n">
        <f aca="false">Calendario!CG$12</f>
        <v>1</v>
      </c>
      <c r="CH8" s="43" t="n">
        <f aca="false">Calendario!CH$12</f>
        <v>1</v>
      </c>
      <c r="CI8" s="43" t="n">
        <f aca="false">Calendario!CI$12</f>
        <v>1</v>
      </c>
      <c r="CJ8" s="43" t="n">
        <f aca="false">Calendario!CJ$12</f>
        <v>1</v>
      </c>
      <c r="CK8" s="43" t="n">
        <f aca="false">Calendario!CK$12</f>
        <v>1</v>
      </c>
      <c r="CL8" s="43" t="n">
        <f aca="false">Calendario!CL$12</f>
        <v>1</v>
      </c>
      <c r="CM8" s="43" t="n">
        <f aca="false">Calendario!CM$12</f>
        <v>1</v>
      </c>
      <c r="CN8" s="43" t="n">
        <f aca="false">Calendario!CN$12</f>
        <v>1</v>
      </c>
      <c r="CO8" s="43" t="n">
        <f aca="false">Calendario!CO$12</f>
        <v>1</v>
      </c>
      <c r="CP8" s="43" t="n">
        <f aca="false">Calendario!CP$12</f>
        <v>1</v>
      </c>
      <c r="CQ8" s="43" t="n">
        <f aca="false">Calendario!CQ$12</f>
        <v>1</v>
      </c>
      <c r="CR8" s="43" t="n">
        <f aca="false">Calendario!CR$12</f>
        <v>1</v>
      </c>
      <c r="CS8" s="43" t="n">
        <f aca="false">Calendario!CS$12</f>
        <v>1</v>
      </c>
      <c r="CT8" s="43" t="n">
        <f aca="false">Calendario!CT$12</f>
        <v>1</v>
      </c>
      <c r="CU8" s="43" t="n">
        <f aca="false">Calendario!CU$12</f>
        <v>1</v>
      </c>
      <c r="CV8" s="43" t="n">
        <f aca="false">Calendario!CV$12</f>
        <v>1</v>
      </c>
      <c r="CW8" s="43" t="n">
        <f aca="false">Calendario!CW$12</f>
        <v>1</v>
      </c>
      <c r="CX8" s="43" t="n">
        <f aca="false">Calendario!CX$12</f>
        <v>1</v>
      </c>
      <c r="CY8" s="43" t="n">
        <f aca="false">Calendario!CY$12</f>
        <v>1</v>
      </c>
      <c r="CZ8" s="43" t="n">
        <f aca="false">Calendario!CZ$12</f>
        <v>1</v>
      </c>
      <c r="DA8" s="43" t="n">
        <f aca="false">Calendario!DA$12</f>
        <v>1</v>
      </c>
      <c r="DB8" s="43" t="n">
        <f aca="false">Calendario!DB$12</f>
        <v>1</v>
      </c>
      <c r="DC8" s="43" t="n">
        <f aca="false">Calendario!DC$12</f>
        <v>1</v>
      </c>
      <c r="DD8" s="43" t="n">
        <f aca="false">Calendario!DD$12</f>
        <v>1</v>
      </c>
      <c r="DE8" s="43" t="n">
        <f aca="false">Calendario!DE$12</f>
        <v>1</v>
      </c>
      <c r="DF8" s="43" t="n">
        <f aca="false">Calendario!DF$12</f>
        <v>1</v>
      </c>
      <c r="DG8" s="43" t="n">
        <f aca="false">Calendario!DG$12</f>
        <v>1</v>
      </c>
      <c r="DH8" s="43" t="n">
        <f aca="false">Calendario!DH$12</f>
        <v>1</v>
      </c>
      <c r="DI8" s="43" t="n">
        <f aca="false">Calendario!DI$12</f>
        <v>1</v>
      </c>
      <c r="DJ8" s="43" t="n">
        <f aca="false">Calendario!DJ$12</f>
        <v>1</v>
      </c>
      <c r="DK8" s="43" t="n">
        <f aca="false">Calendario!DK$12</f>
        <v>1</v>
      </c>
      <c r="DL8" s="43" t="n">
        <f aca="false">Calendario!DL$12</f>
        <v>1</v>
      </c>
      <c r="DM8" s="43" t="n">
        <f aca="false">Calendario!DM$12</f>
        <v>1</v>
      </c>
      <c r="DN8" s="43" t="n">
        <f aca="false">Calendario!DN$12</f>
        <v>1</v>
      </c>
      <c r="DO8" s="43" t="n">
        <f aca="false">Calendario!DO$12</f>
        <v>1</v>
      </c>
      <c r="DP8" s="43" t="n">
        <f aca="false">Calendario!DP$12</f>
        <v>1</v>
      </c>
      <c r="DQ8" s="43" t="n">
        <f aca="false">Calendario!DQ$12</f>
        <v>1</v>
      </c>
      <c r="DR8" s="43" t="n">
        <f aca="false">Calendario!DR$12</f>
        <v>1</v>
      </c>
      <c r="DS8" s="43" t="n">
        <f aca="false">Calendario!DS$12</f>
        <v>1</v>
      </c>
      <c r="DT8" s="43" t="n">
        <f aca="false">Calendario!DT$12</f>
        <v>1</v>
      </c>
      <c r="DU8" s="43" t="n">
        <f aca="false">Calendario!DU$12</f>
        <v>1</v>
      </c>
      <c r="DV8" s="43" t="n">
        <f aca="false">Calendario!DV$12</f>
        <v>1</v>
      </c>
      <c r="DW8" s="43" t="n">
        <f aca="false">Calendario!DW$12</f>
        <v>0</v>
      </c>
      <c r="DX8" s="43" t="n">
        <f aca="false">Calendario!DX$12</f>
        <v>0</v>
      </c>
      <c r="DY8" s="43" t="n">
        <f aca="false">Calendario!DY$12</f>
        <v>0</v>
      </c>
      <c r="DZ8" s="43" t="n">
        <f aca="false">Calendario!DZ$12</f>
        <v>0</v>
      </c>
      <c r="EA8" s="43" t="n">
        <f aca="false">Calendario!EA$12</f>
        <v>0</v>
      </c>
      <c r="EB8" s="43" t="n">
        <f aca="false">Calendario!EB$12</f>
        <v>0</v>
      </c>
      <c r="EC8" s="43" t="n">
        <f aca="false">Calendario!EC$12</f>
        <v>0</v>
      </c>
      <c r="ED8" s="43" t="n">
        <f aca="false">Calendario!ED$12</f>
        <v>0</v>
      </c>
      <c r="EE8" s="43" t="n">
        <f aca="false">Calendario!EE$12</f>
        <v>0</v>
      </c>
      <c r="EF8" s="43" t="n">
        <f aca="false">Calendario!EF$12</f>
        <v>0</v>
      </c>
      <c r="EG8" s="43" t="n">
        <f aca="false">Calendario!EG$12</f>
        <v>0</v>
      </c>
      <c r="EH8" s="43" t="n">
        <f aca="false">Calendario!EH$12</f>
        <v>0</v>
      </c>
      <c r="EI8" s="43" t="n">
        <f aca="false">Calendario!EI$12</f>
        <v>0</v>
      </c>
      <c r="EJ8" s="43" t="n">
        <f aca="false">Calendario!EJ$12</f>
        <v>0</v>
      </c>
      <c r="EK8" s="43" t="n">
        <f aca="false">Calendario!EK$12</f>
        <v>0</v>
      </c>
      <c r="EL8" s="43" t="n">
        <f aca="false">Calendario!EL$12</f>
        <v>0</v>
      </c>
      <c r="EM8" s="43" t="n">
        <f aca="false">Calendario!EM$12</f>
        <v>0</v>
      </c>
      <c r="EN8" s="43" t="n">
        <f aca="false">Calendario!EN$12</f>
        <v>0</v>
      </c>
      <c r="EO8" s="43" t="n">
        <f aca="false">Calendario!EO$12</f>
        <v>0</v>
      </c>
      <c r="EP8" s="43" t="n">
        <f aca="false">Calendario!EP$12</f>
        <v>0</v>
      </c>
      <c r="EQ8" s="43" t="n">
        <f aca="false">Calendario!EQ$12</f>
        <v>0</v>
      </c>
      <c r="ER8" s="43" t="n">
        <f aca="false">Calendario!ER$12</f>
        <v>0</v>
      </c>
      <c r="ES8" s="43" t="n">
        <f aca="false">Calendario!ES$12</f>
        <v>0</v>
      </c>
      <c r="ET8" s="43" t="n">
        <f aca="false">Calendario!ET$12</f>
        <v>0</v>
      </c>
      <c r="EU8" s="43" t="n">
        <f aca="false">Calendario!EU$12</f>
        <v>0</v>
      </c>
      <c r="EV8" s="43" t="n">
        <f aca="false">Calendario!EV$12</f>
        <v>0</v>
      </c>
      <c r="EW8" s="43" t="n">
        <f aca="false">Calendario!EW$12</f>
        <v>0</v>
      </c>
      <c r="EX8" s="43" t="n">
        <f aca="false">Calendario!EX$12</f>
        <v>0</v>
      </c>
      <c r="EY8" s="43" t="n">
        <f aca="false">Calendario!EY$12</f>
        <v>0</v>
      </c>
      <c r="EZ8" s="43" t="n">
        <f aca="false">Calendario!EZ$12</f>
        <v>0</v>
      </c>
      <c r="FA8" s="43" t="n">
        <f aca="false">Calendario!FA$12</f>
        <v>0</v>
      </c>
      <c r="FB8" s="43" t="n">
        <f aca="false">Calendario!FB$12</f>
        <v>0</v>
      </c>
      <c r="FC8" s="43" t="n">
        <f aca="false">Calendario!FC$12</f>
        <v>0</v>
      </c>
      <c r="FD8" s="43" t="n">
        <f aca="false">Calendario!FD$12</f>
        <v>0</v>
      </c>
      <c r="FE8" s="43" t="n">
        <f aca="false">Calendario!FE$12</f>
        <v>0</v>
      </c>
      <c r="FF8" s="43" t="n">
        <f aca="false">Calendario!FF$12</f>
        <v>0</v>
      </c>
    </row>
    <row r="9" customFormat="false" ht="15" hidden="false" customHeight="false" outlineLevel="0" collapsed="false">
      <c r="A9" s="8" t="s">
        <v>817</v>
      </c>
      <c r="B9" s="5" t="s">
        <v>818</v>
      </c>
      <c r="F9" s="43" t="n">
        <f aca="false">Calendario!F$18</f>
        <v>0</v>
      </c>
      <c r="G9" s="43" t="n">
        <f aca="false">Calendario!G$18</f>
        <v>0</v>
      </c>
      <c r="H9" s="43" t="n">
        <f aca="false">Calendario!H$18</f>
        <v>0</v>
      </c>
      <c r="I9" s="43" t="n">
        <f aca="false">Calendario!I$18</f>
        <v>0</v>
      </c>
      <c r="J9" s="43" t="n">
        <f aca="false">Calendario!J$18</f>
        <v>0</v>
      </c>
      <c r="K9" s="43" t="n">
        <f aca="false">Calendario!K$18</f>
        <v>0</v>
      </c>
      <c r="L9" s="43" t="n">
        <f aca="false">Calendario!L$18</f>
        <v>0</v>
      </c>
      <c r="M9" s="43" t="n">
        <f aca="false">Calendario!M$18</f>
        <v>0</v>
      </c>
      <c r="N9" s="43" t="n">
        <f aca="false">Calendario!N$18</f>
        <v>0</v>
      </c>
      <c r="O9" s="43" t="n">
        <f aca="false">Calendario!O$18</f>
        <v>0</v>
      </c>
      <c r="P9" s="43" t="n">
        <f aca="false">Calendario!P$18</f>
        <v>0</v>
      </c>
      <c r="Q9" s="43" t="n">
        <f aca="false">Calendario!Q$18</f>
        <v>0</v>
      </c>
      <c r="R9" s="43" t="n">
        <f aca="false">Calendario!R$18</f>
        <v>0</v>
      </c>
      <c r="S9" s="43" t="n">
        <f aca="false">Calendario!S$18</f>
        <v>0</v>
      </c>
      <c r="T9" s="43" t="n">
        <f aca="false">Calendario!T$18</f>
        <v>0</v>
      </c>
      <c r="U9" s="43" t="n">
        <f aca="false">Calendario!U$18</f>
        <v>0</v>
      </c>
      <c r="V9" s="43" t="n">
        <f aca="false">Calendario!V$18</f>
        <v>0</v>
      </c>
      <c r="W9" s="43" t="n">
        <f aca="false">Calendario!W$18</f>
        <v>0</v>
      </c>
      <c r="X9" s="43" t="n">
        <f aca="false">Calendario!X$18</f>
        <v>0</v>
      </c>
      <c r="Y9" s="43" t="n">
        <f aca="false">Calendario!Y$18</f>
        <v>0</v>
      </c>
      <c r="Z9" s="43" t="n">
        <f aca="false">Calendario!Z$18</f>
        <v>0</v>
      </c>
      <c r="AA9" s="43" t="n">
        <f aca="false">Calendario!AA$18</f>
        <v>0</v>
      </c>
      <c r="AB9" s="43" t="n">
        <f aca="false">Calendario!AB$18</f>
        <v>0</v>
      </c>
      <c r="AC9" s="43" t="n">
        <f aca="false">Calendario!AC$18</f>
        <v>0</v>
      </c>
      <c r="AD9" s="43" t="n">
        <f aca="false">Calendario!AD$18</f>
        <v>0</v>
      </c>
      <c r="AE9" s="43" t="n">
        <f aca="false">Calendario!AE$18</f>
        <v>0</v>
      </c>
      <c r="AF9" s="43" t="n">
        <f aca="false">Calendario!AF$18</f>
        <v>0</v>
      </c>
      <c r="AG9" s="43" t="n">
        <f aca="false">Calendario!AG$18</f>
        <v>0</v>
      </c>
      <c r="AH9" s="43" t="n">
        <f aca="false">Calendario!AH$18</f>
        <v>0</v>
      </c>
      <c r="AI9" s="43" t="n">
        <f aca="false">Calendario!AI$18</f>
        <v>0</v>
      </c>
      <c r="AJ9" s="43" t="n">
        <f aca="false">Calendario!AJ$18</f>
        <v>0</v>
      </c>
      <c r="AK9" s="43" t="n">
        <f aca="false">Calendario!AK$18</f>
        <v>0</v>
      </c>
      <c r="AL9" s="43" t="n">
        <f aca="false">Calendario!AL$18</f>
        <v>0</v>
      </c>
      <c r="AM9" s="43" t="n">
        <f aca="false">Calendario!AM$18</f>
        <v>0</v>
      </c>
      <c r="AN9" s="43" t="n">
        <f aca="false">Calendario!AN$18</f>
        <v>0</v>
      </c>
      <c r="AO9" s="43" t="n">
        <f aca="false">Calendario!AO$18</f>
        <v>0</v>
      </c>
      <c r="AP9" s="43" t="n">
        <f aca="false">Calendario!AP$18</f>
        <v>0</v>
      </c>
      <c r="AQ9" s="43" t="n">
        <f aca="false">Calendario!AQ$18</f>
        <v>0</v>
      </c>
      <c r="AR9" s="43" t="n">
        <f aca="false">Calendario!AR$18</f>
        <v>0</v>
      </c>
      <c r="AS9" s="43" t="n">
        <f aca="false">Calendario!AS$18</f>
        <v>0</v>
      </c>
      <c r="AT9" s="43" t="n">
        <f aca="false">Calendario!AT$18</f>
        <v>0</v>
      </c>
      <c r="AU9" s="43" t="n">
        <f aca="false">Calendario!AU$18</f>
        <v>0</v>
      </c>
      <c r="AV9" s="43" t="n">
        <f aca="false">Calendario!AV$18</f>
        <v>0</v>
      </c>
      <c r="AW9" s="43" t="n">
        <f aca="false">Calendario!AW$18</f>
        <v>0</v>
      </c>
      <c r="AX9" s="43" t="n">
        <f aca="false">Calendario!AX$18</f>
        <v>0</v>
      </c>
      <c r="AY9" s="43" t="n">
        <f aca="false">Calendario!AY$18</f>
        <v>0</v>
      </c>
      <c r="AZ9" s="43" t="n">
        <f aca="false">Calendario!AZ$18</f>
        <v>0</v>
      </c>
      <c r="BA9" s="43" t="n">
        <f aca="false">Calendario!BA$18</f>
        <v>0</v>
      </c>
      <c r="BB9" s="43" t="n">
        <f aca="false">Calendario!BB$18</f>
        <v>0</v>
      </c>
      <c r="BC9" s="43" t="n">
        <f aca="false">Calendario!BC$18</f>
        <v>0</v>
      </c>
      <c r="BD9" s="43" t="n">
        <f aca="false">Calendario!BD$18</f>
        <v>0</v>
      </c>
      <c r="BE9" s="43" t="n">
        <f aca="false">Calendario!BE$18</f>
        <v>0</v>
      </c>
      <c r="BF9" s="43" t="n">
        <f aca="false">Calendario!BF$18</f>
        <v>0</v>
      </c>
      <c r="BG9" s="43" t="n">
        <f aca="false">Calendario!BG$18</f>
        <v>0</v>
      </c>
      <c r="BH9" s="43" t="n">
        <f aca="false">Calendario!BH$18</f>
        <v>0</v>
      </c>
      <c r="BI9" s="43" t="n">
        <f aca="false">Calendario!BI$18</f>
        <v>0</v>
      </c>
      <c r="BJ9" s="43" t="n">
        <f aca="false">Calendario!BJ$18</f>
        <v>0</v>
      </c>
      <c r="BK9" s="43" t="n">
        <f aca="false">Calendario!BK$18</f>
        <v>0</v>
      </c>
      <c r="BL9" s="43" t="n">
        <f aca="false">Calendario!BL$18</f>
        <v>0</v>
      </c>
      <c r="BM9" s="43" t="n">
        <f aca="false">Calendario!BM$18</f>
        <v>0</v>
      </c>
      <c r="BN9" s="43" t="n">
        <f aca="false">Calendario!BN$18</f>
        <v>0</v>
      </c>
      <c r="BO9" s="43" t="n">
        <f aca="false">Calendario!BO$18</f>
        <v>0</v>
      </c>
      <c r="BP9" s="43" t="n">
        <f aca="false">Calendario!BP$18</f>
        <v>0</v>
      </c>
      <c r="BQ9" s="43" t="n">
        <f aca="false">Calendario!BQ$18</f>
        <v>0</v>
      </c>
      <c r="BR9" s="43" t="n">
        <f aca="false">Calendario!BR$18</f>
        <v>0</v>
      </c>
      <c r="BS9" s="43" t="n">
        <f aca="false">Calendario!BS$18</f>
        <v>0</v>
      </c>
      <c r="BT9" s="43" t="n">
        <f aca="false">Calendario!BT$18</f>
        <v>0</v>
      </c>
      <c r="BU9" s="43" t="n">
        <f aca="false">Calendario!BU$18</f>
        <v>0</v>
      </c>
      <c r="BV9" s="43" t="n">
        <f aca="false">Calendario!BV$18</f>
        <v>0</v>
      </c>
      <c r="BW9" s="43" t="n">
        <f aca="false">Calendario!BW$18</f>
        <v>0</v>
      </c>
      <c r="BX9" s="43" t="n">
        <f aca="false">Calendario!BX$18</f>
        <v>0</v>
      </c>
      <c r="BY9" s="43" t="n">
        <f aca="false">Calendario!BY$18</f>
        <v>0</v>
      </c>
      <c r="BZ9" s="43" t="n">
        <f aca="false">Calendario!BZ$18</f>
        <v>0</v>
      </c>
      <c r="CA9" s="43" t="n">
        <f aca="false">Calendario!CA$18</f>
        <v>0</v>
      </c>
      <c r="CB9" s="43" t="n">
        <f aca="false">Calendario!CB$18</f>
        <v>0</v>
      </c>
      <c r="CC9" s="43" t="n">
        <f aca="false">Calendario!CC$18</f>
        <v>0</v>
      </c>
      <c r="CD9" s="43" t="n">
        <f aca="false">Calendario!CD$18</f>
        <v>0</v>
      </c>
      <c r="CE9" s="43" t="n">
        <f aca="false">Calendario!CE$18</f>
        <v>0</v>
      </c>
      <c r="CF9" s="43" t="n">
        <f aca="false">Calendario!CF$18</f>
        <v>0</v>
      </c>
      <c r="CG9" s="43" t="n">
        <f aca="false">Calendario!CG$18</f>
        <v>0</v>
      </c>
      <c r="CH9" s="43" t="n">
        <f aca="false">Calendario!CH$18</f>
        <v>0</v>
      </c>
      <c r="CI9" s="43" t="n">
        <f aca="false">Calendario!CI$18</f>
        <v>0</v>
      </c>
      <c r="CJ9" s="43" t="n">
        <f aca="false">Calendario!CJ$18</f>
        <v>0</v>
      </c>
      <c r="CK9" s="43" t="n">
        <f aca="false">Calendario!CK$18</f>
        <v>0</v>
      </c>
      <c r="CL9" s="43" t="n">
        <f aca="false">Calendario!CL$18</f>
        <v>0</v>
      </c>
      <c r="CM9" s="43" t="n">
        <f aca="false">Calendario!CM$18</f>
        <v>0</v>
      </c>
      <c r="CN9" s="43" t="n">
        <f aca="false">Calendario!CN$18</f>
        <v>0</v>
      </c>
      <c r="CO9" s="43" t="n">
        <f aca="false">Calendario!CO$18</f>
        <v>0</v>
      </c>
      <c r="CP9" s="43" t="n">
        <f aca="false">Calendario!CP$18</f>
        <v>0</v>
      </c>
      <c r="CQ9" s="43" t="n">
        <f aca="false">Calendario!CQ$18</f>
        <v>0</v>
      </c>
      <c r="CR9" s="43" t="n">
        <f aca="false">Calendario!CR$18</f>
        <v>0</v>
      </c>
      <c r="CS9" s="43" t="n">
        <f aca="false">Calendario!CS$18</f>
        <v>0</v>
      </c>
      <c r="CT9" s="43" t="n">
        <f aca="false">Calendario!CT$18</f>
        <v>0</v>
      </c>
      <c r="CU9" s="43" t="n">
        <f aca="false">Calendario!CU$18</f>
        <v>0</v>
      </c>
      <c r="CV9" s="43" t="n">
        <f aca="false">Calendario!CV$18</f>
        <v>0</v>
      </c>
      <c r="CW9" s="43" t="n">
        <f aca="false">Calendario!CW$18</f>
        <v>0</v>
      </c>
      <c r="CX9" s="43" t="n">
        <f aca="false">Calendario!CX$18</f>
        <v>0</v>
      </c>
      <c r="CY9" s="43" t="n">
        <f aca="false">Calendario!CY$18</f>
        <v>0</v>
      </c>
      <c r="CZ9" s="43" t="n">
        <f aca="false">Calendario!CZ$18</f>
        <v>0</v>
      </c>
      <c r="DA9" s="43" t="n">
        <f aca="false">Calendario!DA$18</f>
        <v>0</v>
      </c>
      <c r="DB9" s="43" t="n">
        <f aca="false">Calendario!DB$18</f>
        <v>0</v>
      </c>
      <c r="DC9" s="43" t="n">
        <f aca="false">Calendario!DC$18</f>
        <v>0</v>
      </c>
      <c r="DD9" s="43" t="n">
        <f aca="false">Calendario!DD$18</f>
        <v>0</v>
      </c>
      <c r="DE9" s="43" t="n">
        <f aca="false">Calendario!DE$18</f>
        <v>0</v>
      </c>
      <c r="DF9" s="43" t="n">
        <f aca="false">Calendario!DF$18</f>
        <v>0</v>
      </c>
      <c r="DG9" s="43" t="n">
        <f aca="false">Calendario!DG$18</f>
        <v>0</v>
      </c>
      <c r="DH9" s="43" t="n">
        <f aca="false">Calendario!DH$18</f>
        <v>0</v>
      </c>
      <c r="DI9" s="43" t="n">
        <f aca="false">Calendario!DI$18</f>
        <v>0</v>
      </c>
      <c r="DJ9" s="43" t="n">
        <f aca="false">Calendario!DJ$18</f>
        <v>0</v>
      </c>
      <c r="DK9" s="43" t="n">
        <f aca="false">Calendario!DK$18</f>
        <v>0</v>
      </c>
      <c r="DL9" s="43" t="n">
        <f aca="false">Calendario!DL$18</f>
        <v>0</v>
      </c>
      <c r="DM9" s="43" t="n">
        <f aca="false">Calendario!DM$18</f>
        <v>0</v>
      </c>
      <c r="DN9" s="43" t="n">
        <f aca="false">Calendario!DN$18</f>
        <v>0</v>
      </c>
      <c r="DO9" s="43" t="n">
        <f aca="false">Calendario!DO$18</f>
        <v>0</v>
      </c>
      <c r="DP9" s="43" t="n">
        <f aca="false">Calendario!DP$18</f>
        <v>0</v>
      </c>
      <c r="DQ9" s="43" t="n">
        <f aca="false">Calendario!DQ$18</f>
        <v>0</v>
      </c>
      <c r="DR9" s="43" t="n">
        <f aca="false">Calendario!DR$18</f>
        <v>0</v>
      </c>
      <c r="DS9" s="43" t="n">
        <f aca="false">Calendario!DS$18</f>
        <v>0</v>
      </c>
      <c r="DT9" s="43" t="n">
        <f aca="false">Calendario!DT$18</f>
        <v>0</v>
      </c>
      <c r="DU9" s="43" t="n">
        <f aca="false">Calendario!DU$18</f>
        <v>0</v>
      </c>
      <c r="DV9" s="43" t="n">
        <f aca="false">Calendario!DV$18</f>
        <v>0</v>
      </c>
      <c r="DW9" s="43" t="n">
        <f aca="false">Calendario!DW$18</f>
        <v>0</v>
      </c>
      <c r="DX9" s="43" t="n">
        <f aca="false">Calendario!DX$18</f>
        <v>0</v>
      </c>
      <c r="DY9" s="43" t="n">
        <f aca="false">Calendario!DY$18</f>
        <v>0</v>
      </c>
      <c r="DZ9" s="43" t="n">
        <f aca="false">Calendario!DZ$18</f>
        <v>0</v>
      </c>
      <c r="EA9" s="43" t="n">
        <f aca="false">Calendario!EA$18</f>
        <v>0</v>
      </c>
      <c r="EB9" s="43" t="n">
        <f aca="false">Calendario!EB$18</f>
        <v>0</v>
      </c>
      <c r="EC9" s="43" t="n">
        <f aca="false">Calendario!EC$18</f>
        <v>0</v>
      </c>
      <c r="ED9" s="43" t="n">
        <f aca="false">Calendario!ED$18</f>
        <v>0</v>
      </c>
      <c r="EE9" s="43" t="n">
        <f aca="false">Calendario!EE$18</f>
        <v>0</v>
      </c>
      <c r="EF9" s="43" t="n">
        <f aca="false">Calendario!EF$18</f>
        <v>0</v>
      </c>
      <c r="EG9" s="43" t="n">
        <f aca="false">Calendario!EG$18</f>
        <v>0</v>
      </c>
      <c r="EH9" s="43" t="n">
        <f aca="false">Calendario!EH$18</f>
        <v>0</v>
      </c>
      <c r="EI9" s="43" t="n">
        <f aca="false">Calendario!EI$18</f>
        <v>0</v>
      </c>
      <c r="EJ9" s="43" t="n">
        <f aca="false">Calendario!EJ$18</f>
        <v>0</v>
      </c>
      <c r="EK9" s="43" t="n">
        <f aca="false">Calendario!EK$18</f>
        <v>0</v>
      </c>
      <c r="EL9" s="43" t="n">
        <f aca="false">Calendario!EL$18</f>
        <v>0</v>
      </c>
      <c r="EM9" s="43" t="n">
        <f aca="false">Calendario!EM$18</f>
        <v>0</v>
      </c>
      <c r="EN9" s="43" t="n">
        <f aca="false">Calendario!EN$18</f>
        <v>0</v>
      </c>
      <c r="EO9" s="43" t="n">
        <f aca="false">Calendario!EO$18</f>
        <v>0</v>
      </c>
      <c r="EP9" s="43" t="n">
        <f aca="false">Calendario!EP$18</f>
        <v>0</v>
      </c>
      <c r="EQ9" s="43" t="n">
        <f aca="false">Calendario!EQ$18</f>
        <v>0</v>
      </c>
      <c r="ER9" s="43" t="n">
        <f aca="false">Calendario!ER$18</f>
        <v>0</v>
      </c>
      <c r="ES9" s="43" t="n">
        <f aca="false">Calendario!ES$18</f>
        <v>0</v>
      </c>
      <c r="ET9" s="43" t="n">
        <f aca="false">Calendario!ET$18</f>
        <v>0</v>
      </c>
      <c r="EU9" s="43" t="n">
        <f aca="false">Calendario!EU$18</f>
        <v>0</v>
      </c>
      <c r="EV9" s="43" t="n">
        <f aca="false">Calendario!EV$18</f>
        <v>0</v>
      </c>
      <c r="EW9" s="43" t="n">
        <f aca="false">Calendario!EW$18</f>
        <v>0</v>
      </c>
      <c r="EX9" s="43" t="n">
        <f aca="false">Calendario!EX$18</f>
        <v>0</v>
      </c>
      <c r="EY9" s="43" t="n">
        <f aca="false">Calendario!EY$18</f>
        <v>0</v>
      </c>
      <c r="EZ9" s="43" t="n">
        <f aca="false">Calendario!EZ$18</f>
        <v>0</v>
      </c>
      <c r="FA9" s="43" t="n">
        <f aca="false">Calendario!FA$18</f>
        <v>0</v>
      </c>
      <c r="FB9" s="43" t="n">
        <f aca="false">Calendario!FB$18</f>
        <v>0</v>
      </c>
      <c r="FC9" s="43" t="n">
        <f aca="false">Calendario!FC$18</f>
        <v>0</v>
      </c>
      <c r="FD9" s="43" t="n">
        <f aca="false">Calendario!FD$18</f>
        <v>0</v>
      </c>
      <c r="FE9" s="43" t="n">
        <f aca="false">Calendario!FE$18</f>
        <v>0</v>
      </c>
      <c r="FF9" s="43" t="n">
        <f aca="false">Calendario!FF$18</f>
        <v>0</v>
      </c>
    </row>
    <row r="10" customFormat="false" ht="15" hidden="false" customHeight="false" outlineLevel="0" collapsed="false">
      <c r="A10" s="4"/>
      <c r="B10" s="3" t="s">
        <v>1447</v>
      </c>
      <c r="C10" s="4"/>
      <c r="D10" s="4"/>
      <c r="E10" s="4"/>
    </row>
    <row r="11" customFormat="false" ht="15" hidden="false" customHeight="false" outlineLevel="0" collapsed="false">
      <c r="A11" s="2" t="s">
        <v>1448</v>
      </c>
      <c r="B11" s="8" t="s">
        <v>1449</v>
      </c>
      <c r="C11" s="8" t="s">
        <v>255</v>
      </c>
      <c r="E11" s="65" t="n">
        <f aca="false">SUM($F11:$FF11)</f>
        <v>54428264.108153</v>
      </c>
      <c r="F11" s="28" t="n">
        <f aca="false">Produccion_Ventas!F$32</f>
        <v>0</v>
      </c>
      <c r="G11" s="28" t="n">
        <f aca="false">Produccion_Ventas!G$32</f>
        <v>270000</v>
      </c>
      <c r="H11" s="28" t="n">
        <f aca="false">Produccion_Ventas!H$32</f>
        <v>270000</v>
      </c>
      <c r="I11" s="28" t="n">
        <f aca="false">Produccion_Ventas!I$32</f>
        <v>270000</v>
      </c>
      <c r="J11" s="28" t="n">
        <f aca="false">Produccion_Ventas!J$32</f>
        <v>270000</v>
      </c>
      <c r="K11" s="28" t="n">
        <f aca="false">Produccion_Ventas!K$32</f>
        <v>270000</v>
      </c>
      <c r="L11" s="28" t="n">
        <f aca="false">Produccion_Ventas!L$32</f>
        <v>270000</v>
      </c>
      <c r="M11" s="28" t="n">
        <f aca="false">Produccion_Ventas!M$32</f>
        <v>270000</v>
      </c>
      <c r="N11" s="28" t="n">
        <f aca="false">Produccion_Ventas!N$32</f>
        <v>270000</v>
      </c>
      <c r="O11" s="28" t="n">
        <f aca="false">Produccion_Ventas!O$32</f>
        <v>270000</v>
      </c>
      <c r="P11" s="28" t="n">
        <f aca="false">Produccion_Ventas!P$32</f>
        <v>270000</v>
      </c>
      <c r="Q11" s="28" t="n">
        <f aca="false">Produccion_Ventas!Q$32</f>
        <v>270000</v>
      </c>
      <c r="R11" s="28" t="n">
        <f aca="false">Produccion_Ventas!R$32</f>
        <v>270000</v>
      </c>
      <c r="S11" s="28" t="n">
        <f aca="false">Produccion_Ventas!S$32</f>
        <v>340875</v>
      </c>
      <c r="T11" s="28" t="n">
        <f aca="false">Produccion_Ventas!T$32</f>
        <v>340875</v>
      </c>
      <c r="U11" s="28" t="n">
        <f aca="false">Produccion_Ventas!U$32</f>
        <v>340875</v>
      </c>
      <c r="V11" s="28" t="n">
        <f aca="false">Produccion_Ventas!V$32</f>
        <v>340875</v>
      </c>
      <c r="W11" s="28" t="n">
        <f aca="false">Produccion_Ventas!W$32</f>
        <v>340875</v>
      </c>
      <c r="X11" s="28" t="n">
        <f aca="false">Produccion_Ventas!X$32</f>
        <v>340875</v>
      </c>
      <c r="Y11" s="28" t="n">
        <f aca="false">Produccion_Ventas!Y$32</f>
        <v>340875</v>
      </c>
      <c r="Z11" s="28" t="n">
        <f aca="false">Produccion_Ventas!Z$32</f>
        <v>340875</v>
      </c>
      <c r="AA11" s="28" t="n">
        <f aca="false">Produccion_Ventas!AA$32</f>
        <v>340875</v>
      </c>
      <c r="AB11" s="28" t="n">
        <f aca="false">Produccion_Ventas!AB$32</f>
        <v>340875</v>
      </c>
      <c r="AC11" s="28" t="n">
        <f aca="false">Produccion_Ventas!AC$32</f>
        <v>340875</v>
      </c>
      <c r="AD11" s="28" t="n">
        <f aca="false">Produccion_Ventas!AD$32</f>
        <v>340875</v>
      </c>
      <c r="AE11" s="28" t="n">
        <f aca="false">Produccion_Ventas!AE$32</f>
        <v>413140.5</v>
      </c>
      <c r="AF11" s="28" t="n">
        <f aca="false">Produccion_Ventas!AF$32</f>
        <v>413140.5</v>
      </c>
      <c r="AG11" s="28" t="n">
        <f aca="false">Produccion_Ventas!AG$32</f>
        <v>413140.5</v>
      </c>
      <c r="AH11" s="28" t="n">
        <f aca="false">Produccion_Ventas!AH$32</f>
        <v>413140.5</v>
      </c>
      <c r="AI11" s="28" t="n">
        <f aca="false">Produccion_Ventas!AI$32</f>
        <v>413140.5</v>
      </c>
      <c r="AJ11" s="28" t="n">
        <f aca="false">Produccion_Ventas!AJ$32</f>
        <v>413140.5</v>
      </c>
      <c r="AK11" s="28" t="n">
        <f aca="false">Produccion_Ventas!AK$32</f>
        <v>413140.5</v>
      </c>
      <c r="AL11" s="28" t="n">
        <f aca="false">Produccion_Ventas!AL$32</f>
        <v>413140.5</v>
      </c>
      <c r="AM11" s="28" t="n">
        <f aca="false">Produccion_Ventas!AM$32</f>
        <v>413140.5</v>
      </c>
      <c r="AN11" s="28" t="n">
        <f aca="false">Produccion_Ventas!AN$32</f>
        <v>413140.5</v>
      </c>
      <c r="AO11" s="28" t="n">
        <f aca="false">Produccion_Ventas!AO$32</f>
        <v>413140.5</v>
      </c>
      <c r="AP11" s="28" t="n">
        <f aca="false">Produccion_Ventas!AP$32</f>
        <v>413140.5</v>
      </c>
      <c r="AQ11" s="28" t="n">
        <f aca="false">Produccion_Ventas!AQ$32</f>
        <v>486817.2225</v>
      </c>
      <c r="AR11" s="28" t="n">
        <f aca="false">Produccion_Ventas!AR$32</f>
        <v>486817.2225</v>
      </c>
      <c r="AS11" s="28" t="n">
        <f aca="false">Produccion_Ventas!AS$32</f>
        <v>486817.2225</v>
      </c>
      <c r="AT11" s="28" t="n">
        <f aca="false">Produccion_Ventas!AT$32</f>
        <v>486817.2225</v>
      </c>
      <c r="AU11" s="28" t="n">
        <f aca="false">Produccion_Ventas!AU$32</f>
        <v>486817.2225</v>
      </c>
      <c r="AV11" s="28" t="n">
        <f aca="false">Produccion_Ventas!AV$32</f>
        <v>486817.2225</v>
      </c>
      <c r="AW11" s="28" t="n">
        <f aca="false">Produccion_Ventas!AW$32</f>
        <v>486817.2225</v>
      </c>
      <c r="AX11" s="28" t="n">
        <f aca="false">Produccion_Ventas!AX$32</f>
        <v>486817.2225</v>
      </c>
      <c r="AY11" s="28" t="n">
        <f aca="false">Produccion_Ventas!AY$32</f>
        <v>486817.2225</v>
      </c>
      <c r="AZ11" s="28" t="n">
        <f aca="false">Produccion_Ventas!AZ$32</f>
        <v>486817.2225</v>
      </c>
      <c r="BA11" s="28" t="n">
        <f aca="false">Produccion_Ventas!BA$32</f>
        <v>486817.2225</v>
      </c>
      <c r="BB11" s="28" t="n">
        <f aca="false">Produccion_Ventas!BB$32</f>
        <v>486817.2225</v>
      </c>
      <c r="BC11" s="28" t="n">
        <f aca="false">Produccion_Ventas!BC$32</f>
        <v>491685.394725</v>
      </c>
      <c r="BD11" s="28" t="n">
        <f aca="false">Produccion_Ventas!BD$32</f>
        <v>491685.394725</v>
      </c>
      <c r="BE11" s="28" t="n">
        <f aca="false">Produccion_Ventas!BE$32</f>
        <v>491685.394725</v>
      </c>
      <c r="BF11" s="28" t="n">
        <f aca="false">Produccion_Ventas!BF$32</f>
        <v>491685.394725</v>
      </c>
      <c r="BG11" s="28" t="n">
        <f aca="false">Produccion_Ventas!BG$32</f>
        <v>491685.394725</v>
      </c>
      <c r="BH11" s="28" t="n">
        <f aca="false">Produccion_Ventas!BH$32</f>
        <v>491685.394725</v>
      </c>
      <c r="BI11" s="28" t="n">
        <f aca="false">Produccion_Ventas!BI$32</f>
        <v>491685.394725</v>
      </c>
      <c r="BJ11" s="28" t="n">
        <f aca="false">Produccion_Ventas!BJ$32</f>
        <v>491685.394725</v>
      </c>
      <c r="BK11" s="28" t="n">
        <f aca="false">Produccion_Ventas!BK$32</f>
        <v>491685.394725</v>
      </c>
      <c r="BL11" s="28" t="n">
        <f aca="false">Produccion_Ventas!BL$32</f>
        <v>491685.394725</v>
      </c>
      <c r="BM11" s="28" t="n">
        <f aca="false">Produccion_Ventas!BM$32</f>
        <v>491685.394725</v>
      </c>
      <c r="BN11" s="28" t="n">
        <f aca="false">Produccion_Ventas!BN$32</f>
        <v>491685.394725</v>
      </c>
      <c r="BO11" s="28" t="n">
        <f aca="false">Produccion_Ventas!BO$32</f>
        <v>496602.24867225</v>
      </c>
      <c r="BP11" s="28" t="n">
        <f aca="false">Produccion_Ventas!BP$32</f>
        <v>496602.24867225</v>
      </c>
      <c r="BQ11" s="28" t="n">
        <f aca="false">Produccion_Ventas!BQ$32</f>
        <v>496602.24867225</v>
      </c>
      <c r="BR11" s="28" t="n">
        <f aca="false">Produccion_Ventas!BR$32</f>
        <v>496602.24867225</v>
      </c>
      <c r="BS11" s="28" t="n">
        <f aca="false">Produccion_Ventas!BS$32</f>
        <v>496602.24867225</v>
      </c>
      <c r="BT11" s="28" t="n">
        <f aca="false">Produccion_Ventas!BT$32</f>
        <v>496602.24867225</v>
      </c>
      <c r="BU11" s="28" t="n">
        <f aca="false">Produccion_Ventas!BU$32</f>
        <v>496602.24867225</v>
      </c>
      <c r="BV11" s="28" t="n">
        <f aca="false">Produccion_Ventas!BV$32</f>
        <v>496602.24867225</v>
      </c>
      <c r="BW11" s="28" t="n">
        <f aca="false">Produccion_Ventas!BW$32</f>
        <v>496602.24867225</v>
      </c>
      <c r="BX11" s="28" t="n">
        <f aca="false">Produccion_Ventas!BX$32</f>
        <v>496602.24867225</v>
      </c>
      <c r="BY11" s="28" t="n">
        <f aca="false">Produccion_Ventas!BY$32</f>
        <v>496602.24867225</v>
      </c>
      <c r="BZ11" s="28" t="n">
        <f aca="false">Produccion_Ventas!BZ$32</f>
        <v>496602.24867225</v>
      </c>
      <c r="CA11" s="28" t="n">
        <f aca="false">Produccion_Ventas!CA$32</f>
        <v>501568.271158973</v>
      </c>
      <c r="CB11" s="28" t="n">
        <f aca="false">Produccion_Ventas!CB$32</f>
        <v>501568.271158973</v>
      </c>
      <c r="CC11" s="28" t="n">
        <f aca="false">Produccion_Ventas!CC$32</f>
        <v>501568.271158973</v>
      </c>
      <c r="CD11" s="28" t="n">
        <f aca="false">Produccion_Ventas!CD$32</f>
        <v>501568.271158973</v>
      </c>
      <c r="CE11" s="28" t="n">
        <f aca="false">Produccion_Ventas!CE$32</f>
        <v>501568.271158973</v>
      </c>
      <c r="CF11" s="28" t="n">
        <f aca="false">Produccion_Ventas!CF$32</f>
        <v>501568.271158973</v>
      </c>
      <c r="CG11" s="28" t="n">
        <f aca="false">Produccion_Ventas!CG$32</f>
        <v>501568.271158973</v>
      </c>
      <c r="CH11" s="28" t="n">
        <f aca="false">Produccion_Ventas!CH$32</f>
        <v>501568.271158973</v>
      </c>
      <c r="CI11" s="28" t="n">
        <f aca="false">Produccion_Ventas!CI$32</f>
        <v>501568.271158973</v>
      </c>
      <c r="CJ11" s="28" t="n">
        <f aca="false">Produccion_Ventas!CJ$32</f>
        <v>501568.271158973</v>
      </c>
      <c r="CK11" s="28" t="n">
        <f aca="false">Produccion_Ventas!CK$32</f>
        <v>501568.271158973</v>
      </c>
      <c r="CL11" s="28" t="n">
        <f aca="false">Produccion_Ventas!CL$32</f>
        <v>501568.271158973</v>
      </c>
      <c r="CM11" s="28" t="n">
        <f aca="false">Produccion_Ventas!CM$32</f>
        <v>506583.953870562</v>
      </c>
      <c r="CN11" s="28" t="n">
        <f aca="false">Produccion_Ventas!CN$32</f>
        <v>506583.953870562</v>
      </c>
      <c r="CO11" s="28" t="n">
        <f aca="false">Produccion_Ventas!CO$32</f>
        <v>506583.953870562</v>
      </c>
      <c r="CP11" s="28" t="n">
        <f aca="false">Produccion_Ventas!CP$32</f>
        <v>506583.953870562</v>
      </c>
      <c r="CQ11" s="28" t="n">
        <f aca="false">Produccion_Ventas!CQ$32</f>
        <v>506583.953870562</v>
      </c>
      <c r="CR11" s="28" t="n">
        <f aca="false">Produccion_Ventas!CR$32</f>
        <v>506583.953870562</v>
      </c>
      <c r="CS11" s="28" t="n">
        <f aca="false">Produccion_Ventas!CS$32</f>
        <v>506583.953870562</v>
      </c>
      <c r="CT11" s="28" t="n">
        <f aca="false">Produccion_Ventas!CT$32</f>
        <v>506583.953870562</v>
      </c>
      <c r="CU11" s="28" t="n">
        <f aca="false">Produccion_Ventas!CU$32</f>
        <v>506583.953870562</v>
      </c>
      <c r="CV11" s="28" t="n">
        <f aca="false">Produccion_Ventas!CV$32</f>
        <v>506583.953870562</v>
      </c>
      <c r="CW11" s="28" t="n">
        <f aca="false">Produccion_Ventas!CW$32</f>
        <v>506583.953870562</v>
      </c>
      <c r="CX11" s="28" t="n">
        <f aca="false">Produccion_Ventas!CX$32</f>
        <v>506583.953870562</v>
      </c>
      <c r="CY11" s="28" t="n">
        <f aca="false">Produccion_Ventas!CY$32</f>
        <v>511649.793409268</v>
      </c>
      <c r="CZ11" s="28" t="n">
        <f aca="false">Produccion_Ventas!CZ$32</f>
        <v>511649.793409268</v>
      </c>
      <c r="DA11" s="28" t="n">
        <f aca="false">Produccion_Ventas!DA$32</f>
        <v>511649.793409268</v>
      </c>
      <c r="DB11" s="28" t="n">
        <f aca="false">Produccion_Ventas!DB$32</f>
        <v>511649.793409268</v>
      </c>
      <c r="DC11" s="28" t="n">
        <f aca="false">Produccion_Ventas!DC$32</f>
        <v>511649.793409268</v>
      </c>
      <c r="DD11" s="28" t="n">
        <f aca="false">Produccion_Ventas!DD$32</f>
        <v>511649.793409268</v>
      </c>
      <c r="DE11" s="28" t="n">
        <f aca="false">Produccion_Ventas!DE$32</f>
        <v>511649.793409268</v>
      </c>
      <c r="DF11" s="28" t="n">
        <f aca="false">Produccion_Ventas!DF$32</f>
        <v>511649.793409268</v>
      </c>
      <c r="DG11" s="28" t="n">
        <f aca="false">Produccion_Ventas!DG$32</f>
        <v>511649.793409268</v>
      </c>
      <c r="DH11" s="28" t="n">
        <f aca="false">Produccion_Ventas!DH$32</f>
        <v>511649.793409268</v>
      </c>
      <c r="DI11" s="28" t="n">
        <f aca="false">Produccion_Ventas!DI$32</f>
        <v>511649.793409268</v>
      </c>
      <c r="DJ11" s="28" t="n">
        <f aca="false">Produccion_Ventas!DJ$32</f>
        <v>511649.793409268</v>
      </c>
      <c r="DK11" s="28" t="n">
        <f aca="false">Produccion_Ventas!DK$32</f>
        <v>516766.291343361</v>
      </c>
      <c r="DL11" s="28" t="n">
        <f aca="false">Produccion_Ventas!DL$32</f>
        <v>516766.291343361</v>
      </c>
      <c r="DM11" s="28" t="n">
        <f aca="false">Produccion_Ventas!DM$32</f>
        <v>516766.291343361</v>
      </c>
      <c r="DN11" s="28" t="n">
        <f aca="false">Produccion_Ventas!DN$32</f>
        <v>516766.291343361</v>
      </c>
      <c r="DO11" s="28" t="n">
        <f aca="false">Produccion_Ventas!DO$32</f>
        <v>516766.291343361</v>
      </c>
      <c r="DP11" s="28" t="n">
        <f aca="false">Produccion_Ventas!DP$32</f>
        <v>516766.291343361</v>
      </c>
      <c r="DQ11" s="28" t="n">
        <f aca="false">Produccion_Ventas!DQ$32</f>
        <v>516766.291343361</v>
      </c>
      <c r="DR11" s="28" t="n">
        <f aca="false">Produccion_Ventas!DR$32</f>
        <v>516766.291343361</v>
      </c>
      <c r="DS11" s="28" t="n">
        <f aca="false">Produccion_Ventas!DS$32</f>
        <v>516766.291343361</v>
      </c>
      <c r="DT11" s="28" t="n">
        <f aca="false">Produccion_Ventas!DT$32</f>
        <v>516766.291343361</v>
      </c>
      <c r="DU11" s="28" t="n">
        <f aca="false">Produccion_Ventas!DU$32</f>
        <v>516766.291343361</v>
      </c>
      <c r="DV11" s="28" t="n">
        <f aca="false">Produccion_Ventas!DV$32</f>
        <v>516766.291343361</v>
      </c>
      <c r="DW11" s="28" t="n">
        <f aca="false">Produccion_Ventas!DW$32</f>
        <v>0</v>
      </c>
      <c r="DX11" s="28" t="n">
        <f aca="false">Produccion_Ventas!DX$32</f>
        <v>0</v>
      </c>
      <c r="DY11" s="28" t="n">
        <f aca="false">Produccion_Ventas!DY$32</f>
        <v>0</v>
      </c>
      <c r="DZ11" s="28" t="n">
        <f aca="false">Produccion_Ventas!DZ$32</f>
        <v>0</v>
      </c>
      <c r="EA11" s="28" t="n">
        <f aca="false">Produccion_Ventas!EA$32</f>
        <v>0</v>
      </c>
      <c r="EB11" s="28" t="n">
        <f aca="false">Produccion_Ventas!EB$32</f>
        <v>0</v>
      </c>
      <c r="EC11" s="28" t="n">
        <f aca="false">Produccion_Ventas!EC$32</f>
        <v>0</v>
      </c>
      <c r="ED11" s="28" t="n">
        <f aca="false">Produccion_Ventas!ED$32</f>
        <v>0</v>
      </c>
      <c r="EE11" s="28" t="n">
        <f aca="false">Produccion_Ventas!EE$32</f>
        <v>0</v>
      </c>
      <c r="EF11" s="28" t="n">
        <f aca="false">Produccion_Ventas!EF$32</f>
        <v>0</v>
      </c>
      <c r="EG11" s="28" t="n">
        <f aca="false">Produccion_Ventas!EG$32</f>
        <v>0</v>
      </c>
      <c r="EH11" s="28" t="n">
        <f aca="false">Produccion_Ventas!EH$32</f>
        <v>0</v>
      </c>
      <c r="EI11" s="28" t="n">
        <f aca="false">Produccion_Ventas!EI$32</f>
        <v>0</v>
      </c>
      <c r="EJ11" s="28" t="n">
        <f aca="false">Produccion_Ventas!EJ$32</f>
        <v>0</v>
      </c>
      <c r="EK11" s="28" t="n">
        <f aca="false">Produccion_Ventas!EK$32</f>
        <v>0</v>
      </c>
      <c r="EL11" s="28" t="n">
        <f aca="false">Produccion_Ventas!EL$32</f>
        <v>0</v>
      </c>
      <c r="EM11" s="28" t="n">
        <f aca="false">Produccion_Ventas!EM$32</f>
        <v>0</v>
      </c>
      <c r="EN11" s="28" t="n">
        <f aca="false">Produccion_Ventas!EN$32</f>
        <v>0</v>
      </c>
      <c r="EO11" s="28" t="n">
        <f aca="false">Produccion_Ventas!EO$32</f>
        <v>0</v>
      </c>
      <c r="EP11" s="28" t="n">
        <f aca="false">Produccion_Ventas!EP$32</f>
        <v>0</v>
      </c>
      <c r="EQ11" s="28" t="n">
        <f aca="false">Produccion_Ventas!EQ$32</f>
        <v>0</v>
      </c>
      <c r="ER11" s="28" t="n">
        <f aca="false">Produccion_Ventas!ER$32</f>
        <v>0</v>
      </c>
      <c r="ES11" s="28" t="n">
        <f aca="false">Produccion_Ventas!ES$32</f>
        <v>0</v>
      </c>
      <c r="ET11" s="28" t="n">
        <f aca="false">Produccion_Ventas!ET$32</f>
        <v>0</v>
      </c>
      <c r="EU11" s="28" t="n">
        <f aca="false">Produccion_Ventas!EU$32</f>
        <v>0</v>
      </c>
      <c r="EV11" s="28" t="n">
        <f aca="false">Produccion_Ventas!EV$32</f>
        <v>0</v>
      </c>
      <c r="EW11" s="28" t="n">
        <f aca="false">Produccion_Ventas!EW$32</f>
        <v>0</v>
      </c>
      <c r="EX11" s="28" t="n">
        <f aca="false">Produccion_Ventas!EX$32</f>
        <v>0</v>
      </c>
      <c r="EY11" s="28" t="n">
        <f aca="false">Produccion_Ventas!EY$32</f>
        <v>0</v>
      </c>
      <c r="EZ11" s="28" t="n">
        <f aca="false">Produccion_Ventas!EZ$32</f>
        <v>0</v>
      </c>
      <c r="FA11" s="28" t="n">
        <f aca="false">Produccion_Ventas!FA$32</f>
        <v>0</v>
      </c>
      <c r="FB11" s="28" t="n">
        <f aca="false">Produccion_Ventas!FB$32</f>
        <v>0</v>
      </c>
      <c r="FC11" s="28" t="n">
        <f aca="false">Produccion_Ventas!FC$32</f>
        <v>0</v>
      </c>
      <c r="FD11" s="28" t="n">
        <f aca="false">Produccion_Ventas!FD$32</f>
        <v>0</v>
      </c>
      <c r="FE11" s="28" t="n">
        <f aca="false">Produccion_Ventas!FE$32</f>
        <v>0</v>
      </c>
      <c r="FF11" s="28" t="n">
        <f aca="false">Produccion_Ventas!FF$32</f>
        <v>0</v>
      </c>
    </row>
    <row r="12" customFormat="false" ht="15" hidden="false" customHeight="false" outlineLevel="0" collapsed="false">
      <c r="A12" s="2" t="s">
        <v>1450</v>
      </c>
      <c r="B12" s="8" t="s">
        <v>1451</v>
      </c>
      <c r="C12" s="8" t="s">
        <v>255</v>
      </c>
      <c r="E12" s="65" t="n">
        <f aca="false">SUM($F12:$FF12)</f>
        <v>26794183.6134924</v>
      </c>
      <c r="F12" s="28" t="n">
        <f aca="false">Produccion_Ventas!F$53</f>
        <v>0</v>
      </c>
      <c r="G12" s="28" t="n">
        <f aca="false">Produccion_Ventas!G$53</f>
        <v>134166.666666667</v>
      </c>
      <c r="H12" s="28" t="n">
        <f aca="false">Produccion_Ventas!H$53</f>
        <v>134166.666666667</v>
      </c>
      <c r="I12" s="28" t="n">
        <f aca="false">Produccion_Ventas!I$53</f>
        <v>134166.666666667</v>
      </c>
      <c r="J12" s="28" t="n">
        <f aca="false">Produccion_Ventas!J$53</f>
        <v>134166.666666667</v>
      </c>
      <c r="K12" s="28" t="n">
        <f aca="false">Produccion_Ventas!K$53</f>
        <v>134166.666666667</v>
      </c>
      <c r="L12" s="28" t="n">
        <f aca="false">Produccion_Ventas!L$53</f>
        <v>134166.666666667</v>
      </c>
      <c r="M12" s="28" t="n">
        <f aca="false">Produccion_Ventas!M$53</f>
        <v>134166.666666667</v>
      </c>
      <c r="N12" s="28" t="n">
        <f aca="false">Produccion_Ventas!N$53</f>
        <v>134166.666666667</v>
      </c>
      <c r="O12" s="28" t="n">
        <f aca="false">Produccion_Ventas!O$53</f>
        <v>134166.666666667</v>
      </c>
      <c r="P12" s="28" t="n">
        <f aca="false">Produccion_Ventas!P$53</f>
        <v>134166.666666667</v>
      </c>
      <c r="Q12" s="28" t="n">
        <f aca="false">Produccion_Ventas!Q$53</f>
        <v>134166.666666667</v>
      </c>
      <c r="R12" s="28" t="n">
        <f aca="false">Produccion_Ventas!R$53</f>
        <v>134166.666666667</v>
      </c>
      <c r="S12" s="28" t="n">
        <f aca="false">Produccion_Ventas!S$53</f>
        <v>174225</v>
      </c>
      <c r="T12" s="28" t="n">
        <f aca="false">Produccion_Ventas!T$53</f>
        <v>174225</v>
      </c>
      <c r="U12" s="28" t="n">
        <f aca="false">Produccion_Ventas!U$53</f>
        <v>174225</v>
      </c>
      <c r="V12" s="28" t="n">
        <f aca="false">Produccion_Ventas!V$53</f>
        <v>174225</v>
      </c>
      <c r="W12" s="28" t="n">
        <f aca="false">Produccion_Ventas!W$53</f>
        <v>174225</v>
      </c>
      <c r="X12" s="28" t="n">
        <f aca="false">Produccion_Ventas!X$53</f>
        <v>174225</v>
      </c>
      <c r="Y12" s="28" t="n">
        <f aca="false">Produccion_Ventas!Y$53</f>
        <v>174225</v>
      </c>
      <c r="Z12" s="28" t="n">
        <f aca="false">Produccion_Ventas!Z$53</f>
        <v>174225</v>
      </c>
      <c r="AA12" s="28" t="n">
        <f aca="false">Produccion_Ventas!AA$53</f>
        <v>174225</v>
      </c>
      <c r="AB12" s="28" t="n">
        <f aca="false">Produccion_Ventas!AB$53</f>
        <v>174225</v>
      </c>
      <c r="AC12" s="28" t="n">
        <f aca="false">Produccion_Ventas!AC$53</f>
        <v>174225</v>
      </c>
      <c r="AD12" s="28" t="n">
        <f aca="false">Produccion_Ventas!AD$53</f>
        <v>174225</v>
      </c>
      <c r="AE12" s="28" t="n">
        <f aca="false">Produccion_Ventas!AE$53</f>
        <v>215071.083333333</v>
      </c>
      <c r="AF12" s="28" t="n">
        <f aca="false">Produccion_Ventas!AF$53</f>
        <v>215071.083333333</v>
      </c>
      <c r="AG12" s="28" t="n">
        <f aca="false">Produccion_Ventas!AG$53</f>
        <v>215071.083333333</v>
      </c>
      <c r="AH12" s="28" t="n">
        <f aca="false">Produccion_Ventas!AH$53</f>
        <v>215071.083333333</v>
      </c>
      <c r="AI12" s="28" t="n">
        <f aca="false">Produccion_Ventas!AI$53</f>
        <v>215071.083333333</v>
      </c>
      <c r="AJ12" s="28" t="n">
        <f aca="false">Produccion_Ventas!AJ$53</f>
        <v>215071.083333333</v>
      </c>
      <c r="AK12" s="28" t="n">
        <f aca="false">Produccion_Ventas!AK$53</f>
        <v>215071.083333333</v>
      </c>
      <c r="AL12" s="28" t="n">
        <f aca="false">Produccion_Ventas!AL$53</f>
        <v>215071.083333333</v>
      </c>
      <c r="AM12" s="28" t="n">
        <f aca="false">Produccion_Ventas!AM$53</f>
        <v>215071.083333333</v>
      </c>
      <c r="AN12" s="28" t="n">
        <f aca="false">Produccion_Ventas!AN$53</f>
        <v>215071.083333333</v>
      </c>
      <c r="AO12" s="28" t="n">
        <f aca="false">Produccion_Ventas!AO$53</f>
        <v>215071.083333333</v>
      </c>
      <c r="AP12" s="28" t="n">
        <f aca="false">Produccion_Ventas!AP$53</f>
        <v>215071.083333333</v>
      </c>
      <c r="AQ12" s="28" t="n">
        <f aca="false">Produccion_Ventas!AQ$53</f>
        <v>236969.23</v>
      </c>
      <c r="AR12" s="28" t="n">
        <f aca="false">Produccion_Ventas!AR$53</f>
        <v>236969.23</v>
      </c>
      <c r="AS12" s="28" t="n">
        <f aca="false">Produccion_Ventas!AS$53</f>
        <v>236969.23</v>
      </c>
      <c r="AT12" s="28" t="n">
        <f aca="false">Produccion_Ventas!AT$53</f>
        <v>236969.23</v>
      </c>
      <c r="AU12" s="28" t="n">
        <f aca="false">Produccion_Ventas!AU$53</f>
        <v>236969.23</v>
      </c>
      <c r="AV12" s="28" t="n">
        <f aca="false">Produccion_Ventas!AV$53</f>
        <v>236969.23</v>
      </c>
      <c r="AW12" s="28" t="n">
        <f aca="false">Produccion_Ventas!AW$53</f>
        <v>236969.23</v>
      </c>
      <c r="AX12" s="28" t="n">
        <f aca="false">Produccion_Ventas!AX$53</f>
        <v>236969.23</v>
      </c>
      <c r="AY12" s="28" t="n">
        <f aca="false">Produccion_Ventas!AY$53</f>
        <v>236969.23</v>
      </c>
      <c r="AZ12" s="28" t="n">
        <f aca="false">Produccion_Ventas!AZ$53</f>
        <v>236969.23</v>
      </c>
      <c r="BA12" s="28" t="n">
        <f aca="false">Produccion_Ventas!BA$53</f>
        <v>236969.23</v>
      </c>
      <c r="BB12" s="28" t="n">
        <f aca="false">Produccion_Ventas!BB$53</f>
        <v>236969.23</v>
      </c>
      <c r="BC12" s="28" t="n">
        <f aca="false">Produccion_Ventas!BC$53</f>
        <v>239338.9223</v>
      </c>
      <c r="BD12" s="28" t="n">
        <f aca="false">Produccion_Ventas!BD$53</f>
        <v>239338.9223</v>
      </c>
      <c r="BE12" s="28" t="n">
        <f aca="false">Produccion_Ventas!BE$53</f>
        <v>239338.9223</v>
      </c>
      <c r="BF12" s="28" t="n">
        <f aca="false">Produccion_Ventas!BF$53</f>
        <v>239338.9223</v>
      </c>
      <c r="BG12" s="28" t="n">
        <f aca="false">Produccion_Ventas!BG$53</f>
        <v>239338.9223</v>
      </c>
      <c r="BH12" s="28" t="n">
        <f aca="false">Produccion_Ventas!BH$53</f>
        <v>239338.9223</v>
      </c>
      <c r="BI12" s="28" t="n">
        <f aca="false">Produccion_Ventas!BI$53</f>
        <v>239338.9223</v>
      </c>
      <c r="BJ12" s="28" t="n">
        <f aca="false">Produccion_Ventas!BJ$53</f>
        <v>239338.9223</v>
      </c>
      <c r="BK12" s="28" t="n">
        <f aca="false">Produccion_Ventas!BK$53</f>
        <v>239338.9223</v>
      </c>
      <c r="BL12" s="28" t="n">
        <f aca="false">Produccion_Ventas!BL$53</f>
        <v>239338.9223</v>
      </c>
      <c r="BM12" s="28" t="n">
        <f aca="false">Produccion_Ventas!BM$53</f>
        <v>239338.9223</v>
      </c>
      <c r="BN12" s="28" t="n">
        <f aca="false">Produccion_Ventas!BN$53</f>
        <v>239338.9223</v>
      </c>
      <c r="BO12" s="28" t="n">
        <f aca="false">Produccion_Ventas!BO$53</f>
        <v>241732.311523</v>
      </c>
      <c r="BP12" s="28" t="n">
        <f aca="false">Produccion_Ventas!BP$53</f>
        <v>241732.311523</v>
      </c>
      <c r="BQ12" s="28" t="n">
        <f aca="false">Produccion_Ventas!BQ$53</f>
        <v>241732.311523</v>
      </c>
      <c r="BR12" s="28" t="n">
        <f aca="false">Produccion_Ventas!BR$53</f>
        <v>241732.311523</v>
      </c>
      <c r="BS12" s="28" t="n">
        <f aca="false">Produccion_Ventas!BS$53</f>
        <v>241732.311523</v>
      </c>
      <c r="BT12" s="28" t="n">
        <f aca="false">Produccion_Ventas!BT$53</f>
        <v>241732.311523</v>
      </c>
      <c r="BU12" s="28" t="n">
        <f aca="false">Produccion_Ventas!BU$53</f>
        <v>241732.311523</v>
      </c>
      <c r="BV12" s="28" t="n">
        <f aca="false">Produccion_Ventas!BV$53</f>
        <v>241732.311523</v>
      </c>
      <c r="BW12" s="28" t="n">
        <f aca="false">Produccion_Ventas!BW$53</f>
        <v>241732.311523</v>
      </c>
      <c r="BX12" s="28" t="n">
        <f aca="false">Produccion_Ventas!BX$53</f>
        <v>241732.311523</v>
      </c>
      <c r="BY12" s="28" t="n">
        <f aca="false">Produccion_Ventas!BY$53</f>
        <v>241732.311523</v>
      </c>
      <c r="BZ12" s="28" t="n">
        <f aca="false">Produccion_Ventas!BZ$53</f>
        <v>241732.311523</v>
      </c>
      <c r="CA12" s="28" t="n">
        <f aca="false">Produccion_Ventas!CA$53</f>
        <v>244149.63463823</v>
      </c>
      <c r="CB12" s="28" t="n">
        <f aca="false">Produccion_Ventas!CB$53</f>
        <v>244149.63463823</v>
      </c>
      <c r="CC12" s="28" t="n">
        <f aca="false">Produccion_Ventas!CC$53</f>
        <v>244149.63463823</v>
      </c>
      <c r="CD12" s="28" t="n">
        <f aca="false">Produccion_Ventas!CD$53</f>
        <v>244149.63463823</v>
      </c>
      <c r="CE12" s="28" t="n">
        <f aca="false">Produccion_Ventas!CE$53</f>
        <v>244149.63463823</v>
      </c>
      <c r="CF12" s="28" t="n">
        <f aca="false">Produccion_Ventas!CF$53</f>
        <v>244149.63463823</v>
      </c>
      <c r="CG12" s="28" t="n">
        <f aca="false">Produccion_Ventas!CG$53</f>
        <v>244149.63463823</v>
      </c>
      <c r="CH12" s="28" t="n">
        <f aca="false">Produccion_Ventas!CH$53</f>
        <v>244149.63463823</v>
      </c>
      <c r="CI12" s="28" t="n">
        <f aca="false">Produccion_Ventas!CI$53</f>
        <v>244149.63463823</v>
      </c>
      <c r="CJ12" s="28" t="n">
        <f aca="false">Produccion_Ventas!CJ$53</f>
        <v>244149.63463823</v>
      </c>
      <c r="CK12" s="28" t="n">
        <f aca="false">Produccion_Ventas!CK$53</f>
        <v>244149.63463823</v>
      </c>
      <c r="CL12" s="28" t="n">
        <f aca="false">Produccion_Ventas!CL$53</f>
        <v>244149.63463823</v>
      </c>
      <c r="CM12" s="28" t="n">
        <f aca="false">Produccion_Ventas!CM$53</f>
        <v>246591.130984612</v>
      </c>
      <c r="CN12" s="28" t="n">
        <f aca="false">Produccion_Ventas!CN$53</f>
        <v>246591.130984612</v>
      </c>
      <c r="CO12" s="28" t="n">
        <f aca="false">Produccion_Ventas!CO$53</f>
        <v>246591.130984612</v>
      </c>
      <c r="CP12" s="28" t="n">
        <f aca="false">Produccion_Ventas!CP$53</f>
        <v>246591.130984612</v>
      </c>
      <c r="CQ12" s="28" t="n">
        <f aca="false">Produccion_Ventas!CQ$53</f>
        <v>246591.130984612</v>
      </c>
      <c r="CR12" s="28" t="n">
        <f aca="false">Produccion_Ventas!CR$53</f>
        <v>246591.130984612</v>
      </c>
      <c r="CS12" s="28" t="n">
        <f aca="false">Produccion_Ventas!CS$53</f>
        <v>246591.130984612</v>
      </c>
      <c r="CT12" s="28" t="n">
        <f aca="false">Produccion_Ventas!CT$53</f>
        <v>246591.130984612</v>
      </c>
      <c r="CU12" s="28" t="n">
        <f aca="false">Produccion_Ventas!CU$53</f>
        <v>246591.130984612</v>
      </c>
      <c r="CV12" s="28" t="n">
        <f aca="false">Produccion_Ventas!CV$53</f>
        <v>246591.130984612</v>
      </c>
      <c r="CW12" s="28" t="n">
        <f aca="false">Produccion_Ventas!CW$53</f>
        <v>246591.130984612</v>
      </c>
      <c r="CX12" s="28" t="n">
        <f aca="false">Produccion_Ventas!CX$53</f>
        <v>246591.130984612</v>
      </c>
      <c r="CY12" s="28" t="n">
        <f aca="false">Produccion_Ventas!CY$53</f>
        <v>249057.042294458</v>
      </c>
      <c r="CZ12" s="28" t="n">
        <f aca="false">Produccion_Ventas!CZ$53</f>
        <v>249057.042294458</v>
      </c>
      <c r="DA12" s="28" t="n">
        <f aca="false">Produccion_Ventas!DA$53</f>
        <v>249057.042294458</v>
      </c>
      <c r="DB12" s="28" t="n">
        <f aca="false">Produccion_Ventas!DB$53</f>
        <v>249057.042294458</v>
      </c>
      <c r="DC12" s="28" t="n">
        <f aca="false">Produccion_Ventas!DC$53</f>
        <v>249057.042294458</v>
      </c>
      <c r="DD12" s="28" t="n">
        <f aca="false">Produccion_Ventas!DD$53</f>
        <v>249057.042294458</v>
      </c>
      <c r="DE12" s="28" t="n">
        <f aca="false">Produccion_Ventas!DE$53</f>
        <v>249057.042294458</v>
      </c>
      <c r="DF12" s="28" t="n">
        <f aca="false">Produccion_Ventas!DF$53</f>
        <v>249057.042294458</v>
      </c>
      <c r="DG12" s="28" t="n">
        <f aca="false">Produccion_Ventas!DG$53</f>
        <v>249057.042294458</v>
      </c>
      <c r="DH12" s="28" t="n">
        <f aca="false">Produccion_Ventas!DH$53</f>
        <v>249057.042294458</v>
      </c>
      <c r="DI12" s="28" t="n">
        <f aca="false">Produccion_Ventas!DI$53</f>
        <v>249057.042294458</v>
      </c>
      <c r="DJ12" s="28" t="n">
        <f aca="false">Produccion_Ventas!DJ$53</f>
        <v>249057.042294458</v>
      </c>
      <c r="DK12" s="28" t="n">
        <f aca="false">Produccion_Ventas!DK$53</f>
        <v>251547.612717403</v>
      </c>
      <c r="DL12" s="28" t="n">
        <f aca="false">Produccion_Ventas!DL$53</f>
        <v>251547.612717403</v>
      </c>
      <c r="DM12" s="28" t="n">
        <f aca="false">Produccion_Ventas!DM$53</f>
        <v>251547.612717403</v>
      </c>
      <c r="DN12" s="28" t="n">
        <f aca="false">Produccion_Ventas!DN$53</f>
        <v>251547.612717403</v>
      </c>
      <c r="DO12" s="28" t="n">
        <f aca="false">Produccion_Ventas!DO$53</f>
        <v>251547.612717403</v>
      </c>
      <c r="DP12" s="28" t="n">
        <f aca="false">Produccion_Ventas!DP$53</f>
        <v>251547.612717403</v>
      </c>
      <c r="DQ12" s="28" t="n">
        <f aca="false">Produccion_Ventas!DQ$53</f>
        <v>251547.612717403</v>
      </c>
      <c r="DR12" s="28" t="n">
        <f aca="false">Produccion_Ventas!DR$53</f>
        <v>251547.612717403</v>
      </c>
      <c r="DS12" s="28" t="n">
        <f aca="false">Produccion_Ventas!DS$53</f>
        <v>251547.612717403</v>
      </c>
      <c r="DT12" s="28" t="n">
        <f aca="false">Produccion_Ventas!DT$53</f>
        <v>251547.612717403</v>
      </c>
      <c r="DU12" s="28" t="n">
        <f aca="false">Produccion_Ventas!DU$53</f>
        <v>251547.612717403</v>
      </c>
      <c r="DV12" s="28" t="n">
        <f aca="false">Produccion_Ventas!DV$53</f>
        <v>251547.612717403</v>
      </c>
      <c r="DW12" s="28" t="n">
        <f aca="false">Produccion_Ventas!DW$53</f>
        <v>0</v>
      </c>
      <c r="DX12" s="28" t="n">
        <f aca="false">Produccion_Ventas!DX$53</f>
        <v>0</v>
      </c>
      <c r="DY12" s="28" t="n">
        <f aca="false">Produccion_Ventas!DY$53</f>
        <v>0</v>
      </c>
      <c r="DZ12" s="28" t="n">
        <f aca="false">Produccion_Ventas!DZ$53</f>
        <v>0</v>
      </c>
      <c r="EA12" s="28" t="n">
        <f aca="false">Produccion_Ventas!EA$53</f>
        <v>0</v>
      </c>
      <c r="EB12" s="28" t="n">
        <f aca="false">Produccion_Ventas!EB$53</f>
        <v>0</v>
      </c>
      <c r="EC12" s="28" t="n">
        <f aca="false">Produccion_Ventas!EC$53</f>
        <v>0</v>
      </c>
      <c r="ED12" s="28" t="n">
        <f aca="false">Produccion_Ventas!ED$53</f>
        <v>0</v>
      </c>
      <c r="EE12" s="28" t="n">
        <f aca="false">Produccion_Ventas!EE$53</f>
        <v>0</v>
      </c>
      <c r="EF12" s="28" t="n">
        <f aca="false">Produccion_Ventas!EF$53</f>
        <v>0</v>
      </c>
      <c r="EG12" s="28" t="n">
        <f aca="false">Produccion_Ventas!EG$53</f>
        <v>0</v>
      </c>
      <c r="EH12" s="28" t="n">
        <f aca="false">Produccion_Ventas!EH$53</f>
        <v>0</v>
      </c>
      <c r="EI12" s="28" t="n">
        <f aca="false">Produccion_Ventas!EI$53</f>
        <v>0</v>
      </c>
      <c r="EJ12" s="28" t="n">
        <f aca="false">Produccion_Ventas!EJ$53</f>
        <v>0</v>
      </c>
      <c r="EK12" s="28" t="n">
        <f aca="false">Produccion_Ventas!EK$53</f>
        <v>0</v>
      </c>
      <c r="EL12" s="28" t="n">
        <f aca="false">Produccion_Ventas!EL$53</f>
        <v>0</v>
      </c>
      <c r="EM12" s="28" t="n">
        <f aca="false">Produccion_Ventas!EM$53</f>
        <v>0</v>
      </c>
      <c r="EN12" s="28" t="n">
        <f aca="false">Produccion_Ventas!EN$53</f>
        <v>0</v>
      </c>
      <c r="EO12" s="28" t="n">
        <f aca="false">Produccion_Ventas!EO$53</f>
        <v>0</v>
      </c>
      <c r="EP12" s="28" t="n">
        <f aca="false">Produccion_Ventas!EP$53</f>
        <v>0</v>
      </c>
      <c r="EQ12" s="28" t="n">
        <f aca="false">Produccion_Ventas!EQ$53</f>
        <v>0</v>
      </c>
      <c r="ER12" s="28" t="n">
        <f aca="false">Produccion_Ventas!ER$53</f>
        <v>0</v>
      </c>
      <c r="ES12" s="28" t="n">
        <f aca="false">Produccion_Ventas!ES$53</f>
        <v>0</v>
      </c>
      <c r="ET12" s="28" t="n">
        <f aca="false">Produccion_Ventas!ET$53</f>
        <v>0</v>
      </c>
      <c r="EU12" s="28" t="n">
        <f aca="false">Produccion_Ventas!EU$53</f>
        <v>0</v>
      </c>
      <c r="EV12" s="28" t="n">
        <f aca="false">Produccion_Ventas!EV$53</f>
        <v>0</v>
      </c>
      <c r="EW12" s="28" t="n">
        <f aca="false">Produccion_Ventas!EW$53</f>
        <v>0</v>
      </c>
      <c r="EX12" s="28" t="n">
        <f aca="false">Produccion_Ventas!EX$53</f>
        <v>0</v>
      </c>
      <c r="EY12" s="28" t="n">
        <f aca="false">Produccion_Ventas!EY$53</f>
        <v>0</v>
      </c>
      <c r="EZ12" s="28" t="n">
        <f aca="false">Produccion_Ventas!EZ$53</f>
        <v>0</v>
      </c>
      <c r="FA12" s="28" t="n">
        <f aca="false">Produccion_Ventas!FA$53</f>
        <v>0</v>
      </c>
      <c r="FB12" s="28" t="n">
        <f aca="false">Produccion_Ventas!FB$53</f>
        <v>0</v>
      </c>
      <c r="FC12" s="28" t="n">
        <f aca="false">Produccion_Ventas!FC$53</f>
        <v>0</v>
      </c>
      <c r="FD12" s="28" t="n">
        <f aca="false">Produccion_Ventas!FD$53</f>
        <v>0</v>
      </c>
      <c r="FE12" s="28" t="n">
        <f aca="false">Produccion_Ventas!FE$53</f>
        <v>0</v>
      </c>
      <c r="FF12" s="28" t="n">
        <f aca="false">Produccion_Ventas!FF$53</f>
        <v>0</v>
      </c>
    </row>
    <row r="13" customFormat="false" ht="15" hidden="false" customHeight="false" outlineLevel="0" collapsed="false">
      <c r="A13" s="2" t="s">
        <v>1452</v>
      </c>
      <c r="B13" s="8" t="s">
        <v>1453</v>
      </c>
      <c r="C13" s="8" t="s">
        <v>255</v>
      </c>
      <c r="E13" s="65" t="n">
        <f aca="false">SUM($F13:$FF13)</f>
        <v>0</v>
      </c>
      <c r="F13" s="28" t="n">
        <f aca="false">Produccion_Ventas!F$56</f>
        <v>0</v>
      </c>
      <c r="G13" s="28" t="n">
        <f aca="false">Produccion_Ventas!G$56</f>
        <v>0</v>
      </c>
      <c r="H13" s="28" t="n">
        <f aca="false">Produccion_Ventas!H$56</f>
        <v>0</v>
      </c>
      <c r="I13" s="28" t="n">
        <f aca="false">Produccion_Ventas!I$56</f>
        <v>0</v>
      </c>
      <c r="J13" s="28" t="n">
        <f aca="false">Produccion_Ventas!J$56</f>
        <v>0</v>
      </c>
      <c r="K13" s="28" t="n">
        <f aca="false">Produccion_Ventas!K$56</f>
        <v>0</v>
      </c>
      <c r="L13" s="28" t="n">
        <f aca="false">Produccion_Ventas!L$56</f>
        <v>0</v>
      </c>
      <c r="M13" s="28" t="n">
        <f aca="false">Produccion_Ventas!M$56</f>
        <v>0</v>
      </c>
      <c r="N13" s="28" t="n">
        <f aca="false">Produccion_Ventas!N$56</f>
        <v>0</v>
      </c>
      <c r="O13" s="28" t="n">
        <f aca="false">Produccion_Ventas!O$56</f>
        <v>0</v>
      </c>
      <c r="P13" s="28" t="n">
        <f aca="false">Produccion_Ventas!P$56</f>
        <v>0</v>
      </c>
      <c r="Q13" s="28" t="n">
        <f aca="false">Produccion_Ventas!Q$56</f>
        <v>0</v>
      </c>
      <c r="R13" s="28" t="n">
        <f aca="false">Produccion_Ventas!R$56</f>
        <v>0</v>
      </c>
      <c r="S13" s="28" t="n">
        <f aca="false">Produccion_Ventas!S$56</f>
        <v>0</v>
      </c>
      <c r="T13" s="28" t="n">
        <f aca="false">Produccion_Ventas!T$56</f>
        <v>0</v>
      </c>
      <c r="U13" s="28" t="n">
        <f aca="false">Produccion_Ventas!U$56</f>
        <v>0</v>
      </c>
      <c r="V13" s="28" t="n">
        <f aca="false">Produccion_Ventas!V$56</f>
        <v>0</v>
      </c>
      <c r="W13" s="28" t="n">
        <f aca="false">Produccion_Ventas!W$56</f>
        <v>0</v>
      </c>
      <c r="X13" s="28" t="n">
        <f aca="false">Produccion_Ventas!X$56</f>
        <v>0</v>
      </c>
      <c r="Y13" s="28" t="n">
        <f aca="false">Produccion_Ventas!Y$56</f>
        <v>0</v>
      </c>
      <c r="Z13" s="28" t="n">
        <f aca="false">Produccion_Ventas!Z$56</f>
        <v>0</v>
      </c>
      <c r="AA13" s="28" t="n">
        <f aca="false">Produccion_Ventas!AA$56</f>
        <v>0</v>
      </c>
      <c r="AB13" s="28" t="n">
        <f aca="false">Produccion_Ventas!AB$56</f>
        <v>0</v>
      </c>
      <c r="AC13" s="28" t="n">
        <f aca="false">Produccion_Ventas!AC$56</f>
        <v>0</v>
      </c>
      <c r="AD13" s="28" t="n">
        <f aca="false">Produccion_Ventas!AD$56</f>
        <v>0</v>
      </c>
      <c r="AE13" s="28" t="n">
        <f aca="false">Produccion_Ventas!AE$56</f>
        <v>0</v>
      </c>
      <c r="AF13" s="28" t="n">
        <f aca="false">Produccion_Ventas!AF$56</f>
        <v>0</v>
      </c>
      <c r="AG13" s="28" t="n">
        <f aca="false">Produccion_Ventas!AG$56</f>
        <v>0</v>
      </c>
      <c r="AH13" s="28" t="n">
        <f aca="false">Produccion_Ventas!AH$56</f>
        <v>0</v>
      </c>
      <c r="AI13" s="28" t="n">
        <f aca="false">Produccion_Ventas!AI$56</f>
        <v>0</v>
      </c>
      <c r="AJ13" s="28" t="n">
        <f aca="false">Produccion_Ventas!AJ$56</f>
        <v>0</v>
      </c>
      <c r="AK13" s="28" t="n">
        <f aca="false">Produccion_Ventas!AK$56</f>
        <v>0</v>
      </c>
      <c r="AL13" s="28" t="n">
        <f aca="false">Produccion_Ventas!AL$56</f>
        <v>0</v>
      </c>
      <c r="AM13" s="28" t="n">
        <f aca="false">Produccion_Ventas!AM$56</f>
        <v>0</v>
      </c>
      <c r="AN13" s="28" t="n">
        <f aca="false">Produccion_Ventas!AN$56</f>
        <v>0</v>
      </c>
      <c r="AO13" s="28" t="n">
        <f aca="false">Produccion_Ventas!AO$56</f>
        <v>0</v>
      </c>
      <c r="AP13" s="28" t="n">
        <f aca="false">Produccion_Ventas!AP$56</f>
        <v>0</v>
      </c>
      <c r="AQ13" s="28" t="n">
        <f aca="false">Produccion_Ventas!AQ$56</f>
        <v>0</v>
      </c>
      <c r="AR13" s="28" t="n">
        <f aca="false">Produccion_Ventas!AR$56</f>
        <v>0</v>
      </c>
      <c r="AS13" s="28" t="n">
        <f aca="false">Produccion_Ventas!AS$56</f>
        <v>0</v>
      </c>
      <c r="AT13" s="28" t="n">
        <f aca="false">Produccion_Ventas!AT$56</f>
        <v>0</v>
      </c>
      <c r="AU13" s="28" t="n">
        <f aca="false">Produccion_Ventas!AU$56</f>
        <v>0</v>
      </c>
      <c r="AV13" s="28" t="n">
        <f aca="false">Produccion_Ventas!AV$56</f>
        <v>0</v>
      </c>
      <c r="AW13" s="28" t="n">
        <f aca="false">Produccion_Ventas!AW$56</f>
        <v>0</v>
      </c>
      <c r="AX13" s="28" t="n">
        <f aca="false">Produccion_Ventas!AX$56</f>
        <v>0</v>
      </c>
      <c r="AY13" s="28" t="n">
        <f aca="false">Produccion_Ventas!AY$56</f>
        <v>0</v>
      </c>
      <c r="AZ13" s="28" t="n">
        <f aca="false">Produccion_Ventas!AZ$56</f>
        <v>0</v>
      </c>
      <c r="BA13" s="28" t="n">
        <f aca="false">Produccion_Ventas!BA$56</f>
        <v>0</v>
      </c>
      <c r="BB13" s="28" t="n">
        <f aca="false">Produccion_Ventas!BB$56</f>
        <v>0</v>
      </c>
      <c r="BC13" s="28" t="n">
        <f aca="false">Produccion_Ventas!BC$56</f>
        <v>0</v>
      </c>
      <c r="BD13" s="28" t="n">
        <f aca="false">Produccion_Ventas!BD$56</f>
        <v>0</v>
      </c>
      <c r="BE13" s="28" t="n">
        <f aca="false">Produccion_Ventas!BE$56</f>
        <v>0</v>
      </c>
      <c r="BF13" s="28" t="n">
        <f aca="false">Produccion_Ventas!BF$56</f>
        <v>0</v>
      </c>
      <c r="BG13" s="28" t="n">
        <f aca="false">Produccion_Ventas!BG$56</f>
        <v>0</v>
      </c>
      <c r="BH13" s="28" t="n">
        <f aca="false">Produccion_Ventas!BH$56</f>
        <v>0</v>
      </c>
      <c r="BI13" s="28" t="n">
        <f aca="false">Produccion_Ventas!BI$56</f>
        <v>0</v>
      </c>
      <c r="BJ13" s="28" t="n">
        <f aca="false">Produccion_Ventas!BJ$56</f>
        <v>0</v>
      </c>
      <c r="BK13" s="28" t="n">
        <f aca="false">Produccion_Ventas!BK$56</f>
        <v>0</v>
      </c>
      <c r="BL13" s="28" t="n">
        <f aca="false">Produccion_Ventas!BL$56</f>
        <v>0</v>
      </c>
      <c r="BM13" s="28" t="n">
        <f aca="false">Produccion_Ventas!BM$56</f>
        <v>0</v>
      </c>
      <c r="BN13" s="28" t="n">
        <f aca="false">Produccion_Ventas!BN$56</f>
        <v>0</v>
      </c>
      <c r="BO13" s="28" t="n">
        <f aca="false">Produccion_Ventas!BO$56</f>
        <v>0</v>
      </c>
      <c r="BP13" s="28" t="n">
        <f aca="false">Produccion_Ventas!BP$56</f>
        <v>0</v>
      </c>
      <c r="BQ13" s="28" t="n">
        <f aca="false">Produccion_Ventas!BQ$56</f>
        <v>0</v>
      </c>
      <c r="BR13" s="28" t="n">
        <f aca="false">Produccion_Ventas!BR$56</f>
        <v>0</v>
      </c>
      <c r="BS13" s="28" t="n">
        <f aca="false">Produccion_Ventas!BS$56</f>
        <v>0</v>
      </c>
      <c r="BT13" s="28" t="n">
        <f aca="false">Produccion_Ventas!BT$56</f>
        <v>0</v>
      </c>
      <c r="BU13" s="28" t="n">
        <f aca="false">Produccion_Ventas!BU$56</f>
        <v>0</v>
      </c>
      <c r="BV13" s="28" t="n">
        <f aca="false">Produccion_Ventas!BV$56</f>
        <v>0</v>
      </c>
      <c r="BW13" s="28" t="n">
        <f aca="false">Produccion_Ventas!BW$56</f>
        <v>0</v>
      </c>
      <c r="BX13" s="28" t="n">
        <f aca="false">Produccion_Ventas!BX$56</f>
        <v>0</v>
      </c>
      <c r="BY13" s="28" t="n">
        <f aca="false">Produccion_Ventas!BY$56</f>
        <v>0</v>
      </c>
      <c r="BZ13" s="28" t="n">
        <f aca="false">Produccion_Ventas!BZ$56</f>
        <v>0</v>
      </c>
      <c r="CA13" s="28" t="n">
        <f aca="false">Produccion_Ventas!CA$56</f>
        <v>0</v>
      </c>
      <c r="CB13" s="28" t="n">
        <f aca="false">Produccion_Ventas!CB$56</f>
        <v>0</v>
      </c>
      <c r="CC13" s="28" t="n">
        <f aca="false">Produccion_Ventas!CC$56</f>
        <v>0</v>
      </c>
      <c r="CD13" s="28" t="n">
        <f aca="false">Produccion_Ventas!CD$56</f>
        <v>0</v>
      </c>
      <c r="CE13" s="28" t="n">
        <f aca="false">Produccion_Ventas!CE$56</f>
        <v>0</v>
      </c>
      <c r="CF13" s="28" t="n">
        <f aca="false">Produccion_Ventas!CF$56</f>
        <v>0</v>
      </c>
      <c r="CG13" s="28" t="n">
        <f aca="false">Produccion_Ventas!CG$56</f>
        <v>0</v>
      </c>
      <c r="CH13" s="28" t="n">
        <f aca="false">Produccion_Ventas!CH$56</f>
        <v>0</v>
      </c>
      <c r="CI13" s="28" t="n">
        <f aca="false">Produccion_Ventas!CI$56</f>
        <v>0</v>
      </c>
      <c r="CJ13" s="28" t="n">
        <f aca="false">Produccion_Ventas!CJ$56</f>
        <v>0</v>
      </c>
      <c r="CK13" s="28" t="n">
        <f aca="false">Produccion_Ventas!CK$56</f>
        <v>0</v>
      </c>
      <c r="CL13" s="28" t="n">
        <f aca="false">Produccion_Ventas!CL$56</f>
        <v>0</v>
      </c>
      <c r="CM13" s="28" t="n">
        <f aca="false">Produccion_Ventas!CM$56</f>
        <v>0</v>
      </c>
      <c r="CN13" s="28" t="n">
        <f aca="false">Produccion_Ventas!CN$56</f>
        <v>0</v>
      </c>
      <c r="CO13" s="28" t="n">
        <f aca="false">Produccion_Ventas!CO$56</f>
        <v>0</v>
      </c>
      <c r="CP13" s="28" t="n">
        <f aca="false">Produccion_Ventas!CP$56</f>
        <v>0</v>
      </c>
      <c r="CQ13" s="28" t="n">
        <f aca="false">Produccion_Ventas!CQ$56</f>
        <v>0</v>
      </c>
      <c r="CR13" s="28" t="n">
        <f aca="false">Produccion_Ventas!CR$56</f>
        <v>0</v>
      </c>
      <c r="CS13" s="28" t="n">
        <f aca="false">Produccion_Ventas!CS$56</f>
        <v>0</v>
      </c>
      <c r="CT13" s="28" t="n">
        <f aca="false">Produccion_Ventas!CT$56</f>
        <v>0</v>
      </c>
      <c r="CU13" s="28" t="n">
        <f aca="false">Produccion_Ventas!CU$56</f>
        <v>0</v>
      </c>
      <c r="CV13" s="28" t="n">
        <f aca="false">Produccion_Ventas!CV$56</f>
        <v>0</v>
      </c>
      <c r="CW13" s="28" t="n">
        <f aca="false">Produccion_Ventas!CW$56</f>
        <v>0</v>
      </c>
      <c r="CX13" s="28" t="n">
        <f aca="false">Produccion_Ventas!CX$56</f>
        <v>0</v>
      </c>
      <c r="CY13" s="28" t="n">
        <f aca="false">Produccion_Ventas!CY$56</f>
        <v>0</v>
      </c>
      <c r="CZ13" s="28" t="n">
        <f aca="false">Produccion_Ventas!CZ$56</f>
        <v>0</v>
      </c>
      <c r="DA13" s="28" t="n">
        <f aca="false">Produccion_Ventas!DA$56</f>
        <v>0</v>
      </c>
      <c r="DB13" s="28" t="n">
        <f aca="false">Produccion_Ventas!DB$56</f>
        <v>0</v>
      </c>
      <c r="DC13" s="28" t="n">
        <f aca="false">Produccion_Ventas!DC$56</f>
        <v>0</v>
      </c>
      <c r="DD13" s="28" t="n">
        <f aca="false">Produccion_Ventas!DD$56</f>
        <v>0</v>
      </c>
      <c r="DE13" s="28" t="n">
        <f aca="false">Produccion_Ventas!DE$56</f>
        <v>0</v>
      </c>
      <c r="DF13" s="28" t="n">
        <f aca="false">Produccion_Ventas!DF$56</f>
        <v>0</v>
      </c>
      <c r="DG13" s="28" t="n">
        <f aca="false">Produccion_Ventas!DG$56</f>
        <v>0</v>
      </c>
      <c r="DH13" s="28" t="n">
        <f aca="false">Produccion_Ventas!DH$56</f>
        <v>0</v>
      </c>
      <c r="DI13" s="28" t="n">
        <f aca="false">Produccion_Ventas!DI$56</f>
        <v>0</v>
      </c>
      <c r="DJ13" s="28" t="n">
        <f aca="false">Produccion_Ventas!DJ$56</f>
        <v>0</v>
      </c>
      <c r="DK13" s="28" t="n">
        <f aca="false">Produccion_Ventas!DK$56</f>
        <v>0</v>
      </c>
      <c r="DL13" s="28" t="n">
        <f aca="false">Produccion_Ventas!DL$56</f>
        <v>0</v>
      </c>
      <c r="DM13" s="28" t="n">
        <f aca="false">Produccion_Ventas!DM$56</f>
        <v>0</v>
      </c>
      <c r="DN13" s="28" t="n">
        <f aca="false">Produccion_Ventas!DN$56</f>
        <v>0</v>
      </c>
      <c r="DO13" s="28" t="n">
        <f aca="false">Produccion_Ventas!DO$56</f>
        <v>0</v>
      </c>
      <c r="DP13" s="28" t="n">
        <f aca="false">Produccion_Ventas!DP$56</f>
        <v>0</v>
      </c>
      <c r="DQ13" s="28" t="n">
        <f aca="false">Produccion_Ventas!DQ$56</f>
        <v>0</v>
      </c>
      <c r="DR13" s="28" t="n">
        <f aca="false">Produccion_Ventas!DR$56</f>
        <v>0</v>
      </c>
      <c r="DS13" s="28" t="n">
        <f aca="false">Produccion_Ventas!DS$56</f>
        <v>0</v>
      </c>
      <c r="DT13" s="28" t="n">
        <f aca="false">Produccion_Ventas!DT$56</f>
        <v>0</v>
      </c>
      <c r="DU13" s="28" t="n">
        <f aca="false">Produccion_Ventas!DU$56</f>
        <v>0</v>
      </c>
      <c r="DV13" s="28" t="n">
        <f aca="false">Produccion_Ventas!DV$56</f>
        <v>0</v>
      </c>
      <c r="DW13" s="28" t="n">
        <f aca="false">Produccion_Ventas!DW$56</f>
        <v>0</v>
      </c>
      <c r="DX13" s="28" t="n">
        <f aca="false">Produccion_Ventas!DX$56</f>
        <v>0</v>
      </c>
      <c r="DY13" s="28" t="n">
        <f aca="false">Produccion_Ventas!DY$56</f>
        <v>0</v>
      </c>
      <c r="DZ13" s="28" t="n">
        <f aca="false">Produccion_Ventas!DZ$56</f>
        <v>0</v>
      </c>
      <c r="EA13" s="28" t="n">
        <f aca="false">Produccion_Ventas!EA$56</f>
        <v>0</v>
      </c>
      <c r="EB13" s="28" t="n">
        <f aca="false">Produccion_Ventas!EB$56</f>
        <v>0</v>
      </c>
      <c r="EC13" s="28" t="n">
        <f aca="false">Produccion_Ventas!EC$56</f>
        <v>0</v>
      </c>
      <c r="ED13" s="28" t="n">
        <f aca="false">Produccion_Ventas!ED$56</f>
        <v>0</v>
      </c>
      <c r="EE13" s="28" t="n">
        <f aca="false">Produccion_Ventas!EE$56</f>
        <v>0</v>
      </c>
      <c r="EF13" s="28" t="n">
        <f aca="false">Produccion_Ventas!EF$56</f>
        <v>0</v>
      </c>
      <c r="EG13" s="28" t="n">
        <f aca="false">Produccion_Ventas!EG$56</f>
        <v>0</v>
      </c>
      <c r="EH13" s="28" t="n">
        <f aca="false">Produccion_Ventas!EH$56</f>
        <v>0</v>
      </c>
      <c r="EI13" s="28" t="n">
        <f aca="false">Produccion_Ventas!EI$56</f>
        <v>0</v>
      </c>
      <c r="EJ13" s="28" t="n">
        <f aca="false">Produccion_Ventas!EJ$56</f>
        <v>0</v>
      </c>
      <c r="EK13" s="28" t="n">
        <f aca="false">Produccion_Ventas!EK$56</f>
        <v>0</v>
      </c>
      <c r="EL13" s="28" t="n">
        <f aca="false">Produccion_Ventas!EL$56</f>
        <v>0</v>
      </c>
      <c r="EM13" s="28" t="n">
        <f aca="false">Produccion_Ventas!EM$56</f>
        <v>0</v>
      </c>
      <c r="EN13" s="28" t="n">
        <f aca="false">Produccion_Ventas!EN$56</f>
        <v>0</v>
      </c>
      <c r="EO13" s="28" t="n">
        <f aca="false">Produccion_Ventas!EO$56</f>
        <v>0</v>
      </c>
      <c r="EP13" s="28" t="n">
        <f aca="false">Produccion_Ventas!EP$56</f>
        <v>0</v>
      </c>
      <c r="EQ13" s="28" t="n">
        <f aca="false">Produccion_Ventas!EQ$56</f>
        <v>0</v>
      </c>
      <c r="ER13" s="28" t="n">
        <f aca="false">Produccion_Ventas!ER$56</f>
        <v>0</v>
      </c>
      <c r="ES13" s="28" t="n">
        <f aca="false">Produccion_Ventas!ES$56</f>
        <v>0</v>
      </c>
      <c r="ET13" s="28" t="n">
        <f aca="false">Produccion_Ventas!ET$56</f>
        <v>0</v>
      </c>
      <c r="EU13" s="28" t="n">
        <f aca="false">Produccion_Ventas!EU$56</f>
        <v>0</v>
      </c>
      <c r="EV13" s="28" t="n">
        <f aca="false">Produccion_Ventas!EV$56</f>
        <v>0</v>
      </c>
      <c r="EW13" s="28" t="n">
        <f aca="false">Produccion_Ventas!EW$56</f>
        <v>0</v>
      </c>
      <c r="EX13" s="28" t="n">
        <f aca="false">Produccion_Ventas!EX$56</f>
        <v>0</v>
      </c>
      <c r="EY13" s="28" t="n">
        <f aca="false">Produccion_Ventas!EY$56</f>
        <v>0</v>
      </c>
      <c r="EZ13" s="28" t="n">
        <f aca="false">Produccion_Ventas!EZ$56</f>
        <v>0</v>
      </c>
      <c r="FA13" s="28" t="n">
        <f aca="false">Produccion_Ventas!FA$56</f>
        <v>0</v>
      </c>
      <c r="FB13" s="28" t="n">
        <f aca="false">Produccion_Ventas!FB$56</f>
        <v>0</v>
      </c>
      <c r="FC13" s="28" t="n">
        <f aca="false">Produccion_Ventas!FC$56</f>
        <v>0</v>
      </c>
      <c r="FD13" s="28" t="n">
        <f aca="false">Produccion_Ventas!FD$56</f>
        <v>0</v>
      </c>
      <c r="FE13" s="28" t="n">
        <f aca="false">Produccion_Ventas!FE$56</f>
        <v>0</v>
      </c>
      <c r="FF13" s="28" t="n">
        <f aca="false">Produccion_Ventas!FF$56</f>
        <v>0</v>
      </c>
    </row>
    <row r="14" customFormat="false" ht="15" hidden="false" customHeight="false" outlineLevel="0" collapsed="false">
      <c r="A14" s="2" t="s">
        <v>1454</v>
      </c>
      <c r="B14" s="66" t="s">
        <v>1455</v>
      </c>
      <c r="C14" s="8" t="s">
        <v>255</v>
      </c>
      <c r="E14" s="67" t="n">
        <f aca="false">SUM($F14:$FF14)</f>
        <v>81222447.7216454</v>
      </c>
      <c r="F14" s="12" t="n">
        <f aca="false">F$11+F$12+F$13</f>
        <v>0</v>
      </c>
      <c r="G14" s="12" t="n">
        <f aca="false">G$11+G$12+G$13</f>
        <v>404166.666666667</v>
      </c>
      <c r="H14" s="12" t="n">
        <f aca="false">H$11+H$12+H$13</f>
        <v>404166.666666667</v>
      </c>
      <c r="I14" s="12" t="n">
        <f aca="false">I$11+I$12+I$13</f>
        <v>404166.666666667</v>
      </c>
      <c r="J14" s="12" t="n">
        <f aca="false">J$11+J$12+J$13</f>
        <v>404166.666666667</v>
      </c>
      <c r="K14" s="12" t="n">
        <f aca="false">K$11+K$12+K$13</f>
        <v>404166.666666667</v>
      </c>
      <c r="L14" s="12" t="n">
        <f aca="false">L$11+L$12+L$13</f>
        <v>404166.666666667</v>
      </c>
      <c r="M14" s="12" t="n">
        <f aca="false">M$11+M$12+M$13</f>
        <v>404166.666666667</v>
      </c>
      <c r="N14" s="12" t="n">
        <f aca="false">N$11+N$12+N$13</f>
        <v>404166.666666667</v>
      </c>
      <c r="O14" s="12" t="n">
        <f aca="false">O$11+O$12+O$13</f>
        <v>404166.666666667</v>
      </c>
      <c r="P14" s="12" t="n">
        <f aca="false">P$11+P$12+P$13</f>
        <v>404166.666666667</v>
      </c>
      <c r="Q14" s="12" t="n">
        <f aca="false">Q$11+Q$12+Q$13</f>
        <v>404166.666666667</v>
      </c>
      <c r="R14" s="12" t="n">
        <f aca="false">R$11+R$12+R$13</f>
        <v>404166.666666667</v>
      </c>
      <c r="S14" s="12" t="n">
        <f aca="false">S$11+S$12+S$13</f>
        <v>515100</v>
      </c>
      <c r="T14" s="12" t="n">
        <f aca="false">T$11+T$12+T$13</f>
        <v>515100</v>
      </c>
      <c r="U14" s="12" t="n">
        <f aca="false">U$11+U$12+U$13</f>
        <v>515100</v>
      </c>
      <c r="V14" s="12" t="n">
        <f aca="false">V$11+V$12+V$13</f>
        <v>515100</v>
      </c>
      <c r="W14" s="12" t="n">
        <f aca="false">W$11+W$12+W$13</f>
        <v>515100</v>
      </c>
      <c r="X14" s="12" t="n">
        <f aca="false">X$11+X$12+X$13</f>
        <v>515100</v>
      </c>
      <c r="Y14" s="12" t="n">
        <f aca="false">Y$11+Y$12+Y$13</f>
        <v>515100</v>
      </c>
      <c r="Z14" s="12" t="n">
        <f aca="false">Z$11+Z$12+Z$13</f>
        <v>515100</v>
      </c>
      <c r="AA14" s="12" t="n">
        <f aca="false">AA$11+AA$12+AA$13</f>
        <v>515100</v>
      </c>
      <c r="AB14" s="12" t="n">
        <f aca="false">AB$11+AB$12+AB$13</f>
        <v>515100</v>
      </c>
      <c r="AC14" s="12" t="n">
        <f aca="false">AC$11+AC$12+AC$13</f>
        <v>515100</v>
      </c>
      <c r="AD14" s="12" t="n">
        <f aca="false">AD$11+AD$12+AD$13</f>
        <v>515100</v>
      </c>
      <c r="AE14" s="12" t="n">
        <f aca="false">AE$11+AE$12+AE$13</f>
        <v>628211.583333333</v>
      </c>
      <c r="AF14" s="12" t="n">
        <f aca="false">AF$11+AF$12+AF$13</f>
        <v>628211.583333333</v>
      </c>
      <c r="AG14" s="12" t="n">
        <f aca="false">AG$11+AG$12+AG$13</f>
        <v>628211.583333333</v>
      </c>
      <c r="AH14" s="12" t="n">
        <f aca="false">AH$11+AH$12+AH$13</f>
        <v>628211.583333333</v>
      </c>
      <c r="AI14" s="12" t="n">
        <f aca="false">AI$11+AI$12+AI$13</f>
        <v>628211.583333333</v>
      </c>
      <c r="AJ14" s="12" t="n">
        <f aca="false">AJ$11+AJ$12+AJ$13</f>
        <v>628211.583333333</v>
      </c>
      <c r="AK14" s="12" t="n">
        <f aca="false">AK$11+AK$12+AK$13</f>
        <v>628211.583333333</v>
      </c>
      <c r="AL14" s="12" t="n">
        <f aca="false">AL$11+AL$12+AL$13</f>
        <v>628211.583333333</v>
      </c>
      <c r="AM14" s="12" t="n">
        <f aca="false">AM$11+AM$12+AM$13</f>
        <v>628211.583333333</v>
      </c>
      <c r="AN14" s="12" t="n">
        <f aca="false">AN$11+AN$12+AN$13</f>
        <v>628211.583333333</v>
      </c>
      <c r="AO14" s="12" t="n">
        <f aca="false">AO$11+AO$12+AO$13</f>
        <v>628211.583333333</v>
      </c>
      <c r="AP14" s="12" t="n">
        <f aca="false">AP$11+AP$12+AP$13</f>
        <v>628211.583333333</v>
      </c>
      <c r="AQ14" s="12" t="n">
        <f aca="false">AQ$11+AQ$12+AQ$13</f>
        <v>723786.4525</v>
      </c>
      <c r="AR14" s="12" t="n">
        <f aca="false">AR$11+AR$12+AR$13</f>
        <v>723786.4525</v>
      </c>
      <c r="AS14" s="12" t="n">
        <f aca="false">AS$11+AS$12+AS$13</f>
        <v>723786.4525</v>
      </c>
      <c r="AT14" s="12" t="n">
        <f aca="false">AT$11+AT$12+AT$13</f>
        <v>723786.4525</v>
      </c>
      <c r="AU14" s="12" t="n">
        <f aca="false">AU$11+AU$12+AU$13</f>
        <v>723786.4525</v>
      </c>
      <c r="AV14" s="12" t="n">
        <f aca="false">AV$11+AV$12+AV$13</f>
        <v>723786.4525</v>
      </c>
      <c r="AW14" s="12" t="n">
        <f aca="false">AW$11+AW$12+AW$13</f>
        <v>723786.4525</v>
      </c>
      <c r="AX14" s="12" t="n">
        <f aca="false">AX$11+AX$12+AX$13</f>
        <v>723786.4525</v>
      </c>
      <c r="AY14" s="12" t="n">
        <f aca="false">AY$11+AY$12+AY$13</f>
        <v>723786.4525</v>
      </c>
      <c r="AZ14" s="12" t="n">
        <f aca="false">AZ$11+AZ$12+AZ$13</f>
        <v>723786.4525</v>
      </c>
      <c r="BA14" s="12" t="n">
        <f aca="false">BA$11+BA$12+BA$13</f>
        <v>723786.4525</v>
      </c>
      <c r="BB14" s="12" t="n">
        <f aca="false">BB$11+BB$12+BB$13</f>
        <v>723786.4525</v>
      </c>
      <c r="BC14" s="12" t="n">
        <f aca="false">BC$11+BC$12+BC$13</f>
        <v>731024.317025</v>
      </c>
      <c r="BD14" s="12" t="n">
        <f aca="false">BD$11+BD$12+BD$13</f>
        <v>731024.317025</v>
      </c>
      <c r="BE14" s="12" t="n">
        <f aca="false">BE$11+BE$12+BE$13</f>
        <v>731024.317025</v>
      </c>
      <c r="BF14" s="12" t="n">
        <f aca="false">BF$11+BF$12+BF$13</f>
        <v>731024.317025</v>
      </c>
      <c r="BG14" s="12" t="n">
        <f aca="false">BG$11+BG$12+BG$13</f>
        <v>731024.317025</v>
      </c>
      <c r="BH14" s="12" t="n">
        <f aca="false">BH$11+BH$12+BH$13</f>
        <v>731024.317025</v>
      </c>
      <c r="BI14" s="12" t="n">
        <f aca="false">BI$11+BI$12+BI$13</f>
        <v>731024.317025</v>
      </c>
      <c r="BJ14" s="12" t="n">
        <f aca="false">BJ$11+BJ$12+BJ$13</f>
        <v>731024.317025</v>
      </c>
      <c r="BK14" s="12" t="n">
        <f aca="false">BK$11+BK$12+BK$13</f>
        <v>731024.317025</v>
      </c>
      <c r="BL14" s="12" t="n">
        <f aca="false">BL$11+BL$12+BL$13</f>
        <v>731024.317025</v>
      </c>
      <c r="BM14" s="12" t="n">
        <f aca="false">BM$11+BM$12+BM$13</f>
        <v>731024.317025</v>
      </c>
      <c r="BN14" s="12" t="n">
        <f aca="false">BN$11+BN$12+BN$13</f>
        <v>731024.317025</v>
      </c>
      <c r="BO14" s="12" t="n">
        <f aca="false">BO$11+BO$12+BO$13</f>
        <v>738334.56019525</v>
      </c>
      <c r="BP14" s="12" t="n">
        <f aca="false">BP$11+BP$12+BP$13</f>
        <v>738334.56019525</v>
      </c>
      <c r="BQ14" s="12" t="n">
        <f aca="false">BQ$11+BQ$12+BQ$13</f>
        <v>738334.56019525</v>
      </c>
      <c r="BR14" s="12" t="n">
        <f aca="false">BR$11+BR$12+BR$13</f>
        <v>738334.56019525</v>
      </c>
      <c r="BS14" s="12" t="n">
        <f aca="false">BS$11+BS$12+BS$13</f>
        <v>738334.56019525</v>
      </c>
      <c r="BT14" s="12" t="n">
        <f aca="false">BT$11+BT$12+BT$13</f>
        <v>738334.56019525</v>
      </c>
      <c r="BU14" s="12" t="n">
        <f aca="false">BU$11+BU$12+BU$13</f>
        <v>738334.56019525</v>
      </c>
      <c r="BV14" s="12" t="n">
        <f aca="false">BV$11+BV$12+BV$13</f>
        <v>738334.56019525</v>
      </c>
      <c r="BW14" s="12" t="n">
        <f aca="false">BW$11+BW$12+BW$13</f>
        <v>738334.56019525</v>
      </c>
      <c r="BX14" s="12" t="n">
        <f aca="false">BX$11+BX$12+BX$13</f>
        <v>738334.56019525</v>
      </c>
      <c r="BY14" s="12" t="n">
        <f aca="false">BY$11+BY$12+BY$13</f>
        <v>738334.56019525</v>
      </c>
      <c r="BZ14" s="12" t="n">
        <f aca="false">BZ$11+BZ$12+BZ$13</f>
        <v>738334.56019525</v>
      </c>
      <c r="CA14" s="12" t="n">
        <f aca="false">CA$11+CA$12+CA$13</f>
        <v>745717.905797203</v>
      </c>
      <c r="CB14" s="12" t="n">
        <f aca="false">CB$11+CB$12+CB$13</f>
        <v>745717.905797203</v>
      </c>
      <c r="CC14" s="12" t="n">
        <f aca="false">CC$11+CC$12+CC$13</f>
        <v>745717.905797203</v>
      </c>
      <c r="CD14" s="12" t="n">
        <f aca="false">CD$11+CD$12+CD$13</f>
        <v>745717.905797203</v>
      </c>
      <c r="CE14" s="12" t="n">
        <f aca="false">CE$11+CE$12+CE$13</f>
        <v>745717.905797203</v>
      </c>
      <c r="CF14" s="12" t="n">
        <f aca="false">CF$11+CF$12+CF$13</f>
        <v>745717.905797203</v>
      </c>
      <c r="CG14" s="12" t="n">
        <f aca="false">CG$11+CG$12+CG$13</f>
        <v>745717.905797203</v>
      </c>
      <c r="CH14" s="12" t="n">
        <f aca="false">CH$11+CH$12+CH$13</f>
        <v>745717.905797203</v>
      </c>
      <c r="CI14" s="12" t="n">
        <f aca="false">CI$11+CI$12+CI$13</f>
        <v>745717.905797203</v>
      </c>
      <c r="CJ14" s="12" t="n">
        <f aca="false">CJ$11+CJ$12+CJ$13</f>
        <v>745717.905797203</v>
      </c>
      <c r="CK14" s="12" t="n">
        <f aca="false">CK$11+CK$12+CK$13</f>
        <v>745717.905797203</v>
      </c>
      <c r="CL14" s="12" t="n">
        <f aca="false">CL$11+CL$12+CL$13</f>
        <v>745717.905797203</v>
      </c>
      <c r="CM14" s="12" t="n">
        <f aca="false">CM$11+CM$12+CM$13</f>
        <v>753175.084855175</v>
      </c>
      <c r="CN14" s="12" t="n">
        <f aca="false">CN$11+CN$12+CN$13</f>
        <v>753175.084855175</v>
      </c>
      <c r="CO14" s="12" t="n">
        <f aca="false">CO$11+CO$12+CO$13</f>
        <v>753175.084855175</v>
      </c>
      <c r="CP14" s="12" t="n">
        <f aca="false">CP$11+CP$12+CP$13</f>
        <v>753175.084855175</v>
      </c>
      <c r="CQ14" s="12" t="n">
        <f aca="false">CQ$11+CQ$12+CQ$13</f>
        <v>753175.084855175</v>
      </c>
      <c r="CR14" s="12" t="n">
        <f aca="false">CR$11+CR$12+CR$13</f>
        <v>753175.084855175</v>
      </c>
      <c r="CS14" s="12" t="n">
        <f aca="false">CS$11+CS$12+CS$13</f>
        <v>753175.084855175</v>
      </c>
      <c r="CT14" s="12" t="n">
        <f aca="false">CT$11+CT$12+CT$13</f>
        <v>753175.084855175</v>
      </c>
      <c r="CU14" s="12" t="n">
        <f aca="false">CU$11+CU$12+CU$13</f>
        <v>753175.084855175</v>
      </c>
      <c r="CV14" s="12" t="n">
        <f aca="false">CV$11+CV$12+CV$13</f>
        <v>753175.084855175</v>
      </c>
      <c r="CW14" s="12" t="n">
        <f aca="false">CW$11+CW$12+CW$13</f>
        <v>753175.084855175</v>
      </c>
      <c r="CX14" s="12" t="n">
        <f aca="false">CX$11+CX$12+CX$13</f>
        <v>753175.084855175</v>
      </c>
      <c r="CY14" s="12" t="n">
        <f aca="false">CY$11+CY$12+CY$13</f>
        <v>760706.835703726</v>
      </c>
      <c r="CZ14" s="12" t="n">
        <f aca="false">CZ$11+CZ$12+CZ$13</f>
        <v>760706.835703726</v>
      </c>
      <c r="DA14" s="12" t="n">
        <f aca="false">DA$11+DA$12+DA$13</f>
        <v>760706.835703726</v>
      </c>
      <c r="DB14" s="12" t="n">
        <f aca="false">DB$11+DB$12+DB$13</f>
        <v>760706.835703726</v>
      </c>
      <c r="DC14" s="12" t="n">
        <f aca="false">DC$11+DC$12+DC$13</f>
        <v>760706.835703726</v>
      </c>
      <c r="DD14" s="12" t="n">
        <f aca="false">DD$11+DD$12+DD$13</f>
        <v>760706.835703726</v>
      </c>
      <c r="DE14" s="12" t="n">
        <f aca="false">DE$11+DE$12+DE$13</f>
        <v>760706.835703726</v>
      </c>
      <c r="DF14" s="12" t="n">
        <f aca="false">DF$11+DF$12+DF$13</f>
        <v>760706.835703726</v>
      </c>
      <c r="DG14" s="12" t="n">
        <f aca="false">DG$11+DG$12+DG$13</f>
        <v>760706.835703726</v>
      </c>
      <c r="DH14" s="12" t="n">
        <f aca="false">DH$11+DH$12+DH$13</f>
        <v>760706.835703726</v>
      </c>
      <c r="DI14" s="12" t="n">
        <f aca="false">DI$11+DI$12+DI$13</f>
        <v>760706.835703726</v>
      </c>
      <c r="DJ14" s="12" t="n">
        <f aca="false">DJ$11+DJ$12+DJ$13</f>
        <v>760706.835703726</v>
      </c>
      <c r="DK14" s="12" t="n">
        <f aca="false">DK$11+DK$12+DK$13</f>
        <v>768313.904060764</v>
      </c>
      <c r="DL14" s="12" t="n">
        <f aca="false">DL$11+DL$12+DL$13</f>
        <v>768313.904060764</v>
      </c>
      <c r="DM14" s="12" t="n">
        <f aca="false">DM$11+DM$12+DM$13</f>
        <v>768313.904060764</v>
      </c>
      <c r="DN14" s="12" t="n">
        <f aca="false">DN$11+DN$12+DN$13</f>
        <v>768313.904060764</v>
      </c>
      <c r="DO14" s="12" t="n">
        <f aca="false">DO$11+DO$12+DO$13</f>
        <v>768313.904060764</v>
      </c>
      <c r="DP14" s="12" t="n">
        <f aca="false">DP$11+DP$12+DP$13</f>
        <v>768313.904060764</v>
      </c>
      <c r="DQ14" s="12" t="n">
        <f aca="false">DQ$11+DQ$12+DQ$13</f>
        <v>768313.904060764</v>
      </c>
      <c r="DR14" s="12" t="n">
        <f aca="false">DR$11+DR$12+DR$13</f>
        <v>768313.904060764</v>
      </c>
      <c r="DS14" s="12" t="n">
        <f aca="false">DS$11+DS$12+DS$13</f>
        <v>768313.904060764</v>
      </c>
      <c r="DT14" s="12" t="n">
        <f aca="false">DT$11+DT$12+DT$13</f>
        <v>768313.904060764</v>
      </c>
      <c r="DU14" s="12" t="n">
        <f aca="false">DU$11+DU$12+DU$13</f>
        <v>768313.904060764</v>
      </c>
      <c r="DV14" s="12" t="n">
        <f aca="false">DV$11+DV$12+DV$13</f>
        <v>768313.904060764</v>
      </c>
      <c r="DW14" s="12" t="n">
        <f aca="false">DW$11+DW$12+DW$13</f>
        <v>0</v>
      </c>
      <c r="DX14" s="12" t="n">
        <f aca="false">DX$11+DX$12+DX$13</f>
        <v>0</v>
      </c>
      <c r="DY14" s="12" t="n">
        <f aca="false">DY$11+DY$12+DY$13</f>
        <v>0</v>
      </c>
      <c r="DZ14" s="12" t="n">
        <f aca="false">DZ$11+DZ$12+DZ$13</f>
        <v>0</v>
      </c>
      <c r="EA14" s="12" t="n">
        <f aca="false">EA$11+EA$12+EA$13</f>
        <v>0</v>
      </c>
      <c r="EB14" s="12" t="n">
        <f aca="false">EB$11+EB$12+EB$13</f>
        <v>0</v>
      </c>
      <c r="EC14" s="12" t="n">
        <f aca="false">EC$11+EC$12+EC$13</f>
        <v>0</v>
      </c>
      <c r="ED14" s="12" t="n">
        <f aca="false">ED$11+ED$12+ED$13</f>
        <v>0</v>
      </c>
      <c r="EE14" s="12" t="n">
        <f aca="false">EE$11+EE$12+EE$13</f>
        <v>0</v>
      </c>
      <c r="EF14" s="12" t="n">
        <f aca="false">EF$11+EF$12+EF$13</f>
        <v>0</v>
      </c>
      <c r="EG14" s="12" t="n">
        <f aca="false">EG$11+EG$12+EG$13</f>
        <v>0</v>
      </c>
      <c r="EH14" s="12" t="n">
        <f aca="false">EH$11+EH$12+EH$13</f>
        <v>0</v>
      </c>
      <c r="EI14" s="12" t="n">
        <f aca="false">EI$11+EI$12+EI$13</f>
        <v>0</v>
      </c>
      <c r="EJ14" s="12" t="n">
        <f aca="false">EJ$11+EJ$12+EJ$13</f>
        <v>0</v>
      </c>
      <c r="EK14" s="12" t="n">
        <f aca="false">EK$11+EK$12+EK$13</f>
        <v>0</v>
      </c>
      <c r="EL14" s="12" t="n">
        <f aca="false">EL$11+EL$12+EL$13</f>
        <v>0</v>
      </c>
      <c r="EM14" s="12" t="n">
        <f aca="false">EM$11+EM$12+EM$13</f>
        <v>0</v>
      </c>
      <c r="EN14" s="12" t="n">
        <f aca="false">EN$11+EN$12+EN$13</f>
        <v>0</v>
      </c>
      <c r="EO14" s="12" t="n">
        <f aca="false">EO$11+EO$12+EO$13</f>
        <v>0</v>
      </c>
      <c r="EP14" s="12" t="n">
        <f aca="false">EP$11+EP$12+EP$13</f>
        <v>0</v>
      </c>
      <c r="EQ14" s="12" t="n">
        <f aca="false">EQ$11+EQ$12+EQ$13</f>
        <v>0</v>
      </c>
      <c r="ER14" s="12" t="n">
        <f aca="false">ER$11+ER$12+ER$13</f>
        <v>0</v>
      </c>
      <c r="ES14" s="12" t="n">
        <f aca="false">ES$11+ES$12+ES$13</f>
        <v>0</v>
      </c>
      <c r="ET14" s="12" t="n">
        <f aca="false">ET$11+ET$12+ET$13</f>
        <v>0</v>
      </c>
      <c r="EU14" s="12" t="n">
        <f aca="false">EU$11+EU$12+EU$13</f>
        <v>0</v>
      </c>
      <c r="EV14" s="12" t="n">
        <f aca="false">EV$11+EV$12+EV$13</f>
        <v>0</v>
      </c>
      <c r="EW14" s="12" t="n">
        <f aca="false">EW$11+EW$12+EW$13</f>
        <v>0</v>
      </c>
      <c r="EX14" s="12" t="n">
        <f aca="false">EX$11+EX$12+EX$13</f>
        <v>0</v>
      </c>
      <c r="EY14" s="12" t="n">
        <f aca="false">EY$11+EY$12+EY$13</f>
        <v>0</v>
      </c>
      <c r="EZ14" s="12" t="n">
        <f aca="false">EZ$11+EZ$12+EZ$13</f>
        <v>0</v>
      </c>
      <c r="FA14" s="12" t="n">
        <f aca="false">FA$11+FA$12+FA$13</f>
        <v>0</v>
      </c>
      <c r="FB14" s="12" t="n">
        <f aca="false">FB$11+FB$12+FB$13</f>
        <v>0</v>
      </c>
      <c r="FC14" s="12" t="n">
        <f aca="false">FC$11+FC$12+FC$13</f>
        <v>0</v>
      </c>
      <c r="FD14" s="12" t="n">
        <f aca="false">FD$11+FD$12+FD$13</f>
        <v>0</v>
      </c>
      <c r="FE14" s="12" t="n">
        <f aca="false">FE$11+FE$12+FE$13</f>
        <v>0</v>
      </c>
      <c r="FF14" s="12" t="n">
        <f aca="false">FF$11+FF$12+FF$13</f>
        <v>0</v>
      </c>
    </row>
    <row r="15" customFormat="false" ht="15" hidden="false" customHeight="false" outlineLevel="0" collapsed="false">
      <c r="A15" s="2" t="s">
        <v>1456</v>
      </c>
      <c r="B15" s="8" t="s">
        <v>1457</v>
      </c>
      <c r="C15" s="8" t="s">
        <v>255</v>
      </c>
      <c r="E15" s="65" t="n">
        <f aca="false">SUM($F15:$FF15)</f>
        <v>40937334.0114229</v>
      </c>
      <c r="F15" s="13" t="n">
        <f aca="false">Costos_Personal!F$110+Costos_Personal!F$111+Costos_Personal!F$112</f>
        <v>0</v>
      </c>
      <c r="G15" s="13" t="n">
        <f aca="false">Costos_Personal!G$110+Costos_Personal!G$111+Costos_Personal!G$112</f>
        <v>275949.719178082</v>
      </c>
      <c r="H15" s="13" t="n">
        <f aca="false">Costos_Personal!H$110+Costos_Personal!H$111+Costos_Personal!H$112</f>
        <v>207673.5</v>
      </c>
      <c r="I15" s="13" t="n">
        <f aca="false">Costos_Personal!I$110+Costos_Personal!I$111+Costos_Personal!I$112</f>
        <v>207673.5</v>
      </c>
      <c r="J15" s="13" t="n">
        <f aca="false">Costos_Personal!J$110+Costos_Personal!J$111+Costos_Personal!J$112</f>
        <v>207673.5</v>
      </c>
      <c r="K15" s="13" t="n">
        <f aca="false">Costos_Personal!K$110+Costos_Personal!K$111+Costos_Personal!K$112</f>
        <v>207673.5</v>
      </c>
      <c r="L15" s="13" t="n">
        <f aca="false">Costos_Personal!L$110+Costos_Personal!L$111+Costos_Personal!L$112</f>
        <v>207673.5</v>
      </c>
      <c r="M15" s="13" t="n">
        <f aca="false">Costos_Personal!M$110+Costos_Personal!M$111+Costos_Personal!M$112</f>
        <v>207673.5</v>
      </c>
      <c r="N15" s="13" t="n">
        <f aca="false">Costos_Personal!N$110+Costos_Personal!N$111+Costos_Personal!N$112</f>
        <v>207673.5</v>
      </c>
      <c r="O15" s="13" t="n">
        <f aca="false">Costos_Personal!O$110+Costos_Personal!O$111+Costos_Personal!O$112</f>
        <v>207673.5</v>
      </c>
      <c r="P15" s="13" t="n">
        <f aca="false">Costos_Personal!P$110+Costos_Personal!P$111+Costos_Personal!P$112</f>
        <v>207673.5</v>
      </c>
      <c r="Q15" s="13" t="n">
        <f aca="false">Costos_Personal!Q$110+Costos_Personal!Q$111+Costos_Personal!Q$112</f>
        <v>207673.5</v>
      </c>
      <c r="R15" s="13" t="n">
        <f aca="false">Costos_Personal!R$110+Costos_Personal!R$111+Costos_Personal!R$112</f>
        <v>225626.869863014</v>
      </c>
      <c r="S15" s="13" t="n">
        <f aca="false">Costos_Personal!S$110+Costos_Personal!S$111+Costos_Personal!S$112</f>
        <v>263870.541666667</v>
      </c>
      <c r="T15" s="13" t="n">
        <f aca="false">Costos_Personal!T$110+Costos_Personal!T$111+Costos_Personal!T$112</f>
        <v>263870.541666667</v>
      </c>
      <c r="U15" s="13" t="n">
        <f aca="false">Costos_Personal!U$110+Costos_Personal!U$111+Costos_Personal!U$112</f>
        <v>263870.541666667</v>
      </c>
      <c r="V15" s="13" t="n">
        <f aca="false">Costos_Personal!V$110+Costos_Personal!V$111+Costos_Personal!V$112</f>
        <v>263870.541666667</v>
      </c>
      <c r="W15" s="13" t="n">
        <f aca="false">Costos_Personal!W$110+Costos_Personal!W$111+Costos_Personal!W$112</f>
        <v>263870.541666667</v>
      </c>
      <c r="X15" s="13" t="n">
        <f aca="false">Costos_Personal!X$110+Costos_Personal!X$111+Costos_Personal!X$112</f>
        <v>263870.541666667</v>
      </c>
      <c r="Y15" s="13" t="n">
        <f aca="false">Costos_Personal!Y$110+Costos_Personal!Y$111+Costos_Personal!Y$112</f>
        <v>263870.541666667</v>
      </c>
      <c r="Z15" s="13" t="n">
        <f aca="false">Costos_Personal!Z$110+Costos_Personal!Z$111+Costos_Personal!Z$112</f>
        <v>263870.541666667</v>
      </c>
      <c r="AA15" s="13" t="n">
        <f aca="false">Costos_Personal!AA$110+Costos_Personal!AA$111+Costos_Personal!AA$112</f>
        <v>263870.541666667</v>
      </c>
      <c r="AB15" s="13" t="n">
        <f aca="false">Costos_Personal!AB$110+Costos_Personal!AB$111+Costos_Personal!AB$112</f>
        <v>263870.541666667</v>
      </c>
      <c r="AC15" s="13" t="n">
        <f aca="false">Costos_Personal!AC$110+Costos_Personal!AC$111+Costos_Personal!AC$112</f>
        <v>263870.541666667</v>
      </c>
      <c r="AD15" s="13" t="n">
        <f aca="false">Costos_Personal!AD$110+Costos_Personal!AD$111+Costos_Personal!AD$112</f>
        <v>281932.445776256</v>
      </c>
      <c r="AE15" s="13" t="n">
        <f aca="false">Costos_Personal!AE$110+Costos_Personal!AE$111+Costos_Personal!AE$112</f>
        <v>320747.023333333</v>
      </c>
      <c r="AF15" s="13" t="n">
        <f aca="false">Costos_Personal!AF$110+Costos_Personal!AF$111+Costos_Personal!AF$112</f>
        <v>320747.023333333</v>
      </c>
      <c r="AG15" s="13" t="n">
        <f aca="false">Costos_Personal!AG$110+Costos_Personal!AG$111+Costos_Personal!AG$112</f>
        <v>320747.023333333</v>
      </c>
      <c r="AH15" s="13" t="n">
        <f aca="false">Costos_Personal!AH$110+Costos_Personal!AH$111+Costos_Personal!AH$112</f>
        <v>320747.023333333</v>
      </c>
      <c r="AI15" s="13" t="n">
        <f aca="false">Costos_Personal!AI$110+Costos_Personal!AI$111+Costos_Personal!AI$112</f>
        <v>320747.023333333</v>
      </c>
      <c r="AJ15" s="13" t="n">
        <f aca="false">Costos_Personal!AJ$110+Costos_Personal!AJ$111+Costos_Personal!AJ$112</f>
        <v>320747.023333333</v>
      </c>
      <c r="AK15" s="13" t="n">
        <f aca="false">Costos_Personal!AK$110+Costos_Personal!AK$111+Costos_Personal!AK$112</f>
        <v>320747.023333333</v>
      </c>
      <c r="AL15" s="13" t="n">
        <f aca="false">Costos_Personal!AL$110+Costos_Personal!AL$111+Costos_Personal!AL$112</f>
        <v>320747.023333333</v>
      </c>
      <c r="AM15" s="13" t="n">
        <f aca="false">Costos_Personal!AM$110+Costos_Personal!AM$111+Costos_Personal!AM$112</f>
        <v>320747.023333333</v>
      </c>
      <c r="AN15" s="13" t="n">
        <f aca="false">Costos_Personal!AN$110+Costos_Personal!AN$111+Costos_Personal!AN$112</f>
        <v>320747.023333333</v>
      </c>
      <c r="AO15" s="13" t="n">
        <f aca="false">Costos_Personal!AO$110+Costos_Personal!AO$111+Costos_Personal!AO$112</f>
        <v>320747.023333333</v>
      </c>
      <c r="AP15" s="13" t="n">
        <f aca="false">Costos_Personal!AP$110+Costos_Personal!AP$111+Costos_Personal!AP$112</f>
        <v>335340.481004566</v>
      </c>
      <c r="AQ15" s="13" t="n">
        <f aca="false">Costos_Personal!AQ$110+Costos_Personal!AQ$111+Costos_Personal!AQ$112</f>
        <v>367366.798320833</v>
      </c>
      <c r="AR15" s="13" t="n">
        <f aca="false">Costos_Personal!AR$110+Costos_Personal!AR$111+Costos_Personal!AR$112</f>
        <v>367366.798320833</v>
      </c>
      <c r="AS15" s="13" t="n">
        <f aca="false">Costos_Personal!AS$110+Costos_Personal!AS$111+Costos_Personal!AS$112</f>
        <v>367366.798320833</v>
      </c>
      <c r="AT15" s="13" t="n">
        <f aca="false">Costos_Personal!AT$110+Costos_Personal!AT$111+Costos_Personal!AT$112</f>
        <v>367366.798320833</v>
      </c>
      <c r="AU15" s="13" t="n">
        <f aca="false">Costos_Personal!AU$110+Costos_Personal!AU$111+Costos_Personal!AU$112</f>
        <v>367366.798320833</v>
      </c>
      <c r="AV15" s="13" t="n">
        <f aca="false">Costos_Personal!AV$110+Costos_Personal!AV$111+Costos_Personal!AV$112</f>
        <v>367366.798320833</v>
      </c>
      <c r="AW15" s="13" t="n">
        <f aca="false">Costos_Personal!AW$110+Costos_Personal!AW$111+Costos_Personal!AW$112</f>
        <v>367366.798320833</v>
      </c>
      <c r="AX15" s="13" t="n">
        <f aca="false">Costos_Personal!AX$110+Costos_Personal!AX$111+Costos_Personal!AX$112</f>
        <v>367366.798320833</v>
      </c>
      <c r="AY15" s="13" t="n">
        <f aca="false">Costos_Personal!AY$110+Costos_Personal!AY$111+Costos_Personal!AY$112</f>
        <v>367366.798320833</v>
      </c>
      <c r="AZ15" s="13" t="n">
        <f aca="false">Costos_Personal!AZ$110+Costos_Personal!AZ$111+Costos_Personal!AZ$112</f>
        <v>367366.798320833</v>
      </c>
      <c r="BA15" s="13" t="n">
        <f aca="false">Costos_Personal!BA$110+Costos_Personal!BA$111+Costos_Personal!BA$112</f>
        <v>367366.798320833</v>
      </c>
      <c r="BB15" s="13" t="n">
        <f aca="false">Costos_Personal!BB$110+Costos_Personal!BB$111+Costos_Personal!BB$112</f>
        <v>367366.798320833</v>
      </c>
      <c r="BC15" s="13" t="n">
        <f aca="false">Costos_Personal!BC$110+Costos_Personal!BC$111+Costos_Personal!BC$112</f>
        <v>369620.452970708</v>
      </c>
      <c r="BD15" s="13" t="n">
        <f aca="false">Costos_Personal!BD$110+Costos_Personal!BD$111+Costos_Personal!BD$112</f>
        <v>369620.452970708</v>
      </c>
      <c r="BE15" s="13" t="n">
        <f aca="false">Costos_Personal!BE$110+Costos_Personal!BE$111+Costos_Personal!BE$112</f>
        <v>369620.452970708</v>
      </c>
      <c r="BF15" s="13" t="n">
        <f aca="false">Costos_Personal!BF$110+Costos_Personal!BF$111+Costos_Personal!BF$112</f>
        <v>369620.452970708</v>
      </c>
      <c r="BG15" s="13" t="n">
        <f aca="false">Costos_Personal!BG$110+Costos_Personal!BG$111+Costos_Personal!BG$112</f>
        <v>369620.452970708</v>
      </c>
      <c r="BH15" s="13" t="n">
        <f aca="false">Costos_Personal!BH$110+Costos_Personal!BH$111+Costos_Personal!BH$112</f>
        <v>369620.452970708</v>
      </c>
      <c r="BI15" s="13" t="n">
        <f aca="false">Costos_Personal!BI$110+Costos_Personal!BI$111+Costos_Personal!BI$112</f>
        <v>369620.452970708</v>
      </c>
      <c r="BJ15" s="13" t="n">
        <f aca="false">Costos_Personal!BJ$110+Costos_Personal!BJ$111+Costos_Personal!BJ$112</f>
        <v>369620.452970708</v>
      </c>
      <c r="BK15" s="13" t="n">
        <f aca="false">Costos_Personal!BK$110+Costos_Personal!BK$111+Costos_Personal!BK$112</f>
        <v>369620.452970708</v>
      </c>
      <c r="BL15" s="13" t="n">
        <f aca="false">Costos_Personal!BL$110+Costos_Personal!BL$111+Costos_Personal!BL$112</f>
        <v>369620.452970708</v>
      </c>
      <c r="BM15" s="13" t="n">
        <f aca="false">Costos_Personal!BM$110+Costos_Personal!BM$111+Costos_Personal!BM$112</f>
        <v>369620.452970708</v>
      </c>
      <c r="BN15" s="13" t="n">
        <f aca="false">Costos_Personal!BN$110+Costos_Personal!BN$111+Costos_Personal!BN$112</f>
        <v>369620.452970708</v>
      </c>
      <c r="BO15" s="13" t="n">
        <f aca="false">Costos_Personal!BO$110+Costos_Personal!BO$111+Costos_Personal!BO$112</f>
        <v>371896.644167082</v>
      </c>
      <c r="BP15" s="13" t="n">
        <f aca="false">Costos_Personal!BP$110+Costos_Personal!BP$111+Costos_Personal!BP$112</f>
        <v>371896.644167082</v>
      </c>
      <c r="BQ15" s="13" t="n">
        <f aca="false">Costos_Personal!BQ$110+Costos_Personal!BQ$111+Costos_Personal!BQ$112</f>
        <v>371896.644167082</v>
      </c>
      <c r="BR15" s="13" t="n">
        <f aca="false">Costos_Personal!BR$110+Costos_Personal!BR$111+Costos_Personal!BR$112</f>
        <v>371896.644167082</v>
      </c>
      <c r="BS15" s="13" t="n">
        <f aca="false">Costos_Personal!BS$110+Costos_Personal!BS$111+Costos_Personal!BS$112</f>
        <v>371896.644167082</v>
      </c>
      <c r="BT15" s="13" t="n">
        <f aca="false">Costos_Personal!BT$110+Costos_Personal!BT$111+Costos_Personal!BT$112</f>
        <v>371896.644167082</v>
      </c>
      <c r="BU15" s="13" t="n">
        <f aca="false">Costos_Personal!BU$110+Costos_Personal!BU$111+Costos_Personal!BU$112</f>
        <v>371896.644167082</v>
      </c>
      <c r="BV15" s="13" t="n">
        <f aca="false">Costos_Personal!BV$110+Costos_Personal!BV$111+Costos_Personal!BV$112</f>
        <v>371896.644167082</v>
      </c>
      <c r="BW15" s="13" t="n">
        <f aca="false">Costos_Personal!BW$110+Costos_Personal!BW$111+Costos_Personal!BW$112</f>
        <v>371896.644167082</v>
      </c>
      <c r="BX15" s="13" t="n">
        <f aca="false">Costos_Personal!BX$110+Costos_Personal!BX$111+Costos_Personal!BX$112</f>
        <v>371896.644167082</v>
      </c>
      <c r="BY15" s="13" t="n">
        <f aca="false">Costos_Personal!BY$110+Costos_Personal!BY$111+Costos_Personal!BY$112</f>
        <v>371896.644167082</v>
      </c>
      <c r="BZ15" s="13" t="n">
        <f aca="false">Costos_Personal!BZ$110+Costos_Personal!BZ$111+Costos_Personal!BZ$112</f>
        <v>371896.644167082</v>
      </c>
      <c r="CA15" s="13" t="n">
        <f aca="false">Costos_Personal!CA$110+Costos_Personal!CA$111+Costos_Personal!CA$112</f>
        <v>374195.59727542</v>
      </c>
      <c r="CB15" s="13" t="n">
        <f aca="false">Costos_Personal!CB$110+Costos_Personal!CB$111+Costos_Personal!CB$112</f>
        <v>374195.59727542</v>
      </c>
      <c r="CC15" s="13" t="n">
        <f aca="false">Costos_Personal!CC$110+Costos_Personal!CC$111+Costos_Personal!CC$112</f>
        <v>374195.59727542</v>
      </c>
      <c r="CD15" s="13" t="n">
        <f aca="false">Costos_Personal!CD$110+Costos_Personal!CD$111+Costos_Personal!CD$112</f>
        <v>374195.59727542</v>
      </c>
      <c r="CE15" s="13" t="n">
        <f aca="false">Costos_Personal!CE$110+Costos_Personal!CE$111+Costos_Personal!CE$112</f>
        <v>374195.59727542</v>
      </c>
      <c r="CF15" s="13" t="n">
        <f aca="false">Costos_Personal!CF$110+Costos_Personal!CF$111+Costos_Personal!CF$112</f>
        <v>374195.59727542</v>
      </c>
      <c r="CG15" s="13" t="n">
        <f aca="false">Costos_Personal!CG$110+Costos_Personal!CG$111+Costos_Personal!CG$112</f>
        <v>374195.59727542</v>
      </c>
      <c r="CH15" s="13" t="n">
        <f aca="false">Costos_Personal!CH$110+Costos_Personal!CH$111+Costos_Personal!CH$112</f>
        <v>374195.59727542</v>
      </c>
      <c r="CI15" s="13" t="n">
        <f aca="false">Costos_Personal!CI$110+Costos_Personal!CI$111+Costos_Personal!CI$112</f>
        <v>374195.59727542</v>
      </c>
      <c r="CJ15" s="13" t="n">
        <f aca="false">Costos_Personal!CJ$110+Costos_Personal!CJ$111+Costos_Personal!CJ$112</f>
        <v>374195.59727542</v>
      </c>
      <c r="CK15" s="13" t="n">
        <f aca="false">Costos_Personal!CK$110+Costos_Personal!CK$111+Costos_Personal!CK$112</f>
        <v>374195.59727542</v>
      </c>
      <c r="CL15" s="13" t="n">
        <f aca="false">Costos_Personal!CL$110+Costos_Personal!CL$111+Costos_Personal!CL$112</f>
        <v>374195.59727542</v>
      </c>
      <c r="CM15" s="13" t="n">
        <f aca="false">Costos_Personal!CM$110+Costos_Personal!CM$111+Costos_Personal!CM$112</f>
        <v>376517.53991484</v>
      </c>
      <c r="CN15" s="13" t="n">
        <f aca="false">Costos_Personal!CN$110+Costos_Personal!CN$111+Costos_Personal!CN$112</f>
        <v>376517.53991484</v>
      </c>
      <c r="CO15" s="13" t="n">
        <f aca="false">Costos_Personal!CO$110+Costos_Personal!CO$111+Costos_Personal!CO$112</f>
        <v>376517.53991484</v>
      </c>
      <c r="CP15" s="13" t="n">
        <f aca="false">Costos_Personal!CP$110+Costos_Personal!CP$111+Costos_Personal!CP$112</f>
        <v>376517.53991484</v>
      </c>
      <c r="CQ15" s="13" t="n">
        <f aca="false">Costos_Personal!CQ$110+Costos_Personal!CQ$111+Costos_Personal!CQ$112</f>
        <v>376517.53991484</v>
      </c>
      <c r="CR15" s="13" t="n">
        <f aca="false">Costos_Personal!CR$110+Costos_Personal!CR$111+Costos_Personal!CR$112</f>
        <v>376517.53991484</v>
      </c>
      <c r="CS15" s="13" t="n">
        <f aca="false">Costos_Personal!CS$110+Costos_Personal!CS$111+Costos_Personal!CS$112</f>
        <v>376517.53991484</v>
      </c>
      <c r="CT15" s="13" t="n">
        <f aca="false">Costos_Personal!CT$110+Costos_Personal!CT$111+Costos_Personal!CT$112</f>
        <v>376517.53991484</v>
      </c>
      <c r="CU15" s="13" t="n">
        <f aca="false">Costos_Personal!CU$110+Costos_Personal!CU$111+Costos_Personal!CU$112</f>
        <v>376517.53991484</v>
      </c>
      <c r="CV15" s="13" t="n">
        <f aca="false">Costos_Personal!CV$110+Costos_Personal!CV$111+Costos_Personal!CV$112</f>
        <v>376517.53991484</v>
      </c>
      <c r="CW15" s="13" t="n">
        <f aca="false">Costos_Personal!CW$110+Costos_Personal!CW$111+Costos_Personal!CW$112</f>
        <v>376517.53991484</v>
      </c>
      <c r="CX15" s="13" t="n">
        <f aca="false">Costos_Personal!CX$110+Costos_Personal!CX$111+Costos_Personal!CX$112</f>
        <v>376517.53991484</v>
      </c>
      <c r="CY15" s="13" t="n">
        <f aca="false">Costos_Personal!CY$110+Costos_Personal!CY$111+Costos_Personal!CY$112</f>
        <v>378862.701980656</v>
      </c>
      <c r="CZ15" s="13" t="n">
        <f aca="false">Costos_Personal!CZ$110+Costos_Personal!CZ$111+Costos_Personal!CZ$112</f>
        <v>378862.701980656</v>
      </c>
      <c r="DA15" s="13" t="n">
        <f aca="false">Costos_Personal!DA$110+Costos_Personal!DA$111+Costos_Personal!DA$112</f>
        <v>378862.701980656</v>
      </c>
      <c r="DB15" s="13" t="n">
        <f aca="false">Costos_Personal!DB$110+Costos_Personal!DB$111+Costos_Personal!DB$112</f>
        <v>378862.701980656</v>
      </c>
      <c r="DC15" s="13" t="n">
        <f aca="false">Costos_Personal!DC$110+Costos_Personal!DC$111+Costos_Personal!DC$112</f>
        <v>378862.701980656</v>
      </c>
      <c r="DD15" s="13" t="n">
        <f aca="false">Costos_Personal!DD$110+Costos_Personal!DD$111+Costos_Personal!DD$112</f>
        <v>378862.701980656</v>
      </c>
      <c r="DE15" s="13" t="n">
        <f aca="false">Costos_Personal!DE$110+Costos_Personal!DE$111+Costos_Personal!DE$112</f>
        <v>378862.701980656</v>
      </c>
      <c r="DF15" s="13" t="n">
        <f aca="false">Costos_Personal!DF$110+Costos_Personal!DF$111+Costos_Personal!DF$112</f>
        <v>378862.701980656</v>
      </c>
      <c r="DG15" s="13" t="n">
        <f aca="false">Costos_Personal!DG$110+Costos_Personal!DG$111+Costos_Personal!DG$112</f>
        <v>378862.701980656</v>
      </c>
      <c r="DH15" s="13" t="n">
        <f aca="false">Costos_Personal!DH$110+Costos_Personal!DH$111+Costos_Personal!DH$112</f>
        <v>378862.701980656</v>
      </c>
      <c r="DI15" s="13" t="n">
        <f aca="false">Costos_Personal!DI$110+Costos_Personal!DI$111+Costos_Personal!DI$112</f>
        <v>378862.701980656</v>
      </c>
      <c r="DJ15" s="13" t="n">
        <f aca="false">Costos_Personal!DJ$110+Costos_Personal!DJ$111+Costos_Personal!DJ$112</f>
        <v>378862.701980656</v>
      </c>
      <c r="DK15" s="13" t="n">
        <f aca="false">Costos_Personal!DK$110+Costos_Personal!DK$111+Costos_Personal!DK$112</f>
        <v>381231.315667129</v>
      </c>
      <c r="DL15" s="13" t="n">
        <f aca="false">Costos_Personal!DL$110+Costos_Personal!DL$111+Costos_Personal!DL$112</f>
        <v>381231.315667129</v>
      </c>
      <c r="DM15" s="13" t="n">
        <f aca="false">Costos_Personal!DM$110+Costos_Personal!DM$111+Costos_Personal!DM$112</f>
        <v>381231.315667129</v>
      </c>
      <c r="DN15" s="13" t="n">
        <f aca="false">Costos_Personal!DN$110+Costos_Personal!DN$111+Costos_Personal!DN$112</f>
        <v>381231.315667129</v>
      </c>
      <c r="DO15" s="13" t="n">
        <f aca="false">Costos_Personal!DO$110+Costos_Personal!DO$111+Costos_Personal!DO$112</f>
        <v>381231.315667129</v>
      </c>
      <c r="DP15" s="13" t="n">
        <f aca="false">Costos_Personal!DP$110+Costos_Personal!DP$111+Costos_Personal!DP$112</f>
        <v>381231.315667129</v>
      </c>
      <c r="DQ15" s="13" t="n">
        <f aca="false">Costos_Personal!DQ$110+Costos_Personal!DQ$111+Costos_Personal!DQ$112</f>
        <v>381231.315667129</v>
      </c>
      <c r="DR15" s="13" t="n">
        <f aca="false">Costos_Personal!DR$110+Costos_Personal!DR$111+Costos_Personal!DR$112</f>
        <v>381231.315667129</v>
      </c>
      <c r="DS15" s="13" t="n">
        <f aca="false">Costos_Personal!DS$110+Costos_Personal!DS$111+Costos_Personal!DS$112</f>
        <v>381231.315667129</v>
      </c>
      <c r="DT15" s="13" t="n">
        <f aca="false">Costos_Personal!DT$110+Costos_Personal!DT$111+Costos_Personal!DT$112</f>
        <v>381231.315667129</v>
      </c>
      <c r="DU15" s="13" t="n">
        <f aca="false">Costos_Personal!DU$110+Costos_Personal!DU$111+Costos_Personal!DU$112</f>
        <v>381231.315667129</v>
      </c>
      <c r="DV15" s="13" t="n">
        <f aca="false">Costos_Personal!DV$110+Costos_Personal!DV$111+Costos_Personal!DV$112</f>
        <v>255894.992708073</v>
      </c>
      <c r="DW15" s="13" t="n">
        <f aca="false">Costos_Personal!DW$110+Costos_Personal!DW$111+Costos_Personal!DW$112</f>
        <v>0</v>
      </c>
      <c r="DX15" s="13" t="n">
        <f aca="false">Costos_Personal!DX$110+Costos_Personal!DX$111+Costos_Personal!DX$112</f>
        <v>0</v>
      </c>
      <c r="DY15" s="13" t="n">
        <f aca="false">Costos_Personal!DY$110+Costos_Personal!DY$111+Costos_Personal!DY$112</f>
        <v>0</v>
      </c>
      <c r="DZ15" s="13" t="n">
        <f aca="false">Costos_Personal!DZ$110+Costos_Personal!DZ$111+Costos_Personal!DZ$112</f>
        <v>0</v>
      </c>
      <c r="EA15" s="13" t="n">
        <f aca="false">Costos_Personal!EA$110+Costos_Personal!EA$111+Costos_Personal!EA$112</f>
        <v>0</v>
      </c>
      <c r="EB15" s="13" t="n">
        <f aca="false">Costos_Personal!EB$110+Costos_Personal!EB$111+Costos_Personal!EB$112</f>
        <v>0</v>
      </c>
      <c r="EC15" s="13" t="n">
        <f aca="false">Costos_Personal!EC$110+Costos_Personal!EC$111+Costos_Personal!EC$112</f>
        <v>0</v>
      </c>
      <c r="ED15" s="13" t="n">
        <f aca="false">Costos_Personal!ED$110+Costos_Personal!ED$111+Costos_Personal!ED$112</f>
        <v>0</v>
      </c>
      <c r="EE15" s="13" t="n">
        <f aca="false">Costos_Personal!EE$110+Costos_Personal!EE$111+Costos_Personal!EE$112</f>
        <v>0</v>
      </c>
      <c r="EF15" s="13" t="n">
        <f aca="false">Costos_Personal!EF$110+Costos_Personal!EF$111+Costos_Personal!EF$112</f>
        <v>0</v>
      </c>
      <c r="EG15" s="13" t="n">
        <f aca="false">Costos_Personal!EG$110+Costos_Personal!EG$111+Costos_Personal!EG$112</f>
        <v>0</v>
      </c>
      <c r="EH15" s="13" t="n">
        <f aca="false">Costos_Personal!EH$110+Costos_Personal!EH$111+Costos_Personal!EH$112</f>
        <v>0</v>
      </c>
      <c r="EI15" s="13" t="n">
        <f aca="false">Costos_Personal!EI$110+Costos_Personal!EI$111+Costos_Personal!EI$112</f>
        <v>0</v>
      </c>
      <c r="EJ15" s="13" t="n">
        <f aca="false">Costos_Personal!EJ$110+Costos_Personal!EJ$111+Costos_Personal!EJ$112</f>
        <v>0</v>
      </c>
      <c r="EK15" s="13" t="n">
        <f aca="false">Costos_Personal!EK$110+Costos_Personal!EK$111+Costos_Personal!EK$112</f>
        <v>0</v>
      </c>
      <c r="EL15" s="13" t="n">
        <f aca="false">Costos_Personal!EL$110+Costos_Personal!EL$111+Costos_Personal!EL$112</f>
        <v>0</v>
      </c>
      <c r="EM15" s="13" t="n">
        <f aca="false">Costos_Personal!EM$110+Costos_Personal!EM$111+Costos_Personal!EM$112</f>
        <v>0</v>
      </c>
      <c r="EN15" s="13" t="n">
        <f aca="false">Costos_Personal!EN$110+Costos_Personal!EN$111+Costos_Personal!EN$112</f>
        <v>0</v>
      </c>
      <c r="EO15" s="13" t="n">
        <f aca="false">Costos_Personal!EO$110+Costos_Personal!EO$111+Costos_Personal!EO$112</f>
        <v>0</v>
      </c>
      <c r="EP15" s="13" t="n">
        <f aca="false">Costos_Personal!EP$110+Costos_Personal!EP$111+Costos_Personal!EP$112</f>
        <v>0</v>
      </c>
      <c r="EQ15" s="13" t="n">
        <f aca="false">Costos_Personal!EQ$110+Costos_Personal!EQ$111+Costos_Personal!EQ$112</f>
        <v>0</v>
      </c>
      <c r="ER15" s="13" t="n">
        <f aca="false">Costos_Personal!ER$110+Costos_Personal!ER$111+Costos_Personal!ER$112</f>
        <v>0</v>
      </c>
      <c r="ES15" s="13" t="n">
        <f aca="false">Costos_Personal!ES$110+Costos_Personal!ES$111+Costos_Personal!ES$112</f>
        <v>0</v>
      </c>
      <c r="ET15" s="13" t="n">
        <f aca="false">Costos_Personal!ET$110+Costos_Personal!ET$111+Costos_Personal!ET$112</f>
        <v>0</v>
      </c>
      <c r="EU15" s="13" t="n">
        <f aca="false">Costos_Personal!EU$110+Costos_Personal!EU$111+Costos_Personal!EU$112</f>
        <v>0</v>
      </c>
      <c r="EV15" s="13" t="n">
        <f aca="false">Costos_Personal!EV$110+Costos_Personal!EV$111+Costos_Personal!EV$112</f>
        <v>0</v>
      </c>
      <c r="EW15" s="13" t="n">
        <f aca="false">Costos_Personal!EW$110+Costos_Personal!EW$111+Costos_Personal!EW$112</f>
        <v>0</v>
      </c>
      <c r="EX15" s="13" t="n">
        <f aca="false">Costos_Personal!EX$110+Costos_Personal!EX$111+Costos_Personal!EX$112</f>
        <v>0</v>
      </c>
      <c r="EY15" s="13" t="n">
        <f aca="false">Costos_Personal!EY$110+Costos_Personal!EY$111+Costos_Personal!EY$112</f>
        <v>0</v>
      </c>
      <c r="EZ15" s="13" t="n">
        <f aca="false">Costos_Personal!EZ$110+Costos_Personal!EZ$111+Costos_Personal!EZ$112</f>
        <v>0</v>
      </c>
      <c r="FA15" s="13" t="n">
        <f aca="false">Costos_Personal!FA$110+Costos_Personal!FA$111+Costos_Personal!FA$112</f>
        <v>0</v>
      </c>
      <c r="FB15" s="13" t="n">
        <f aca="false">Costos_Personal!FB$110+Costos_Personal!FB$111+Costos_Personal!FB$112</f>
        <v>0</v>
      </c>
      <c r="FC15" s="13" t="n">
        <f aca="false">Costos_Personal!FC$110+Costos_Personal!FC$111+Costos_Personal!FC$112</f>
        <v>0</v>
      </c>
      <c r="FD15" s="13" t="n">
        <f aca="false">Costos_Personal!FD$110+Costos_Personal!FD$111+Costos_Personal!FD$112</f>
        <v>0</v>
      </c>
      <c r="FE15" s="13" t="n">
        <f aca="false">Costos_Personal!FE$110+Costos_Personal!FE$111+Costos_Personal!FE$112</f>
        <v>0</v>
      </c>
      <c r="FF15" s="13" t="n">
        <f aca="false">Costos_Personal!FF$110+Costos_Personal!FF$111+Costos_Personal!FF$112</f>
        <v>0</v>
      </c>
    </row>
    <row r="16" customFormat="false" ht="15" hidden="false" customHeight="false" outlineLevel="0" collapsed="false">
      <c r="A16" s="2" t="s">
        <v>1458</v>
      </c>
      <c r="B16" s="8" t="s">
        <v>1459</v>
      </c>
      <c r="C16" s="8" t="s">
        <v>255</v>
      </c>
      <c r="E16" s="65" t="n">
        <f aca="false">SUM($F16:$FF16)</f>
        <v>6763200</v>
      </c>
      <c r="F16" s="28" t="n">
        <f aca="false">Costos_Personal!F$113</f>
        <v>0</v>
      </c>
      <c r="G16" s="28" t="n">
        <f aca="false">Costos_Personal!G$113</f>
        <v>46949.7716894977</v>
      </c>
      <c r="H16" s="28" t="n">
        <f aca="false">Costos_Personal!H$113</f>
        <v>35333.3333333333</v>
      </c>
      <c r="I16" s="28" t="n">
        <f aca="false">Costos_Personal!I$113</f>
        <v>35333.3333333333</v>
      </c>
      <c r="J16" s="28" t="n">
        <f aca="false">Costos_Personal!J$113</f>
        <v>35333.3333333333</v>
      </c>
      <c r="K16" s="28" t="n">
        <f aca="false">Costos_Personal!K$113</f>
        <v>35333.3333333333</v>
      </c>
      <c r="L16" s="28" t="n">
        <f aca="false">Costos_Personal!L$113</f>
        <v>35333.3333333333</v>
      </c>
      <c r="M16" s="28" t="n">
        <f aca="false">Costos_Personal!M$113</f>
        <v>35333.3333333333</v>
      </c>
      <c r="N16" s="28" t="n">
        <f aca="false">Costos_Personal!N$113</f>
        <v>35333.3333333333</v>
      </c>
      <c r="O16" s="28" t="n">
        <f aca="false">Costos_Personal!O$113</f>
        <v>35333.3333333333</v>
      </c>
      <c r="P16" s="28" t="n">
        <f aca="false">Costos_Personal!P$113</f>
        <v>35333.3333333333</v>
      </c>
      <c r="Q16" s="28" t="n">
        <f aca="false">Costos_Personal!Q$113</f>
        <v>35333.3333333333</v>
      </c>
      <c r="R16" s="28" t="n">
        <f aca="false">Costos_Personal!R$113</f>
        <v>38379.9086757991</v>
      </c>
      <c r="S16" s="28" t="n">
        <f aca="false">Costos_Personal!S$113</f>
        <v>44600</v>
      </c>
      <c r="T16" s="28" t="n">
        <f aca="false">Costos_Personal!T$113</f>
        <v>44600</v>
      </c>
      <c r="U16" s="28" t="n">
        <f aca="false">Costos_Personal!U$113</f>
        <v>44600</v>
      </c>
      <c r="V16" s="28" t="n">
        <f aca="false">Costos_Personal!V$113</f>
        <v>44600</v>
      </c>
      <c r="W16" s="28" t="n">
        <f aca="false">Costos_Personal!W$113</f>
        <v>44600</v>
      </c>
      <c r="X16" s="28" t="n">
        <f aca="false">Costos_Personal!X$113</f>
        <v>44600</v>
      </c>
      <c r="Y16" s="28" t="n">
        <f aca="false">Costos_Personal!Y$113</f>
        <v>44600</v>
      </c>
      <c r="Z16" s="28" t="n">
        <f aca="false">Costos_Personal!Z$113</f>
        <v>44600</v>
      </c>
      <c r="AA16" s="28" t="n">
        <f aca="false">Costos_Personal!AA$113</f>
        <v>44600</v>
      </c>
      <c r="AB16" s="28" t="n">
        <f aca="false">Costos_Personal!AB$113</f>
        <v>44600</v>
      </c>
      <c r="AC16" s="28" t="n">
        <f aca="false">Costos_Personal!AC$113</f>
        <v>44600</v>
      </c>
      <c r="AD16" s="28" t="n">
        <f aca="false">Costos_Personal!AD$113</f>
        <v>47646.5753424658</v>
      </c>
      <c r="AE16" s="28" t="n">
        <f aca="false">Costos_Personal!AE$113</f>
        <v>53866.6666666667</v>
      </c>
      <c r="AF16" s="28" t="n">
        <f aca="false">Costos_Personal!AF$113</f>
        <v>53866.6666666667</v>
      </c>
      <c r="AG16" s="28" t="n">
        <f aca="false">Costos_Personal!AG$113</f>
        <v>53866.6666666667</v>
      </c>
      <c r="AH16" s="28" t="n">
        <f aca="false">Costos_Personal!AH$113</f>
        <v>53866.6666666667</v>
      </c>
      <c r="AI16" s="28" t="n">
        <f aca="false">Costos_Personal!AI$113</f>
        <v>53866.6666666667</v>
      </c>
      <c r="AJ16" s="28" t="n">
        <f aca="false">Costos_Personal!AJ$113</f>
        <v>53866.6666666667</v>
      </c>
      <c r="AK16" s="28" t="n">
        <f aca="false">Costos_Personal!AK$113</f>
        <v>53866.6666666667</v>
      </c>
      <c r="AL16" s="28" t="n">
        <f aca="false">Costos_Personal!AL$113</f>
        <v>53866.6666666667</v>
      </c>
      <c r="AM16" s="28" t="n">
        <f aca="false">Costos_Personal!AM$113</f>
        <v>53866.6666666667</v>
      </c>
      <c r="AN16" s="28" t="n">
        <f aca="false">Costos_Personal!AN$113</f>
        <v>53866.6666666667</v>
      </c>
      <c r="AO16" s="28" t="n">
        <f aca="false">Costos_Personal!AO$113</f>
        <v>53866.6666666667</v>
      </c>
      <c r="AP16" s="28" t="n">
        <f aca="false">Costos_Personal!AP$113</f>
        <v>56343.3789954338</v>
      </c>
      <c r="AQ16" s="28" t="n">
        <f aca="false">Costos_Personal!AQ$113</f>
        <v>61400</v>
      </c>
      <c r="AR16" s="28" t="n">
        <f aca="false">Costos_Personal!AR$113</f>
        <v>61400</v>
      </c>
      <c r="AS16" s="28" t="n">
        <f aca="false">Costos_Personal!AS$113</f>
        <v>61400</v>
      </c>
      <c r="AT16" s="28" t="n">
        <f aca="false">Costos_Personal!AT$113</f>
        <v>61400</v>
      </c>
      <c r="AU16" s="28" t="n">
        <f aca="false">Costos_Personal!AU$113</f>
        <v>61400</v>
      </c>
      <c r="AV16" s="28" t="n">
        <f aca="false">Costos_Personal!AV$113</f>
        <v>61400</v>
      </c>
      <c r="AW16" s="28" t="n">
        <f aca="false">Costos_Personal!AW$113</f>
        <v>61400</v>
      </c>
      <c r="AX16" s="28" t="n">
        <f aca="false">Costos_Personal!AX$113</f>
        <v>61400</v>
      </c>
      <c r="AY16" s="28" t="n">
        <f aca="false">Costos_Personal!AY$113</f>
        <v>61400</v>
      </c>
      <c r="AZ16" s="28" t="n">
        <f aca="false">Costos_Personal!AZ$113</f>
        <v>61400</v>
      </c>
      <c r="BA16" s="28" t="n">
        <f aca="false">Costos_Personal!BA$113</f>
        <v>61400</v>
      </c>
      <c r="BB16" s="28" t="n">
        <f aca="false">Costos_Personal!BB$113</f>
        <v>61400</v>
      </c>
      <c r="BC16" s="28" t="n">
        <f aca="false">Costos_Personal!BC$113</f>
        <v>61400</v>
      </c>
      <c r="BD16" s="28" t="n">
        <f aca="false">Costos_Personal!BD$113</f>
        <v>61400</v>
      </c>
      <c r="BE16" s="28" t="n">
        <f aca="false">Costos_Personal!BE$113</f>
        <v>61400</v>
      </c>
      <c r="BF16" s="28" t="n">
        <f aca="false">Costos_Personal!BF$113</f>
        <v>61400</v>
      </c>
      <c r="BG16" s="28" t="n">
        <f aca="false">Costos_Personal!BG$113</f>
        <v>61400</v>
      </c>
      <c r="BH16" s="28" t="n">
        <f aca="false">Costos_Personal!BH$113</f>
        <v>61400</v>
      </c>
      <c r="BI16" s="28" t="n">
        <f aca="false">Costos_Personal!BI$113</f>
        <v>61400</v>
      </c>
      <c r="BJ16" s="28" t="n">
        <f aca="false">Costos_Personal!BJ$113</f>
        <v>61400</v>
      </c>
      <c r="BK16" s="28" t="n">
        <f aca="false">Costos_Personal!BK$113</f>
        <v>61400</v>
      </c>
      <c r="BL16" s="28" t="n">
        <f aca="false">Costos_Personal!BL$113</f>
        <v>61400</v>
      </c>
      <c r="BM16" s="28" t="n">
        <f aca="false">Costos_Personal!BM$113</f>
        <v>61400</v>
      </c>
      <c r="BN16" s="28" t="n">
        <f aca="false">Costos_Personal!BN$113</f>
        <v>61400</v>
      </c>
      <c r="BO16" s="28" t="n">
        <f aca="false">Costos_Personal!BO$113</f>
        <v>61400</v>
      </c>
      <c r="BP16" s="28" t="n">
        <f aca="false">Costos_Personal!BP$113</f>
        <v>61400</v>
      </c>
      <c r="BQ16" s="28" t="n">
        <f aca="false">Costos_Personal!BQ$113</f>
        <v>61400</v>
      </c>
      <c r="BR16" s="28" t="n">
        <f aca="false">Costos_Personal!BR$113</f>
        <v>61400</v>
      </c>
      <c r="BS16" s="28" t="n">
        <f aca="false">Costos_Personal!BS$113</f>
        <v>61400</v>
      </c>
      <c r="BT16" s="28" t="n">
        <f aca="false">Costos_Personal!BT$113</f>
        <v>61400</v>
      </c>
      <c r="BU16" s="28" t="n">
        <f aca="false">Costos_Personal!BU$113</f>
        <v>61400</v>
      </c>
      <c r="BV16" s="28" t="n">
        <f aca="false">Costos_Personal!BV$113</f>
        <v>61400</v>
      </c>
      <c r="BW16" s="28" t="n">
        <f aca="false">Costos_Personal!BW$113</f>
        <v>61400</v>
      </c>
      <c r="BX16" s="28" t="n">
        <f aca="false">Costos_Personal!BX$113</f>
        <v>61400</v>
      </c>
      <c r="BY16" s="28" t="n">
        <f aca="false">Costos_Personal!BY$113</f>
        <v>61400</v>
      </c>
      <c r="BZ16" s="28" t="n">
        <f aca="false">Costos_Personal!BZ$113</f>
        <v>61400</v>
      </c>
      <c r="CA16" s="28" t="n">
        <f aca="false">Costos_Personal!CA$113</f>
        <v>61400</v>
      </c>
      <c r="CB16" s="28" t="n">
        <f aca="false">Costos_Personal!CB$113</f>
        <v>61400</v>
      </c>
      <c r="CC16" s="28" t="n">
        <f aca="false">Costos_Personal!CC$113</f>
        <v>61400</v>
      </c>
      <c r="CD16" s="28" t="n">
        <f aca="false">Costos_Personal!CD$113</f>
        <v>61400</v>
      </c>
      <c r="CE16" s="28" t="n">
        <f aca="false">Costos_Personal!CE$113</f>
        <v>61400</v>
      </c>
      <c r="CF16" s="28" t="n">
        <f aca="false">Costos_Personal!CF$113</f>
        <v>61400</v>
      </c>
      <c r="CG16" s="28" t="n">
        <f aca="false">Costos_Personal!CG$113</f>
        <v>61400</v>
      </c>
      <c r="CH16" s="28" t="n">
        <f aca="false">Costos_Personal!CH$113</f>
        <v>61400</v>
      </c>
      <c r="CI16" s="28" t="n">
        <f aca="false">Costos_Personal!CI$113</f>
        <v>61400</v>
      </c>
      <c r="CJ16" s="28" t="n">
        <f aca="false">Costos_Personal!CJ$113</f>
        <v>61400</v>
      </c>
      <c r="CK16" s="28" t="n">
        <f aca="false">Costos_Personal!CK$113</f>
        <v>61400</v>
      </c>
      <c r="CL16" s="28" t="n">
        <f aca="false">Costos_Personal!CL$113</f>
        <v>61400</v>
      </c>
      <c r="CM16" s="28" t="n">
        <f aca="false">Costos_Personal!CM$113</f>
        <v>61400</v>
      </c>
      <c r="CN16" s="28" t="n">
        <f aca="false">Costos_Personal!CN$113</f>
        <v>61400</v>
      </c>
      <c r="CO16" s="28" t="n">
        <f aca="false">Costos_Personal!CO$113</f>
        <v>61400</v>
      </c>
      <c r="CP16" s="28" t="n">
        <f aca="false">Costos_Personal!CP$113</f>
        <v>61400</v>
      </c>
      <c r="CQ16" s="28" t="n">
        <f aca="false">Costos_Personal!CQ$113</f>
        <v>61400</v>
      </c>
      <c r="CR16" s="28" t="n">
        <f aca="false">Costos_Personal!CR$113</f>
        <v>61400</v>
      </c>
      <c r="CS16" s="28" t="n">
        <f aca="false">Costos_Personal!CS$113</f>
        <v>61400</v>
      </c>
      <c r="CT16" s="28" t="n">
        <f aca="false">Costos_Personal!CT$113</f>
        <v>61400</v>
      </c>
      <c r="CU16" s="28" t="n">
        <f aca="false">Costos_Personal!CU$113</f>
        <v>61400</v>
      </c>
      <c r="CV16" s="28" t="n">
        <f aca="false">Costos_Personal!CV$113</f>
        <v>61400</v>
      </c>
      <c r="CW16" s="28" t="n">
        <f aca="false">Costos_Personal!CW$113</f>
        <v>61400</v>
      </c>
      <c r="CX16" s="28" t="n">
        <f aca="false">Costos_Personal!CX$113</f>
        <v>61400</v>
      </c>
      <c r="CY16" s="28" t="n">
        <f aca="false">Costos_Personal!CY$113</f>
        <v>61400</v>
      </c>
      <c r="CZ16" s="28" t="n">
        <f aca="false">Costos_Personal!CZ$113</f>
        <v>61400</v>
      </c>
      <c r="DA16" s="28" t="n">
        <f aca="false">Costos_Personal!DA$113</f>
        <v>61400</v>
      </c>
      <c r="DB16" s="28" t="n">
        <f aca="false">Costos_Personal!DB$113</f>
        <v>61400</v>
      </c>
      <c r="DC16" s="28" t="n">
        <f aca="false">Costos_Personal!DC$113</f>
        <v>61400</v>
      </c>
      <c r="DD16" s="28" t="n">
        <f aca="false">Costos_Personal!DD$113</f>
        <v>61400</v>
      </c>
      <c r="DE16" s="28" t="n">
        <f aca="false">Costos_Personal!DE$113</f>
        <v>61400</v>
      </c>
      <c r="DF16" s="28" t="n">
        <f aca="false">Costos_Personal!DF$113</f>
        <v>61400</v>
      </c>
      <c r="DG16" s="28" t="n">
        <f aca="false">Costos_Personal!DG$113</f>
        <v>61400</v>
      </c>
      <c r="DH16" s="28" t="n">
        <f aca="false">Costos_Personal!DH$113</f>
        <v>61400</v>
      </c>
      <c r="DI16" s="28" t="n">
        <f aca="false">Costos_Personal!DI$113</f>
        <v>61400</v>
      </c>
      <c r="DJ16" s="28" t="n">
        <f aca="false">Costos_Personal!DJ$113</f>
        <v>61400</v>
      </c>
      <c r="DK16" s="28" t="n">
        <f aca="false">Costos_Personal!DK$113</f>
        <v>61400</v>
      </c>
      <c r="DL16" s="28" t="n">
        <f aca="false">Costos_Personal!DL$113</f>
        <v>61400</v>
      </c>
      <c r="DM16" s="28" t="n">
        <f aca="false">Costos_Personal!DM$113</f>
        <v>61400</v>
      </c>
      <c r="DN16" s="28" t="n">
        <f aca="false">Costos_Personal!DN$113</f>
        <v>61400</v>
      </c>
      <c r="DO16" s="28" t="n">
        <f aca="false">Costos_Personal!DO$113</f>
        <v>61400</v>
      </c>
      <c r="DP16" s="28" t="n">
        <f aca="false">Costos_Personal!DP$113</f>
        <v>61400</v>
      </c>
      <c r="DQ16" s="28" t="n">
        <f aca="false">Costos_Personal!DQ$113</f>
        <v>61400</v>
      </c>
      <c r="DR16" s="28" t="n">
        <f aca="false">Costos_Personal!DR$113</f>
        <v>61400</v>
      </c>
      <c r="DS16" s="28" t="n">
        <f aca="false">Costos_Personal!DS$113</f>
        <v>61400</v>
      </c>
      <c r="DT16" s="28" t="n">
        <f aca="false">Costos_Personal!DT$113</f>
        <v>61400</v>
      </c>
      <c r="DU16" s="28" t="n">
        <f aca="false">Costos_Personal!DU$113</f>
        <v>61400</v>
      </c>
      <c r="DV16" s="28" t="n">
        <f aca="false">Costos_Personal!DV$113</f>
        <v>41213.698630137</v>
      </c>
      <c r="DW16" s="28" t="n">
        <f aca="false">Costos_Personal!DW$113</f>
        <v>0</v>
      </c>
      <c r="DX16" s="28" t="n">
        <f aca="false">Costos_Personal!DX$113</f>
        <v>0</v>
      </c>
      <c r="DY16" s="28" t="n">
        <f aca="false">Costos_Personal!DY$113</f>
        <v>0</v>
      </c>
      <c r="DZ16" s="28" t="n">
        <f aca="false">Costos_Personal!DZ$113</f>
        <v>0</v>
      </c>
      <c r="EA16" s="28" t="n">
        <f aca="false">Costos_Personal!EA$113</f>
        <v>0</v>
      </c>
      <c r="EB16" s="28" t="n">
        <f aca="false">Costos_Personal!EB$113</f>
        <v>0</v>
      </c>
      <c r="EC16" s="28" t="n">
        <f aca="false">Costos_Personal!EC$113</f>
        <v>0</v>
      </c>
      <c r="ED16" s="28" t="n">
        <f aca="false">Costos_Personal!ED$113</f>
        <v>0</v>
      </c>
      <c r="EE16" s="28" t="n">
        <f aca="false">Costos_Personal!EE$113</f>
        <v>0</v>
      </c>
      <c r="EF16" s="28" t="n">
        <f aca="false">Costos_Personal!EF$113</f>
        <v>0</v>
      </c>
      <c r="EG16" s="28" t="n">
        <f aca="false">Costos_Personal!EG$113</f>
        <v>0</v>
      </c>
      <c r="EH16" s="28" t="n">
        <f aca="false">Costos_Personal!EH$113</f>
        <v>0</v>
      </c>
      <c r="EI16" s="28" t="n">
        <f aca="false">Costos_Personal!EI$113</f>
        <v>0</v>
      </c>
      <c r="EJ16" s="28" t="n">
        <f aca="false">Costos_Personal!EJ$113</f>
        <v>0</v>
      </c>
      <c r="EK16" s="28" t="n">
        <f aca="false">Costos_Personal!EK$113</f>
        <v>0</v>
      </c>
      <c r="EL16" s="28" t="n">
        <f aca="false">Costos_Personal!EL$113</f>
        <v>0</v>
      </c>
      <c r="EM16" s="28" t="n">
        <f aca="false">Costos_Personal!EM$113</f>
        <v>0</v>
      </c>
      <c r="EN16" s="28" t="n">
        <f aca="false">Costos_Personal!EN$113</f>
        <v>0</v>
      </c>
      <c r="EO16" s="28" t="n">
        <f aca="false">Costos_Personal!EO$113</f>
        <v>0</v>
      </c>
      <c r="EP16" s="28" t="n">
        <f aca="false">Costos_Personal!EP$113</f>
        <v>0</v>
      </c>
      <c r="EQ16" s="28" t="n">
        <f aca="false">Costos_Personal!EQ$113</f>
        <v>0</v>
      </c>
      <c r="ER16" s="28" t="n">
        <f aca="false">Costos_Personal!ER$113</f>
        <v>0</v>
      </c>
      <c r="ES16" s="28" t="n">
        <f aca="false">Costos_Personal!ES$113</f>
        <v>0</v>
      </c>
      <c r="ET16" s="28" t="n">
        <f aca="false">Costos_Personal!ET$113</f>
        <v>0</v>
      </c>
      <c r="EU16" s="28" t="n">
        <f aca="false">Costos_Personal!EU$113</f>
        <v>0</v>
      </c>
      <c r="EV16" s="28" t="n">
        <f aca="false">Costos_Personal!EV$113</f>
        <v>0</v>
      </c>
      <c r="EW16" s="28" t="n">
        <f aca="false">Costos_Personal!EW$113</f>
        <v>0</v>
      </c>
      <c r="EX16" s="28" t="n">
        <f aca="false">Costos_Personal!EX$113</f>
        <v>0</v>
      </c>
      <c r="EY16" s="28" t="n">
        <f aca="false">Costos_Personal!EY$113</f>
        <v>0</v>
      </c>
      <c r="EZ16" s="28" t="n">
        <f aca="false">Costos_Personal!EZ$113</f>
        <v>0</v>
      </c>
      <c r="FA16" s="28" t="n">
        <f aca="false">Costos_Personal!FA$113</f>
        <v>0</v>
      </c>
      <c r="FB16" s="28" t="n">
        <f aca="false">Costos_Personal!FB$113</f>
        <v>0</v>
      </c>
      <c r="FC16" s="28" t="n">
        <f aca="false">Costos_Personal!FC$113</f>
        <v>0</v>
      </c>
      <c r="FD16" s="28" t="n">
        <f aca="false">Costos_Personal!FD$113</f>
        <v>0</v>
      </c>
      <c r="FE16" s="28" t="n">
        <f aca="false">Costos_Personal!FE$113</f>
        <v>0</v>
      </c>
      <c r="FF16" s="28" t="n">
        <f aca="false">Costos_Personal!FF$113</f>
        <v>0</v>
      </c>
    </row>
    <row r="17" customFormat="false" ht="15" hidden="false" customHeight="false" outlineLevel="0" collapsed="false">
      <c r="A17" s="2" t="s">
        <v>1460</v>
      </c>
      <c r="B17" s="8" t="s">
        <v>1461</v>
      </c>
      <c r="C17" s="8" t="s">
        <v>255</v>
      </c>
      <c r="E17" s="65" t="n">
        <f aca="false">SUM($F17:$FF17)</f>
        <v>1179349.26034269</v>
      </c>
      <c r="F17" s="28" t="n">
        <f aca="false">Costos_Personal!F$114</f>
        <v>0</v>
      </c>
      <c r="G17" s="28" t="n">
        <f aca="false">Costos_Personal!G$114</f>
        <v>7939.61609589041</v>
      </c>
      <c r="H17" s="28" t="n">
        <f aca="false">Costos_Personal!H$114</f>
        <v>5975.175</v>
      </c>
      <c r="I17" s="28" t="n">
        <f aca="false">Costos_Personal!I$114</f>
        <v>5975.175</v>
      </c>
      <c r="J17" s="28" t="n">
        <f aca="false">Costos_Personal!J$114</f>
        <v>5975.175</v>
      </c>
      <c r="K17" s="28" t="n">
        <f aca="false">Costos_Personal!K$114</f>
        <v>5975.175</v>
      </c>
      <c r="L17" s="28" t="n">
        <f aca="false">Costos_Personal!L$114</f>
        <v>5975.175</v>
      </c>
      <c r="M17" s="28" t="n">
        <f aca="false">Costos_Personal!M$114</f>
        <v>5975.175</v>
      </c>
      <c r="N17" s="28" t="n">
        <f aca="false">Costos_Personal!N$114</f>
        <v>5975.175</v>
      </c>
      <c r="O17" s="28" t="n">
        <f aca="false">Costos_Personal!O$114</f>
        <v>5975.175</v>
      </c>
      <c r="P17" s="28" t="n">
        <f aca="false">Costos_Personal!P$114</f>
        <v>5975.175</v>
      </c>
      <c r="Q17" s="28" t="n">
        <f aca="false">Costos_Personal!Q$114</f>
        <v>5975.175</v>
      </c>
      <c r="R17" s="28" t="n">
        <f aca="false">Costos_Personal!R$114</f>
        <v>6491.47910958904</v>
      </c>
      <c r="S17" s="28" t="n">
        <f aca="false">Costos_Personal!S$114</f>
        <v>7593.26625</v>
      </c>
      <c r="T17" s="28" t="n">
        <f aca="false">Costos_Personal!T$114</f>
        <v>7593.26625</v>
      </c>
      <c r="U17" s="28" t="n">
        <f aca="false">Costos_Personal!U$114</f>
        <v>7593.26625</v>
      </c>
      <c r="V17" s="28" t="n">
        <f aca="false">Costos_Personal!V$114</f>
        <v>7593.26625</v>
      </c>
      <c r="W17" s="28" t="n">
        <f aca="false">Costos_Personal!W$114</f>
        <v>7593.26625</v>
      </c>
      <c r="X17" s="28" t="n">
        <f aca="false">Costos_Personal!X$114</f>
        <v>7593.26625</v>
      </c>
      <c r="Y17" s="28" t="n">
        <f aca="false">Costos_Personal!Y$114</f>
        <v>7593.26625</v>
      </c>
      <c r="Z17" s="28" t="n">
        <f aca="false">Costos_Personal!Z$114</f>
        <v>7593.26625</v>
      </c>
      <c r="AA17" s="28" t="n">
        <f aca="false">Costos_Personal!AA$114</f>
        <v>7593.26625</v>
      </c>
      <c r="AB17" s="28" t="n">
        <f aca="false">Costos_Personal!AB$114</f>
        <v>7593.26625</v>
      </c>
      <c r="AC17" s="28" t="n">
        <f aca="false">Costos_Personal!AC$114</f>
        <v>7593.26625</v>
      </c>
      <c r="AD17" s="28" t="n">
        <f aca="false">Costos_Personal!AD$114</f>
        <v>8112.8263869863</v>
      </c>
      <c r="AE17" s="28" t="n">
        <f aca="false">Costos_Personal!AE$114</f>
        <v>9231.7407</v>
      </c>
      <c r="AF17" s="28" t="n">
        <f aca="false">Costos_Personal!AF$114</f>
        <v>9231.7407</v>
      </c>
      <c r="AG17" s="28" t="n">
        <f aca="false">Costos_Personal!AG$114</f>
        <v>9231.7407</v>
      </c>
      <c r="AH17" s="28" t="n">
        <f aca="false">Costos_Personal!AH$114</f>
        <v>9231.7407</v>
      </c>
      <c r="AI17" s="28" t="n">
        <f aca="false">Costos_Personal!AI$114</f>
        <v>9231.7407</v>
      </c>
      <c r="AJ17" s="28" t="n">
        <f aca="false">Costos_Personal!AJ$114</f>
        <v>9231.7407</v>
      </c>
      <c r="AK17" s="28" t="n">
        <f aca="false">Costos_Personal!AK$114</f>
        <v>9231.7407</v>
      </c>
      <c r="AL17" s="28" t="n">
        <f aca="false">Costos_Personal!AL$114</f>
        <v>9231.7407</v>
      </c>
      <c r="AM17" s="28" t="n">
        <f aca="false">Costos_Personal!AM$114</f>
        <v>9231.7407</v>
      </c>
      <c r="AN17" s="28" t="n">
        <f aca="false">Costos_Personal!AN$114</f>
        <v>9231.7407</v>
      </c>
      <c r="AO17" s="28" t="n">
        <f aca="false">Costos_Personal!AO$114</f>
        <v>9231.7407</v>
      </c>
      <c r="AP17" s="28" t="n">
        <f aca="false">Costos_Personal!AP$114</f>
        <v>9652.58990958904</v>
      </c>
      <c r="AQ17" s="28" t="n">
        <f aca="false">Costos_Personal!AQ$114</f>
        <v>10578.763949625</v>
      </c>
      <c r="AR17" s="28" t="n">
        <f aca="false">Costos_Personal!AR$114</f>
        <v>10578.763949625</v>
      </c>
      <c r="AS17" s="28" t="n">
        <f aca="false">Costos_Personal!AS$114</f>
        <v>10578.763949625</v>
      </c>
      <c r="AT17" s="28" t="n">
        <f aca="false">Costos_Personal!AT$114</f>
        <v>10578.763949625</v>
      </c>
      <c r="AU17" s="28" t="n">
        <f aca="false">Costos_Personal!AU$114</f>
        <v>10578.763949625</v>
      </c>
      <c r="AV17" s="28" t="n">
        <f aca="false">Costos_Personal!AV$114</f>
        <v>10578.763949625</v>
      </c>
      <c r="AW17" s="28" t="n">
        <f aca="false">Costos_Personal!AW$114</f>
        <v>10578.763949625</v>
      </c>
      <c r="AX17" s="28" t="n">
        <f aca="false">Costos_Personal!AX$114</f>
        <v>10578.763949625</v>
      </c>
      <c r="AY17" s="28" t="n">
        <f aca="false">Costos_Personal!AY$114</f>
        <v>10578.763949625</v>
      </c>
      <c r="AZ17" s="28" t="n">
        <f aca="false">Costos_Personal!AZ$114</f>
        <v>10578.763949625</v>
      </c>
      <c r="BA17" s="28" t="n">
        <f aca="false">Costos_Personal!BA$114</f>
        <v>10578.763949625</v>
      </c>
      <c r="BB17" s="28" t="n">
        <f aca="false">Costos_Personal!BB$114</f>
        <v>10578.763949625</v>
      </c>
      <c r="BC17" s="28" t="n">
        <f aca="false">Costos_Personal!BC$114</f>
        <v>10646.3735891213</v>
      </c>
      <c r="BD17" s="28" t="n">
        <f aca="false">Costos_Personal!BD$114</f>
        <v>10646.3735891213</v>
      </c>
      <c r="BE17" s="28" t="n">
        <f aca="false">Costos_Personal!BE$114</f>
        <v>10646.3735891213</v>
      </c>
      <c r="BF17" s="28" t="n">
        <f aca="false">Costos_Personal!BF$114</f>
        <v>10646.3735891213</v>
      </c>
      <c r="BG17" s="28" t="n">
        <f aca="false">Costos_Personal!BG$114</f>
        <v>10646.3735891213</v>
      </c>
      <c r="BH17" s="28" t="n">
        <f aca="false">Costos_Personal!BH$114</f>
        <v>10646.3735891213</v>
      </c>
      <c r="BI17" s="28" t="n">
        <f aca="false">Costos_Personal!BI$114</f>
        <v>10646.3735891213</v>
      </c>
      <c r="BJ17" s="28" t="n">
        <f aca="false">Costos_Personal!BJ$114</f>
        <v>10646.3735891213</v>
      </c>
      <c r="BK17" s="28" t="n">
        <f aca="false">Costos_Personal!BK$114</f>
        <v>10646.3735891213</v>
      </c>
      <c r="BL17" s="28" t="n">
        <f aca="false">Costos_Personal!BL$114</f>
        <v>10646.3735891213</v>
      </c>
      <c r="BM17" s="28" t="n">
        <f aca="false">Costos_Personal!BM$114</f>
        <v>10646.3735891213</v>
      </c>
      <c r="BN17" s="28" t="n">
        <f aca="false">Costos_Personal!BN$114</f>
        <v>10646.3735891213</v>
      </c>
      <c r="BO17" s="28" t="n">
        <f aca="false">Costos_Personal!BO$114</f>
        <v>10714.6593250125</v>
      </c>
      <c r="BP17" s="28" t="n">
        <f aca="false">Costos_Personal!BP$114</f>
        <v>10714.6593250125</v>
      </c>
      <c r="BQ17" s="28" t="n">
        <f aca="false">Costos_Personal!BQ$114</f>
        <v>10714.6593250125</v>
      </c>
      <c r="BR17" s="28" t="n">
        <f aca="false">Costos_Personal!BR$114</f>
        <v>10714.6593250125</v>
      </c>
      <c r="BS17" s="28" t="n">
        <f aca="false">Costos_Personal!BS$114</f>
        <v>10714.6593250125</v>
      </c>
      <c r="BT17" s="28" t="n">
        <f aca="false">Costos_Personal!BT$114</f>
        <v>10714.6593250125</v>
      </c>
      <c r="BU17" s="28" t="n">
        <f aca="false">Costos_Personal!BU$114</f>
        <v>10714.6593250125</v>
      </c>
      <c r="BV17" s="28" t="n">
        <f aca="false">Costos_Personal!BV$114</f>
        <v>10714.6593250125</v>
      </c>
      <c r="BW17" s="28" t="n">
        <f aca="false">Costos_Personal!BW$114</f>
        <v>10714.6593250125</v>
      </c>
      <c r="BX17" s="28" t="n">
        <f aca="false">Costos_Personal!BX$114</f>
        <v>10714.6593250125</v>
      </c>
      <c r="BY17" s="28" t="n">
        <f aca="false">Costos_Personal!BY$114</f>
        <v>10714.6593250125</v>
      </c>
      <c r="BZ17" s="28" t="n">
        <f aca="false">Costos_Personal!BZ$114</f>
        <v>10714.6593250125</v>
      </c>
      <c r="CA17" s="28" t="n">
        <f aca="false">Costos_Personal!CA$114</f>
        <v>10783.6279182626</v>
      </c>
      <c r="CB17" s="28" t="n">
        <f aca="false">Costos_Personal!CB$114</f>
        <v>10783.6279182626</v>
      </c>
      <c r="CC17" s="28" t="n">
        <f aca="false">Costos_Personal!CC$114</f>
        <v>10783.6279182626</v>
      </c>
      <c r="CD17" s="28" t="n">
        <f aca="false">Costos_Personal!CD$114</f>
        <v>10783.6279182626</v>
      </c>
      <c r="CE17" s="28" t="n">
        <f aca="false">Costos_Personal!CE$114</f>
        <v>10783.6279182626</v>
      </c>
      <c r="CF17" s="28" t="n">
        <f aca="false">Costos_Personal!CF$114</f>
        <v>10783.6279182626</v>
      </c>
      <c r="CG17" s="28" t="n">
        <f aca="false">Costos_Personal!CG$114</f>
        <v>10783.6279182626</v>
      </c>
      <c r="CH17" s="28" t="n">
        <f aca="false">Costos_Personal!CH$114</f>
        <v>10783.6279182626</v>
      </c>
      <c r="CI17" s="28" t="n">
        <f aca="false">Costos_Personal!CI$114</f>
        <v>10783.6279182626</v>
      </c>
      <c r="CJ17" s="28" t="n">
        <f aca="false">Costos_Personal!CJ$114</f>
        <v>10783.6279182626</v>
      </c>
      <c r="CK17" s="28" t="n">
        <f aca="false">Costos_Personal!CK$114</f>
        <v>10783.6279182626</v>
      </c>
      <c r="CL17" s="28" t="n">
        <f aca="false">Costos_Personal!CL$114</f>
        <v>10783.6279182626</v>
      </c>
      <c r="CM17" s="28" t="n">
        <f aca="false">Costos_Personal!CM$114</f>
        <v>10853.2861974452</v>
      </c>
      <c r="CN17" s="28" t="n">
        <f aca="false">Costos_Personal!CN$114</f>
        <v>10853.2861974452</v>
      </c>
      <c r="CO17" s="28" t="n">
        <f aca="false">Costos_Personal!CO$114</f>
        <v>10853.2861974452</v>
      </c>
      <c r="CP17" s="28" t="n">
        <f aca="false">Costos_Personal!CP$114</f>
        <v>10853.2861974452</v>
      </c>
      <c r="CQ17" s="28" t="n">
        <f aca="false">Costos_Personal!CQ$114</f>
        <v>10853.2861974452</v>
      </c>
      <c r="CR17" s="28" t="n">
        <f aca="false">Costos_Personal!CR$114</f>
        <v>10853.2861974452</v>
      </c>
      <c r="CS17" s="28" t="n">
        <f aca="false">Costos_Personal!CS$114</f>
        <v>10853.2861974452</v>
      </c>
      <c r="CT17" s="28" t="n">
        <f aca="false">Costos_Personal!CT$114</f>
        <v>10853.2861974452</v>
      </c>
      <c r="CU17" s="28" t="n">
        <f aca="false">Costos_Personal!CU$114</f>
        <v>10853.2861974452</v>
      </c>
      <c r="CV17" s="28" t="n">
        <f aca="false">Costos_Personal!CV$114</f>
        <v>10853.2861974452</v>
      </c>
      <c r="CW17" s="28" t="n">
        <f aca="false">Costos_Personal!CW$114</f>
        <v>10853.2861974452</v>
      </c>
      <c r="CX17" s="28" t="n">
        <f aca="false">Costos_Personal!CX$114</f>
        <v>10853.2861974452</v>
      </c>
      <c r="CY17" s="28" t="n">
        <f aca="false">Costos_Personal!CY$114</f>
        <v>10923.6410594197</v>
      </c>
      <c r="CZ17" s="28" t="n">
        <f aca="false">Costos_Personal!CZ$114</f>
        <v>10923.6410594197</v>
      </c>
      <c r="DA17" s="28" t="n">
        <f aca="false">Costos_Personal!DA$114</f>
        <v>10923.6410594197</v>
      </c>
      <c r="DB17" s="28" t="n">
        <f aca="false">Costos_Personal!DB$114</f>
        <v>10923.6410594197</v>
      </c>
      <c r="DC17" s="28" t="n">
        <f aca="false">Costos_Personal!DC$114</f>
        <v>10923.6410594197</v>
      </c>
      <c r="DD17" s="28" t="n">
        <f aca="false">Costos_Personal!DD$114</f>
        <v>10923.6410594197</v>
      </c>
      <c r="DE17" s="28" t="n">
        <f aca="false">Costos_Personal!DE$114</f>
        <v>10923.6410594197</v>
      </c>
      <c r="DF17" s="28" t="n">
        <f aca="false">Costos_Personal!DF$114</f>
        <v>10923.6410594197</v>
      </c>
      <c r="DG17" s="28" t="n">
        <f aca="false">Costos_Personal!DG$114</f>
        <v>10923.6410594197</v>
      </c>
      <c r="DH17" s="28" t="n">
        <f aca="false">Costos_Personal!DH$114</f>
        <v>10923.6410594197</v>
      </c>
      <c r="DI17" s="28" t="n">
        <f aca="false">Costos_Personal!DI$114</f>
        <v>10923.6410594197</v>
      </c>
      <c r="DJ17" s="28" t="n">
        <f aca="false">Costos_Personal!DJ$114</f>
        <v>10923.6410594197</v>
      </c>
      <c r="DK17" s="28" t="n">
        <f aca="false">Costos_Personal!DK$114</f>
        <v>10994.6994700139</v>
      </c>
      <c r="DL17" s="28" t="n">
        <f aca="false">Costos_Personal!DL$114</f>
        <v>10994.6994700139</v>
      </c>
      <c r="DM17" s="28" t="n">
        <f aca="false">Costos_Personal!DM$114</f>
        <v>10994.6994700139</v>
      </c>
      <c r="DN17" s="28" t="n">
        <f aca="false">Costos_Personal!DN$114</f>
        <v>10994.6994700139</v>
      </c>
      <c r="DO17" s="28" t="n">
        <f aca="false">Costos_Personal!DO$114</f>
        <v>10994.6994700139</v>
      </c>
      <c r="DP17" s="28" t="n">
        <f aca="false">Costos_Personal!DP$114</f>
        <v>10994.6994700139</v>
      </c>
      <c r="DQ17" s="28" t="n">
        <f aca="false">Costos_Personal!DQ$114</f>
        <v>10994.6994700139</v>
      </c>
      <c r="DR17" s="28" t="n">
        <f aca="false">Costos_Personal!DR$114</f>
        <v>10994.6994700139</v>
      </c>
      <c r="DS17" s="28" t="n">
        <f aca="false">Costos_Personal!DS$114</f>
        <v>10994.6994700139</v>
      </c>
      <c r="DT17" s="28" t="n">
        <f aca="false">Costos_Personal!DT$114</f>
        <v>10994.6994700139</v>
      </c>
      <c r="DU17" s="28" t="n">
        <f aca="false">Costos_Personal!DU$114</f>
        <v>10994.6994700139</v>
      </c>
      <c r="DV17" s="28" t="n">
        <f aca="false">Costos_Personal!DV$114</f>
        <v>7380.00375384492</v>
      </c>
      <c r="DW17" s="28" t="n">
        <f aca="false">Costos_Personal!DW$114</f>
        <v>0</v>
      </c>
      <c r="DX17" s="28" t="n">
        <f aca="false">Costos_Personal!DX$114</f>
        <v>0</v>
      </c>
      <c r="DY17" s="28" t="n">
        <f aca="false">Costos_Personal!DY$114</f>
        <v>0</v>
      </c>
      <c r="DZ17" s="28" t="n">
        <f aca="false">Costos_Personal!DZ$114</f>
        <v>0</v>
      </c>
      <c r="EA17" s="28" t="n">
        <f aca="false">Costos_Personal!EA$114</f>
        <v>0</v>
      </c>
      <c r="EB17" s="28" t="n">
        <f aca="false">Costos_Personal!EB$114</f>
        <v>0</v>
      </c>
      <c r="EC17" s="28" t="n">
        <f aca="false">Costos_Personal!EC$114</f>
        <v>0</v>
      </c>
      <c r="ED17" s="28" t="n">
        <f aca="false">Costos_Personal!ED$114</f>
        <v>0</v>
      </c>
      <c r="EE17" s="28" t="n">
        <f aca="false">Costos_Personal!EE$114</f>
        <v>0</v>
      </c>
      <c r="EF17" s="28" t="n">
        <f aca="false">Costos_Personal!EF$114</f>
        <v>0</v>
      </c>
      <c r="EG17" s="28" t="n">
        <f aca="false">Costos_Personal!EG$114</f>
        <v>0</v>
      </c>
      <c r="EH17" s="28" t="n">
        <f aca="false">Costos_Personal!EH$114</f>
        <v>0</v>
      </c>
      <c r="EI17" s="28" t="n">
        <f aca="false">Costos_Personal!EI$114</f>
        <v>0</v>
      </c>
      <c r="EJ17" s="28" t="n">
        <f aca="false">Costos_Personal!EJ$114</f>
        <v>0</v>
      </c>
      <c r="EK17" s="28" t="n">
        <f aca="false">Costos_Personal!EK$114</f>
        <v>0</v>
      </c>
      <c r="EL17" s="28" t="n">
        <f aca="false">Costos_Personal!EL$114</f>
        <v>0</v>
      </c>
      <c r="EM17" s="28" t="n">
        <f aca="false">Costos_Personal!EM$114</f>
        <v>0</v>
      </c>
      <c r="EN17" s="28" t="n">
        <f aca="false">Costos_Personal!EN$114</f>
        <v>0</v>
      </c>
      <c r="EO17" s="28" t="n">
        <f aca="false">Costos_Personal!EO$114</f>
        <v>0</v>
      </c>
      <c r="EP17" s="28" t="n">
        <f aca="false">Costos_Personal!EP$114</f>
        <v>0</v>
      </c>
      <c r="EQ17" s="28" t="n">
        <f aca="false">Costos_Personal!EQ$114</f>
        <v>0</v>
      </c>
      <c r="ER17" s="28" t="n">
        <f aca="false">Costos_Personal!ER$114</f>
        <v>0</v>
      </c>
      <c r="ES17" s="28" t="n">
        <f aca="false">Costos_Personal!ES$114</f>
        <v>0</v>
      </c>
      <c r="ET17" s="28" t="n">
        <f aca="false">Costos_Personal!ET$114</f>
        <v>0</v>
      </c>
      <c r="EU17" s="28" t="n">
        <f aca="false">Costos_Personal!EU$114</f>
        <v>0</v>
      </c>
      <c r="EV17" s="28" t="n">
        <f aca="false">Costos_Personal!EV$114</f>
        <v>0</v>
      </c>
      <c r="EW17" s="28" t="n">
        <f aca="false">Costos_Personal!EW$114</f>
        <v>0</v>
      </c>
      <c r="EX17" s="28" t="n">
        <f aca="false">Costos_Personal!EX$114</f>
        <v>0</v>
      </c>
      <c r="EY17" s="28" t="n">
        <f aca="false">Costos_Personal!EY$114</f>
        <v>0</v>
      </c>
      <c r="EZ17" s="28" t="n">
        <f aca="false">Costos_Personal!EZ$114</f>
        <v>0</v>
      </c>
      <c r="FA17" s="28" t="n">
        <f aca="false">Costos_Personal!FA$114</f>
        <v>0</v>
      </c>
      <c r="FB17" s="28" t="n">
        <f aca="false">Costos_Personal!FB$114</f>
        <v>0</v>
      </c>
      <c r="FC17" s="28" t="n">
        <f aca="false">Costos_Personal!FC$114</f>
        <v>0</v>
      </c>
      <c r="FD17" s="28" t="n">
        <f aca="false">Costos_Personal!FD$114</f>
        <v>0</v>
      </c>
      <c r="FE17" s="28" t="n">
        <f aca="false">Costos_Personal!FE$114</f>
        <v>0</v>
      </c>
      <c r="FF17" s="28" t="n">
        <f aca="false">Costos_Personal!FF$114</f>
        <v>0</v>
      </c>
    </row>
    <row r="18" customFormat="false" ht="15" hidden="false" customHeight="false" outlineLevel="0" collapsed="false">
      <c r="A18" s="2" t="s">
        <v>1462</v>
      </c>
      <c r="B18" s="8" t="s">
        <v>1001</v>
      </c>
      <c r="C18" s="8" t="s">
        <v>255</v>
      </c>
      <c r="E18" s="65" t="n">
        <f aca="false">SUM($F18:$FF18)</f>
        <v>522330.829264744</v>
      </c>
      <c r="F18" s="28" t="n">
        <f aca="false">Costos_Personal!F$123</f>
        <v>0</v>
      </c>
      <c r="G18" s="28" t="n">
        <f aca="false">Costos_Personal!G$123</f>
        <v>3555.21716664703</v>
      </c>
      <c r="H18" s="28" t="n">
        <f aca="false">Costos_Personal!H$123</f>
        <v>2756.29059130457</v>
      </c>
      <c r="I18" s="28" t="n">
        <f aca="false">Costos_Personal!I$123</f>
        <v>2756.29059130457</v>
      </c>
      <c r="J18" s="28" t="n">
        <f aca="false">Costos_Personal!J$123</f>
        <v>2756.29059130457</v>
      </c>
      <c r="K18" s="28" t="n">
        <f aca="false">Costos_Personal!K$123</f>
        <v>2756.29059130457</v>
      </c>
      <c r="L18" s="28" t="n">
        <f aca="false">Costos_Personal!L$123</f>
        <v>2756.29059130457</v>
      </c>
      <c r="M18" s="28" t="n">
        <f aca="false">Costos_Personal!M$123</f>
        <v>2756.29059130457</v>
      </c>
      <c r="N18" s="28" t="n">
        <f aca="false">Costos_Personal!N$123</f>
        <v>2756.29059130457</v>
      </c>
      <c r="O18" s="28" t="n">
        <f aca="false">Costos_Personal!O$123</f>
        <v>2756.29059130457</v>
      </c>
      <c r="P18" s="28" t="n">
        <f aca="false">Costos_Personal!P$123</f>
        <v>2756.29059130457</v>
      </c>
      <c r="Q18" s="28" t="n">
        <f aca="false">Costos_Personal!Q$123</f>
        <v>2756.29059130457</v>
      </c>
      <c r="R18" s="28" t="n">
        <f aca="false">Costos_Personal!R$123</f>
        <v>2966.29004335936</v>
      </c>
      <c r="S18" s="28" t="n">
        <f aca="false">Costos_Personal!S$123</f>
        <v>3410.9276746379</v>
      </c>
      <c r="T18" s="28" t="n">
        <f aca="false">Costos_Personal!T$123</f>
        <v>3410.9276746379</v>
      </c>
      <c r="U18" s="28" t="n">
        <f aca="false">Costos_Personal!U$123</f>
        <v>3410.9276746379</v>
      </c>
      <c r="V18" s="28" t="n">
        <f aca="false">Costos_Personal!V$123</f>
        <v>3410.9276746379</v>
      </c>
      <c r="W18" s="28" t="n">
        <f aca="false">Costos_Personal!W$123</f>
        <v>3410.9276746379</v>
      </c>
      <c r="X18" s="28" t="n">
        <f aca="false">Costos_Personal!X$123</f>
        <v>3410.9276746379</v>
      </c>
      <c r="Y18" s="28" t="n">
        <f aca="false">Costos_Personal!Y$123</f>
        <v>3410.9276746379</v>
      </c>
      <c r="Z18" s="28" t="n">
        <f aca="false">Costos_Personal!Z$123</f>
        <v>3410.9276746379</v>
      </c>
      <c r="AA18" s="28" t="n">
        <f aca="false">Costos_Personal!AA$123</f>
        <v>3410.9276746379</v>
      </c>
      <c r="AB18" s="28" t="n">
        <f aca="false">Costos_Personal!AB$123</f>
        <v>3410.9276746379</v>
      </c>
      <c r="AC18" s="28" t="n">
        <f aca="false">Costos_Personal!AC$123</f>
        <v>3410.9276746379</v>
      </c>
      <c r="AD18" s="28" t="n">
        <f aca="false">Costos_Personal!AD$123</f>
        <v>3622.01246915845</v>
      </c>
      <c r="AE18" s="28" t="n">
        <f aca="false">Costos_Personal!AE$123</f>
        <v>4098.8133364089</v>
      </c>
      <c r="AF18" s="28" t="n">
        <f aca="false">Costos_Personal!AF$123</f>
        <v>4098.8133364089</v>
      </c>
      <c r="AG18" s="28" t="n">
        <f aca="false">Costos_Personal!AG$123</f>
        <v>4098.8133364089</v>
      </c>
      <c r="AH18" s="28" t="n">
        <f aca="false">Costos_Personal!AH$123</f>
        <v>4098.8133364089</v>
      </c>
      <c r="AI18" s="28" t="n">
        <f aca="false">Costos_Personal!AI$123</f>
        <v>4098.8133364089</v>
      </c>
      <c r="AJ18" s="28" t="n">
        <f aca="false">Costos_Personal!AJ$123</f>
        <v>4098.8133364089</v>
      </c>
      <c r="AK18" s="28" t="n">
        <f aca="false">Costos_Personal!AK$123</f>
        <v>4098.8133364089</v>
      </c>
      <c r="AL18" s="28" t="n">
        <f aca="false">Costos_Personal!AL$123</f>
        <v>4098.8133364089</v>
      </c>
      <c r="AM18" s="28" t="n">
        <f aca="false">Costos_Personal!AM$123</f>
        <v>4098.8133364089</v>
      </c>
      <c r="AN18" s="28" t="n">
        <f aca="false">Costos_Personal!AN$123</f>
        <v>4098.8133364089</v>
      </c>
      <c r="AO18" s="28" t="n">
        <f aca="false">Costos_Personal!AO$123</f>
        <v>4098.8133364089</v>
      </c>
      <c r="AP18" s="28" t="n">
        <f aca="false">Costos_Personal!AP$123</f>
        <v>4269.5150364089</v>
      </c>
      <c r="AQ18" s="28" t="n">
        <f aca="false">Costos_Personal!AQ$123</f>
        <v>4661.52811116121</v>
      </c>
      <c r="AR18" s="28" t="n">
        <f aca="false">Costos_Personal!AR$123</f>
        <v>4661.52811116121</v>
      </c>
      <c r="AS18" s="28" t="n">
        <f aca="false">Costos_Personal!AS$123</f>
        <v>4661.52811116121</v>
      </c>
      <c r="AT18" s="28" t="n">
        <f aca="false">Costos_Personal!AT$123</f>
        <v>4661.52811116121</v>
      </c>
      <c r="AU18" s="28" t="n">
        <f aca="false">Costos_Personal!AU$123</f>
        <v>4661.52811116121</v>
      </c>
      <c r="AV18" s="28" t="n">
        <f aca="false">Costos_Personal!AV$123</f>
        <v>4661.52811116121</v>
      </c>
      <c r="AW18" s="28" t="n">
        <f aca="false">Costos_Personal!AW$123</f>
        <v>4661.52811116121</v>
      </c>
      <c r="AX18" s="28" t="n">
        <f aca="false">Costos_Personal!AX$123</f>
        <v>4661.52811116121</v>
      </c>
      <c r="AY18" s="28" t="n">
        <f aca="false">Costos_Personal!AY$123</f>
        <v>4661.52811116121</v>
      </c>
      <c r="AZ18" s="28" t="n">
        <f aca="false">Costos_Personal!AZ$123</f>
        <v>4661.52811116121</v>
      </c>
      <c r="BA18" s="28" t="n">
        <f aca="false">Costos_Personal!BA$123</f>
        <v>4661.52811116121</v>
      </c>
      <c r="BB18" s="28" t="n">
        <f aca="false">Costos_Personal!BB$123</f>
        <v>4661.52811116121</v>
      </c>
      <c r="BC18" s="28" t="n">
        <f aca="false">Costos_Personal!BC$123</f>
        <v>4709.89503230243</v>
      </c>
      <c r="BD18" s="28" t="n">
        <f aca="false">Costos_Personal!BD$123</f>
        <v>4709.89503230243</v>
      </c>
      <c r="BE18" s="28" t="n">
        <f aca="false">Costos_Personal!BE$123</f>
        <v>4709.89503230243</v>
      </c>
      <c r="BF18" s="28" t="n">
        <f aca="false">Costos_Personal!BF$123</f>
        <v>4709.89503230243</v>
      </c>
      <c r="BG18" s="28" t="n">
        <f aca="false">Costos_Personal!BG$123</f>
        <v>4709.89503230243</v>
      </c>
      <c r="BH18" s="28" t="n">
        <f aca="false">Costos_Personal!BH$123</f>
        <v>4709.89503230243</v>
      </c>
      <c r="BI18" s="28" t="n">
        <f aca="false">Costos_Personal!BI$123</f>
        <v>4709.89503230243</v>
      </c>
      <c r="BJ18" s="28" t="n">
        <f aca="false">Costos_Personal!BJ$123</f>
        <v>4709.89503230243</v>
      </c>
      <c r="BK18" s="28" t="n">
        <f aca="false">Costos_Personal!BK$123</f>
        <v>4709.89503230243</v>
      </c>
      <c r="BL18" s="28" t="n">
        <f aca="false">Costos_Personal!BL$123</f>
        <v>4709.89503230243</v>
      </c>
      <c r="BM18" s="28" t="n">
        <f aca="false">Costos_Personal!BM$123</f>
        <v>4709.89503230243</v>
      </c>
      <c r="BN18" s="28" t="n">
        <f aca="false">Costos_Personal!BN$123</f>
        <v>4709.89503230243</v>
      </c>
      <c r="BO18" s="28" t="n">
        <f aca="false">Costos_Personal!BO$123</f>
        <v>4732.65694426616</v>
      </c>
      <c r="BP18" s="28" t="n">
        <f aca="false">Costos_Personal!BP$123</f>
        <v>4732.65694426616</v>
      </c>
      <c r="BQ18" s="28" t="n">
        <f aca="false">Costos_Personal!BQ$123</f>
        <v>4732.65694426616</v>
      </c>
      <c r="BR18" s="28" t="n">
        <f aca="false">Costos_Personal!BR$123</f>
        <v>4732.65694426616</v>
      </c>
      <c r="BS18" s="28" t="n">
        <f aca="false">Costos_Personal!BS$123</f>
        <v>4732.65694426616</v>
      </c>
      <c r="BT18" s="28" t="n">
        <f aca="false">Costos_Personal!BT$123</f>
        <v>4732.65694426616</v>
      </c>
      <c r="BU18" s="28" t="n">
        <f aca="false">Costos_Personal!BU$123</f>
        <v>4732.65694426616</v>
      </c>
      <c r="BV18" s="28" t="n">
        <f aca="false">Costos_Personal!BV$123</f>
        <v>4732.65694426616</v>
      </c>
      <c r="BW18" s="28" t="n">
        <f aca="false">Costos_Personal!BW$123</f>
        <v>4732.65694426616</v>
      </c>
      <c r="BX18" s="28" t="n">
        <f aca="false">Costos_Personal!BX$123</f>
        <v>4732.65694426616</v>
      </c>
      <c r="BY18" s="28" t="n">
        <f aca="false">Costos_Personal!BY$123</f>
        <v>4732.65694426616</v>
      </c>
      <c r="BZ18" s="28" t="n">
        <f aca="false">Costos_Personal!BZ$123</f>
        <v>4732.65694426616</v>
      </c>
      <c r="CA18" s="28" t="n">
        <f aca="false">Costos_Personal!CA$123</f>
        <v>4755.64647534954</v>
      </c>
      <c r="CB18" s="28" t="n">
        <f aca="false">Costos_Personal!CB$123</f>
        <v>4755.64647534954</v>
      </c>
      <c r="CC18" s="28" t="n">
        <f aca="false">Costos_Personal!CC$123</f>
        <v>4755.64647534954</v>
      </c>
      <c r="CD18" s="28" t="n">
        <f aca="false">Costos_Personal!CD$123</f>
        <v>4755.64647534954</v>
      </c>
      <c r="CE18" s="28" t="n">
        <f aca="false">Costos_Personal!CE$123</f>
        <v>4755.64647534954</v>
      </c>
      <c r="CF18" s="28" t="n">
        <f aca="false">Costos_Personal!CF$123</f>
        <v>4755.64647534954</v>
      </c>
      <c r="CG18" s="28" t="n">
        <f aca="false">Costos_Personal!CG$123</f>
        <v>4755.64647534954</v>
      </c>
      <c r="CH18" s="28" t="n">
        <f aca="false">Costos_Personal!CH$123</f>
        <v>4755.64647534954</v>
      </c>
      <c r="CI18" s="28" t="n">
        <f aca="false">Costos_Personal!CI$123</f>
        <v>4755.64647534954</v>
      </c>
      <c r="CJ18" s="28" t="n">
        <f aca="false">Costos_Personal!CJ$123</f>
        <v>4755.64647534954</v>
      </c>
      <c r="CK18" s="28" t="n">
        <f aca="false">Costos_Personal!CK$123</f>
        <v>4755.64647534954</v>
      </c>
      <c r="CL18" s="28" t="n">
        <f aca="false">Costos_Personal!CL$123</f>
        <v>4755.64647534954</v>
      </c>
      <c r="CM18" s="28" t="n">
        <f aca="false">Costos_Personal!CM$123</f>
        <v>4778.86590174375</v>
      </c>
      <c r="CN18" s="28" t="n">
        <f aca="false">Costos_Personal!CN$123</f>
        <v>4778.86590174375</v>
      </c>
      <c r="CO18" s="28" t="n">
        <f aca="false">Costos_Personal!CO$123</f>
        <v>4778.86590174375</v>
      </c>
      <c r="CP18" s="28" t="n">
        <f aca="false">Costos_Personal!CP$123</f>
        <v>4778.86590174375</v>
      </c>
      <c r="CQ18" s="28" t="n">
        <f aca="false">Costos_Personal!CQ$123</f>
        <v>4778.86590174375</v>
      </c>
      <c r="CR18" s="28" t="n">
        <f aca="false">Costos_Personal!CR$123</f>
        <v>4778.86590174375</v>
      </c>
      <c r="CS18" s="28" t="n">
        <f aca="false">Costos_Personal!CS$123</f>
        <v>4778.86590174375</v>
      </c>
      <c r="CT18" s="28" t="n">
        <f aca="false">Costos_Personal!CT$123</f>
        <v>4778.86590174375</v>
      </c>
      <c r="CU18" s="28" t="n">
        <f aca="false">Costos_Personal!CU$123</f>
        <v>4778.86590174375</v>
      </c>
      <c r="CV18" s="28" t="n">
        <f aca="false">Costos_Personal!CV$123</f>
        <v>4778.86590174375</v>
      </c>
      <c r="CW18" s="28" t="n">
        <f aca="false">Costos_Personal!CW$123</f>
        <v>4778.86590174375</v>
      </c>
      <c r="CX18" s="28" t="n">
        <f aca="false">Costos_Personal!CX$123</f>
        <v>4778.86590174375</v>
      </c>
      <c r="CY18" s="28" t="n">
        <f aca="false">Costos_Personal!CY$123</f>
        <v>4802.3175224019</v>
      </c>
      <c r="CZ18" s="28" t="n">
        <f aca="false">Costos_Personal!CZ$123</f>
        <v>4802.3175224019</v>
      </c>
      <c r="DA18" s="28" t="n">
        <f aca="false">Costos_Personal!DA$123</f>
        <v>4802.3175224019</v>
      </c>
      <c r="DB18" s="28" t="n">
        <f aca="false">Costos_Personal!DB$123</f>
        <v>4802.3175224019</v>
      </c>
      <c r="DC18" s="28" t="n">
        <f aca="false">Costos_Personal!DC$123</f>
        <v>4802.3175224019</v>
      </c>
      <c r="DD18" s="28" t="n">
        <f aca="false">Costos_Personal!DD$123</f>
        <v>4802.3175224019</v>
      </c>
      <c r="DE18" s="28" t="n">
        <f aca="false">Costos_Personal!DE$123</f>
        <v>4802.3175224019</v>
      </c>
      <c r="DF18" s="28" t="n">
        <f aca="false">Costos_Personal!DF$123</f>
        <v>4802.3175224019</v>
      </c>
      <c r="DG18" s="28" t="n">
        <f aca="false">Costos_Personal!DG$123</f>
        <v>4802.3175224019</v>
      </c>
      <c r="DH18" s="28" t="n">
        <f aca="false">Costos_Personal!DH$123</f>
        <v>4802.3175224019</v>
      </c>
      <c r="DI18" s="28" t="n">
        <f aca="false">Costos_Personal!DI$123</f>
        <v>4802.3175224019</v>
      </c>
      <c r="DJ18" s="28" t="n">
        <f aca="false">Costos_Personal!DJ$123</f>
        <v>4802.3175224019</v>
      </c>
      <c r="DK18" s="28" t="n">
        <f aca="false">Costos_Personal!DK$123</f>
        <v>4826.00365926663</v>
      </c>
      <c r="DL18" s="28" t="n">
        <f aca="false">Costos_Personal!DL$123</f>
        <v>4826.00365926663</v>
      </c>
      <c r="DM18" s="28" t="n">
        <f aca="false">Costos_Personal!DM$123</f>
        <v>4826.00365926663</v>
      </c>
      <c r="DN18" s="28" t="n">
        <f aca="false">Costos_Personal!DN$123</f>
        <v>4826.00365926663</v>
      </c>
      <c r="DO18" s="28" t="n">
        <f aca="false">Costos_Personal!DO$123</f>
        <v>4826.00365926663</v>
      </c>
      <c r="DP18" s="28" t="n">
        <f aca="false">Costos_Personal!DP$123</f>
        <v>4826.00365926663</v>
      </c>
      <c r="DQ18" s="28" t="n">
        <f aca="false">Costos_Personal!DQ$123</f>
        <v>4826.00365926663</v>
      </c>
      <c r="DR18" s="28" t="n">
        <f aca="false">Costos_Personal!DR$123</f>
        <v>4826.00365926663</v>
      </c>
      <c r="DS18" s="28" t="n">
        <f aca="false">Costos_Personal!DS$123</f>
        <v>4826.00365926663</v>
      </c>
      <c r="DT18" s="28" t="n">
        <f aca="false">Costos_Personal!DT$123</f>
        <v>4826.00365926663</v>
      </c>
      <c r="DU18" s="28" t="n">
        <f aca="false">Costos_Personal!DU$123</f>
        <v>4826.00365926663</v>
      </c>
      <c r="DV18" s="28" t="n">
        <f aca="false">Costos_Personal!DV$123</f>
        <v>3370.77741597744</v>
      </c>
      <c r="DW18" s="28" t="n">
        <f aca="false">Costos_Personal!DW$123</f>
        <v>0</v>
      </c>
      <c r="DX18" s="28" t="n">
        <f aca="false">Costos_Personal!DX$123</f>
        <v>0</v>
      </c>
      <c r="DY18" s="28" t="n">
        <f aca="false">Costos_Personal!DY$123</f>
        <v>0</v>
      </c>
      <c r="DZ18" s="28" t="n">
        <f aca="false">Costos_Personal!DZ$123</f>
        <v>0</v>
      </c>
      <c r="EA18" s="28" t="n">
        <f aca="false">Costos_Personal!EA$123</f>
        <v>0</v>
      </c>
      <c r="EB18" s="28" t="n">
        <f aca="false">Costos_Personal!EB$123</f>
        <v>0</v>
      </c>
      <c r="EC18" s="28" t="n">
        <f aca="false">Costos_Personal!EC$123</f>
        <v>0</v>
      </c>
      <c r="ED18" s="28" t="n">
        <f aca="false">Costos_Personal!ED$123</f>
        <v>0</v>
      </c>
      <c r="EE18" s="28" t="n">
        <f aca="false">Costos_Personal!EE$123</f>
        <v>0</v>
      </c>
      <c r="EF18" s="28" t="n">
        <f aca="false">Costos_Personal!EF$123</f>
        <v>0</v>
      </c>
      <c r="EG18" s="28" t="n">
        <f aca="false">Costos_Personal!EG$123</f>
        <v>0</v>
      </c>
      <c r="EH18" s="28" t="n">
        <f aca="false">Costos_Personal!EH$123</f>
        <v>0</v>
      </c>
      <c r="EI18" s="28" t="n">
        <f aca="false">Costos_Personal!EI$123</f>
        <v>0</v>
      </c>
      <c r="EJ18" s="28" t="n">
        <f aca="false">Costos_Personal!EJ$123</f>
        <v>0</v>
      </c>
      <c r="EK18" s="28" t="n">
        <f aca="false">Costos_Personal!EK$123</f>
        <v>0</v>
      </c>
      <c r="EL18" s="28" t="n">
        <f aca="false">Costos_Personal!EL$123</f>
        <v>0</v>
      </c>
      <c r="EM18" s="28" t="n">
        <f aca="false">Costos_Personal!EM$123</f>
        <v>0</v>
      </c>
      <c r="EN18" s="28" t="n">
        <f aca="false">Costos_Personal!EN$123</f>
        <v>0</v>
      </c>
      <c r="EO18" s="28" t="n">
        <f aca="false">Costos_Personal!EO$123</f>
        <v>0</v>
      </c>
      <c r="EP18" s="28" t="n">
        <f aca="false">Costos_Personal!EP$123</f>
        <v>0</v>
      </c>
      <c r="EQ18" s="28" t="n">
        <f aca="false">Costos_Personal!EQ$123</f>
        <v>0</v>
      </c>
      <c r="ER18" s="28" t="n">
        <f aca="false">Costos_Personal!ER$123</f>
        <v>0</v>
      </c>
      <c r="ES18" s="28" t="n">
        <f aca="false">Costos_Personal!ES$123</f>
        <v>0</v>
      </c>
      <c r="ET18" s="28" t="n">
        <f aca="false">Costos_Personal!ET$123</f>
        <v>0</v>
      </c>
      <c r="EU18" s="28" t="n">
        <f aca="false">Costos_Personal!EU$123</f>
        <v>0</v>
      </c>
      <c r="EV18" s="28" t="n">
        <f aca="false">Costos_Personal!EV$123</f>
        <v>0</v>
      </c>
      <c r="EW18" s="28" t="n">
        <f aca="false">Costos_Personal!EW$123</f>
        <v>0</v>
      </c>
      <c r="EX18" s="28" t="n">
        <f aca="false">Costos_Personal!EX$123</f>
        <v>0</v>
      </c>
      <c r="EY18" s="28" t="n">
        <f aca="false">Costos_Personal!EY$123</f>
        <v>0</v>
      </c>
      <c r="EZ18" s="28" t="n">
        <f aca="false">Costos_Personal!EZ$123</f>
        <v>0</v>
      </c>
      <c r="FA18" s="28" t="n">
        <f aca="false">Costos_Personal!FA$123</f>
        <v>0</v>
      </c>
      <c r="FB18" s="28" t="n">
        <f aca="false">Costos_Personal!FB$123</f>
        <v>0</v>
      </c>
      <c r="FC18" s="28" t="n">
        <f aca="false">Costos_Personal!FC$123</f>
        <v>0</v>
      </c>
      <c r="FD18" s="28" t="n">
        <f aca="false">Costos_Personal!FD$123</f>
        <v>0</v>
      </c>
      <c r="FE18" s="28" t="n">
        <f aca="false">Costos_Personal!FE$123</f>
        <v>0</v>
      </c>
      <c r="FF18" s="28" t="n">
        <f aca="false">Costos_Personal!FF$123</f>
        <v>0</v>
      </c>
    </row>
    <row r="19" customFormat="false" ht="15" hidden="false" customHeight="false" outlineLevel="0" collapsed="false">
      <c r="A19" s="2" t="s">
        <v>1463</v>
      </c>
      <c r="B19" s="8" t="s">
        <v>1464</v>
      </c>
      <c r="C19" s="8" t="s">
        <v>255</v>
      </c>
      <c r="E19" s="65" t="n">
        <f aca="false">SUM($F19:$FF19)</f>
        <v>4532548.91505156</v>
      </c>
      <c r="F19" s="28" t="n">
        <f aca="false">Costos_Personal!F$82</f>
        <v>0</v>
      </c>
      <c r="G19" s="28" t="n">
        <f aca="false">Costos_Personal!G$82</f>
        <v>32622.2257971233</v>
      </c>
      <c r="H19" s="28" t="n">
        <f aca="false">Costos_Personal!H$82</f>
        <v>32622.2257971233</v>
      </c>
      <c r="I19" s="28" t="n">
        <f aca="false">Costos_Personal!I$82</f>
        <v>32622.2257971233</v>
      </c>
      <c r="J19" s="28" t="n">
        <f aca="false">Costos_Personal!J$82</f>
        <v>32622.2257971233</v>
      </c>
      <c r="K19" s="28" t="n">
        <f aca="false">Costos_Personal!K$82</f>
        <v>32622.2257971233</v>
      </c>
      <c r="L19" s="28" t="n">
        <f aca="false">Costos_Personal!L$82</f>
        <v>32622.2257971233</v>
      </c>
      <c r="M19" s="28" t="n">
        <f aca="false">Costos_Personal!M$82</f>
        <v>32622.2257971233</v>
      </c>
      <c r="N19" s="28" t="n">
        <f aca="false">Costos_Personal!N$82</f>
        <v>32622.2257971233</v>
      </c>
      <c r="O19" s="28" t="n">
        <f aca="false">Costos_Personal!O$82</f>
        <v>32622.2257971233</v>
      </c>
      <c r="P19" s="28" t="n">
        <f aca="false">Costos_Personal!P$82</f>
        <v>32622.2257971233</v>
      </c>
      <c r="Q19" s="28" t="n">
        <f aca="false">Costos_Personal!Q$82</f>
        <v>32622.2257971233</v>
      </c>
      <c r="R19" s="28" t="n">
        <f aca="false">Costos_Personal!R$82</f>
        <v>32622.2257971233</v>
      </c>
      <c r="S19" s="28" t="n">
        <f aca="false">Costos_Personal!S$82</f>
        <v>32622.2257971233</v>
      </c>
      <c r="T19" s="28" t="n">
        <f aca="false">Costos_Personal!T$82</f>
        <v>32622.2257971233</v>
      </c>
      <c r="U19" s="28" t="n">
        <f aca="false">Costos_Personal!U$82</f>
        <v>32622.2257971233</v>
      </c>
      <c r="V19" s="28" t="n">
        <f aca="false">Costos_Personal!V$82</f>
        <v>32622.2257971233</v>
      </c>
      <c r="W19" s="28" t="n">
        <f aca="false">Costos_Personal!W$82</f>
        <v>32622.2257971233</v>
      </c>
      <c r="X19" s="28" t="n">
        <f aca="false">Costos_Personal!X$82</f>
        <v>32622.2257971233</v>
      </c>
      <c r="Y19" s="28" t="n">
        <f aca="false">Costos_Personal!Y$82</f>
        <v>32622.2257971233</v>
      </c>
      <c r="Z19" s="28" t="n">
        <f aca="false">Costos_Personal!Z$82</f>
        <v>32622.2257971233</v>
      </c>
      <c r="AA19" s="28" t="n">
        <f aca="false">Costos_Personal!AA$82</f>
        <v>32622.2257971233</v>
      </c>
      <c r="AB19" s="28" t="n">
        <f aca="false">Costos_Personal!AB$82</f>
        <v>32622.2257971233</v>
      </c>
      <c r="AC19" s="28" t="n">
        <f aca="false">Costos_Personal!AC$82</f>
        <v>32622.2257971233</v>
      </c>
      <c r="AD19" s="28" t="n">
        <f aca="false">Costos_Personal!AD$82</f>
        <v>32622.2257971233</v>
      </c>
      <c r="AE19" s="28" t="n">
        <f aca="false">Costos_Personal!AE$82</f>
        <v>35267.6436408904</v>
      </c>
      <c r="AF19" s="28" t="n">
        <f aca="false">Costos_Personal!AF$82</f>
        <v>35267.6436408904</v>
      </c>
      <c r="AG19" s="28" t="n">
        <f aca="false">Costos_Personal!AG$82</f>
        <v>35267.6436408904</v>
      </c>
      <c r="AH19" s="28" t="n">
        <f aca="false">Costos_Personal!AH$82</f>
        <v>35267.6436408904</v>
      </c>
      <c r="AI19" s="28" t="n">
        <f aca="false">Costos_Personal!AI$82</f>
        <v>35267.6436408904</v>
      </c>
      <c r="AJ19" s="28" t="n">
        <f aca="false">Costos_Personal!AJ$82</f>
        <v>35267.6436408904</v>
      </c>
      <c r="AK19" s="28" t="n">
        <f aca="false">Costos_Personal!AK$82</f>
        <v>35267.6436408904</v>
      </c>
      <c r="AL19" s="28" t="n">
        <f aca="false">Costos_Personal!AL$82</f>
        <v>35267.6436408904</v>
      </c>
      <c r="AM19" s="28" t="n">
        <f aca="false">Costos_Personal!AM$82</f>
        <v>35267.6436408904</v>
      </c>
      <c r="AN19" s="28" t="n">
        <f aca="false">Costos_Personal!AN$82</f>
        <v>35267.6436408904</v>
      </c>
      <c r="AO19" s="28" t="n">
        <f aca="false">Costos_Personal!AO$82</f>
        <v>35267.6436408904</v>
      </c>
      <c r="AP19" s="28" t="n">
        <f aca="false">Costos_Personal!AP$82</f>
        <v>35267.6436408904</v>
      </c>
      <c r="AQ19" s="28" t="n">
        <f aca="false">Costos_Personal!AQ$82</f>
        <v>37386.0127952877</v>
      </c>
      <c r="AR19" s="28" t="n">
        <f aca="false">Costos_Personal!AR$82</f>
        <v>37386.0127952877</v>
      </c>
      <c r="AS19" s="28" t="n">
        <f aca="false">Costos_Personal!AS$82</f>
        <v>37386.0127952877</v>
      </c>
      <c r="AT19" s="28" t="n">
        <f aca="false">Costos_Personal!AT$82</f>
        <v>37386.0127952877</v>
      </c>
      <c r="AU19" s="28" t="n">
        <f aca="false">Costos_Personal!AU$82</f>
        <v>37386.0127952877</v>
      </c>
      <c r="AV19" s="28" t="n">
        <f aca="false">Costos_Personal!AV$82</f>
        <v>37386.0127952877</v>
      </c>
      <c r="AW19" s="28" t="n">
        <f aca="false">Costos_Personal!AW$82</f>
        <v>37386.0127952877</v>
      </c>
      <c r="AX19" s="28" t="n">
        <f aca="false">Costos_Personal!AX$82</f>
        <v>37386.0127952877</v>
      </c>
      <c r="AY19" s="28" t="n">
        <f aca="false">Costos_Personal!AY$82</f>
        <v>37386.0127952877</v>
      </c>
      <c r="AZ19" s="28" t="n">
        <f aca="false">Costos_Personal!AZ$82</f>
        <v>37386.0127952877</v>
      </c>
      <c r="BA19" s="28" t="n">
        <f aca="false">Costos_Personal!BA$82</f>
        <v>37386.0127952877</v>
      </c>
      <c r="BB19" s="28" t="n">
        <f aca="false">Costos_Personal!BB$82</f>
        <v>37386.0127952877</v>
      </c>
      <c r="BC19" s="28" t="n">
        <f aca="false">Costos_Personal!BC$82</f>
        <v>39969.0502595343</v>
      </c>
      <c r="BD19" s="28" t="n">
        <f aca="false">Costos_Personal!BD$82</f>
        <v>39969.0502595343</v>
      </c>
      <c r="BE19" s="28" t="n">
        <f aca="false">Costos_Personal!BE$82</f>
        <v>39969.0502595343</v>
      </c>
      <c r="BF19" s="28" t="n">
        <f aca="false">Costos_Personal!BF$82</f>
        <v>39969.0502595343</v>
      </c>
      <c r="BG19" s="28" t="n">
        <f aca="false">Costos_Personal!BG$82</f>
        <v>39969.0502595343</v>
      </c>
      <c r="BH19" s="28" t="n">
        <f aca="false">Costos_Personal!BH$82</f>
        <v>39969.0502595343</v>
      </c>
      <c r="BI19" s="28" t="n">
        <f aca="false">Costos_Personal!BI$82</f>
        <v>39969.0502595343</v>
      </c>
      <c r="BJ19" s="28" t="n">
        <f aca="false">Costos_Personal!BJ$82</f>
        <v>39969.0502595343</v>
      </c>
      <c r="BK19" s="28" t="n">
        <f aca="false">Costos_Personal!BK$82</f>
        <v>39969.0502595343</v>
      </c>
      <c r="BL19" s="28" t="n">
        <f aca="false">Costos_Personal!BL$82</f>
        <v>39969.0502595343</v>
      </c>
      <c r="BM19" s="28" t="n">
        <f aca="false">Costos_Personal!BM$82</f>
        <v>39969.0502595343</v>
      </c>
      <c r="BN19" s="28" t="n">
        <f aca="false">Costos_Personal!BN$82</f>
        <v>39969.0502595343</v>
      </c>
      <c r="BO19" s="28" t="n">
        <f aca="false">Costos_Personal!BO$82</f>
        <v>39969.0502595343</v>
      </c>
      <c r="BP19" s="28" t="n">
        <f aca="false">Costos_Personal!BP$82</f>
        <v>39969.0502595343</v>
      </c>
      <c r="BQ19" s="28" t="n">
        <f aca="false">Costos_Personal!BQ$82</f>
        <v>39969.0502595343</v>
      </c>
      <c r="BR19" s="28" t="n">
        <f aca="false">Costos_Personal!BR$82</f>
        <v>39969.0502595343</v>
      </c>
      <c r="BS19" s="28" t="n">
        <f aca="false">Costos_Personal!BS$82</f>
        <v>39969.0502595343</v>
      </c>
      <c r="BT19" s="28" t="n">
        <f aca="false">Costos_Personal!BT$82</f>
        <v>39969.0502595343</v>
      </c>
      <c r="BU19" s="28" t="n">
        <f aca="false">Costos_Personal!BU$82</f>
        <v>39969.0502595343</v>
      </c>
      <c r="BV19" s="28" t="n">
        <f aca="false">Costos_Personal!BV$82</f>
        <v>39969.0502595343</v>
      </c>
      <c r="BW19" s="28" t="n">
        <f aca="false">Costos_Personal!BW$82</f>
        <v>39969.0502595343</v>
      </c>
      <c r="BX19" s="28" t="n">
        <f aca="false">Costos_Personal!BX$82</f>
        <v>39969.0502595343</v>
      </c>
      <c r="BY19" s="28" t="n">
        <f aca="false">Costos_Personal!BY$82</f>
        <v>39969.0502595343</v>
      </c>
      <c r="BZ19" s="28" t="n">
        <f aca="false">Costos_Personal!BZ$82</f>
        <v>39969.0502595343</v>
      </c>
      <c r="CA19" s="28" t="n">
        <f aca="false">Costos_Personal!CA$82</f>
        <v>39969.0502595343</v>
      </c>
      <c r="CB19" s="28" t="n">
        <f aca="false">Costos_Personal!CB$82</f>
        <v>39969.0502595343</v>
      </c>
      <c r="CC19" s="28" t="n">
        <f aca="false">Costos_Personal!CC$82</f>
        <v>39969.0502595343</v>
      </c>
      <c r="CD19" s="28" t="n">
        <f aca="false">Costos_Personal!CD$82</f>
        <v>39969.0502595343</v>
      </c>
      <c r="CE19" s="28" t="n">
        <f aca="false">Costos_Personal!CE$82</f>
        <v>39969.0502595343</v>
      </c>
      <c r="CF19" s="28" t="n">
        <f aca="false">Costos_Personal!CF$82</f>
        <v>39969.0502595343</v>
      </c>
      <c r="CG19" s="28" t="n">
        <f aca="false">Costos_Personal!CG$82</f>
        <v>39969.0502595343</v>
      </c>
      <c r="CH19" s="28" t="n">
        <f aca="false">Costos_Personal!CH$82</f>
        <v>39969.0502595343</v>
      </c>
      <c r="CI19" s="28" t="n">
        <f aca="false">Costos_Personal!CI$82</f>
        <v>39969.0502595343</v>
      </c>
      <c r="CJ19" s="28" t="n">
        <f aca="false">Costos_Personal!CJ$82</f>
        <v>39969.0502595343</v>
      </c>
      <c r="CK19" s="28" t="n">
        <f aca="false">Costos_Personal!CK$82</f>
        <v>39969.0502595343</v>
      </c>
      <c r="CL19" s="28" t="n">
        <f aca="false">Costos_Personal!CL$82</f>
        <v>39969.0502595343</v>
      </c>
      <c r="CM19" s="28" t="n">
        <f aca="false">Costos_Personal!CM$82</f>
        <v>39969.0502595343</v>
      </c>
      <c r="CN19" s="28" t="n">
        <f aca="false">Costos_Personal!CN$82</f>
        <v>39969.0502595343</v>
      </c>
      <c r="CO19" s="28" t="n">
        <f aca="false">Costos_Personal!CO$82</f>
        <v>39969.0502595343</v>
      </c>
      <c r="CP19" s="28" t="n">
        <f aca="false">Costos_Personal!CP$82</f>
        <v>39969.0502595343</v>
      </c>
      <c r="CQ19" s="28" t="n">
        <f aca="false">Costos_Personal!CQ$82</f>
        <v>39969.0502595343</v>
      </c>
      <c r="CR19" s="28" t="n">
        <f aca="false">Costos_Personal!CR$82</f>
        <v>39969.0502595343</v>
      </c>
      <c r="CS19" s="28" t="n">
        <f aca="false">Costos_Personal!CS$82</f>
        <v>39969.0502595343</v>
      </c>
      <c r="CT19" s="28" t="n">
        <f aca="false">Costos_Personal!CT$82</f>
        <v>39969.0502595343</v>
      </c>
      <c r="CU19" s="28" t="n">
        <f aca="false">Costos_Personal!CU$82</f>
        <v>39969.0502595343</v>
      </c>
      <c r="CV19" s="28" t="n">
        <f aca="false">Costos_Personal!CV$82</f>
        <v>39969.0502595343</v>
      </c>
      <c r="CW19" s="28" t="n">
        <f aca="false">Costos_Personal!CW$82</f>
        <v>39969.0502595343</v>
      </c>
      <c r="CX19" s="28" t="n">
        <f aca="false">Costos_Personal!CX$82</f>
        <v>39969.0502595343</v>
      </c>
      <c r="CY19" s="28" t="n">
        <f aca="false">Costos_Personal!CY$82</f>
        <v>39969.0502595343</v>
      </c>
      <c r="CZ19" s="28" t="n">
        <f aca="false">Costos_Personal!CZ$82</f>
        <v>39969.0502595343</v>
      </c>
      <c r="DA19" s="28" t="n">
        <f aca="false">Costos_Personal!DA$82</f>
        <v>39969.0502595343</v>
      </c>
      <c r="DB19" s="28" t="n">
        <f aca="false">Costos_Personal!DB$82</f>
        <v>39969.0502595343</v>
      </c>
      <c r="DC19" s="28" t="n">
        <f aca="false">Costos_Personal!DC$82</f>
        <v>39969.0502595343</v>
      </c>
      <c r="DD19" s="28" t="n">
        <f aca="false">Costos_Personal!DD$82</f>
        <v>39969.0502595343</v>
      </c>
      <c r="DE19" s="28" t="n">
        <f aca="false">Costos_Personal!DE$82</f>
        <v>39969.0502595343</v>
      </c>
      <c r="DF19" s="28" t="n">
        <f aca="false">Costos_Personal!DF$82</f>
        <v>39969.0502595343</v>
      </c>
      <c r="DG19" s="28" t="n">
        <f aca="false">Costos_Personal!DG$82</f>
        <v>39969.0502595343</v>
      </c>
      <c r="DH19" s="28" t="n">
        <f aca="false">Costos_Personal!DH$82</f>
        <v>39969.0502595343</v>
      </c>
      <c r="DI19" s="28" t="n">
        <f aca="false">Costos_Personal!DI$82</f>
        <v>39969.0502595343</v>
      </c>
      <c r="DJ19" s="28" t="n">
        <f aca="false">Costos_Personal!DJ$82</f>
        <v>39969.0502595343</v>
      </c>
      <c r="DK19" s="28" t="n">
        <f aca="false">Costos_Personal!DK$82</f>
        <v>39969.0502595343</v>
      </c>
      <c r="DL19" s="28" t="n">
        <f aca="false">Costos_Personal!DL$82</f>
        <v>39969.0502595343</v>
      </c>
      <c r="DM19" s="28" t="n">
        <f aca="false">Costos_Personal!DM$82</f>
        <v>39969.0502595343</v>
      </c>
      <c r="DN19" s="28" t="n">
        <f aca="false">Costos_Personal!DN$82</f>
        <v>39969.0502595343</v>
      </c>
      <c r="DO19" s="28" t="n">
        <f aca="false">Costos_Personal!DO$82</f>
        <v>39969.0502595343</v>
      </c>
      <c r="DP19" s="28" t="n">
        <f aca="false">Costos_Personal!DP$82</f>
        <v>39969.0502595343</v>
      </c>
      <c r="DQ19" s="28" t="n">
        <f aca="false">Costos_Personal!DQ$82</f>
        <v>39969.0502595343</v>
      </c>
      <c r="DR19" s="28" t="n">
        <f aca="false">Costos_Personal!DR$82</f>
        <v>39969.0502595343</v>
      </c>
      <c r="DS19" s="28" t="n">
        <f aca="false">Costos_Personal!DS$82</f>
        <v>39969.0502595343</v>
      </c>
      <c r="DT19" s="28" t="n">
        <f aca="false">Costos_Personal!DT$82</f>
        <v>39969.0502595343</v>
      </c>
      <c r="DU19" s="28" t="n">
        <f aca="false">Costos_Personal!DU$82</f>
        <v>39969.0502595343</v>
      </c>
      <c r="DV19" s="28" t="n">
        <f aca="false">Costos_Personal!DV$82</f>
        <v>39969.0502595343</v>
      </c>
      <c r="DW19" s="28" t="n">
        <f aca="false">Costos_Personal!DW$82</f>
        <v>0</v>
      </c>
      <c r="DX19" s="28" t="n">
        <f aca="false">Costos_Personal!DX$82</f>
        <v>0</v>
      </c>
      <c r="DY19" s="28" t="n">
        <f aca="false">Costos_Personal!DY$82</f>
        <v>0</v>
      </c>
      <c r="DZ19" s="28" t="n">
        <f aca="false">Costos_Personal!DZ$82</f>
        <v>0</v>
      </c>
      <c r="EA19" s="28" t="n">
        <f aca="false">Costos_Personal!EA$82</f>
        <v>0</v>
      </c>
      <c r="EB19" s="28" t="n">
        <f aca="false">Costos_Personal!EB$82</f>
        <v>0</v>
      </c>
      <c r="EC19" s="28" t="n">
        <f aca="false">Costos_Personal!EC$82</f>
        <v>0</v>
      </c>
      <c r="ED19" s="28" t="n">
        <f aca="false">Costos_Personal!ED$82</f>
        <v>0</v>
      </c>
      <c r="EE19" s="28" t="n">
        <f aca="false">Costos_Personal!EE$82</f>
        <v>0</v>
      </c>
      <c r="EF19" s="28" t="n">
        <f aca="false">Costos_Personal!EF$82</f>
        <v>0</v>
      </c>
      <c r="EG19" s="28" t="n">
        <f aca="false">Costos_Personal!EG$82</f>
        <v>0</v>
      </c>
      <c r="EH19" s="28" t="n">
        <f aca="false">Costos_Personal!EH$82</f>
        <v>0</v>
      </c>
      <c r="EI19" s="28" t="n">
        <f aca="false">Costos_Personal!EI$82</f>
        <v>0</v>
      </c>
      <c r="EJ19" s="28" t="n">
        <f aca="false">Costos_Personal!EJ$82</f>
        <v>0</v>
      </c>
      <c r="EK19" s="28" t="n">
        <f aca="false">Costos_Personal!EK$82</f>
        <v>0</v>
      </c>
      <c r="EL19" s="28" t="n">
        <f aca="false">Costos_Personal!EL$82</f>
        <v>0</v>
      </c>
      <c r="EM19" s="28" t="n">
        <f aca="false">Costos_Personal!EM$82</f>
        <v>0</v>
      </c>
      <c r="EN19" s="28" t="n">
        <f aca="false">Costos_Personal!EN$82</f>
        <v>0</v>
      </c>
      <c r="EO19" s="28" t="n">
        <f aca="false">Costos_Personal!EO$82</f>
        <v>0</v>
      </c>
      <c r="EP19" s="28" t="n">
        <f aca="false">Costos_Personal!EP$82</f>
        <v>0</v>
      </c>
      <c r="EQ19" s="28" t="n">
        <f aca="false">Costos_Personal!EQ$82</f>
        <v>0</v>
      </c>
      <c r="ER19" s="28" t="n">
        <f aca="false">Costos_Personal!ER$82</f>
        <v>0</v>
      </c>
      <c r="ES19" s="28" t="n">
        <f aca="false">Costos_Personal!ES$82</f>
        <v>0</v>
      </c>
      <c r="ET19" s="28" t="n">
        <f aca="false">Costos_Personal!ET$82</f>
        <v>0</v>
      </c>
      <c r="EU19" s="28" t="n">
        <f aca="false">Costos_Personal!EU$82</f>
        <v>0</v>
      </c>
      <c r="EV19" s="28" t="n">
        <f aca="false">Costos_Personal!EV$82</f>
        <v>0</v>
      </c>
      <c r="EW19" s="28" t="n">
        <f aca="false">Costos_Personal!EW$82</f>
        <v>0</v>
      </c>
      <c r="EX19" s="28" t="n">
        <f aca="false">Costos_Personal!EX$82</f>
        <v>0</v>
      </c>
      <c r="EY19" s="28" t="n">
        <f aca="false">Costos_Personal!EY$82</f>
        <v>0</v>
      </c>
      <c r="EZ19" s="28" t="n">
        <f aca="false">Costos_Personal!EZ$82</f>
        <v>0</v>
      </c>
      <c r="FA19" s="28" t="n">
        <f aca="false">Costos_Personal!FA$82</f>
        <v>0</v>
      </c>
      <c r="FB19" s="28" t="n">
        <f aca="false">Costos_Personal!FB$82</f>
        <v>0</v>
      </c>
      <c r="FC19" s="28" t="n">
        <f aca="false">Costos_Personal!FC$82</f>
        <v>0</v>
      </c>
      <c r="FD19" s="28" t="n">
        <f aca="false">Costos_Personal!FD$82</f>
        <v>0</v>
      </c>
      <c r="FE19" s="28" t="n">
        <f aca="false">Costos_Personal!FE$82</f>
        <v>0</v>
      </c>
      <c r="FF19" s="28" t="n">
        <f aca="false">Costos_Personal!FF$82</f>
        <v>0</v>
      </c>
    </row>
    <row r="20" customFormat="false" ht="15" hidden="false" customHeight="false" outlineLevel="0" collapsed="false">
      <c r="A20" s="2" t="s">
        <v>1465</v>
      </c>
      <c r="B20" s="8" t="s">
        <v>1466</v>
      </c>
      <c r="C20" s="8" t="s">
        <v>255</v>
      </c>
      <c r="E20" s="65" t="n">
        <f aca="false">SUM($F20:$FF20)</f>
        <v>2451899.38788164</v>
      </c>
      <c r="F20" s="28" t="n">
        <f aca="false">Costos_Personal!F$88</f>
        <v>0</v>
      </c>
      <c r="G20" s="28" t="n">
        <f aca="false">Costos_Personal!G$88</f>
        <v>20432.4948990137</v>
      </c>
      <c r="H20" s="28" t="n">
        <f aca="false">Costos_Personal!H$88</f>
        <v>20432.4948990137</v>
      </c>
      <c r="I20" s="28" t="n">
        <f aca="false">Costos_Personal!I$88</f>
        <v>20432.4948990137</v>
      </c>
      <c r="J20" s="28" t="n">
        <f aca="false">Costos_Personal!J$88</f>
        <v>20432.4948990137</v>
      </c>
      <c r="K20" s="28" t="n">
        <f aca="false">Costos_Personal!K$88</f>
        <v>20432.4948990137</v>
      </c>
      <c r="L20" s="28" t="n">
        <f aca="false">Costos_Personal!L$88</f>
        <v>20432.4948990137</v>
      </c>
      <c r="M20" s="28" t="n">
        <f aca="false">Costos_Personal!M$88</f>
        <v>20432.4948990137</v>
      </c>
      <c r="N20" s="28" t="n">
        <f aca="false">Costos_Personal!N$88</f>
        <v>20432.4948990137</v>
      </c>
      <c r="O20" s="28" t="n">
        <f aca="false">Costos_Personal!O$88</f>
        <v>20432.4948990137</v>
      </c>
      <c r="P20" s="28" t="n">
        <f aca="false">Costos_Personal!P$88</f>
        <v>20432.4948990137</v>
      </c>
      <c r="Q20" s="28" t="n">
        <f aca="false">Costos_Personal!Q$88</f>
        <v>20432.4948990137</v>
      </c>
      <c r="R20" s="28" t="n">
        <f aca="false">Costos_Personal!R$88</f>
        <v>20432.4948990137</v>
      </c>
      <c r="S20" s="28" t="n">
        <f aca="false">Costos_Personal!S$88</f>
        <v>20432.4948990137</v>
      </c>
      <c r="T20" s="28" t="n">
        <f aca="false">Costos_Personal!T$88</f>
        <v>20432.4948990137</v>
      </c>
      <c r="U20" s="28" t="n">
        <f aca="false">Costos_Personal!U$88</f>
        <v>20432.4948990137</v>
      </c>
      <c r="V20" s="28" t="n">
        <f aca="false">Costos_Personal!V$88</f>
        <v>20432.4948990137</v>
      </c>
      <c r="W20" s="28" t="n">
        <f aca="false">Costos_Personal!W$88</f>
        <v>20432.4948990137</v>
      </c>
      <c r="X20" s="28" t="n">
        <f aca="false">Costos_Personal!X$88</f>
        <v>20432.4948990137</v>
      </c>
      <c r="Y20" s="28" t="n">
        <f aca="false">Costos_Personal!Y$88</f>
        <v>20432.4948990137</v>
      </c>
      <c r="Z20" s="28" t="n">
        <f aca="false">Costos_Personal!Z$88</f>
        <v>20432.4948990137</v>
      </c>
      <c r="AA20" s="28" t="n">
        <f aca="false">Costos_Personal!AA$88</f>
        <v>20432.4948990137</v>
      </c>
      <c r="AB20" s="28" t="n">
        <f aca="false">Costos_Personal!AB$88</f>
        <v>20432.4948990137</v>
      </c>
      <c r="AC20" s="28" t="n">
        <f aca="false">Costos_Personal!AC$88</f>
        <v>20432.4948990137</v>
      </c>
      <c r="AD20" s="28" t="n">
        <f aca="false">Costos_Personal!AD$88</f>
        <v>20432.4948990137</v>
      </c>
      <c r="AE20" s="28" t="n">
        <f aca="false">Costos_Personal!AE$88</f>
        <v>20432.4948990137</v>
      </c>
      <c r="AF20" s="28" t="n">
        <f aca="false">Costos_Personal!AF$88</f>
        <v>20432.4948990137</v>
      </c>
      <c r="AG20" s="28" t="n">
        <f aca="false">Costos_Personal!AG$88</f>
        <v>20432.4948990137</v>
      </c>
      <c r="AH20" s="28" t="n">
        <f aca="false">Costos_Personal!AH$88</f>
        <v>20432.4948990137</v>
      </c>
      <c r="AI20" s="28" t="n">
        <f aca="false">Costos_Personal!AI$88</f>
        <v>20432.4948990137</v>
      </c>
      <c r="AJ20" s="28" t="n">
        <f aca="false">Costos_Personal!AJ$88</f>
        <v>20432.4948990137</v>
      </c>
      <c r="AK20" s="28" t="n">
        <f aca="false">Costos_Personal!AK$88</f>
        <v>20432.4948990137</v>
      </c>
      <c r="AL20" s="28" t="n">
        <f aca="false">Costos_Personal!AL$88</f>
        <v>20432.4948990137</v>
      </c>
      <c r="AM20" s="28" t="n">
        <f aca="false">Costos_Personal!AM$88</f>
        <v>20432.4948990137</v>
      </c>
      <c r="AN20" s="28" t="n">
        <f aca="false">Costos_Personal!AN$88</f>
        <v>20432.4948990137</v>
      </c>
      <c r="AO20" s="28" t="n">
        <f aca="false">Costos_Personal!AO$88</f>
        <v>20432.4948990137</v>
      </c>
      <c r="AP20" s="28" t="n">
        <f aca="false">Costos_Personal!AP$88</f>
        <v>20432.4948990137</v>
      </c>
      <c r="AQ20" s="28" t="n">
        <f aca="false">Costos_Personal!AQ$88</f>
        <v>20432.4948990137</v>
      </c>
      <c r="AR20" s="28" t="n">
        <f aca="false">Costos_Personal!AR$88</f>
        <v>20432.4948990137</v>
      </c>
      <c r="AS20" s="28" t="n">
        <f aca="false">Costos_Personal!AS$88</f>
        <v>20432.4948990137</v>
      </c>
      <c r="AT20" s="28" t="n">
        <f aca="false">Costos_Personal!AT$88</f>
        <v>20432.4948990137</v>
      </c>
      <c r="AU20" s="28" t="n">
        <f aca="false">Costos_Personal!AU$88</f>
        <v>20432.4948990137</v>
      </c>
      <c r="AV20" s="28" t="n">
        <f aca="false">Costos_Personal!AV$88</f>
        <v>20432.4948990137</v>
      </c>
      <c r="AW20" s="28" t="n">
        <f aca="false">Costos_Personal!AW$88</f>
        <v>20432.4948990137</v>
      </c>
      <c r="AX20" s="28" t="n">
        <f aca="false">Costos_Personal!AX$88</f>
        <v>20432.4948990137</v>
      </c>
      <c r="AY20" s="28" t="n">
        <f aca="false">Costos_Personal!AY$88</f>
        <v>20432.4948990137</v>
      </c>
      <c r="AZ20" s="28" t="n">
        <f aca="false">Costos_Personal!AZ$88</f>
        <v>20432.4948990137</v>
      </c>
      <c r="BA20" s="28" t="n">
        <f aca="false">Costos_Personal!BA$88</f>
        <v>20432.4948990137</v>
      </c>
      <c r="BB20" s="28" t="n">
        <f aca="false">Costos_Personal!BB$88</f>
        <v>20432.4948990137</v>
      </c>
      <c r="BC20" s="28" t="n">
        <f aca="false">Costos_Personal!BC$88</f>
        <v>20432.4948990137</v>
      </c>
      <c r="BD20" s="28" t="n">
        <f aca="false">Costos_Personal!BD$88</f>
        <v>20432.4948990137</v>
      </c>
      <c r="BE20" s="28" t="n">
        <f aca="false">Costos_Personal!BE$88</f>
        <v>20432.4948990137</v>
      </c>
      <c r="BF20" s="28" t="n">
        <f aca="false">Costos_Personal!BF$88</f>
        <v>20432.4948990137</v>
      </c>
      <c r="BG20" s="28" t="n">
        <f aca="false">Costos_Personal!BG$88</f>
        <v>20432.4948990137</v>
      </c>
      <c r="BH20" s="28" t="n">
        <f aca="false">Costos_Personal!BH$88</f>
        <v>20432.4948990137</v>
      </c>
      <c r="BI20" s="28" t="n">
        <f aca="false">Costos_Personal!BI$88</f>
        <v>20432.4948990137</v>
      </c>
      <c r="BJ20" s="28" t="n">
        <f aca="false">Costos_Personal!BJ$88</f>
        <v>20432.4948990137</v>
      </c>
      <c r="BK20" s="28" t="n">
        <f aca="false">Costos_Personal!BK$88</f>
        <v>20432.4948990137</v>
      </c>
      <c r="BL20" s="28" t="n">
        <f aca="false">Costos_Personal!BL$88</f>
        <v>20432.4948990137</v>
      </c>
      <c r="BM20" s="28" t="n">
        <f aca="false">Costos_Personal!BM$88</f>
        <v>20432.4948990137</v>
      </c>
      <c r="BN20" s="28" t="n">
        <f aca="false">Costos_Personal!BN$88</f>
        <v>20432.4948990137</v>
      </c>
      <c r="BO20" s="28" t="n">
        <f aca="false">Costos_Personal!BO$88</f>
        <v>20432.4948990137</v>
      </c>
      <c r="BP20" s="28" t="n">
        <f aca="false">Costos_Personal!BP$88</f>
        <v>20432.4948990137</v>
      </c>
      <c r="BQ20" s="28" t="n">
        <f aca="false">Costos_Personal!BQ$88</f>
        <v>20432.4948990137</v>
      </c>
      <c r="BR20" s="28" t="n">
        <f aca="false">Costos_Personal!BR$88</f>
        <v>20432.4948990137</v>
      </c>
      <c r="BS20" s="28" t="n">
        <f aca="false">Costos_Personal!BS$88</f>
        <v>20432.4948990137</v>
      </c>
      <c r="BT20" s="28" t="n">
        <f aca="false">Costos_Personal!BT$88</f>
        <v>20432.4948990137</v>
      </c>
      <c r="BU20" s="28" t="n">
        <f aca="false">Costos_Personal!BU$88</f>
        <v>20432.4948990137</v>
      </c>
      <c r="BV20" s="28" t="n">
        <f aca="false">Costos_Personal!BV$88</f>
        <v>20432.4948990137</v>
      </c>
      <c r="BW20" s="28" t="n">
        <f aca="false">Costos_Personal!BW$88</f>
        <v>20432.4948990137</v>
      </c>
      <c r="BX20" s="28" t="n">
        <f aca="false">Costos_Personal!BX$88</f>
        <v>20432.4948990137</v>
      </c>
      <c r="BY20" s="28" t="n">
        <f aca="false">Costos_Personal!BY$88</f>
        <v>20432.4948990137</v>
      </c>
      <c r="BZ20" s="28" t="n">
        <f aca="false">Costos_Personal!BZ$88</f>
        <v>20432.4948990137</v>
      </c>
      <c r="CA20" s="28" t="n">
        <f aca="false">Costos_Personal!CA$88</f>
        <v>20432.4948990137</v>
      </c>
      <c r="CB20" s="28" t="n">
        <f aca="false">Costos_Personal!CB$88</f>
        <v>20432.4948990137</v>
      </c>
      <c r="CC20" s="28" t="n">
        <f aca="false">Costos_Personal!CC$88</f>
        <v>20432.4948990137</v>
      </c>
      <c r="CD20" s="28" t="n">
        <f aca="false">Costos_Personal!CD$88</f>
        <v>20432.4948990137</v>
      </c>
      <c r="CE20" s="28" t="n">
        <f aca="false">Costos_Personal!CE$88</f>
        <v>20432.4948990137</v>
      </c>
      <c r="CF20" s="28" t="n">
        <f aca="false">Costos_Personal!CF$88</f>
        <v>20432.4948990137</v>
      </c>
      <c r="CG20" s="28" t="n">
        <f aca="false">Costos_Personal!CG$88</f>
        <v>20432.4948990137</v>
      </c>
      <c r="CH20" s="28" t="n">
        <f aca="false">Costos_Personal!CH$88</f>
        <v>20432.4948990137</v>
      </c>
      <c r="CI20" s="28" t="n">
        <f aca="false">Costos_Personal!CI$88</f>
        <v>20432.4948990137</v>
      </c>
      <c r="CJ20" s="28" t="n">
        <f aca="false">Costos_Personal!CJ$88</f>
        <v>20432.4948990137</v>
      </c>
      <c r="CK20" s="28" t="n">
        <f aca="false">Costos_Personal!CK$88</f>
        <v>20432.4948990137</v>
      </c>
      <c r="CL20" s="28" t="n">
        <f aca="false">Costos_Personal!CL$88</f>
        <v>20432.4948990137</v>
      </c>
      <c r="CM20" s="28" t="n">
        <f aca="false">Costos_Personal!CM$88</f>
        <v>20432.4948990137</v>
      </c>
      <c r="CN20" s="28" t="n">
        <f aca="false">Costos_Personal!CN$88</f>
        <v>20432.4948990137</v>
      </c>
      <c r="CO20" s="28" t="n">
        <f aca="false">Costos_Personal!CO$88</f>
        <v>20432.4948990137</v>
      </c>
      <c r="CP20" s="28" t="n">
        <f aca="false">Costos_Personal!CP$88</f>
        <v>20432.4948990137</v>
      </c>
      <c r="CQ20" s="28" t="n">
        <f aca="false">Costos_Personal!CQ$88</f>
        <v>20432.4948990137</v>
      </c>
      <c r="CR20" s="28" t="n">
        <f aca="false">Costos_Personal!CR$88</f>
        <v>20432.4948990137</v>
      </c>
      <c r="CS20" s="28" t="n">
        <f aca="false">Costos_Personal!CS$88</f>
        <v>20432.4948990137</v>
      </c>
      <c r="CT20" s="28" t="n">
        <f aca="false">Costos_Personal!CT$88</f>
        <v>20432.4948990137</v>
      </c>
      <c r="CU20" s="28" t="n">
        <f aca="false">Costos_Personal!CU$88</f>
        <v>20432.4948990137</v>
      </c>
      <c r="CV20" s="28" t="n">
        <f aca="false">Costos_Personal!CV$88</f>
        <v>20432.4948990137</v>
      </c>
      <c r="CW20" s="28" t="n">
        <f aca="false">Costos_Personal!CW$88</f>
        <v>20432.4948990137</v>
      </c>
      <c r="CX20" s="28" t="n">
        <f aca="false">Costos_Personal!CX$88</f>
        <v>20432.4948990137</v>
      </c>
      <c r="CY20" s="28" t="n">
        <f aca="false">Costos_Personal!CY$88</f>
        <v>20432.4948990137</v>
      </c>
      <c r="CZ20" s="28" t="n">
        <f aca="false">Costos_Personal!CZ$88</f>
        <v>20432.4948990137</v>
      </c>
      <c r="DA20" s="28" t="n">
        <f aca="false">Costos_Personal!DA$88</f>
        <v>20432.4948990137</v>
      </c>
      <c r="DB20" s="28" t="n">
        <f aca="false">Costos_Personal!DB$88</f>
        <v>20432.4948990137</v>
      </c>
      <c r="DC20" s="28" t="n">
        <f aca="false">Costos_Personal!DC$88</f>
        <v>20432.4948990137</v>
      </c>
      <c r="DD20" s="28" t="n">
        <f aca="false">Costos_Personal!DD$88</f>
        <v>20432.4948990137</v>
      </c>
      <c r="DE20" s="28" t="n">
        <f aca="false">Costos_Personal!DE$88</f>
        <v>20432.4948990137</v>
      </c>
      <c r="DF20" s="28" t="n">
        <f aca="false">Costos_Personal!DF$88</f>
        <v>20432.4948990137</v>
      </c>
      <c r="DG20" s="28" t="n">
        <f aca="false">Costos_Personal!DG$88</f>
        <v>20432.4948990137</v>
      </c>
      <c r="DH20" s="28" t="n">
        <f aca="false">Costos_Personal!DH$88</f>
        <v>20432.4948990137</v>
      </c>
      <c r="DI20" s="28" t="n">
        <f aca="false">Costos_Personal!DI$88</f>
        <v>20432.4948990137</v>
      </c>
      <c r="DJ20" s="28" t="n">
        <f aca="false">Costos_Personal!DJ$88</f>
        <v>20432.4948990137</v>
      </c>
      <c r="DK20" s="28" t="n">
        <f aca="false">Costos_Personal!DK$88</f>
        <v>20432.4948990137</v>
      </c>
      <c r="DL20" s="28" t="n">
        <f aca="false">Costos_Personal!DL$88</f>
        <v>20432.4948990137</v>
      </c>
      <c r="DM20" s="28" t="n">
        <f aca="false">Costos_Personal!DM$88</f>
        <v>20432.4948990137</v>
      </c>
      <c r="DN20" s="28" t="n">
        <f aca="false">Costos_Personal!DN$88</f>
        <v>20432.4948990137</v>
      </c>
      <c r="DO20" s="28" t="n">
        <f aca="false">Costos_Personal!DO$88</f>
        <v>20432.4948990137</v>
      </c>
      <c r="DP20" s="28" t="n">
        <f aca="false">Costos_Personal!DP$88</f>
        <v>20432.4948990137</v>
      </c>
      <c r="DQ20" s="28" t="n">
        <f aca="false">Costos_Personal!DQ$88</f>
        <v>20432.4948990137</v>
      </c>
      <c r="DR20" s="28" t="n">
        <f aca="false">Costos_Personal!DR$88</f>
        <v>20432.4948990137</v>
      </c>
      <c r="DS20" s="28" t="n">
        <f aca="false">Costos_Personal!DS$88</f>
        <v>20432.4948990137</v>
      </c>
      <c r="DT20" s="28" t="n">
        <f aca="false">Costos_Personal!DT$88</f>
        <v>20432.4948990137</v>
      </c>
      <c r="DU20" s="28" t="n">
        <f aca="false">Costos_Personal!DU$88</f>
        <v>20432.4948990137</v>
      </c>
      <c r="DV20" s="28" t="n">
        <f aca="false">Costos_Personal!DV$88</f>
        <v>20432.4948990137</v>
      </c>
      <c r="DW20" s="28" t="n">
        <f aca="false">Costos_Personal!DW$88</f>
        <v>0</v>
      </c>
      <c r="DX20" s="28" t="n">
        <f aca="false">Costos_Personal!DX$88</f>
        <v>0</v>
      </c>
      <c r="DY20" s="28" t="n">
        <f aca="false">Costos_Personal!DY$88</f>
        <v>0</v>
      </c>
      <c r="DZ20" s="28" t="n">
        <f aca="false">Costos_Personal!DZ$88</f>
        <v>0</v>
      </c>
      <c r="EA20" s="28" t="n">
        <f aca="false">Costos_Personal!EA$88</f>
        <v>0</v>
      </c>
      <c r="EB20" s="28" t="n">
        <f aca="false">Costos_Personal!EB$88</f>
        <v>0</v>
      </c>
      <c r="EC20" s="28" t="n">
        <f aca="false">Costos_Personal!EC$88</f>
        <v>0</v>
      </c>
      <c r="ED20" s="28" t="n">
        <f aca="false">Costos_Personal!ED$88</f>
        <v>0</v>
      </c>
      <c r="EE20" s="28" t="n">
        <f aca="false">Costos_Personal!EE$88</f>
        <v>0</v>
      </c>
      <c r="EF20" s="28" t="n">
        <f aca="false">Costos_Personal!EF$88</f>
        <v>0</v>
      </c>
      <c r="EG20" s="28" t="n">
        <f aca="false">Costos_Personal!EG$88</f>
        <v>0</v>
      </c>
      <c r="EH20" s="28" t="n">
        <f aca="false">Costos_Personal!EH$88</f>
        <v>0</v>
      </c>
      <c r="EI20" s="28" t="n">
        <f aca="false">Costos_Personal!EI$88</f>
        <v>0</v>
      </c>
      <c r="EJ20" s="28" t="n">
        <f aca="false">Costos_Personal!EJ$88</f>
        <v>0</v>
      </c>
      <c r="EK20" s="28" t="n">
        <f aca="false">Costos_Personal!EK$88</f>
        <v>0</v>
      </c>
      <c r="EL20" s="28" t="n">
        <f aca="false">Costos_Personal!EL$88</f>
        <v>0</v>
      </c>
      <c r="EM20" s="28" t="n">
        <f aca="false">Costos_Personal!EM$88</f>
        <v>0</v>
      </c>
      <c r="EN20" s="28" t="n">
        <f aca="false">Costos_Personal!EN$88</f>
        <v>0</v>
      </c>
      <c r="EO20" s="28" t="n">
        <f aca="false">Costos_Personal!EO$88</f>
        <v>0</v>
      </c>
      <c r="EP20" s="28" t="n">
        <f aca="false">Costos_Personal!EP$88</f>
        <v>0</v>
      </c>
      <c r="EQ20" s="28" t="n">
        <f aca="false">Costos_Personal!EQ$88</f>
        <v>0</v>
      </c>
      <c r="ER20" s="28" t="n">
        <f aca="false">Costos_Personal!ER$88</f>
        <v>0</v>
      </c>
      <c r="ES20" s="28" t="n">
        <f aca="false">Costos_Personal!ES$88</f>
        <v>0</v>
      </c>
      <c r="ET20" s="28" t="n">
        <f aca="false">Costos_Personal!ET$88</f>
        <v>0</v>
      </c>
      <c r="EU20" s="28" t="n">
        <f aca="false">Costos_Personal!EU$88</f>
        <v>0</v>
      </c>
      <c r="EV20" s="28" t="n">
        <f aca="false">Costos_Personal!EV$88</f>
        <v>0</v>
      </c>
      <c r="EW20" s="28" t="n">
        <f aca="false">Costos_Personal!EW$88</f>
        <v>0</v>
      </c>
      <c r="EX20" s="28" t="n">
        <f aca="false">Costos_Personal!EX$88</f>
        <v>0</v>
      </c>
      <c r="EY20" s="28" t="n">
        <f aca="false">Costos_Personal!EY$88</f>
        <v>0</v>
      </c>
      <c r="EZ20" s="28" t="n">
        <f aca="false">Costos_Personal!EZ$88</f>
        <v>0</v>
      </c>
      <c r="FA20" s="28" t="n">
        <f aca="false">Costos_Personal!FA$88</f>
        <v>0</v>
      </c>
      <c r="FB20" s="28" t="n">
        <f aca="false">Costos_Personal!FB$88</f>
        <v>0</v>
      </c>
      <c r="FC20" s="28" t="n">
        <f aca="false">Costos_Personal!FC$88</f>
        <v>0</v>
      </c>
      <c r="FD20" s="28" t="n">
        <f aca="false">Costos_Personal!FD$88</f>
        <v>0</v>
      </c>
      <c r="FE20" s="28" t="n">
        <f aca="false">Costos_Personal!FE$88</f>
        <v>0</v>
      </c>
      <c r="FF20" s="28" t="n">
        <f aca="false">Costos_Personal!FF$88</f>
        <v>0</v>
      </c>
    </row>
    <row r="21" customFormat="false" ht="15" hidden="false" customHeight="false" outlineLevel="0" collapsed="false">
      <c r="A21" s="2" t="s">
        <v>1467</v>
      </c>
      <c r="B21" s="8" t="s">
        <v>1468</v>
      </c>
      <c r="C21" s="8" t="s">
        <v>255</v>
      </c>
      <c r="E21" s="65" t="n">
        <f aca="false">SUM($F21:$FF21)</f>
        <v>230136.98630137</v>
      </c>
      <c r="F21" s="28" t="n">
        <f aca="false">Costos_Personal!F$121</f>
        <v>0</v>
      </c>
      <c r="G21" s="28" t="n">
        <f aca="false">Costos_Personal!G$121</f>
        <v>1917.80821917808</v>
      </c>
      <c r="H21" s="28" t="n">
        <f aca="false">Costos_Personal!H$121</f>
        <v>1917.80821917808</v>
      </c>
      <c r="I21" s="28" t="n">
        <f aca="false">Costos_Personal!I$121</f>
        <v>1917.80821917808</v>
      </c>
      <c r="J21" s="28" t="n">
        <f aca="false">Costos_Personal!J$121</f>
        <v>1917.80821917808</v>
      </c>
      <c r="K21" s="28" t="n">
        <f aca="false">Costos_Personal!K$121</f>
        <v>1917.80821917808</v>
      </c>
      <c r="L21" s="28" t="n">
        <f aca="false">Costos_Personal!L$121</f>
        <v>1917.80821917808</v>
      </c>
      <c r="M21" s="28" t="n">
        <f aca="false">Costos_Personal!M$121</f>
        <v>1917.80821917808</v>
      </c>
      <c r="N21" s="28" t="n">
        <f aca="false">Costos_Personal!N$121</f>
        <v>1917.80821917808</v>
      </c>
      <c r="O21" s="28" t="n">
        <f aca="false">Costos_Personal!O$121</f>
        <v>1917.80821917808</v>
      </c>
      <c r="P21" s="28" t="n">
        <f aca="false">Costos_Personal!P$121</f>
        <v>1917.80821917808</v>
      </c>
      <c r="Q21" s="28" t="n">
        <f aca="false">Costos_Personal!Q$121</f>
        <v>1917.80821917808</v>
      </c>
      <c r="R21" s="28" t="n">
        <f aca="false">Costos_Personal!R$121</f>
        <v>1917.80821917808</v>
      </c>
      <c r="S21" s="28" t="n">
        <f aca="false">Costos_Personal!S$121</f>
        <v>1917.80821917808</v>
      </c>
      <c r="T21" s="28" t="n">
        <f aca="false">Costos_Personal!T$121</f>
        <v>1917.80821917808</v>
      </c>
      <c r="U21" s="28" t="n">
        <f aca="false">Costos_Personal!U$121</f>
        <v>1917.80821917808</v>
      </c>
      <c r="V21" s="28" t="n">
        <f aca="false">Costos_Personal!V$121</f>
        <v>1917.80821917808</v>
      </c>
      <c r="W21" s="28" t="n">
        <f aca="false">Costos_Personal!W$121</f>
        <v>1917.80821917808</v>
      </c>
      <c r="X21" s="28" t="n">
        <f aca="false">Costos_Personal!X$121</f>
        <v>1917.80821917808</v>
      </c>
      <c r="Y21" s="28" t="n">
        <f aca="false">Costos_Personal!Y$121</f>
        <v>1917.80821917808</v>
      </c>
      <c r="Z21" s="28" t="n">
        <f aca="false">Costos_Personal!Z$121</f>
        <v>1917.80821917808</v>
      </c>
      <c r="AA21" s="28" t="n">
        <f aca="false">Costos_Personal!AA$121</f>
        <v>1917.80821917808</v>
      </c>
      <c r="AB21" s="28" t="n">
        <f aca="false">Costos_Personal!AB$121</f>
        <v>1917.80821917808</v>
      </c>
      <c r="AC21" s="28" t="n">
        <f aca="false">Costos_Personal!AC$121</f>
        <v>1917.80821917808</v>
      </c>
      <c r="AD21" s="28" t="n">
        <f aca="false">Costos_Personal!AD$121</f>
        <v>1917.80821917808</v>
      </c>
      <c r="AE21" s="28" t="n">
        <f aca="false">Costos_Personal!AE$121</f>
        <v>1917.80821917808</v>
      </c>
      <c r="AF21" s="28" t="n">
        <f aca="false">Costos_Personal!AF$121</f>
        <v>1917.80821917808</v>
      </c>
      <c r="AG21" s="28" t="n">
        <f aca="false">Costos_Personal!AG$121</f>
        <v>1917.80821917808</v>
      </c>
      <c r="AH21" s="28" t="n">
        <f aca="false">Costos_Personal!AH$121</f>
        <v>1917.80821917808</v>
      </c>
      <c r="AI21" s="28" t="n">
        <f aca="false">Costos_Personal!AI$121</f>
        <v>1917.80821917808</v>
      </c>
      <c r="AJ21" s="28" t="n">
        <f aca="false">Costos_Personal!AJ$121</f>
        <v>1917.80821917808</v>
      </c>
      <c r="AK21" s="28" t="n">
        <f aca="false">Costos_Personal!AK$121</f>
        <v>1917.80821917808</v>
      </c>
      <c r="AL21" s="28" t="n">
        <f aca="false">Costos_Personal!AL$121</f>
        <v>1917.80821917808</v>
      </c>
      <c r="AM21" s="28" t="n">
        <f aca="false">Costos_Personal!AM$121</f>
        <v>1917.80821917808</v>
      </c>
      <c r="AN21" s="28" t="n">
        <f aca="false">Costos_Personal!AN$121</f>
        <v>1917.80821917808</v>
      </c>
      <c r="AO21" s="28" t="n">
        <f aca="false">Costos_Personal!AO$121</f>
        <v>1917.80821917808</v>
      </c>
      <c r="AP21" s="28" t="n">
        <f aca="false">Costos_Personal!AP$121</f>
        <v>1917.80821917808</v>
      </c>
      <c r="AQ21" s="28" t="n">
        <f aca="false">Costos_Personal!AQ$121</f>
        <v>1917.80821917808</v>
      </c>
      <c r="AR21" s="28" t="n">
        <f aca="false">Costos_Personal!AR$121</f>
        <v>1917.80821917808</v>
      </c>
      <c r="AS21" s="28" t="n">
        <f aca="false">Costos_Personal!AS$121</f>
        <v>1917.80821917808</v>
      </c>
      <c r="AT21" s="28" t="n">
        <f aca="false">Costos_Personal!AT$121</f>
        <v>1917.80821917808</v>
      </c>
      <c r="AU21" s="28" t="n">
        <f aca="false">Costos_Personal!AU$121</f>
        <v>1917.80821917808</v>
      </c>
      <c r="AV21" s="28" t="n">
        <f aca="false">Costos_Personal!AV$121</f>
        <v>1917.80821917808</v>
      </c>
      <c r="AW21" s="28" t="n">
        <f aca="false">Costos_Personal!AW$121</f>
        <v>1917.80821917808</v>
      </c>
      <c r="AX21" s="28" t="n">
        <f aca="false">Costos_Personal!AX$121</f>
        <v>1917.80821917808</v>
      </c>
      <c r="AY21" s="28" t="n">
        <f aca="false">Costos_Personal!AY$121</f>
        <v>1917.80821917808</v>
      </c>
      <c r="AZ21" s="28" t="n">
        <f aca="false">Costos_Personal!AZ$121</f>
        <v>1917.80821917808</v>
      </c>
      <c r="BA21" s="28" t="n">
        <f aca="false">Costos_Personal!BA$121</f>
        <v>1917.80821917808</v>
      </c>
      <c r="BB21" s="28" t="n">
        <f aca="false">Costos_Personal!BB$121</f>
        <v>1917.80821917808</v>
      </c>
      <c r="BC21" s="28" t="n">
        <f aca="false">Costos_Personal!BC$121</f>
        <v>1917.80821917808</v>
      </c>
      <c r="BD21" s="28" t="n">
        <f aca="false">Costos_Personal!BD$121</f>
        <v>1917.80821917808</v>
      </c>
      <c r="BE21" s="28" t="n">
        <f aca="false">Costos_Personal!BE$121</f>
        <v>1917.80821917808</v>
      </c>
      <c r="BF21" s="28" t="n">
        <f aca="false">Costos_Personal!BF$121</f>
        <v>1917.80821917808</v>
      </c>
      <c r="BG21" s="28" t="n">
        <f aca="false">Costos_Personal!BG$121</f>
        <v>1917.80821917808</v>
      </c>
      <c r="BH21" s="28" t="n">
        <f aca="false">Costos_Personal!BH$121</f>
        <v>1917.80821917808</v>
      </c>
      <c r="BI21" s="28" t="n">
        <f aca="false">Costos_Personal!BI$121</f>
        <v>1917.80821917808</v>
      </c>
      <c r="BJ21" s="28" t="n">
        <f aca="false">Costos_Personal!BJ$121</f>
        <v>1917.80821917808</v>
      </c>
      <c r="BK21" s="28" t="n">
        <f aca="false">Costos_Personal!BK$121</f>
        <v>1917.80821917808</v>
      </c>
      <c r="BL21" s="28" t="n">
        <f aca="false">Costos_Personal!BL$121</f>
        <v>1917.80821917808</v>
      </c>
      <c r="BM21" s="28" t="n">
        <f aca="false">Costos_Personal!BM$121</f>
        <v>1917.80821917808</v>
      </c>
      <c r="BN21" s="28" t="n">
        <f aca="false">Costos_Personal!BN$121</f>
        <v>1917.80821917808</v>
      </c>
      <c r="BO21" s="28" t="n">
        <f aca="false">Costos_Personal!BO$121</f>
        <v>1917.80821917808</v>
      </c>
      <c r="BP21" s="28" t="n">
        <f aca="false">Costos_Personal!BP$121</f>
        <v>1917.80821917808</v>
      </c>
      <c r="BQ21" s="28" t="n">
        <f aca="false">Costos_Personal!BQ$121</f>
        <v>1917.80821917808</v>
      </c>
      <c r="BR21" s="28" t="n">
        <f aca="false">Costos_Personal!BR$121</f>
        <v>1917.80821917808</v>
      </c>
      <c r="BS21" s="28" t="n">
        <f aca="false">Costos_Personal!BS$121</f>
        <v>1917.80821917808</v>
      </c>
      <c r="BT21" s="28" t="n">
        <f aca="false">Costos_Personal!BT$121</f>
        <v>1917.80821917808</v>
      </c>
      <c r="BU21" s="28" t="n">
        <f aca="false">Costos_Personal!BU$121</f>
        <v>1917.80821917808</v>
      </c>
      <c r="BV21" s="28" t="n">
        <f aca="false">Costos_Personal!BV$121</f>
        <v>1917.80821917808</v>
      </c>
      <c r="BW21" s="28" t="n">
        <f aca="false">Costos_Personal!BW$121</f>
        <v>1917.80821917808</v>
      </c>
      <c r="BX21" s="28" t="n">
        <f aca="false">Costos_Personal!BX$121</f>
        <v>1917.80821917808</v>
      </c>
      <c r="BY21" s="28" t="n">
        <f aca="false">Costos_Personal!BY$121</f>
        <v>1917.80821917808</v>
      </c>
      <c r="BZ21" s="28" t="n">
        <f aca="false">Costos_Personal!BZ$121</f>
        <v>1917.80821917808</v>
      </c>
      <c r="CA21" s="28" t="n">
        <f aca="false">Costos_Personal!CA$121</f>
        <v>1917.80821917808</v>
      </c>
      <c r="CB21" s="28" t="n">
        <f aca="false">Costos_Personal!CB$121</f>
        <v>1917.80821917808</v>
      </c>
      <c r="CC21" s="28" t="n">
        <f aca="false">Costos_Personal!CC$121</f>
        <v>1917.80821917808</v>
      </c>
      <c r="CD21" s="28" t="n">
        <f aca="false">Costos_Personal!CD$121</f>
        <v>1917.80821917808</v>
      </c>
      <c r="CE21" s="28" t="n">
        <f aca="false">Costos_Personal!CE$121</f>
        <v>1917.80821917808</v>
      </c>
      <c r="CF21" s="28" t="n">
        <f aca="false">Costos_Personal!CF$121</f>
        <v>1917.80821917808</v>
      </c>
      <c r="CG21" s="28" t="n">
        <f aca="false">Costos_Personal!CG$121</f>
        <v>1917.80821917808</v>
      </c>
      <c r="CH21" s="28" t="n">
        <f aca="false">Costos_Personal!CH$121</f>
        <v>1917.80821917808</v>
      </c>
      <c r="CI21" s="28" t="n">
        <f aca="false">Costos_Personal!CI$121</f>
        <v>1917.80821917808</v>
      </c>
      <c r="CJ21" s="28" t="n">
        <f aca="false">Costos_Personal!CJ$121</f>
        <v>1917.80821917808</v>
      </c>
      <c r="CK21" s="28" t="n">
        <f aca="false">Costos_Personal!CK$121</f>
        <v>1917.80821917808</v>
      </c>
      <c r="CL21" s="28" t="n">
        <f aca="false">Costos_Personal!CL$121</f>
        <v>1917.80821917808</v>
      </c>
      <c r="CM21" s="28" t="n">
        <f aca="false">Costos_Personal!CM$121</f>
        <v>1917.80821917808</v>
      </c>
      <c r="CN21" s="28" t="n">
        <f aca="false">Costos_Personal!CN$121</f>
        <v>1917.80821917808</v>
      </c>
      <c r="CO21" s="28" t="n">
        <f aca="false">Costos_Personal!CO$121</f>
        <v>1917.80821917808</v>
      </c>
      <c r="CP21" s="28" t="n">
        <f aca="false">Costos_Personal!CP$121</f>
        <v>1917.80821917808</v>
      </c>
      <c r="CQ21" s="28" t="n">
        <f aca="false">Costos_Personal!CQ$121</f>
        <v>1917.80821917808</v>
      </c>
      <c r="CR21" s="28" t="n">
        <f aca="false">Costos_Personal!CR$121</f>
        <v>1917.80821917808</v>
      </c>
      <c r="CS21" s="28" t="n">
        <f aca="false">Costos_Personal!CS$121</f>
        <v>1917.80821917808</v>
      </c>
      <c r="CT21" s="28" t="n">
        <f aca="false">Costos_Personal!CT$121</f>
        <v>1917.80821917808</v>
      </c>
      <c r="CU21" s="28" t="n">
        <f aca="false">Costos_Personal!CU$121</f>
        <v>1917.80821917808</v>
      </c>
      <c r="CV21" s="28" t="n">
        <f aca="false">Costos_Personal!CV$121</f>
        <v>1917.80821917808</v>
      </c>
      <c r="CW21" s="28" t="n">
        <f aca="false">Costos_Personal!CW$121</f>
        <v>1917.80821917808</v>
      </c>
      <c r="CX21" s="28" t="n">
        <f aca="false">Costos_Personal!CX$121</f>
        <v>1917.80821917808</v>
      </c>
      <c r="CY21" s="28" t="n">
        <f aca="false">Costos_Personal!CY$121</f>
        <v>1917.80821917808</v>
      </c>
      <c r="CZ21" s="28" t="n">
        <f aca="false">Costos_Personal!CZ$121</f>
        <v>1917.80821917808</v>
      </c>
      <c r="DA21" s="28" t="n">
        <f aca="false">Costos_Personal!DA$121</f>
        <v>1917.80821917808</v>
      </c>
      <c r="DB21" s="28" t="n">
        <f aca="false">Costos_Personal!DB$121</f>
        <v>1917.80821917808</v>
      </c>
      <c r="DC21" s="28" t="n">
        <f aca="false">Costos_Personal!DC$121</f>
        <v>1917.80821917808</v>
      </c>
      <c r="DD21" s="28" t="n">
        <f aca="false">Costos_Personal!DD$121</f>
        <v>1917.80821917808</v>
      </c>
      <c r="DE21" s="28" t="n">
        <f aca="false">Costos_Personal!DE$121</f>
        <v>1917.80821917808</v>
      </c>
      <c r="DF21" s="28" t="n">
        <f aca="false">Costos_Personal!DF$121</f>
        <v>1917.80821917808</v>
      </c>
      <c r="DG21" s="28" t="n">
        <f aca="false">Costos_Personal!DG$121</f>
        <v>1917.80821917808</v>
      </c>
      <c r="DH21" s="28" t="n">
        <f aca="false">Costos_Personal!DH$121</f>
        <v>1917.80821917808</v>
      </c>
      <c r="DI21" s="28" t="n">
        <f aca="false">Costos_Personal!DI$121</f>
        <v>1917.80821917808</v>
      </c>
      <c r="DJ21" s="28" t="n">
        <f aca="false">Costos_Personal!DJ$121</f>
        <v>1917.80821917808</v>
      </c>
      <c r="DK21" s="28" t="n">
        <f aca="false">Costos_Personal!DK$121</f>
        <v>1917.80821917808</v>
      </c>
      <c r="DL21" s="28" t="n">
        <f aca="false">Costos_Personal!DL$121</f>
        <v>1917.80821917808</v>
      </c>
      <c r="DM21" s="28" t="n">
        <f aca="false">Costos_Personal!DM$121</f>
        <v>1917.80821917808</v>
      </c>
      <c r="DN21" s="28" t="n">
        <f aca="false">Costos_Personal!DN$121</f>
        <v>1917.80821917808</v>
      </c>
      <c r="DO21" s="28" t="n">
        <f aca="false">Costos_Personal!DO$121</f>
        <v>1917.80821917808</v>
      </c>
      <c r="DP21" s="28" t="n">
        <f aca="false">Costos_Personal!DP$121</f>
        <v>1917.80821917808</v>
      </c>
      <c r="DQ21" s="28" t="n">
        <f aca="false">Costos_Personal!DQ$121</f>
        <v>1917.80821917808</v>
      </c>
      <c r="DR21" s="28" t="n">
        <f aca="false">Costos_Personal!DR$121</f>
        <v>1917.80821917808</v>
      </c>
      <c r="DS21" s="28" t="n">
        <f aca="false">Costos_Personal!DS$121</f>
        <v>1917.80821917808</v>
      </c>
      <c r="DT21" s="28" t="n">
        <f aca="false">Costos_Personal!DT$121</f>
        <v>1917.80821917808</v>
      </c>
      <c r="DU21" s="28" t="n">
        <f aca="false">Costos_Personal!DU$121</f>
        <v>1917.80821917808</v>
      </c>
      <c r="DV21" s="28" t="n">
        <f aca="false">Costos_Personal!DV$121</f>
        <v>1917.80821917808</v>
      </c>
      <c r="DW21" s="28" t="n">
        <f aca="false">Costos_Personal!DW$121</f>
        <v>0</v>
      </c>
      <c r="DX21" s="28" t="n">
        <f aca="false">Costos_Personal!DX$121</f>
        <v>0</v>
      </c>
      <c r="DY21" s="28" t="n">
        <f aca="false">Costos_Personal!DY$121</f>
        <v>0</v>
      </c>
      <c r="DZ21" s="28" t="n">
        <f aca="false">Costos_Personal!DZ$121</f>
        <v>0</v>
      </c>
      <c r="EA21" s="28" t="n">
        <f aca="false">Costos_Personal!EA$121</f>
        <v>0</v>
      </c>
      <c r="EB21" s="28" t="n">
        <f aca="false">Costos_Personal!EB$121</f>
        <v>0</v>
      </c>
      <c r="EC21" s="28" t="n">
        <f aca="false">Costos_Personal!EC$121</f>
        <v>0</v>
      </c>
      <c r="ED21" s="28" t="n">
        <f aca="false">Costos_Personal!ED$121</f>
        <v>0</v>
      </c>
      <c r="EE21" s="28" t="n">
        <f aca="false">Costos_Personal!EE$121</f>
        <v>0</v>
      </c>
      <c r="EF21" s="28" t="n">
        <f aca="false">Costos_Personal!EF$121</f>
        <v>0</v>
      </c>
      <c r="EG21" s="28" t="n">
        <f aca="false">Costos_Personal!EG$121</f>
        <v>0</v>
      </c>
      <c r="EH21" s="28" t="n">
        <f aca="false">Costos_Personal!EH$121</f>
        <v>0</v>
      </c>
      <c r="EI21" s="28" t="n">
        <f aca="false">Costos_Personal!EI$121</f>
        <v>0</v>
      </c>
      <c r="EJ21" s="28" t="n">
        <f aca="false">Costos_Personal!EJ$121</f>
        <v>0</v>
      </c>
      <c r="EK21" s="28" t="n">
        <f aca="false">Costos_Personal!EK$121</f>
        <v>0</v>
      </c>
      <c r="EL21" s="28" t="n">
        <f aca="false">Costos_Personal!EL$121</f>
        <v>0</v>
      </c>
      <c r="EM21" s="28" t="n">
        <f aca="false">Costos_Personal!EM$121</f>
        <v>0</v>
      </c>
      <c r="EN21" s="28" t="n">
        <f aca="false">Costos_Personal!EN$121</f>
        <v>0</v>
      </c>
      <c r="EO21" s="28" t="n">
        <f aca="false">Costos_Personal!EO$121</f>
        <v>0</v>
      </c>
      <c r="EP21" s="28" t="n">
        <f aca="false">Costos_Personal!EP$121</f>
        <v>0</v>
      </c>
      <c r="EQ21" s="28" t="n">
        <f aca="false">Costos_Personal!EQ$121</f>
        <v>0</v>
      </c>
      <c r="ER21" s="28" t="n">
        <f aca="false">Costos_Personal!ER$121</f>
        <v>0</v>
      </c>
      <c r="ES21" s="28" t="n">
        <f aca="false">Costos_Personal!ES$121</f>
        <v>0</v>
      </c>
      <c r="ET21" s="28" t="n">
        <f aca="false">Costos_Personal!ET$121</f>
        <v>0</v>
      </c>
      <c r="EU21" s="28" t="n">
        <f aca="false">Costos_Personal!EU$121</f>
        <v>0</v>
      </c>
      <c r="EV21" s="28" t="n">
        <f aca="false">Costos_Personal!EV$121</f>
        <v>0</v>
      </c>
      <c r="EW21" s="28" t="n">
        <f aca="false">Costos_Personal!EW$121</f>
        <v>0</v>
      </c>
      <c r="EX21" s="28" t="n">
        <f aca="false">Costos_Personal!EX$121</f>
        <v>0</v>
      </c>
      <c r="EY21" s="28" t="n">
        <f aca="false">Costos_Personal!EY$121</f>
        <v>0</v>
      </c>
      <c r="EZ21" s="28" t="n">
        <f aca="false">Costos_Personal!EZ$121</f>
        <v>0</v>
      </c>
      <c r="FA21" s="28" t="n">
        <f aca="false">Costos_Personal!FA$121</f>
        <v>0</v>
      </c>
      <c r="FB21" s="28" t="n">
        <f aca="false">Costos_Personal!FB$121</f>
        <v>0</v>
      </c>
      <c r="FC21" s="28" t="n">
        <f aca="false">Costos_Personal!FC$121</f>
        <v>0</v>
      </c>
      <c r="FD21" s="28" t="n">
        <f aca="false">Costos_Personal!FD$121</f>
        <v>0</v>
      </c>
      <c r="FE21" s="28" t="n">
        <f aca="false">Costos_Personal!FE$121</f>
        <v>0</v>
      </c>
      <c r="FF21" s="28" t="n">
        <f aca="false">Costos_Personal!FF$121</f>
        <v>0</v>
      </c>
    </row>
    <row r="22" customFormat="false" ht="15" hidden="false" customHeight="false" outlineLevel="0" collapsed="false">
      <c r="A22" s="2" t="s">
        <v>1469</v>
      </c>
      <c r="B22" s="8" t="s">
        <v>1470</v>
      </c>
      <c r="C22" s="8" t="s">
        <v>255</v>
      </c>
      <c r="E22" s="65" t="n">
        <f aca="false">SUM($F22:$FF22)</f>
        <v>323817.2</v>
      </c>
      <c r="F22" s="28" t="n">
        <f aca="false">Costos_Personal!F$122</f>
        <v>0</v>
      </c>
      <c r="G22" s="28" t="n">
        <f aca="false">Costos_Personal!G$122</f>
        <v>2475.66666666667</v>
      </c>
      <c r="H22" s="28" t="n">
        <f aca="false">Costos_Personal!H$122</f>
        <v>2475.66666666667</v>
      </c>
      <c r="I22" s="28" t="n">
        <f aca="false">Costos_Personal!I$122</f>
        <v>2475.66666666667</v>
      </c>
      <c r="J22" s="28" t="n">
        <f aca="false">Costos_Personal!J$122</f>
        <v>2475.66666666667</v>
      </c>
      <c r="K22" s="28" t="n">
        <f aca="false">Costos_Personal!K$122</f>
        <v>2475.66666666667</v>
      </c>
      <c r="L22" s="28" t="n">
        <f aca="false">Costos_Personal!L$122</f>
        <v>2475.66666666667</v>
      </c>
      <c r="M22" s="28" t="n">
        <f aca="false">Costos_Personal!M$122</f>
        <v>2475.66666666667</v>
      </c>
      <c r="N22" s="28" t="n">
        <f aca="false">Costos_Personal!N$122</f>
        <v>2475.66666666667</v>
      </c>
      <c r="O22" s="28" t="n">
        <f aca="false">Costos_Personal!O$122</f>
        <v>2475.66666666667</v>
      </c>
      <c r="P22" s="28" t="n">
        <f aca="false">Costos_Personal!P$122</f>
        <v>2475.66666666667</v>
      </c>
      <c r="Q22" s="28" t="n">
        <f aca="false">Costos_Personal!Q$122</f>
        <v>2475.66666666667</v>
      </c>
      <c r="R22" s="28" t="n">
        <f aca="false">Costos_Personal!R$122</f>
        <v>2475.66666666667</v>
      </c>
      <c r="S22" s="28" t="n">
        <f aca="false">Costos_Personal!S$122</f>
        <v>2525.18</v>
      </c>
      <c r="T22" s="28" t="n">
        <f aca="false">Costos_Personal!T$122</f>
        <v>2525.18</v>
      </c>
      <c r="U22" s="28" t="n">
        <f aca="false">Costos_Personal!U$122</f>
        <v>2525.18</v>
      </c>
      <c r="V22" s="28" t="n">
        <f aca="false">Costos_Personal!V$122</f>
        <v>2525.18</v>
      </c>
      <c r="W22" s="28" t="n">
        <f aca="false">Costos_Personal!W$122</f>
        <v>2525.18</v>
      </c>
      <c r="X22" s="28" t="n">
        <f aca="false">Costos_Personal!X$122</f>
        <v>2525.18</v>
      </c>
      <c r="Y22" s="28" t="n">
        <f aca="false">Costos_Personal!Y$122</f>
        <v>2525.18</v>
      </c>
      <c r="Z22" s="28" t="n">
        <f aca="false">Costos_Personal!Z$122</f>
        <v>2525.18</v>
      </c>
      <c r="AA22" s="28" t="n">
        <f aca="false">Costos_Personal!AA$122</f>
        <v>2525.18</v>
      </c>
      <c r="AB22" s="28" t="n">
        <f aca="false">Costos_Personal!AB$122</f>
        <v>2525.18</v>
      </c>
      <c r="AC22" s="28" t="n">
        <f aca="false">Costos_Personal!AC$122</f>
        <v>2525.18</v>
      </c>
      <c r="AD22" s="28" t="n">
        <f aca="false">Costos_Personal!AD$122</f>
        <v>2525.18</v>
      </c>
      <c r="AE22" s="28" t="n">
        <f aca="false">Costos_Personal!AE$122</f>
        <v>2574.69333333333</v>
      </c>
      <c r="AF22" s="28" t="n">
        <f aca="false">Costos_Personal!AF$122</f>
        <v>2574.69333333333</v>
      </c>
      <c r="AG22" s="28" t="n">
        <f aca="false">Costos_Personal!AG$122</f>
        <v>2574.69333333333</v>
      </c>
      <c r="AH22" s="28" t="n">
        <f aca="false">Costos_Personal!AH$122</f>
        <v>2574.69333333333</v>
      </c>
      <c r="AI22" s="28" t="n">
        <f aca="false">Costos_Personal!AI$122</f>
        <v>2574.69333333333</v>
      </c>
      <c r="AJ22" s="28" t="n">
        <f aca="false">Costos_Personal!AJ$122</f>
        <v>2574.69333333333</v>
      </c>
      <c r="AK22" s="28" t="n">
        <f aca="false">Costos_Personal!AK$122</f>
        <v>2574.69333333333</v>
      </c>
      <c r="AL22" s="28" t="n">
        <f aca="false">Costos_Personal!AL$122</f>
        <v>2574.69333333333</v>
      </c>
      <c r="AM22" s="28" t="n">
        <f aca="false">Costos_Personal!AM$122</f>
        <v>2574.69333333333</v>
      </c>
      <c r="AN22" s="28" t="n">
        <f aca="false">Costos_Personal!AN$122</f>
        <v>2574.69333333333</v>
      </c>
      <c r="AO22" s="28" t="n">
        <f aca="false">Costos_Personal!AO$122</f>
        <v>2574.69333333333</v>
      </c>
      <c r="AP22" s="28" t="n">
        <f aca="false">Costos_Personal!AP$122</f>
        <v>2574.69333333333</v>
      </c>
      <c r="AQ22" s="28" t="n">
        <f aca="false">Costos_Personal!AQ$122</f>
        <v>2624.20666666667</v>
      </c>
      <c r="AR22" s="28" t="n">
        <f aca="false">Costos_Personal!AR$122</f>
        <v>2624.20666666667</v>
      </c>
      <c r="AS22" s="28" t="n">
        <f aca="false">Costos_Personal!AS$122</f>
        <v>2624.20666666667</v>
      </c>
      <c r="AT22" s="28" t="n">
        <f aca="false">Costos_Personal!AT$122</f>
        <v>2624.20666666667</v>
      </c>
      <c r="AU22" s="28" t="n">
        <f aca="false">Costos_Personal!AU$122</f>
        <v>2624.20666666667</v>
      </c>
      <c r="AV22" s="28" t="n">
        <f aca="false">Costos_Personal!AV$122</f>
        <v>2624.20666666667</v>
      </c>
      <c r="AW22" s="28" t="n">
        <f aca="false">Costos_Personal!AW$122</f>
        <v>2624.20666666667</v>
      </c>
      <c r="AX22" s="28" t="n">
        <f aca="false">Costos_Personal!AX$122</f>
        <v>2624.20666666667</v>
      </c>
      <c r="AY22" s="28" t="n">
        <f aca="false">Costos_Personal!AY$122</f>
        <v>2624.20666666667</v>
      </c>
      <c r="AZ22" s="28" t="n">
        <f aca="false">Costos_Personal!AZ$122</f>
        <v>2624.20666666667</v>
      </c>
      <c r="BA22" s="28" t="n">
        <f aca="false">Costos_Personal!BA$122</f>
        <v>2624.20666666667</v>
      </c>
      <c r="BB22" s="28" t="n">
        <f aca="false">Costos_Personal!BB$122</f>
        <v>2624.20666666667</v>
      </c>
      <c r="BC22" s="28" t="n">
        <f aca="false">Costos_Personal!BC$122</f>
        <v>2673.72</v>
      </c>
      <c r="BD22" s="28" t="n">
        <f aca="false">Costos_Personal!BD$122</f>
        <v>2673.72</v>
      </c>
      <c r="BE22" s="28" t="n">
        <f aca="false">Costos_Personal!BE$122</f>
        <v>2673.72</v>
      </c>
      <c r="BF22" s="28" t="n">
        <f aca="false">Costos_Personal!BF$122</f>
        <v>2673.72</v>
      </c>
      <c r="BG22" s="28" t="n">
        <f aca="false">Costos_Personal!BG$122</f>
        <v>2673.72</v>
      </c>
      <c r="BH22" s="28" t="n">
        <f aca="false">Costos_Personal!BH$122</f>
        <v>2673.72</v>
      </c>
      <c r="BI22" s="28" t="n">
        <f aca="false">Costos_Personal!BI$122</f>
        <v>2673.72</v>
      </c>
      <c r="BJ22" s="28" t="n">
        <f aca="false">Costos_Personal!BJ$122</f>
        <v>2673.72</v>
      </c>
      <c r="BK22" s="28" t="n">
        <f aca="false">Costos_Personal!BK$122</f>
        <v>2673.72</v>
      </c>
      <c r="BL22" s="28" t="n">
        <f aca="false">Costos_Personal!BL$122</f>
        <v>2673.72</v>
      </c>
      <c r="BM22" s="28" t="n">
        <f aca="false">Costos_Personal!BM$122</f>
        <v>2673.72</v>
      </c>
      <c r="BN22" s="28" t="n">
        <f aca="false">Costos_Personal!BN$122</f>
        <v>2673.72</v>
      </c>
      <c r="BO22" s="28" t="n">
        <f aca="false">Costos_Personal!BO$122</f>
        <v>2723.23333333333</v>
      </c>
      <c r="BP22" s="28" t="n">
        <f aca="false">Costos_Personal!BP$122</f>
        <v>2723.23333333333</v>
      </c>
      <c r="BQ22" s="28" t="n">
        <f aca="false">Costos_Personal!BQ$122</f>
        <v>2723.23333333333</v>
      </c>
      <c r="BR22" s="28" t="n">
        <f aca="false">Costos_Personal!BR$122</f>
        <v>2723.23333333333</v>
      </c>
      <c r="BS22" s="28" t="n">
        <f aca="false">Costos_Personal!BS$122</f>
        <v>2723.23333333333</v>
      </c>
      <c r="BT22" s="28" t="n">
        <f aca="false">Costos_Personal!BT$122</f>
        <v>2723.23333333333</v>
      </c>
      <c r="BU22" s="28" t="n">
        <f aca="false">Costos_Personal!BU$122</f>
        <v>2723.23333333333</v>
      </c>
      <c r="BV22" s="28" t="n">
        <f aca="false">Costos_Personal!BV$122</f>
        <v>2723.23333333333</v>
      </c>
      <c r="BW22" s="28" t="n">
        <f aca="false">Costos_Personal!BW$122</f>
        <v>2723.23333333333</v>
      </c>
      <c r="BX22" s="28" t="n">
        <f aca="false">Costos_Personal!BX$122</f>
        <v>2723.23333333333</v>
      </c>
      <c r="BY22" s="28" t="n">
        <f aca="false">Costos_Personal!BY$122</f>
        <v>2723.23333333333</v>
      </c>
      <c r="BZ22" s="28" t="n">
        <f aca="false">Costos_Personal!BZ$122</f>
        <v>2723.23333333333</v>
      </c>
      <c r="CA22" s="28" t="n">
        <f aca="false">Costos_Personal!CA$122</f>
        <v>2772.74666666667</v>
      </c>
      <c r="CB22" s="28" t="n">
        <f aca="false">Costos_Personal!CB$122</f>
        <v>2772.74666666667</v>
      </c>
      <c r="CC22" s="28" t="n">
        <f aca="false">Costos_Personal!CC$122</f>
        <v>2772.74666666667</v>
      </c>
      <c r="CD22" s="28" t="n">
        <f aca="false">Costos_Personal!CD$122</f>
        <v>2772.74666666667</v>
      </c>
      <c r="CE22" s="28" t="n">
        <f aca="false">Costos_Personal!CE$122</f>
        <v>2772.74666666667</v>
      </c>
      <c r="CF22" s="28" t="n">
        <f aca="false">Costos_Personal!CF$122</f>
        <v>2772.74666666667</v>
      </c>
      <c r="CG22" s="28" t="n">
        <f aca="false">Costos_Personal!CG$122</f>
        <v>2772.74666666667</v>
      </c>
      <c r="CH22" s="28" t="n">
        <f aca="false">Costos_Personal!CH$122</f>
        <v>2772.74666666667</v>
      </c>
      <c r="CI22" s="28" t="n">
        <f aca="false">Costos_Personal!CI$122</f>
        <v>2772.74666666667</v>
      </c>
      <c r="CJ22" s="28" t="n">
        <f aca="false">Costos_Personal!CJ$122</f>
        <v>2772.74666666667</v>
      </c>
      <c r="CK22" s="28" t="n">
        <f aca="false">Costos_Personal!CK$122</f>
        <v>2772.74666666667</v>
      </c>
      <c r="CL22" s="28" t="n">
        <f aca="false">Costos_Personal!CL$122</f>
        <v>2772.74666666667</v>
      </c>
      <c r="CM22" s="28" t="n">
        <f aca="false">Costos_Personal!CM$122</f>
        <v>2822.26</v>
      </c>
      <c r="CN22" s="28" t="n">
        <f aca="false">Costos_Personal!CN$122</f>
        <v>2822.26</v>
      </c>
      <c r="CO22" s="28" t="n">
        <f aca="false">Costos_Personal!CO$122</f>
        <v>2822.26</v>
      </c>
      <c r="CP22" s="28" t="n">
        <f aca="false">Costos_Personal!CP$122</f>
        <v>2822.26</v>
      </c>
      <c r="CQ22" s="28" t="n">
        <f aca="false">Costos_Personal!CQ$122</f>
        <v>2822.26</v>
      </c>
      <c r="CR22" s="28" t="n">
        <f aca="false">Costos_Personal!CR$122</f>
        <v>2822.26</v>
      </c>
      <c r="CS22" s="28" t="n">
        <f aca="false">Costos_Personal!CS$122</f>
        <v>2822.26</v>
      </c>
      <c r="CT22" s="28" t="n">
        <f aca="false">Costos_Personal!CT$122</f>
        <v>2822.26</v>
      </c>
      <c r="CU22" s="28" t="n">
        <f aca="false">Costos_Personal!CU$122</f>
        <v>2822.26</v>
      </c>
      <c r="CV22" s="28" t="n">
        <f aca="false">Costos_Personal!CV$122</f>
        <v>2822.26</v>
      </c>
      <c r="CW22" s="28" t="n">
        <f aca="false">Costos_Personal!CW$122</f>
        <v>2822.26</v>
      </c>
      <c r="CX22" s="28" t="n">
        <f aca="false">Costos_Personal!CX$122</f>
        <v>2822.26</v>
      </c>
      <c r="CY22" s="28" t="n">
        <f aca="false">Costos_Personal!CY$122</f>
        <v>2871.77333333333</v>
      </c>
      <c r="CZ22" s="28" t="n">
        <f aca="false">Costos_Personal!CZ$122</f>
        <v>2871.77333333333</v>
      </c>
      <c r="DA22" s="28" t="n">
        <f aca="false">Costos_Personal!DA$122</f>
        <v>2871.77333333333</v>
      </c>
      <c r="DB22" s="28" t="n">
        <f aca="false">Costos_Personal!DB$122</f>
        <v>2871.77333333333</v>
      </c>
      <c r="DC22" s="28" t="n">
        <f aca="false">Costos_Personal!DC$122</f>
        <v>2871.77333333333</v>
      </c>
      <c r="DD22" s="28" t="n">
        <f aca="false">Costos_Personal!DD$122</f>
        <v>2871.77333333333</v>
      </c>
      <c r="DE22" s="28" t="n">
        <f aca="false">Costos_Personal!DE$122</f>
        <v>2871.77333333333</v>
      </c>
      <c r="DF22" s="28" t="n">
        <f aca="false">Costos_Personal!DF$122</f>
        <v>2871.77333333333</v>
      </c>
      <c r="DG22" s="28" t="n">
        <f aca="false">Costos_Personal!DG$122</f>
        <v>2871.77333333333</v>
      </c>
      <c r="DH22" s="28" t="n">
        <f aca="false">Costos_Personal!DH$122</f>
        <v>2871.77333333333</v>
      </c>
      <c r="DI22" s="28" t="n">
        <f aca="false">Costos_Personal!DI$122</f>
        <v>2871.77333333333</v>
      </c>
      <c r="DJ22" s="28" t="n">
        <f aca="false">Costos_Personal!DJ$122</f>
        <v>2871.77333333333</v>
      </c>
      <c r="DK22" s="28" t="n">
        <f aca="false">Costos_Personal!DK$122</f>
        <v>2921.28666666667</v>
      </c>
      <c r="DL22" s="28" t="n">
        <f aca="false">Costos_Personal!DL$122</f>
        <v>2921.28666666667</v>
      </c>
      <c r="DM22" s="28" t="n">
        <f aca="false">Costos_Personal!DM$122</f>
        <v>2921.28666666667</v>
      </c>
      <c r="DN22" s="28" t="n">
        <f aca="false">Costos_Personal!DN$122</f>
        <v>2921.28666666667</v>
      </c>
      <c r="DO22" s="28" t="n">
        <f aca="false">Costos_Personal!DO$122</f>
        <v>2921.28666666667</v>
      </c>
      <c r="DP22" s="28" t="n">
        <f aca="false">Costos_Personal!DP$122</f>
        <v>2921.28666666667</v>
      </c>
      <c r="DQ22" s="28" t="n">
        <f aca="false">Costos_Personal!DQ$122</f>
        <v>2921.28666666667</v>
      </c>
      <c r="DR22" s="28" t="n">
        <f aca="false">Costos_Personal!DR$122</f>
        <v>2921.28666666667</v>
      </c>
      <c r="DS22" s="28" t="n">
        <f aca="false">Costos_Personal!DS$122</f>
        <v>2921.28666666667</v>
      </c>
      <c r="DT22" s="28" t="n">
        <f aca="false">Costos_Personal!DT$122</f>
        <v>2921.28666666667</v>
      </c>
      <c r="DU22" s="28" t="n">
        <f aca="false">Costos_Personal!DU$122</f>
        <v>2921.28666666667</v>
      </c>
      <c r="DV22" s="28" t="n">
        <f aca="false">Costos_Personal!DV$122</f>
        <v>2921.28666666667</v>
      </c>
      <c r="DW22" s="28" t="n">
        <f aca="false">Costos_Personal!DW$122</f>
        <v>0</v>
      </c>
      <c r="DX22" s="28" t="n">
        <f aca="false">Costos_Personal!DX$122</f>
        <v>0</v>
      </c>
      <c r="DY22" s="28" t="n">
        <f aca="false">Costos_Personal!DY$122</f>
        <v>0</v>
      </c>
      <c r="DZ22" s="28" t="n">
        <f aca="false">Costos_Personal!DZ$122</f>
        <v>0</v>
      </c>
      <c r="EA22" s="28" t="n">
        <f aca="false">Costos_Personal!EA$122</f>
        <v>0</v>
      </c>
      <c r="EB22" s="28" t="n">
        <f aca="false">Costos_Personal!EB$122</f>
        <v>0</v>
      </c>
      <c r="EC22" s="28" t="n">
        <f aca="false">Costos_Personal!EC$122</f>
        <v>0</v>
      </c>
      <c r="ED22" s="28" t="n">
        <f aca="false">Costos_Personal!ED$122</f>
        <v>0</v>
      </c>
      <c r="EE22" s="28" t="n">
        <f aca="false">Costos_Personal!EE$122</f>
        <v>0</v>
      </c>
      <c r="EF22" s="28" t="n">
        <f aca="false">Costos_Personal!EF$122</f>
        <v>0</v>
      </c>
      <c r="EG22" s="28" t="n">
        <f aca="false">Costos_Personal!EG$122</f>
        <v>0</v>
      </c>
      <c r="EH22" s="28" t="n">
        <f aca="false">Costos_Personal!EH$122</f>
        <v>0</v>
      </c>
      <c r="EI22" s="28" t="n">
        <f aca="false">Costos_Personal!EI$122</f>
        <v>0</v>
      </c>
      <c r="EJ22" s="28" t="n">
        <f aca="false">Costos_Personal!EJ$122</f>
        <v>0</v>
      </c>
      <c r="EK22" s="28" t="n">
        <f aca="false">Costos_Personal!EK$122</f>
        <v>0</v>
      </c>
      <c r="EL22" s="28" t="n">
        <f aca="false">Costos_Personal!EL$122</f>
        <v>0</v>
      </c>
      <c r="EM22" s="28" t="n">
        <f aca="false">Costos_Personal!EM$122</f>
        <v>0</v>
      </c>
      <c r="EN22" s="28" t="n">
        <f aca="false">Costos_Personal!EN$122</f>
        <v>0</v>
      </c>
      <c r="EO22" s="28" t="n">
        <f aca="false">Costos_Personal!EO$122</f>
        <v>0</v>
      </c>
      <c r="EP22" s="28" t="n">
        <f aca="false">Costos_Personal!EP$122</f>
        <v>0</v>
      </c>
      <c r="EQ22" s="28" t="n">
        <f aca="false">Costos_Personal!EQ$122</f>
        <v>0</v>
      </c>
      <c r="ER22" s="28" t="n">
        <f aca="false">Costos_Personal!ER$122</f>
        <v>0</v>
      </c>
      <c r="ES22" s="28" t="n">
        <f aca="false">Costos_Personal!ES$122</f>
        <v>0</v>
      </c>
      <c r="ET22" s="28" t="n">
        <f aca="false">Costos_Personal!ET$122</f>
        <v>0</v>
      </c>
      <c r="EU22" s="28" t="n">
        <f aca="false">Costos_Personal!EU$122</f>
        <v>0</v>
      </c>
      <c r="EV22" s="28" t="n">
        <f aca="false">Costos_Personal!EV$122</f>
        <v>0</v>
      </c>
      <c r="EW22" s="28" t="n">
        <f aca="false">Costos_Personal!EW$122</f>
        <v>0</v>
      </c>
      <c r="EX22" s="28" t="n">
        <f aca="false">Costos_Personal!EX$122</f>
        <v>0</v>
      </c>
      <c r="EY22" s="28" t="n">
        <f aca="false">Costos_Personal!EY$122</f>
        <v>0</v>
      </c>
      <c r="EZ22" s="28" t="n">
        <f aca="false">Costos_Personal!EZ$122</f>
        <v>0</v>
      </c>
      <c r="FA22" s="28" t="n">
        <f aca="false">Costos_Personal!FA$122</f>
        <v>0</v>
      </c>
      <c r="FB22" s="28" t="n">
        <f aca="false">Costos_Personal!FB$122</f>
        <v>0</v>
      </c>
      <c r="FC22" s="28" t="n">
        <f aca="false">Costos_Personal!FC$122</f>
        <v>0</v>
      </c>
      <c r="FD22" s="28" t="n">
        <f aca="false">Costos_Personal!FD$122</f>
        <v>0</v>
      </c>
      <c r="FE22" s="28" t="n">
        <f aca="false">Costos_Personal!FE$122</f>
        <v>0</v>
      </c>
      <c r="FF22" s="28" t="n">
        <f aca="false">Costos_Personal!FF$122</f>
        <v>0</v>
      </c>
    </row>
    <row r="23" customFormat="false" ht="15" hidden="false" customHeight="false" outlineLevel="0" collapsed="false">
      <c r="A23" s="2" t="s">
        <v>1471</v>
      </c>
      <c r="B23" s="8" t="s">
        <v>1095</v>
      </c>
      <c r="C23" s="8" t="s">
        <v>255</v>
      </c>
      <c r="E23" s="65" t="n">
        <f aca="false">SUM($F23:$FF23)</f>
        <v>2851091.95189933</v>
      </c>
      <c r="F23" s="28" t="n">
        <f aca="false">Costos_Personal!F$124</f>
        <v>0</v>
      </c>
      <c r="G23" s="28" t="n">
        <f aca="false">Costos_Personal!G$124</f>
        <v>19612.3343189383</v>
      </c>
      <c r="H23" s="28" t="n">
        <f aca="false">Costos_Personal!H$124</f>
        <v>15479.5330586643</v>
      </c>
      <c r="I23" s="28" t="n">
        <f aca="false">Costos_Personal!I$124</f>
        <v>15479.5330586643</v>
      </c>
      <c r="J23" s="28" t="n">
        <f aca="false">Costos_Personal!J$124</f>
        <v>15479.5330586643</v>
      </c>
      <c r="K23" s="28" t="n">
        <f aca="false">Costos_Personal!K$124</f>
        <v>15479.5330586643</v>
      </c>
      <c r="L23" s="28" t="n">
        <f aca="false">Costos_Personal!L$124</f>
        <v>15479.5330586643</v>
      </c>
      <c r="M23" s="28" t="n">
        <f aca="false">Costos_Personal!M$124</f>
        <v>15479.5330586643</v>
      </c>
      <c r="N23" s="28" t="n">
        <f aca="false">Costos_Personal!N$124</f>
        <v>15479.5330586643</v>
      </c>
      <c r="O23" s="28" t="n">
        <f aca="false">Costos_Personal!O$124</f>
        <v>15479.5330586643</v>
      </c>
      <c r="P23" s="28" t="n">
        <f aca="false">Costos_Personal!P$124</f>
        <v>15479.5330586643</v>
      </c>
      <c r="Q23" s="28" t="n">
        <f aca="false">Costos_Personal!Q$124</f>
        <v>15479.5330586643</v>
      </c>
      <c r="R23" s="28" t="n">
        <f aca="false">Costos_Personal!R$124</f>
        <v>16565.8454970205</v>
      </c>
      <c r="S23" s="28" t="n">
        <f aca="false">Costos_Personal!S$124</f>
        <v>18874.377225331</v>
      </c>
      <c r="T23" s="28" t="n">
        <f aca="false">Costos_Personal!T$124</f>
        <v>18874.377225331</v>
      </c>
      <c r="U23" s="28" t="n">
        <f aca="false">Costos_Personal!U$124</f>
        <v>18874.377225331</v>
      </c>
      <c r="V23" s="28" t="n">
        <f aca="false">Costos_Personal!V$124</f>
        <v>18874.377225331</v>
      </c>
      <c r="W23" s="28" t="n">
        <f aca="false">Costos_Personal!W$124</f>
        <v>18874.377225331</v>
      </c>
      <c r="X23" s="28" t="n">
        <f aca="false">Costos_Personal!X$124</f>
        <v>18874.377225331</v>
      </c>
      <c r="Y23" s="28" t="n">
        <f aca="false">Costos_Personal!Y$124</f>
        <v>18874.377225331</v>
      </c>
      <c r="Z23" s="28" t="n">
        <f aca="false">Costos_Personal!Z$124</f>
        <v>18874.377225331</v>
      </c>
      <c r="AA23" s="28" t="n">
        <f aca="false">Costos_Personal!AA$124</f>
        <v>18874.377225331</v>
      </c>
      <c r="AB23" s="28" t="n">
        <f aca="false">Costos_Personal!AB$124</f>
        <v>18874.377225331</v>
      </c>
      <c r="AC23" s="28" t="n">
        <f aca="false">Costos_Personal!AC$124</f>
        <v>18874.377225331</v>
      </c>
      <c r="AD23" s="28" t="n">
        <f aca="false">Costos_Personal!AD$124</f>
        <v>19966.3334445091</v>
      </c>
      <c r="AE23" s="28" t="n">
        <f aca="false">Costos_Personal!AE$124</f>
        <v>22438.2547856079</v>
      </c>
      <c r="AF23" s="28" t="n">
        <f aca="false">Costos_Personal!AF$124</f>
        <v>22438.2547856079</v>
      </c>
      <c r="AG23" s="28" t="n">
        <f aca="false">Costos_Personal!AG$124</f>
        <v>22438.2547856079</v>
      </c>
      <c r="AH23" s="28" t="n">
        <f aca="false">Costos_Personal!AH$124</f>
        <v>22438.2547856079</v>
      </c>
      <c r="AI23" s="28" t="n">
        <f aca="false">Costos_Personal!AI$124</f>
        <v>22438.2547856079</v>
      </c>
      <c r="AJ23" s="28" t="n">
        <f aca="false">Costos_Personal!AJ$124</f>
        <v>22438.2547856079</v>
      </c>
      <c r="AK23" s="28" t="n">
        <f aca="false">Costos_Personal!AK$124</f>
        <v>22438.2547856079</v>
      </c>
      <c r="AL23" s="28" t="n">
        <f aca="false">Costos_Personal!AL$124</f>
        <v>22438.2547856079</v>
      </c>
      <c r="AM23" s="28" t="n">
        <f aca="false">Costos_Personal!AM$124</f>
        <v>22438.2547856079</v>
      </c>
      <c r="AN23" s="28" t="n">
        <f aca="false">Costos_Personal!AN$124</f>
        <v>22438.2547856079</v>
      </c>
      <c r="AO23" s="28" t="n">
        <f aca="false">Costos_Personal!AO$124</f>
        <v>22438.2547856079</v>
      </c>
      <c r="AP23" s="28" t="n">
        <f aca="false">Costos_Personal!AP$124</f>
        <v>23321.3408310873</v>
      </c>
      <c r="AQ23" s="28" t="n">
        <f aca="false">Costos_Personal!AQ$124</f>
        <v>25354.5699707133</v>
      </c>
      <c r="AR23" s="28" t="n">
        <f aca="false">Costos_Personal!AR$124</f>
        <v>25354.5699707133</v>
      </c>
      <c r="AS23" s="28" t="n">
        <f aca="false">Costos_Personal!AS$124</f>
        <v>25354.5699707133</v>
      </c>
      <c r="AT23" s="28" t="n">
        <f aca="false">Costos_Personal!AT$124</f>
        <v>25354.5699707133</v>
      </c>
      <c r="AU23" s="28" t="n">
        <f aca="false">Costos_Personal!AU$124</f>
        <v>25354.5699707133</v>
      </c>
      <c r="AV23" s="28" t="n">
        <f aca="false">Costos_Personal!AV$124</f>
        <v>25354.5699707133</v>
      </c>
      <c r="AW23" s="28" t="n">
        <f aca="false">Costos_Personal!AW$124</f>
        <v>25354.5699707133</v>
      </c>
      <c r="AX23" s="28" t="n">
        <f aca="false">Costos_Personal!AX$124</f>
        <v>25354.5699707133</v>
      </c>
      <c r="AY23" s="28" t="n">
        <f aca="false">Costos_Personal!AY$124</f>
        <v>25354.5699707133</v>
      </c>
      <c r="AZ23" s="28" t="n">
        <f aca="false">Costos_Personal!AZ$124</f>
        <v>25354.5699707133</v>
      </c>
      <c r="BA23" s="28" t="n">
        <f aca="false">Costos_Personal!BA$124</f>
        <v>25354.5699707133</v>
      </c>
      <c r="BB23" s="28" t="n">
        <f aca="false">Costos_Personal!BB$124</f>
        <v>25354.5699707133</v>
      </c>
      <c r="BC23" s="28" t="n">
        <f aca="false">Costos_Personal!BC$124</f>
        <v>25605.0409643442</v>
      </c>
      <c r="BD23" s="28" t="n">
        <f aca="false">Costos_Personal!BD$124</f>
        <v>25605.0409643442</v>
      </c>
      <c r="BE23" s="28" t="n">
        <f aca="false">Costos_Personal!BE$124</f>
        <v>25605.0409643442</v>
      </c>
      <c r="BF23" s="28" t="n">
        <f aca="false">Costos_Personal!BF$124</f>
        <v>25605.0409643442</v>
      </c>
      <c r="BG23" s="28" t="n">
        <f aca="false">Costos_Personal!BG$124</f>
        <v>25605.0409643442</v>
      </c>
      <c r="BH23" s="28" t="n">
        <f aca="false">Costos_Personal!BH$124</f>
        <v>25605.0409643442</v>
      </c>
      <c r="BI23" s="28" t="n">
        <f aca="false">Costos_Personal!BI$124</f>
        <v>25605.0409643442</v>
      </c>
      <c r="BJ23" s="28" t="n">
        <f aca="false">Costos_Personal!BJ$124</f>
        <v>25605.0409643442</v>
      </c>
      <c r="BK23" s="28" t="n">
        <f aca="false">Costos_Personal!BK$124</f>
        <v>25605.0409643442</v>
      </c>
      <c r="BL23" s="28" t="n">
        <f aca="false">Costos_Personal!BL$124</f>
        <v>25605.0409643442</v>
      </c>
      <c r="BM23" s="28" t="n">
        <f aca="false">Costos_Personal!BM$124</f>
        <v>25605.0409643442</v>
      </c>
      <c r="BN23" s="28" t="n">
        <f aca="false">Costos_Personal!BN$124</f>
        <v>25605.0409643442</v>
      </c>
      <c r="BO23" s="28" t="n">
        <f aca="false">Costos_Personal!BO$124</f>
        <v>25726.2440853808</v>
      </c>
      <c r="BP23" s="28" t="n">
        <f aca="false">Costos_Personal!BP$124</f>
        <v>25726.2440853808</v>
      </c>
      <c r="BQ23" s="28" t="n">
        <f aca="false">Costos_Personal!BQ$124</f>
        <v>25726.2440853808</v>
      </c>
      <c r="BR23" s="28" t="n">
        <f aca="false">Costos_Personal!BR$124</f>
        <v>25726.2440853808</v>
      </c>
      <c r="BS23" s="28" t="n">
        <f aca="false">Costos_Personal!BS$124</f>
        <v>25726.2440853808</v>
      </c>
      <c r="BT23" s="28" t="n">
        <f aca="false">Costos_Personal!BT$124</f>
        <v>25726.2440853808</v>
      </c>
      <c r="BU23" s="28" t="n">
        <f aca="false">Costos_Personal!BU$124</f>
        <v>25726.2440853808</v>
      </c>
      <c r="BV23" s="28" t="n">
        <f aca="false">Costos_Personal!BV$124</f>
        <v>25726.2440853808</v>
      </c>
      <c r="BW23" s="28" t="n">
        <f aca="false">Costos_Personal!BW$124</f>
        <v>25726.2440853808</v>
      </c>
      <c r="BX23" s="28" t="n">
        <f aca="false">Costos_Personal!BX$124</f>
        <v>25726.2440853808</v>
      </c>
      <c r="BY23" s="28" t="n">
        <f aca="false">Costos_Personal!BY$124</f>
        <v>25726.2440853808</v>
      </c>
      <c r="BZ23" s="28" t="n">
        <f aca="false">Costos_Personal!BZ$124</f>
        <v>25726.2440853808</v>
      </c>
      <c r="CA23" s="28" t="n">
        <f aca="false">Costos_Personal!CA$124</f>
        <v>25848.6344809611</v>
      </c>
      <c r="CB23" s="28" t="n">
        <f aca="false">Costos_Personal!CB$124</f>
        <v>25848.6344809611</v>
      </c>
      <c r="CC23" s="28" t="n">
        <f aca="false">Costos_Personal!CC$124</f>
        <v>25848.6344809611</v>
      </c>
      <c r="CD23" s="28" t="n">
        <f aca="false">Costos_Personal!CD$124</f>
        <v>25848.6344809611</v>
      </c>
      <c r="CE23" s="28" t="n">
        <f aca="false">Costos_Personal!CE$124</f>
        <v>25848.6344809611</v>
      </c>
      <c r="CF23" s="28" t="n">
        <f aca="false">Costos_Personal!CF$124</f>
        <v>25848.6344809611</v>
      </c>
      <c r="CG23" s="28" t="n">
        <f aca="false">Costos_Personal!CG$124</f>
        <v>25848.6344809611</v>
      </c>
      <c r="CH23" s="28" t="n">
        <f aca="false">Costos_Personal!CH$124</f>
        <v>25848.6344809611</v>
      </c>
      <c r="CI23" s="28" t="n">
        <f aca="false">Costos_Personal!CI$124</f>
        <v>25848.6344809611</v>
      </c>
      <c r="CJ23" s="28" t="n">
        <f aca="false">Costos_Personal!CJ$124</f>
        <v>25848.6344809611</v>
      </c>
      <c r="CK23" s="28" t="n">
        <f aca="false">Costos_Personal!CK$124</f>
        <v>25848.6344809611</v>
      </c>
      <c r="CL23" s="28" t="n">
        <f aca="false">Costos_Personal!CL$124</f>
        <v>25848.6344809611</v>
      </c>
      <c r="CM23" s="28" t="n">
        <f aca="false">Costos_Personal!CM$124</f>
        <v>25972.2240238305</v>
      </c>
      <c r="CN23" s="28" t="n">
        <f aca="false">Costos_Personal!CN$124</f>
        <v>25972.2240238305</v>
      </c>
      <c r="CO23" s="28" t="n">
        <f aca="false">Costos_Personal!CO$124</f>
        <v>25972.2240238305</v>
      </c>
      <c r="CP23" s="28" t="n">
        <f aca="false">Costos_Personal!CP$124</f>
        <v>25972.2240238305</v>
      </c>
      <c r="CQ23" s="28" t="n">
        <f aca="false">Costos_Personal!CQ$124</f>
        <v>25972.2240238305</v>
      </c>
      <c r="CR23" s="28" t="n">
        <f aca="false">Costos_Personal!CR$124</f>
        <v>25972.2240238305</v>
      </c>
      <c r="CS23" s="28" t="n">
        <f aca="false">Costos_Personal!CS$124</f>
        <v>25972.2240238305</v>
      </c>
      <c r="CT23" s="28" t="n">
        <f aca="false">Costos_Personal!CT$124</f>
        <v>25972.2240238305</v>
      </c>
      <c r="CU23" s="28" t="n">
        <f aca="false">Costos_Personal!CU$124</f>
        <v>25972.2240238305</v>
      </c>
      <c r="CV23" s="28" t="n">
        <f aca="false">Costos_Personal!CV$124</f>
        <v>25972.2240238305</v>
      </c>
      <c r="CW23" s="28" t="n">
        <f aca="false">Costos_Personal!CW$124</f>
        <v>25972.2240238305</v>
      </c>
      <c r="CX23" s="28" t="n">
        <f aca="false">Costos_Personal!CX$124</f>
        <v>25972.2240238305</v>
      </c>
      <c r="CY23" s="28" t="n">
        <f aca="false">Costos_Personal!CY$124</f>
        <v>26097.024705462</v>
      </c>
      <c r="CZ23" s="28" t="n">
        <f aca="false">Costos_Personal!CZ$124</f>
        <v>26097.024705462</v>
      </c>
      <c r="DA23" s="28" t="n">
        <f aca="false">Costos_Personal!DA$124</f>
        <v>26097.024705462</v>
      </c>
      <c r="DB23" s="28" t="n">
        <f aca="false">Costos_Personal!DB$124</f>
        <v>26097.024705462</v>
      </c>
      <c r="DC23" s="28" t="n">
        <f aca="false">Costos_Personal!DC$124</f>
        <v>26097.024705462</v>
      </c>
      <c r="DD23" s="28" t="n">
        <f aca="false">Costos_Personal!DD$124</f>
        <v>26097.024705462</v>
      </c>
      <c r="DE23" s="28" t="n">
        <f aca="false">Costos_Personal!DE$124</f>
        <v>26097.024705462</v>
      </c>
      <c r="DF23" s="28" t="n">
        <f aca="false">Costos_Personal!DF$124</f>
        <v>26097.024705462</v>
      </c>
      <c r="DG23" s="28" t="n">
        <f aca="false">Costos_Personal!DG$124</f>
        <v>26097.024705462</v>
      </c>
      <c r="DH23" s="28" t="n">
        <f aca="false">Costos_Personal!DH$124</f>
        <v>26097.024705462</v>
      </c>
      <c r="DI23" s="28" t="n">
        <f aca="false">Costos_Personal!DI$124</f>
        <v>26097.024705462</v>
      </c>
      <c r="DJ23" s="28" t="n">
        <f aca="false">Costos_Personal!DJ$124</f>
        <v>26097.024705462</v>
      </c>
      <c r="DK23" s="28" t="n">
        <f aca="false">Costos_Personal!DK$124</f>
        <v>26223.0486372431</v>
      </c>
      <c r="DL23" s="28" t="n">
        <f aca="false">Costos_Personal!DL$124</f>
        <v>26223.0486372431</v>
      </c>
      <c r="DM23" s="28" t="n">
        <f aca="false">Costos_Personal!DM$124</f>
        <v>26223.0486372431</v>
      </c>
      <c r="DN23" s="28" t="n">
        <f aca="false">Costos_Personal!DN$124</f>
        <v>26223.0486372431</v>
      </c>
      <c r="DO23" s="28" t="n">
        <f aca="false">Costos_Personal!DO$124</f>
        <v>26223.0486372431</v>
      </c>
      <c r="DP23" s="28" t="n">
        <f aca="false">Costos_Personal!DP$124</f>
        <v>26223.0486372431</v>
      </c>
      <c r="DQ23" s="28" t="n">
        <f aca="false">Costos_Personal!DQ$124</f>
        <v>26223.0486372431</v>
      </c>
      <c r="DR23" s="28" t="n">
        <f aca="false">Costos_Personal!DR$124</f>
        <v>26223.0486372431</v>
      </c>
      <c r="DS23" s="28" t="n">
        <f aca="false">Costos_Personal!DS$124</f>
        <v>26223.0486372431</v>
      </c>
      <c r="DT23" s="28" t="n">
        <f aca="false">Costos_Personal!DT$124</f>
        <v>26223.0486372431</v>
      </c>
      <c r="DU23" s="28" t="n">
        <f aca="false">Costos_Personal!DU$124</f>
        <v>26223.0486372431</v>
      </c>
      <c r="DV23" s="28" t="n">
        <f aca="false">Costos_Personal!DV$124</f>
        <v>18693.4213228243</v>
      </c>
      <c r="DW23" s="28" t="n">
        <f aca="false">Costos_Personal!DW$124</f>
        <v>0</v>
      </c>
      <c r="DX23" s="28" t="n">
        <f aca="false">Costos_Personal!DX$124</f>
        <v>0</v>
      </c>
      <c r="DY23" s="28" t="n">
        <f aca="false">Costos_Personal!DY$124</f>
        <v>0</v>
      </c>
      <c r="DZ23" s="28" t="n">
        <f aca="false">Costos_Personal!DZ$124</f>
        <v>0</v>
      </c>
      <c r="EA23" s="28" t="n">
        <f aca="false">Costos_Personal!EA$124</f>
        <v>0</v>
      </c>
      <c r="EB23" s="28" t="n">
        <f aca="false">Costos_Personal!EB$124</f>
        <v>0</v>
      </c>
      <c r="EC23" s="28" t="n">
        <f aca="false">Costos_Personal!EC$124</f>
        <v>0</v>
      </c>
      <c r="ED23" s="28" t="n">
        <f aca="false">Costos_Personal!ED$124</f>
        <v>0</v>
      </c>
      <c r="EE23" s="28" t="n">
        <f aca="false">Costos_Personal!EE$124</f>
        <v>0</v>
      </c>
      <c r="EF23" s="28" t="n">
        <f aca="false">Costos_Personal!EF$124</f>
        <v>0</v>
      </c>
      <c r="EG23" s="28" t="n">
        <f aca="false">Costos_Personal!EG$124</f>
        <v>0</v>
      </c>
      <c r="EH23" s="28" t="n">
        <f aca="false">Costos_Personal!EH$124</f>
        <v>0</v>
      </c>
      <c r="EI23" s="28" t="n">
        <f aca="false">Costos_Personal!EI$124</f>
        <v>0</v>
      </c>
      <c r="EJ23" s="28" t="n">
        <f aca="false">Costos_Personal!EJ$124</f>
        <v>0</v>
      </c>
      <c r="EK23" s="28" t="n">
        <f aca="false">Costos_Personal!EK$124</f>
        <v>0</v>
      </c>
      <c r="EL23" s="28" t="n">
        <f aca="false">Costos_Personal!EL$124</f>
        <v>0</v>
      </c>
      <c r="EM23" s="28" t="n">
        <f aca="false">Costos_Personal!EM$124</f>
        <v>0</v>
      </c>
      <c r="EN23" s="28" t="n">
        <f aca="false">Costos_Personal!EN$124</f>
        <v>0</v>
      </c>
      <c r="EO23" s="28" t="n">
        <f aca="false">Costos_Personal!EO$124</f>
        <v>0</v>
      </c>
      <c r="EP23" s="28" t="n">
        <f aca="false">Costos_Personal!EP$124</f>
        <v>0</v>
      </c>
      <c r="EQ23" s="28" t="n">
        <f aca="false">Costos_Personal!EQ$124</f>
        <v>0</v>
      </c>
      <c r="ER23" s="28" t="n">
        <f aca="false">Costos_Personal!ER$124</f>
        <v>0</v>
      </c>
      <c r="ES23" s="28" t="n">
        <f aca="false">Costos_Personal!ES$124</f>
        <v>0</v>
      </c>
      <c r="ET23" s="28" t="n">
        <f aca="false">Costos_Personal!ET$124</f>
        <v>0</v>
      </c>
      <c r="EU23" s="28" t="n">
        <f aca="false">Costos_Personal!EU$124</f>
        <v>0</v>
      </c>
      <c r="EV23" s="28" t="n">
        <f aca="false">Costos_Personal!EV$124</f>
        <v>0</v>
      </c>
      <c r="EW23" s="28" t="n">
        <f aca="false">Costos_Personal!EW$124</f>
        <v>0</v>
      </c>
      <c r="EX23" s="28" t="n">
        <f aca="false">Costos_Personal!EX$124</f>
        <v>0</v>
      </c>
      <c r="EY23" s="28" t="n">
        <f aca="false">Costos_Personal!EY$124</f>
        <v>0</v>
      </c>
      <c r="EZ23" s="28" t="n">
        <f aca="false">Costos_Personal!EZ$124</f>
        <v>0</v>
      </c>
      <c r="FA23" s="28" t="n">
        <f aca="false">Costos_Personal!FA$124</f>
        <v>0</v>
      </c>
      <c r="FB23" s="28" t="n">
        <f aca="false">Costos_Personal!FB$124</f>
        <v>0</v>
      </c>
      <c r="FC23" s="28" t="n">
        <f aca="false">Costos_Personal!FC$124</f>
        <v>0</v>
      </c>
      <c r="FD23" s="28" t="n">
        <f aca="false">Costos_Personal!FD$124</f>
        <v>0</v>
      </c>
      <c r="FE23" s="28" t="n">
        <f aca="false">Costos_Personal!FE$124</f>
        <v>0</v>
      </c>
      <c r="FF23" s="28" t="n">
        <f aca="false">Costos_Personal!FF$124</f>
        <v>0</v>
      </c>
    </row>
    <row r="24" customFormat="false" ht="15" hidden="false" customHeight="false" outlineLevel="0" collapsed="false">
      <c r="A24" s="2" t="s">
        <v>1123</v>
      </c>
      <c r="B24" s="66" t="s">
        <v>1472</v>
      </c>
      <c r="C24" s="8" t="s">
        <v>255</v>
      </c>
      <c r="E24" s="67" t="n">
        <f aca="false">SUM($F24:$FF24)</f>
        <v>59791708.5421642</v>
      </c>
      <c r="F24" s="71" t="n">
        <f aca="false">Costos_Personal!F$143</f>
        <v>0</v>
      </c>
      <c r="G24" s="71" t="n">
        <f aca="false">Costos_Personal!G$143</f>
        <v>411454.854031037</v>
      </c>
      <c r="H24" s="71" t="n">
        <f aca="false">Costos_Personal!H$143</f>
        <v>324666.027565284</v>
      </c>
      <c r="I24" s="71" t="n">
        <f aca="false">Costos_Personal!I$143</f>
        <v>324666.027565284</v>
      </c>
      <c r="J24" s="71" t="n">
        <f aca="false">Costos_Personal!J$143</f>
        <v>324666.027565284</v>
      </c>
      <c r="K24" s="71" t="n">
        <f aca="false">Costos_Personal!K$143</f>
        <v>324666.027565284</v>
      </c>
      <c r="L24" s="71" t="n">
        <f aca="false">Costos_Personal!L$143</f>
        <v>324666.027565284</v>
      </c>
      <c r="M24" s="71" t="n">
        <f aca="false">Costos_Personal!M$143</f>
        <v>324666.027565284</v>
      </c>
      <c r="N24" s="71" t="n">
        <f aca="false">Costos_Personal!N$143</f>
        <v>324666.027565284</v>
      </c>
      <c r="O24" s="71" t="n">
        <f aca="false">Costos_Personal!O$143</f>
        <v>324666.027565284</v>
      </c>
      <c r="P24" s="71" t="n">
        <f aca="false">Costos_Personal!P$143</f>
        <v>324666.027565284</v>
      </c>
      <c r="Q24" s="71" t="n">
        <f aca="false">Costos_Personal!Q$143</f>
        <v>324666.027565284</v>
      </c>
      <c r="R24" s="71" t="n">
        <f aca="false">Costos_Personal!R$143</f>
        <v>347478.588770763</v>
      </c>
      <c r="S24" s="71" t="n">
        <f aca="false">Costos_Personal!S$143</f>
        <v>395846.821731951</v>
      </c>
      <c r="T24" s="71" t="n">
        <f aca="false">Costos_Personal!T$143</f>
        <v>395846.821731951</v>
      </c>
      <c r="U24" s="71" t="n">
        <f aca="false">Costos_Personal!U$143</f>
        <v>395846.821731951</v>
      </c>
      <c r="V24" s="71" t="n">
        <f aca="false">Costos_Personal!V$143</f>
        <v>395846.821731951</v>
      </c>
      <c r="W24" s="71" t="n">
        <f aca="false">Costos_Personal!W$143</f>
        <v>395846.821731951</v>
      </c>
      <c r="X24" s="71" t="n">
        <f aca="false">Costos_Personal!X$143</f>
        <v>395846.821731951</v>
      </c>
      <c r="Y24" s="71" t="n">
        <f aca="false">Costos_Personal!Y$143</f>
        <v>395846.821731951</v>
      </c>
      <c r="Z24" s="71" t="n">
        <f aca="false">Costos_Personal!Z$143</f>
        <v>395846.821731951</v>
      </c>
      <c r="AA24" s="71" t="n">
        <f aca="false">Costos_Personal!AA$143</f>
        <v>395846.821731951</v>
      </c>
      <c r="AB24" s="71" t="n">
        <f aca="false">Costos_Personal!AB$143</f>
        <v>395846.821731951</v>
      </c>
      <c r="AC24" s="71" t="n">
        <f aca="false">Costos_Personal!AC$143</f>
        <v>395846.821731951</v>
      </c>
      <c r="AD24" s="71" t="n">
        <f aca="false">Costos_Personal!AD$143</f>
        <v>418777.90233469</v>
      </c>
      <c r="AE24" s="71" t="n">
        <f aca="false">Costos_Personal!AE$143</f>
        <v>470575.138914432</v>
      </c>
      <c r="AF24" s="71" t="n">
        <f aca="false">Costos_Personal!AF$143</f>
        <v>470575.138914432</v>
      </c>
      <c r="AG24" s="71" t="n">
        <f aca="false">Costos_Personal!AG$143</f>
        <v>470575.138914432</v>
      </c>
      <c r="AH24" s="71" t="n">
        <f aca="false">Costos_Personal!AH$143</f>
        <v>470575.138914432</v>
      </c>
      <c r="AI24" s="71" t="n">
        <f aca="false">Costos_Personal!AI$143</f>
        <v>470575.138914432</v>
      </c>
      <c r="AJ24" s="71" t="n">
        <f aca="false">Costos_Personal!AJ$143</f>
        <v>470575.138914432</v>
      </c>
      <c r="AK24" s="71" t="n">
        <f aca="false">Costos_Personal!AK$143</f>
        <v>470575.138914432</v>
      </c>
      <c r="AL24" s="71" t="n">
        <f aca="false">Costos_Personal!AL$143</f>
        <v>470575.138914432</v>
      </c>
      <c r="AM24" s="71" t="n">
        <f aca="false">Costos_Personal!AM$143</f>
        <v>470575.138914432</v>
      </c>
      <c r="AN24" s="71" t="n">
        <f aca="false">Costos_Personal!AN$143</f>
        <v>470575.138914432</v>
      </c>
      <c r="AO24" s="71" t="n">
        <f aca="false">Costos_Personal!AO$143</f>
        <v>470575.138914432</v>
      </c>
      <c r="AP24" s="71" t="n">
        <f aca="false">Costos_Personal!AP$143</f>
        <v>489119.945869501</v>
      </c>
      <c r="AQ24" s="71" t="n">
        <f aca="false">Costos_Personal!AQ$143</f>
        <v>531722.182932479</v>
      </c>
      <c r="AR24" s="71" t="n">
        <f aca="false">Costos_Personal!AR$143</f>
        <v>531722.182932479</v>
      </c>
      <c r="AS24" s="71" t="n">
        <f aca="false">Costos_Personal!AS$143</f>
        <v>531722.182932479</v>
      </c>
      <c r="AT24" s="71" t="n">
        <f aca="false">Costos_Personal!AT$143</f>
        <v>531722.182932479</v>
      </c>
      <c r="AU24" s="71" t="n">
        <f aca="false">Costos_Personal!AU$143</f>
        <v>531722.182932479</v>
      </c>
      <c r="AV24" s="71" t="n">
        <f aca="false">Costos_Personal!AV$143</f>
        <v>531722.182932479</v>
      </c>
      <c r="AW24" s="71" t="n">
        <f aca="false">Costos_Personal!AW$143</f>
        <v>531722.182932479</v>
      </c>
      <c r="AX24" s="71" t="n">
        <f aca="false">Costos_Personal!AX$143</f>
        <v>531722.182932479</v>
      </c>
      <c r="AY24" s="71" t="n">
        <f aca="false">Costos_Personal!AY$143</f>
        <v>531722.182932479</v>
      </c>
      <c r="AZ24" s="71" t="n">
        <f aca="false">Costos_Personal!AZ$143</f>
        <v>531722.182932479</v>
      </c>
      <c r="BA24" s="71" t="n">
        <f aca="false">Costos_Personal!BA$143</f>
        <v>531722.182932479</v>
      </c>
      <c r="BB24" s="71" t="n">
        <f aca="false">Costos_Personal!BB$143</f>
        <v>531722.182932479</v>
      </c>
      <c r="BC24" s="71" t="n">
        <f aca="false">Costos_Personal!BC$143</f>
        <v>536974.835934202</v>
      </c>
      <c r="BD24" s="71" t="n">
        <f aca="false">Costos_Personal!BD$143</f>
        <v>536974.835934202</v>
      </c>
      <c r="BE24" s="71" t="n">
        <f aca="false">Costos_Personal!BE$143</f>
        <v>536974.835934202</v>
      </c>
      <c r="BF24" s="71" t="n">
        <f aca="false">Costos_Personal!BF$143</f>
        <v>536974.835934202</v>
      </c>
      <c r="BG24" s="71" t="n">
        <f aca="false">Costos_Personal!BG$143</f>
        <v>536974.835934202</v>
      </c>
      <c r="BH24" s="71" t="n">
        <f aca="false">Costos_Personal!BH$143</f>
        <v>536974.835934202</v>
      </c>
      <c r="BI24" s="71" t="n">
        <f aca="false">Costos_Personal!BI$143</f>
        <v>536974.835934202</v>
      </c>
      <c r="BJ24" s="71" t="n">
        <f aca="false">Costos_Personal!BJ$143</f>
        <v>536974.835934202</v>
      </c>
      <c r="BK24" s="71" t="n">
        <f aca="false">Costos_Personal!BK$143</f>
        <v>536974.835934202</v>
      </c>
      <c r="BL24" s="71" t="n">
        <f aca="false">Costos_Personal!BL$143</f>
        <v>536974.835934202</v>
      </c>
      <c r="BM24" s="71" t="n">
        <f aca="false">Costos_Personal!BM$143</f>
        <v>536974.835934202</v>
      </c>
      <c r="BN24" s="71" t="n">
        <f aca="false">Costos_Personal!BN$143</f>
        <v>536974.835934202</v>
      </c>
      <c r="BO24" s="71" t="n">
        <f aca="false">Costos_Personal!BO$143</f>
        <v>539512.791232801</v>
      </c>
      <c r="BP24" s="71" t="n">
        <f aca="false">Costos_Personal!BP$143</f>
        <v>539512.791232801</v>
      </c>
      <c r="BQ24" s="71" t="n">
        <f aca="false">Costos_Personal!BQ$143</f>
        <v>539512.791232801</v>
      </c>
      <c r="BR24" s="71" t="n">
        <f aca="false">Costos_Personal!BR$143</f>
        <v>539512.791232801</v>
      </c>
      <c r="BS24" s="71" t="n">
        <f aca="false">Costos_Personal!BS$143</f>
        <v>539512.791232801</v>
      </c>
      <c r="BT24" s="71" t="n">
        <f aca="false">Costos_Personal!BT$143</f>
        <v>539512.791232801</v>
      </c>
      <c r="BU24" s="71" t="n">
        <f aca="false">Costos_Personal!BU$143</f>
        <v>539512.791232801</v>
      </c>
      <c r="BV24" s="71" t="n">
        <f aca="false">Costos_Personal!BV$143</f>
        <v>539512.791232801</v>
      </c>
      <c r="BW24" s="71" t="n">
        <f aca="false">Costos_Personal!BW$143</f>
        <v>539512.791232801</v>
      </c>
      <c r="BX24" s="71" t="n">
        <f aca="false">Costos_Personal!BX$143</f>
        <v>539512.791232801</v>
      </c>
      <c r="BY24" s="71" t="n">
        <f aca="false">Costos_Personal!BY$143</f>
        <v>539512.791232801</v>
      </c>
      <c r="BZ24" s="71" t="n">
        <f aca="false">Costos_Personal!BZ$143</f>
        <v>539512.791232801</v>
      </c>
      <c r="CA24" s="71" t="n">
        <f aca="false">Costos_Personal!CA$143</f>
        <v>542075.606194385</v>
      </c>
      <c r="CB24" s="71" t="n">
        <f aca="false">Costos_Personal!CB$143</f>
        <v>542075.606194385</v>
      </c>
      <c r="CC24" s="71" t="n">
        <f aca="false">Costos_Personal!CC$143</f>
        <v>542075.606194385</v>
      </c>
      <c r="CD24" s="71" t="n">
        <f aca="false">Costos_Personal!CD$143</f>
        <v>542075.606194385</v>
      </c>
      <c r="CE24" s="71" t="n">
        <f aca="false">Costos_Personal!CE$143</f>
        <v>542075.606194385</v>
      </c>
      <c r="CF24" s="71" t="n">
        <f aca="false">Costos_Personal!CF$143</f>
        <v>542075.606194385</v>
      </c>
      <c r="CG24" s="71" t="n">
        <f aca="false">Costos_Personal!CG$143</f>
        <v>542075.606194385</v>
      </c>
      <c r="CH24" s="71" t="n">
        <f aca="false">Costos_Personal!CH$143</f>
        <v>542075.606194385</v>
      </c>
      <c r="CI24" s="71" t="n">
        <f aca="false">Costos_Personal!CI$143</f>
        <v>542075.606194385</v>
      </c>
      <c r="CJ24" s="71" t="n">
        <f aca="false">Costos_Personal!CJ$143</f>
        <v>542075.606194385</v>
      </c>
      <c r="CK24" s="71" t="n">
        <f aca="false">Costos_Personal!CK$143</f>
        <v>542075.606194385</v>
      </c>
      <c r="CL24" s="71" t="n">
        <f aca="false">Costos_Personal!CL$143</f>
        <v>542075.606194385</v>
      </c>
      <c r="CM24" s="71" t="n">
        <f aca="false">Costos_Personal!CM$143</f>
        <v>544663.529415586</v>
      </c>
      <c r="CN24" s="71" t="n">
        <f aca="false">Costos_Personal!CN$143</f>
        <v>544663.529415586</v>
      </c>
      <c r="CO24" s="71" t="n">
        <f aca="false">Costos_Personal!CO$143</f>
        <v>544663.529415586</v>
      </c>
      <c r="CP24" s="71" t="n">
        <f aca="false">Costos_Personal!CP$143</f>
        <v>544663.529415586</v>
      </c>
      <c r="CQ24" s="71" t="n">
        <f aca="false">Costos_Personal!CQ$143</f>
        <v>544663.529415586</v>
      </c>
      <c r="CR24" s="71" t="n">
        <f aca="false">Costos_Personal!CR$143</f>
        <v>544663.529415586</v>
      </c>
      <c r="CS24" s="71" t="n">
        <f aca="false">Costos_Personal!CS$143</f>
        <v>544663.529415586</v>
      </c>
      <c r="CT24" s="71" t="n">
        <f aca="false">Costos_Personal!CT$143</f>
        <v>544663.529415586</v>
      </c>
      <c r="CU24" s="71" t="n">
        <f aca="false">Costos_Personal!CU$143</f>
        <v>544663.529415586</v>
      </c>
      <c r="CV24" s="71" t="n">
        <f aca="false">Costos_Personal!CV$143</f>
        <v>544663.529415586</v>
      </c>
      <c r="CW24" s="71" t="n">
        <f aca="false">Costos_Personal!CW$143</f>
        <v>544663.529415586</v>
      </c>
      <c r="CX24" s="71" t="n">
        <f aca="false">Costos_Personal!CX$143</f>
        <v>544663.529415586</v>
      </c>
      <c r="CY24" s="71" t="n">
        <f aca="false">Costos_Personal!CY$143</f>
        <v>547276.811978999</v>
      </c>
      <c r="CZ24" s="71" t="n">
        <f aca="false">Costos_Personal!CZ$143</f>
        <v>547276.811978999</v>
      </c>
      <c r="DA24" s="71" t="n">
        <f aca="false">Costos_Personal!DA$143</f>
        <v>547276.811978999</v>
      </c>
      <c r="DB24" s="71" t="n">
        <f aca="false">Costos_Personal!DB$143</f>
        <v>547276.811978999</v>
      </c>
      <c r="DC24" s="71" t="n">
        <f aca="false">Costos_Personal!DC$143</f>
        <v>547276.811978999</v>
      </c>
      <c r="DD24" s="71" t="n">
        <f aca="false">Costos_Personal!DD$143</f>
        <v>547276.811978999</v>
      </c>
      <c r="DE24" s="71" t="n">
        <f aca="false">Costos_Personal!DE$143</f>
        <v>547276.811978999</v>
      </c>
      <c r="DF24" s="71" t="n">
        <f aca="false">Costos_Personal!DF$143</f>
        <v>547276.811978999</v>
      </c>
      <c r="DG24" s="71" t="n">
        <f aca="false">Costos_Personal!DG$143</f>
        <v>547276.811978999</v>
      </c>
      <c r="DH24" s="71" t="n">
        <f aca="false">Costos_Personal!DH$143</f>
        <v>547276.811978999</v>
      </c>
      <c r="DI24" s="71" t="n">
        <f aca="false">Costos_Personal!DI$143</f>
        <v>547276.811978999</v>
      </c>
      <c r="DJ24" s="71" t="n">
        <f aca="false">Costos_Personal!DJ$143</f>
        <v>547276.811978999</v>
      </c>
      <c r="DK24" s="71" t="n">
        <f aca="false">Costos_Personal!DK$143</f>
        <v>549915.707478045</v>
      </c>
      <c r="DL24" s="71" t="n">
        <f aca="false">Costos_Personal!DL$143</f>
        <v>549915.707478045</v>
      </c>
      <c r="DM24" s="71" t="n">
        <f aca="false">Costos_Personal!DM$143</f>
        <v>549915.707478045</v>
      </c>
      <c r="DN24" s="71" t="n">
        <f aca="false">Costos_Personal!DN$143</f>
        <v>549915.707478045</v>
      </c>
      <c r="DO24" s="71" t="n">
        <f aca="false">Costos_Personal!DO$143</f>
        <v>549915.707478045</v>
      </c>
      <c r="DP24" s="71" t="n">
        <f aca="false">Costos_Personal!DP$143</f>
        <v>549915.707478045</v>
      </c>
      <c r="DQ24" s="71" t="n">
        <f aca="false">Costos_Personal!DQ$143</f>
        <v>549915.707478045</v>
      </c>
      <c r="DR24" s="71" t="n">
        <f aca="false">Costos_Personal!DR$143</f>
        <v>549915.707478045</v>
      </c>
      <c r="DS24" s="71" t="n">
        <f aca="false">Costos_Personal!DS$143</f>
        <v>549915.707478045</v>
      </c>
      <c r="DT24" s="71" t="n">
        <f aca="false">Costos_Personal!DT$143</f>
        <v>549915.707478045</v>
      </c>
      <c r="DU24" s="71" t="n">
        <f aca="false">Costos_Personal!DU$143</f>
        <v>549915.707478045</v>
      </c>
      <c r="DV24" s="71" t="n">
        <f aca="false">Costos_Personal!DV$143</f>
        <v>391793.533875249</v>
      </c>
      <c r="DW24" s="71" t="n">
        <f aca="false">Costos_Personal!DW$143</f>
        <v>0</v>
      </c>
      <c r="DX24" s="71" t="n">
        <f aca="false">Costos_Personal!DX$143</f>
        <v>0</v>
      </c>
      <c r="DY24" s="71" t="n">
        <f aca="false">Costos_Personal!DY$143</f>
        <v>0</v>
      </c>
      <c r="DZ24" s="71" t="n">
        <f aca="false">Costos_Personal!DZ$143</f>
        <v>0</v>
      </c>
      <c r="EA24" s="71" t="n">
        <f aca="false">Costos_Personal!EA$143</f>
        <v>0</v>
      </c>
      <c r="EB24" s="71" t="n">
        <f aca="false">Costos_Personal!EB$143</f>
        <v>0</v>
      </c>
      <c r="EC24" s="71" t="n">
        <f aca="false">Costos_Personal!EC$143</f>
        <v>0</v>
      </c>
      <c r="ED24" s="71" t="n">
        <f aca="false">Costos_Personal!ED$143</f>
        <v>0</v>
      </c>
      <c r="EE24" s="71" t="n">
        <f aca="false">Costos_Personal!EE$143</f>
        <v>0</v>
      </c>
      <c r="EF24" s="71" t="n">
        <f aca="false">Costos_Personal!EF$143</f>
        <v>0</v>
      </c>
      <c r="EG24" s="71" t="n">
        <f aca="false">Costos_Personal!EG$143</f>
        <v>0</v>
      </c>
      <c r="EH24" s="71" t="n">
        <f aca="false">Costos_Personal!EH$143</f>
        <v>0</v>
      </c>
      <c r="EI24" s="71" t="n">
        <f aca="false">Costos_Personal!EI$143</f>
        <v>0</v>
      </c>
      <c r="EJ24" s="71" t="n">
        <f aca="false">Costos_Personal!EJ$143</f>
        <v>0</v>
      </c>
      <c r="EK24" s="71" t="n">
        <f aca="false">Costos_Personal!EK$143</f>
        <v>0</v>
      </c>
      <c r="EL24" s="71" t="n">
        <f aca="false">Costos_Personal!EL$143</f>
        <v>0</v>
      </c>
      <c r="EM24" s="71" t="n">
        <f aca="false">Costos_Personal!EM$143</f>
        <v>0</v>
      </c>
      <c r="EN24" s="71" t="n">
        <f aca="false">Costos_Personal!EN$143</f>
        <v>0</v>
      </c>
      <c r="EO24" s="71" t="n">
        <f aca="false">Costos_Personal!EO$143</f>
        <v>0</v>
      </c>
      <c r="EP24" s="71" t="n">
        <f aca="false">Costos_Personal!EP$143</f>
        <v>0</v>
      </c>
      <c r="EQ24" s="71" t="n">
        <f aca="false">Costos_Personal!EQ$143</f>
        <v>0</v>
      </c>
      <c r="ER24" s="71" t="n">
        <f aca="false">Costos_Personal!ER$143</f>
        <v>0</v>
      </c>
      <c r="ES24" s="71" t="n">
        <f aca="false">Costos_Personal!ES$143</f>
        <v>0</v>
      </c>
      <c r="ET24" s="71" t="n">
        <f aca="false">Costos_Personal!ET$143</f>
        <v>0</v>
      </c>
      <c r="EU24" s="71" t="n">
        <f aca="false">Costos_Personal!EU$143</f>
        <v>0</v>
      </c>
      <c r="EV24" s="71" t="n">
        <f aca="false">Costos_Personal!EV$143</f>
        <v>0</v>
      </c>
      <c r="EW24" s="71" t="n">
        <f aca="false">Costos_Personal!EW$143</f>
        <v>0</v>
      </c>
      <c r="EX24" s="71" t="n">
        <f aca="false">Costos_Personal!EX$143</f>
        <v>0</v>
      </c>
      <c r="EY24" s="71" t="n">
        <f aca="false">Costos_Personal!EY$143</f>
        <v>0</v>
      </c>
      <c r="EZ24" s="71" t="n">
        <f aca="false">Costos_Personal!EZ$143</f>
        <v>0</v>
      </c>
      <c r="FA24" s="71" t="n">
        <f aca="false">Costos_Personal!FA$143</f>
        <v>0</v>
      </c>
      <c r="FB24" s="71" t="n">
        <f aca="false">Costos_Personal!FB$143</f>
        <v>0</v>
      </c>
      <c r="FC24" s="71" t="n">
        <f aca="false">Costos_Personal!FC$143</f>
        <v>0</v>
      </c>
      <c r="FD24" s="71" t="n">
        <f aca="false">Costos_Personal!FD$143</f>
        <v>0</v>
      </c>
      <c r="FE24" s="71" t="n">
        <f aca="false">Costos_Personal!FE$143</f>
        <v>0</v>
      </c>
      <c r="FF24" s="71" t="n">
        <f aca="false">Costos_Personal!FF$143</f>
        <v>0</v>
      </c>
    </row>
    <row r="25" customFormat="false" ht="15" hidden="false" customHeight="false" outlineLevel="0" collapsed="false">
      <c r="A25" s="2" t="s">
        <v>1473</v>
      </c>
      <c r="B25" s="8" t="s">
        <v>1474</v>
      </c>
      <c r="C25" s="8" t="s">
        <v>255</v>
      </c>
      <c r="E25" s="65" t="n">
        <f aca="false">SUM($F25:$FF25)</f>
        <v>0</v>
      </c>
      <c r="F25" s="13" t="n">
        <f aca="false">Capital_Trabajo!F$56-0</f>
        <v>0</v>
      </c>
      <c r="G25" s="13" t="n">
        <f aca="false">Capital_Trabajo!G$56-Capital_Trabajo!F$56</f>
        <v>96950.7265267049</v>
      </c>
      <c r="H25" s="13" t="n">
        <f aca="false">Capital_Trabajo!H$56-Capital_Trabajo!G$56</f>
        <v>4699.62783163578</v>
      </c>
      <c r="I25" s="13" t="n">
        <f aca="false">Capital_Trabajo!I$56-Capital_Trabajo!H$56</f>
        <v>0</v>
      </c>
      <c r="J25" s="13" t="n">
        <f aca="false">Capital_Trabajo!J$56-Capital_Trabajo!I$56</f>
        <v>0</v>
      </c>
      <c r="K25" s="13" t="n">
        <f aca="false">Capital_Trabajo!K$56-Capital_Trabajo!J$56</f>
        <v>0</v>
      </c>
      <c r="L25" s="13" t="n">
        <f aca="false">Capital_Trabajo!L$56-Capital_Trabajo!K$56</f>
        <v>0</v>
      </c>
      <c r="M25" s="13" t="n">
        <f aca="false">Capital_Trabajo!M$56-Capital_Trabajo!L$56</f>
        <v>0</v>
      </c>
      <c r="N25" s="13" t="n">
        <f aca="false">Capital_Trabajo!N$56-Capital_Trabajo!M$56</f>
        <v>0</v>
      </c>
      <c r="O25" s="13" t="n">
        <f aca="false">Capital_Trabajo!O$56-Capital_Trabajo!N$56</f>
        <v>0</v>
      </c>
      <c r="P25" s="13" t="n">
        <f aca="false">Capital_Trabajo!P$56-Capital_Trabajo!O$56</f>
        <v>0</v>
      </c>
      <c r="Q25" s="13" t="n">
        <f aca="false">Capital_Trabajo!Q$56-Capital_Trabajo!P$56</f>
        <v>0</v>
      </c>
      <c r="R25" s="13" t="n">
        <f aca="false">Capital_Trabajo!R$56-Capital_Trabajo!Q$56</f>
        <v>24799.4545613697</v>
      </c>
      <c r="S25" s="13" t="n">
        <f aca="false">Capital_Trabajo!S$56-Capital_Trabajo!R$56</f>
        <v>-2513.66278054776</v>
      </c>
      <c r="T25" s="13" t="n">
        <f aca="false">Capital_Trabajo!T$56-Capital_Trabajo!S$56</f>
        <v>0</v>
      </c>
      <c r="U25" s="13" t="n">
        <f aca="false">Capital_Trabajo!U$56-Capital_Trabajo!T$56</f>
        <v>0</v>
      </c>
      <c r="V25" s="13" t="n">
        <f aca="false">Capital_Trabajo!V$56-Capital_Trabajo!U$56</f>
        <v>0</v>
      </c>
      <c r="W25" s="13" t="n">
        <f aca="false">Capital_Trabajo!W$56-Capital_Trabajo!V$56</f>
        <v>0</v>
      </c>
      <c r="X25" s="13" t="n">
        <f aca="false">Capital_Trabajo!X$56-Capital_Trabajo!W$56</f>
        <v>0</v>
      </c>
      <c r="Y25" s="13" t="n">
        <f aca="false">Capital_Trabajo!Y$56-Capital_Trabajo!X$56</f>
        <v>0</v>
      </c>
      <c r="Z25" s="13" t="n">
        <f aca="false">Capital_Trabajo!Z$56-Capital_Trabajo!Y$56</f>
        <v>0</v>
      </c>
      <c r="AA25" s="13" t="n">
        <f aca="false">Capital_Trabajo!AA$56-Capital_Trabajo!Z$56</f>
        <v>0</v>
      </c>
      <c r="AB25" s="13" t="n">
        <f aca="false">Capital_Trabajo!AB$56-Capital_Trabajo!AA$56</f>
        <v>0</v>
      </c>
      <c r="AC25" s="13" t="n">
        <f aca="false">Capital_Trabajo!AC$56-Capital_Trabajo!AB$56</f>
        <v>0</v>
      </c>
      <c r="AD25" s="13" t="n">
        <f aca="false">Capital_Trabajo!AD$56-Capital_Trabajo!AC$56</f>
        <v>24317.4763893295</v>
      </c>
      <c r="AE25" s="13" t="n">
        <f aca="false">Capital_Trabajo!AE$56-Capital_Trabajo!AD$56</f>
        <v>-920.948294358095</v>
      </c>
      <c r="AF25" s="13" t="n">
        <f aca="false">Capital_Trabajo!AF$56-Capital_Trabajo!AE$56</f>
        <v>0</v>
      </c>
      <c r="AG25" s="13" t="n">
        <f aca="false">Capital_Trabajo!AG$56-Capital_Trabajo!AF$56</f>
        <v>0</v>
      </c>
      <c r="AH25" s="13" t="n">
        <f aca="false">Capital_Trabajo!AH$56-Capital_Trabajo!AG$56</f>
        <v>0</v>
      </c>
      <c r="AI25" s="13" t="n">
        <f aca="false">Capital_Trabajo!AI$56-Capital_Trabajo!AH$56</f>
        <v>0</v>
      </c>
      <c r="AJ25" s="13" t="n">
        <f aca="false">Capital_Trabajo!AJ$56-Capital_Trabajo!AI$56</f>
        <v>0</v>
      </c>
      <c r="AK25" s="13" t="n">
        <f aca="false">Capital_Trabajo!AK$56-Capital_Trabajo!AJ$56</f>
        <v>0</v>
      </c>
      <c r="AL25" s="13" t="n">
        <f aca="false">Capital_Trabajo!AL$56-Capital_Trabajo!AK$56</f>
        <v>0</v>
      </c>
      <c r="AM25" s="13" t="n">
        <f aca="false">Capital_Trabajo!AM$56-Capital_Trabajo!AL$56</f>
        <v>0</v>
      </c>
      <c r="AN25" s="13" t="n">
        <f aca="false">Capital_Trabajo!AN$56-Capital_Trabajo!AM$56</f>
        <v>0</v>
      </c>
      <c r="AO25" s="13" t="n">
        <f aca="false">Capital_Trabajo!AO$56-Capital_Trabajo!AN$56</f>
        <v>0</v>
      </c>
      <c r="AP25" s="13" t="n">
        <f aca="false">Capital_Trabajo!AP$56-Capital_Trabajo!AO$56</f>
        <v>19461.1374925985</v>
      </c>
      <c r="AQ25" s="13" t="n">
        <f aca="false">Capital_Trabajo!AQ$56-Capital_Trabajo!AP$56</f>
        <v>-316.788287247909</v>
      </c>
      <c r="AR25" s="13" t="n">
        <f aca="false">Capital_Trabajo!AR$56-Capital_Trabajo!AQ$56</f>
        <v>0</v>
      </c>
      <c r="AS25" s="13" t="n">
        <f aca="false">Capital_Trabajo!AS$56-Capital_Trabajo!AR$56</f>
        <v>0</v>
      </c>
      <c r="AT25" s="13" t="n">
        <f aca="false">Capital_Trabajo!AT$56-Capital_Trabajo!AS$56</f>
        <v>0</v>
      </c>
      <c r="AU25" s="13" t="n">
        <f aca="false">Capital_Trabajo!AU$56-Capital_Trabajo!AT$56</f>
        <v>0</v>
      </c>
      <c r="AV25" s="13" t="n">
        <f aca="false">Capital_Trabajo!AV$56-Capital_Trabajo!AU$56</f>
        <v>0</v>
      </c>
      <c r="AW25" s="13" t="n">
        <f aca="false">Capital_Trabajo!AW$56-Capital_Trabajo!AV$56</f>
        <v>0</v>
      </c>
      <c r="AX25" s="13" t="n">
        <f aca="false">Capital_Trabajo!AX$56-Capital_Trabajo!AW$56</f>
        <v>0</v>
      </c>
      <c r="AY25" s="13" t="n">
        <f aca="false">Capital_Trabajo!AY$56-Capital_Trabajo!AX$56</f>
        <v>0</v>
      </c>
      <c r="AZ25" s="13" t="n">
        <f aca="false">Capital_Trabajo!AZ$56-Capital_Trabajo!AY$56</f>
        <v>0</v>
      </c>
      <c r="BA25" s="13" t="n">
        <f aca="false">Capital_Trabajo!BA$56-Capital_Trabajo!AZ$56</f>
        <v>0</v>
      </c>
      <c r="BB25" s="13" t="n">
        <f aca="false">Capital_Trabajo!BB$56-Capital_Trabajo!BA$56</f>
        <v>0</v>
      </c>
      <c r="BC25" s="13" t="n">
        <f aca="false">Capital_Trabajo!BC$56-Capital_Trabajo!BB$56</f>
        <v>1644.55298896189</v>
      </c>
      <c r="BD25" s="13" t="n">
        <f aca="false">Capital_Trabajo!BD$56-Capital_Trabajo!BC$56</f>
        <v>0</v>
      </c>
      <c r="BE25" s="13" t="n">
        <f aca="false">Capital_Trabajo!BE$56-Capital_Trabajo!BD$56</f>
        <v>0</v>
      </c>
      <c r="BF25" s="13" t="n">
        <f aca="false">Capital_Trabajo!BF$56-Capital_Trabajo!BE$56</f>
        <v>0</v>
      </c>
      <c r="BG25" s="13" t="n">
        <f aca="false">Capital_Trabajo!BG$56-Capital_Trabajo!BF$56</f>
        <v>0</v>
      </c>
      <c r="BH25" s="13" t="n">
        <f aca="false">Capital_Trabajo!BH$56-Capital_Trabajo!BG$56</f>
        <v>0</v>
      </c>
      <c r="BI25" s="13" t="n">
        <f aca="false">Capital_Trabajo!BI$56-Capital_Trabajo!BH$56</f>
        <v>0</v>
      </c>
      <c r="BJ25" s="13" t="n">
        <f aca="false">Capital_Trabajo!BJ$56-Capital_Trabajo!BI$56</f>
        <v>0</v>
      </c>
      <c r="BK25" s="13" t="n">
        <f aca="false">Capital_Trabajo!BK$56-Capital_Trabajo!BJ$56</f>
        <v>0</v>
      </c>
      <c r="BL25" s="13" t="n">
        <f aca="false">Capital_Trabajo!BL$56-Capital_Trabajo!BK$56</f>
        <v>0</v>
      </c>
      <c r="BM25" s="13" t="n">
        <f aca="false">Capital_Trabajo!BM$56-Capital_Trabajo!BL$56</f>
        <v>0</v>
      </c>
      <c r="BN25" s="13" t="n">
        <f aca="false">Capital_Trabajo!BN$56-Capital_Trabajo!BM$56</f>
        <v>0</v>
      </c>
      <c r="BO25" s="13" t="n">
        <f aca="false">Capital_Trabajo!BO$56-Capital_Trabajo!BN$56</f>
        <v>794.548661116307</v>
      </c>
      <c r="BP25" s="13" t="n">
        <f aca="false">Capital_Trabajo!BP$56-Capital_Trabajo!BO$56</f>
        <v>0</v>
      </c>
      <c r="BQ25" s="13" t="n">
        <f aca="false">Capital_Trabajo!BQ$56-Capital_Trabajo!BP$56</f>
        <v>0</v>
      </c>
      <c r="BR25" s="13" t="n">
        <f aca="false">Capital_Trabajo!BR$56-Capital_Trabajo!BQ$56</f>
        <v>0</v>
      </c>
      <c r="BS25" s="13" t="n">
        <f aca="false">Capital_Trabajo!BS$56-Capital_Trabajo!BR$56</f>
        <v>0</v>
      </c>
      <c r="BT25" s="13" t="n">
        <f aca="false">Capital_Trabajo!BT$56-Capital_Trabajo!BS$56</f>
        <v>0</v>
      </c>
      <c r="BU25" s="13" t="n">
        <f aca="false">Capital_Trabajo!BU$56-Capital_Trabajo!BT$56</f>
        <v>0</v>
      </c>
      <c r="BV25" s="13" t="n">
        <f aca="false">Capital_Trabajo!BV$56-Capital_Trabajo!BU$56</f>
        <v>0</v>
      </c>
      <c r="BW25" s="13" t="n">
        <f aca="false">Capital_Trabajo!BW$56-Capital_Trabajo!BV$56</f>
        <v>0</v>
      </c>
      <c r="BX25" s="13" t="n">
        <f aca="false">Capital_Trabajo!BX$56-Capital_Trabajo!BW$56</f>
        <v>0</v>
      </c>
      <c r="BY25" s="13" t="n">
        <f aca="false">Capital_Trabajo!BY$56-Capital_Trabajo!BX$56</f>
        <v>0</v>
      </c>
      <c r="BZ25" s="13" t="n">
        <f aca="false">Capital_Trabajo!BZ$56-Capital_Trabajo!BY$56</f>
        <v>0</v>
      </c>
      <c r="CA25" s="13" t="n">
        <f aca="false">Capital_Trabajo!CA$56-Capital_Trabajo!BZ$56</f>
        <v>802.331364165788</v>
      </c>
      <c r="CB25" s="13" t="n">
        <f aca="false">Capital_Trabajo!CB$56-Capital_Trabajo!CA$56</f>
        <v>0</v>
      </c>
      <c r="CC25" s="13" t="n">
        <f aca="false">Capital_Trabajo!CC$56-Capital_Trabajo!CB$56</f>
        <v>0</v>
      </c>
      <c r="CD25" s="13" t="n">
        <f aca="false">Capital_Trabajo!CD$56-Capital_Trabajo!CC$56</f>
        <v>0</v>
      </c>
      <c r="CE25" s="13" t="n">
        <f aca="false">Capital_Trabajo!CE$56-Capital_Trabajo!CD$56</f>
        <v>0</v>
      </c>
      <c r="CF25" s="13" t="n">
        <f aca="false">Capital_Trabajo!CF$56-Capital_Trabajo!CE$56</f>
        <v>0</v>
      </c>
      <c r="CG25" s="13" t="n">
        <f aca="false">Capital_Trabajo!CG$56-Capital_Trabajo!CF$56</f>
        <v>0</v>
      </c>
      <c r="CH25" s="13" t="n">
        <f aca="false">Capital_Trabajo!CH$56-Capital_Trabajo!CG$56</f>
        <v>0</v>
      </c>
      <c r="CI25" s="13" t="n">
        <f aca="false">Capital_Trabajo!CI$56-Capital_Trabajo!CH$56</f>
        <v>0</v>
      </c>
      <c r="CJ25" s="13" t="n">
        <f aca="false">Capital_Trabajo!CJ$56-Capital_Trabajo!CI$56</f>
        <v>0</v>
      </c>
      <c r="CK25" s="13" t="n">
        <f aca="false">Capital_Trabajo!CK$56-Capital_Trabajo!CJ$56</f>
        <v>0</v>
      </c>
      <c r="CL25" s="13" t="n">
        <f aca="false">Capital_Trabajo!CL$56-Capital_Trabajo!CK$56</f>
        <v>0</v>
      </c>
      <c r="CM25" s="13" t="n">
        <f aca="false">Capital_Trabajo!CM$56-Capital_Trabajo!CL$56</f>
        <v>810.1918942458</v>
      </c>
      <c r="CN25" s="13" t="n">
        <f aca="false">Capital_Trabajo!CN$56-Capital_Trabajo!CM$56</f>
        <v>0</v>
      </c>
      <c r="CO25" s="13" t="n">
        <f aca="false">Capital_Trabajo!CO$56-Capital_Trabajo!CN$56</f>
        <v>0</v>
      </c>
      <c r="CP25" s="13" t="n">
        <f aca="false">Capital_Trabajo!CP$56-Capital_Trabajo!CO$56</f>
        <v>0</v>
      </c>
      <c r="CQ25" s="13" t="n">
        <f aca="false">Capital_Trabajo!CQ$56-Capital_Trabajo!CP$56</f>
        <v>0</v>
      </c>
      <c r="CR25" s="13" t="n">
        <f aca="false">Capital_Trabajo!CR$56-Capital_Trabajo!CQ$56</f>
        <v>0</v>
      </c>
      <c r="CS25" s="13" t="n">
        <f aca="false">Capital_Trabajo!CS$56-Capital_Trabajo!CR$56</f>
        <v>0</v>
      </c>
      <c r="CT25" s="13" t="n">
        <f aca="false">Capital_Trabajo!CT$56-Capital_Trabajo!CS$56</f>
        <v>0</v>
      </c>
      <c r="CU25" s="13" t="n">
        <f aca="false">Capital_Trabajo!CU$56-Capital_Trabajo!CT$56</f>
        <v>0</v>
      </c>
      <c r="CV25" s="13" t="n">
        <f aca="false">Capital_Trabajo!CV$56-Capital_Trabajo!CU$56</f>
        <v>0</v>
      </c>
      <c r="CW25" s="13" t="n">
        <f aca="false">Capital_Trabajo!CW$56-Capital_Trabajo!CV$56</f>
        <v>0</v>
      </c>
      <c r="CX25" s="13" t="n">
        <f aca="false">Capital_Trabajo!CX$56-Capital_Trabajo!CW$56</f>
        <v>0</v>
      </c>
      <c r="CY25" s="13" t="n">
        <f aca="false">Capital_Trabajo!CY$56-Capital_Trabajo!CX$56</f>
        <v>818.131029626617</v>
      </c>
      <c r="CZ25" s="13" t="n">
        <f aca="false">Capital_Trabajo!CZ$56-Capital_Trabajo!CY$56</f>
        <v>0</v>
      </c>
      <c r="DA25" s="13" t="n">
        <f aca="false">Capital_Trabajo!DA$56-Capital_Trabajo!CZ$56</f>
        <v>0</v>
      </c>
      <c r="DB25" s="13" t="n">
        <f aca="false">Capital_Trabajo!DB$56-Capital_Trabajo!DA$56</f>
        <v>0</v>
      </c>
      <c r="DC25" s="13" t="n">
        <f aca="false">Capital_Trabajo!DC$56-Capital_Trabajo!DB$56</f>
        <v>0</v>
      </c>
      <c r="DD25" s="13" t="n">
        <f aca="false">Capital_Trabajo!DD$56-Capital_Trabajo!DC$56</f>
        <v>0</v>
      </c>
      <c r="DE25" s="13" t="n">
        <f aca="false">Capital_Trabajo!DE$56-Capital_Trabajo!DD$56</f>
        <v>0</v>
      </c>
      <c r="DF25" s="13" t="n">
        <f aca="false">Capital_Trabajo!DF$56-Capital_Trabajo!DE$56</f>
        <v>0</v>
      </c>
      <c r="DG25" s="13" t="n">
        <f aca="false">Capital_Trabajo!DG$56-Capital_Trabajo!DF$56</f>
        <v>0</v>
      </c>
      <c r="DH25" s="13" t="n">
        <f aca="false">Capital_Trabajo!DH$56-Capital_Trabajo!DG$56</f>
        <v>0</v>
      </c>
      <c r="DI25" s="13" t="n">
        <f aca="false">Capital_Trabajo!DI$56-Capital_Trabajo!DH$56</f>
        <v>0</v>
      </c>
      <c r="DJ25" s="13" t="n">
        <f aca="false">Capital_Trabajo!DJ$56-Capital_Trabajo!DI$56</f>
        <v>0</v>
      </c>
      <c r="DK25" s="13" t="n">
        <f aca="false">Capital_Trabajo!DK$56-Capital_Trabajo!DJ$56</f>
        <v>826.149556361284</v>
      </c>
      <c r="DL25" s="13" t="n">
        <f aca="false">Capital_Trabajo!DL$56-Capital_Trabajo!DK$56</f>
        <v>0</v>
      </c>
      <c r="DM25" s="13" t="n">
        <f aca="false">Capital_Trabajo!DM$56-Capital_Trabajo!DL$56</f>
        <v>0</v>
      </c>
      <c r="DN25" s="13" t="n">
        <f aca="false">Capital_Trabajo!DN$56-Capital_Trabajo!DM$56</f>
        <v>0</v>
      </c>
      <c r="DO25" s="13" t="n">
        <f aca="false">Capital_Trabajo!DO$56-Capital_Trabajo!DN$56</f>
        <v>0</v>
      </c>
      <c r="DP25" s="13" t="n">
        <f aca="false">Capital_Trabajo!DP$56-Capital_Trabajo!DO$56</f>
        <v>0</v>
      </c>
      <c r="DQ25" s="13" t="n">
        <f aca="false">Capital_Trabajo!DQ$56-Capital_Trabajo!DP$56</f>
        <v>0</v>
      </c>
      <c r="DR25" s="13" t="n">
        <f aca="false">Capital_Trabajo!DR$56-Capital_Trabajo!DQ$56</f>
        <v>0</v>
      </c>
      <c r="DS25" s="13" t="n">
        <f aca="false">Capital_Trabajo!DS$56-Capital_Trabajo!DR$56</f>
        <v>0</v>
      </c>
      <c r="DT25" s="13" t="n">
        <f aca="false">Capital_Trabajo!DT$56-Capital_Trabajo!DS$56</f>
        <v>0</v>
      </c>
      <c r="DU25" s="13" t="n">
        <f aca="false">Capital_Trabajo!DU$56-Capital_Trabajo!DT$56</f>
        <v>0</v>
      </c>
      <c r="DV25" s="13" t="n">
        <f aca="false">Capital_Trabajo!DV$56-Capital_Trabajo!DU$56</f>
        <v>-172172.928933962</v>
      </c>
      <c r="DW25" s="13" t="n">
        <f aca="false">Capital_Trabajo!DW$56-Capital_Trabajo!DV$56</f>
        <v>0</v>
      </c>
      <c r="DX25" s="13" t="n">
        <f aca="false">Capital_Trabajo!DX$56-Capital_Trabajo!DW$56</f>
        <v>0</v>
      </c>
      <c r="DY25" s="13" t="n">
        <f aca="false">Capital_Trabajo!DY$56-Capital_Trabajo!DX$56</f>
        <v>0</v>
      </c>
      <c r="DZ25" s="13" t="n">
        <f aca="false">Capital_Trabajo!DZ$56-Capital_Trabajo!DY$56</f>
        <v>0</v>
      </c>
      <c r="EA25" s="13" t="n">
        <f aca="false">Capital_Trabajo!EA$56-Capital_Trabajo!DZ$56</f>
        <v>0</v>
      </c>
      <c r="EB25" s="13" t="n">
        <f aca="false">Capital_Trabajo!EB$56-Capital_Trabajo!EA$56</f>
        <v>0</v>
      </c>
      <c r="EC25" s="13" t="n">
        <f aca="false">Capital_Trabajo!EC$56-Capital_Trabajo!EB$56</f>
        <v>0</v>
      </c>
      <c r="ED25" s="13" t="n">
        <f aca="false">Capital_Trabajo!ED$56-Capital_Trabajo!EC$56</f>
        <v>0</v>
      </c>
      <c r="EE25" s="13" t="n">
        <f aca="false">Capital_Trabajo!EE$56-Capital_Trabajo!ED$56</f>
        <v>0</v>
      </c>
      <c r="EF25" s="13" t="n">
        <f aca="false">Capital_Trabajo!EF$56-Capital_Trabajo!EE$56</f>
        <v>0</v>
      </c>
      <c r="EG25" s="13" t="n">
        <f aca="false">Capital_Trabajo!EG$56-Capital_Trabajo!EF$56</f>
        <v>0</v>
      </c>
      <c r="EH25" s="13" t="n">
        <f aca="false">Capital_Trabajo!EH$56-Capital_Trabajo!EG$56</f>
        <v>0</v>
      </c>
      <c r="EI25" s="13" t="n">
        <f aca="false">Capital_Trabajo!EI$56-Capital_Trabajo!EH$56</f>
        <v>0</v>
      </c>
      <c r="EJ25" s="13" t="n">
        <f aca="false">Capital_Trabajo!EJ$56-Capital_Trabajo!EI$56</f>
        <v>0</v>
      </c>
      <c r="EK25" s="13" t="n">
        <f aca="false">Capital_Trabajo!EK$56-Capital_Trabajo!EJ$56</f>
        <v>0</v>
      </c>
      <c r="EL25" s="13" t="n">
        <f aca="false">Capital_Trabajo!EL$56-Capital_Trabajo!EK$56</f>
        <v>0</v>
      </c>
      <c r="EM25" s="13" t="n">
        <f aca="false">Capital_Trabajo!EM$56-Capital_Trabajo!EL$56</f>
        <v>0</v>
      </c>
      <c r="EN25" s="13" t="n">
        <f aca="false">Capital_Trabajo!EN$56-Capital_Trabajo!EM$56</f>
        <v>0</v>
      </c>
      <c r="EO25" s="13" t="n">
        <f aca="false">Capital_Trabajo!EO$56-Capital_Trabajo!EN$56</f>
        <v>0</v>
      </c>
      <c r="EP25" s="13" t="n">
        <f aca="false">Capital_Trabajo!EP$56-Capital_Trabajo!EO$56</f>
        <v>0</v>
      </c>
      <c r="EQ25" s="13" t="n">
        <f aca="false">Capital_Trabajo!EQ$56-Capital_Trabajo!EP$56</f>
        <v>0</v>
      </c>
      <c r="ER25" s="13" t="n">
        <f aca="false">Capital_Trabajo!ER$56-Capital_Trabajo!EQ$56</f>
        <v>0</v>
      </c>
      <c r="ES25" s="13" t="n">
        <f aca="false">Capital_Trabajo!ES$56-Capital_Trabajo!ER$56</f>
        <v>0</v>
      </c>
      <c r="ET25" s="13" t="n">
        <f aca="false">Capital_Trabajo!ET$56-Capital_Trabajo!ES$56</f>
        <v>0</v>
      </c>
      <c r="EU25" s="13" t="n">
        <f aca="false">Capital_Trabajo!EU$56-Capital_Trabajo!ET$56</f>
        <v>0</v>
      </c>
      <c r="EV25" s="13" t="n">
        <f aca="false">Capital_Trabajo!EV$56-Capital_Trabajo!EU$56</f>
        <v>0</v>
      </c>
      <c r="EW25" s="13" t="n">
        <f aca="false">Capital_Trabajo!EW$56-Capital_Trabajo!EV$56</f>
        <v>0</v>
      </c>
      <c r="EX25" s="13" t="n">
        <f aca="false">Capital_Trabajo!EX$56-Capital_Trabajo!EW$56</f>
        <v>0</v>
      </c>
      <c r="EY25" s="13" t="n">
        <f aca="false">Capital_Trabajo!EY$56-Capital_Trabajo!EX$56</f>
        <v>0</v>
      </c>
      <c r="EZ25" s="13" t="n">
        <f aca="false">Capital_Trabajo!EZ$56-Capital_Trabajo!EY$56</f>
        <v>0</v>
      </c>
      <c r="FA25" s="13" t="n">
        <f aca="false">Capital_Trabajo!FA$56-Capital_Trabajo!EZ$56</f>
        <v>0</v>
      </c>
      <c r="FB25" s="13" t="n">
        <f aca="false">Capital_Trabajo!FB$56-Capital_Trabajo!FA$56</f>
        <v>0</v>
      </c>
      <c r="FC25" s="13" t="n">
        <f aca="false">Capital_Trabajo!FC$56-Capital_Trabajo!FB$56</f>
        <v>0</v>
      </c>
      <c r="FD25" s="13" t="n">
        <f aca="false">Capital_Trabajo!FD$56-Capital_Trabajo!FC$56</f>
        <v>0</v>
      </c>
      <c r="FE25" s="13" t="n">
        <f aca="false">Capital_Trabajo!FE$56-Capital_Trabajo!FD$56</f>
        <v>0</v>
      </c>
      <c r="FF25" s="13" t="n">
        <f aca="false">Capital_Trabajo!FF$56-Capital_Trabajo!FE$56</f>
        <v>0</v>
      </c>
    </row>
    <row r="26" customFormat="false" ht="15" hidden="false" customHeight="false" outlineLevel="0" collapsed="false">
      <c r="A26" s="2" t="s">
        <v>1475</v>
      </c>
      <c r="B26" s="66" t="s">
        <v>1476</v>
      </c>
      <c r="C26" s="8" t="s">
        <v>255</v>
      </c>
      <c r="E26" s="67" t="n">
        <f aca="false">SUM($F26:$FF26)</f>
        <v>59791708.5421642</v>
      </c>
      <c r="F26" s="12" t="n">
        <f aca="false">F$24-F$25</f>
        <v>0</v>
      </c>
      <c r="G26" s="12" t="n">
        <f aca="false">G$24-G$25</f>
        <v>314504.127504333</v>
      </c>
      <c r="H26" s="12" t="n">
        <f aca="false">H$24-H$25</f>
        <v>319966.399733648</v>
      </c>
      <c r="I26" s="12" t="n">
        <f aca="false">I$24-I$25</f>
        <v>324666.027565284</v>
      </c>
      <c r="J26" s="12" t="n">
        <f aca="false">J$24-J$25</f>
        <v>324666.027565284</v>
      </c>
      <c r="K26" s="12" t="n">
        <f aca="false">K$24-K$25</f>
        <v>324666.027565284</v>
      </c>
      <c r="L26" s="12" t="n">
        <f aca="false">L$24-L$25</f>
        <v>324666.027565284</v>
      </c>
      <c r="M26" s="12" t="n">
        <f aca="false">M$24-M$25</f>
        <v>324666.027565284</v>
      </c>
      <c r="N26" s="12" t="n">
        <f aca="false">N$24-N$25</f>
        <v>324666.027565284</v>
      </c>
      <c r="O26" s="12" t="n">
        <f aca="false">O$24-O$25</f>
        <v>324666.027565284</v>
      </c>
      <c r="P26" s="12" t="n">
        <f aca="false">P$24-P$25</f>
        <v>324666.027565284</v>
      </c>
      <c r="Q26" s="12" t="n">
        <f aca="false">Q$24-Q$25</f>
        <v>324666.027565284</v>
      </c>
      <c r="R26" s="12" t="n">
        <f aca="false">R$24-R$25</f>
        <v>322679.134209394</v>
      </c>
      <c r="S26" s="12" t="n">
        <f aca="false">S$24-S$25</f>
        <v>398360.484512498</v>
      </c>
      <c r="T26" s="12" t="n">
        <f aca="false">T$24-T$25</f>
        <v>395846.821731951</v>
      </c>
      <c r="U26" s="12" t="n">
        <f aca="false">U$24-U$25</f>
        <v>395846.821731951</v>
      </c>
      <c r="V26" s="12" t="n">
        <f aca="false">V$24-V$25</f>
        <v>395846.821731951</v>
      </c>
      <c r="W26" s="12" t="n">
        <f aca="false">W$24-W$25</f>
        <v>395846.821731951</v>
      </c>
      <c r="X26" s="12" t="n">
        <f aca="false">X$24-X$25</f>
        <v>395846.821731951</v>
      </c>
      <c r="Y26" s="12" t="n">
        <f aca="false">Y$24-Y$25</f>
        <v>395846.821731951</v>
      </c>
      <c r="Z26" s="12" t="n">
        <f aca="false">Z$24-Z$25</f>
        <v>395846.821731951</v>
      </c>
      <c r="AA26" s="12" t="n">
        <f aca="false">AA$24-AA$25</f>
        <v>395846.821731951</v>
      </c>
      <c r="AB26" s="12" t="n">
        <f aca="false">AB$24-AB$25</f>
        <v>395846.821731951</v>
      </c>
      <c r="AC26" s="12" t="n">
        <f aca="false">AC$24-AC$25</f>
        <v>395846.821731951</v>
      </c>
      <c r="AD26" s="12" t="n">
        <f aca="false">AD$24-AD$25</f>
        <v>394460.425945361</v>
      </c>
      <c r="AE26" s="12" t="n">
        <f aca="false">AE$24-AE$25</f>
        <v>471496.087208791</v>
      </c>
      <c r="AF26" s="12" t="n">
        <f aca="false">AF$24-AF$25</f>
        <v>470575.138914432</v>
      </c>
      <c r="AG26" s="12" t="n">
        <f aca="false">AG$24-AG$25</f>
        <v>470575.138914432</v>
      </c>
      <c r="AH26" s="12" t="n">
        <f aca="false">AH$24-AH$25</f>
        <v>470575.138914432</v>
      </c>
      <c r="AI26" s="12" t="n">
        <f aca="false">AI$24-AI$25</f>
        <v>470575.138914432</v>
      </c>
      <c r="AJ26" s="12" t="n">
        <f aca="false">AJ$24-AJ$25</f>
        <v>470575.138914432</v>
      </c>
      <c r="AK26" s="12" t="n">
        <f aca="false">AK$24-AK$25</f>
        <v>470575.138914432</v>
      </c>
      <c r="AL26" s="12" t="n">
        <f aca="false">AL$24-AL$25</f>
        <v>470575.138914432</v>
      </c>
      <c r="AM26" s="12" t="n">
        <f aca="false">AM$24-AM$25</f>
        <v>470575.138914432</v>
      </c>
      <c r="AN26" s="12" t="n">
        <f aca="false">AN$24-AN$25</f>
        <v>470575.138914432</v>
      </c>
      <c r="AO26" s="12" t="n">
        <f aca="false">AO$24-AO$25</f>
        <v>470575.138914432</v>
      </c>
      <c r="AP26" s="12" t="n">
        <f aca="false">AP$24-AP$25</f>
        <v>469658.808376902</v>
      </c>
      <c r="AQ26" s="12" t="n">
        <f aca="false">AQ$24-AQ$25</f>
        <v>532038.971219727</v>
      </c>
      <c r="AR26" s="12" t="n">
        <f aca="false">AR$24-AR$25</f>
        <v>531722.182932479</v>
      </c>
      <c r="AS26" s="12" t="n">
        <f aca="false">AS$24-AS$25</f>
        <v>531722.182932479</v>
      </c>
      <c r="AT26" s="12" t="n">
        <f aca="false">AT$24-AT$25</f>
        <v>531722.182932479</v>
      </c>
      <c r="AU26" s="12" t="n">
        <f aca="false">AU$24-AU$25</f>
        <v>531722.182932479</v>
      </c>
      <c r="AV26" s="12" t="n">
        <f aca="false">AV$24-AV$25</f>
        <v>531722.182932479</v>
      </c>
      <c r="AW26" s="12" t="n">
        <f aca="false">AW$24-AW$25</f>
        <v>531722.182932479</v>
      </c>
      <c r="AX26" s="12" t="n">
        <f aca="false">AX$24-AX$25</f>
        <v>531722.182932479</v>
      </c>
      <c r="AY26" s="12" t="n">
        <f aca="false">AY$24-AY$25</f>
        <v>531722.182932479</v>
      </c>
      <c r="AZ26" s="12" t="n">
        <f aca="false">AZ$24-AZ$25</f>
        <v>531722.182932479</v>
      </c>
      <c r="BA26" s="12" t="n">
        <f aca="false">BA$24-BA$25</f>
        <v>531722.182932479</v>
      </c>
      <c r="BB26" s="12" t="n">
        <f aca="false">BB$24-BB$25</f>
        <v>531722.182932479</v>
      </c>
      <c r="BC26" s="12" t="n">
        <f aca="false">BC$24-BC$25</f>
        <v>535330.28294524</v>
      </c>
      <c r="BD26" s="12" t="n">
        <f aca="false">BD$24-BD$25</f>
        <v>536974.835934202</v>
      </c>
      <c r="BE26" s="12" t="n">
        <f aca="false">BE$24-BE$25</f>
        <v>536974.835934202</v>
      </c>
      <c r="BF26" s="12" t="n">
        <f aca="false">BF$24-BF$25</f>
        <v>536974.835934202</v>
      </c>
      <c r="BG26" s="12" t="n">
        <f aca="false">BG$24-BG$25</f>
        <v>536974.835934202</v>
      </c>
      <c r="BH26" s="12" t="n">
        <f aca="false">BH$24-BH$25</f>
        <v>536974.835934202</v>
      </c>
      <c r="BI26" s="12" t="n">
        <f aca="false">BI$24-BI$25</f>
        <v>536974.835934202</v>
      </c>
      <c r="BJ26" s="12" t="n">
        <f aca="false">BJ$24-BJ$25</f>
        <v>536974.835934202</v>
      </c>
      <c r="BK26" s="12" t="n">
        <f aca="false">BK$24-BK$25</f>
        <v>536974.835934202</v>
      </c>
      <c r="BL26" s="12" t="n">
        <f aca="false">BL$24-BL$25</f>
        <v>536974.835934202</v>
      </c>
      <c r="BM26" s="12" t="n">
        <f aca="false">BM$24-BM$25</f>
        <v>536974.835934202</v>
      </c>
      <c r="BN26" s="12" t="n">
        <f aca="false">BN$24-BN$25</f>
        <v>536974.835934202</v>
      </c>
      <c r="BO26" s="12" t="n">
        <f aca="false">BO$24-BO$25</f>
        <v>538718.242571685</v>
      </c>
      <c r="BP26" s="12" t="n">
        <f aca="false">BP$24-BP$25</f>
        <v>539512.791232801</v>
      </c>
      <c r="BQ26" s="12" t="n">
        <f aca="false">BQ$24-BQ$25</f>
        <v>539512.791232801</v>
      </c>
      <c r="BR26" s="12" t="n">
        <f aca="false">BR$24-BR$25</f>
        <v>539512.791232801</v>
      </c>
      <c r="BS26" s="12" t="n">
        <f aca="false">BS$24-BS$25</f>
        <v>539512.791232801</v>
      </c>
      <c r="BT26" s="12" t="n">
        <f aca="false">BT$24-BT$25</f>
        <v>539512.791232801</v>
      </c>
      <c r="BU26" s="12" t="n">
        <f aca="false">BU$24-BU$25</f>
        <v>539512.791232801</v>
      </c>
      <c r="BV26" s="12" t="n">
        <f aca="false">BV$24-BV$25</f>
        <v>539512.791232801</v>
      </c>
      <c r="BW26" s="12" t="n">
        <f aca="false">BW$24-BW$25</f>
        <v>539512.791232801</v>
      </c>
      <c r="BX26" s="12" t="n">
        <f aca="false">BX$24-BX$25</f>
        <v>539512.791232801</v>
      </c>
      <c r="BY26" s="12" t="n">
        <f aca="false">BY$24-BY$25</f>
        <v>539512.791232801</v>
      </c>
      <c r="BZ26" s="12" t="n">
        <f aca="false">BZ$24-BZ$25</f>
        <v>539512.791232801</v>
      </c>
      <c r="CA26" s="12" t="n">
        <f aca="false">CA$24-CA$25</f>
        <v>541273.27483022</v>
      </c>
      <c r="CB26" s="12" t="n">
        <f aca="false">CB$24-CB$25</f>
        <v>542075.606194385</v>
      </c>
      <c r="CC26" s="12" t="n">
        <f aca="false">CC$24-CC$25</f>
        <v>542075.606194385</v>
      </c>
      <c r="CD26" s="12" t="n">
        <f aca="false">CD$24-CD$25</f>
        <v>542075.606194385</v>
      </c>
      <c r="CE26" s="12" t="n">
        <f aca="false">CE$24-CE$25</f>
        <v>542075.606194385</v>
      </c>
      <c r="CF26" s="12" t="n">
        <f aca="false">CF$24-CF$25</f>
        <v>542075.606194385</v>
      </c>
      <c r="CG26" s="12" t="n">
        <f aca="false">CG$24-CG$25</f>
        <v>542075.606194385</v>
      </c>
      <c r="CH26" s="12" t="n">
        <f aca="false">CH$24-CH$25</f>
        <v>542075.606194385</v>
      </c>
      <c r="CI26" s="12" t="n">
        <f aca="false">CI$24-CI$25</f>
        <v>542075.606194385</v>
      </c>
      <c r="CJ26" s="12" t="n">
        <f aca="false">CJ$24-CJ$25</f>
        <v>542075.606194385</v>
      </c>
      <c r="CK26" s="12" t="n">
        <f aca="false">CK$24-CK$25</f>
        <v>542075.606194385</v>
      </c>
      <c r="CL26" s="12" t="n">
        <f aca="false">CL$24-CL$25</f>
        <v>542075.606194385</v>
      </c>
      <c r="CM26" s="12" t="n">
        <f aca="false">CM$24-CM$25</f>
        <v>543853.33752134</v>
      </c>
      <c r="CN26" s="12" t="n">
        <f aca="false">CN$24-CN$25</f>
        <v>544663.529415586</v>
      </c>
      <c r="CO26" s="12" t="n">
        <f aca="false">CO$24-CO$25</f>
        <v>544663.529415586</v>
      </c>
      <c r="CP26" s="12" t="n">
        <f aca="false">CP$24-CP$25</f>
        <v>544663.529415586</v>
      </c>
      <c r="CQ26" s="12" t="n">
        <f aca="false">CQ$24-CQ$25</f>
        <v>544663.529415586</v>
      </c>
      <c r="CR26" s="12" t="n">
        <f aca="false">CR$24-CR$25</f>
        <v>544663.529415586</v>
      </c>
      <c r="CS26" s="12" t="n">
        <f aca="false">CS$24-CS$25</f>
        <v>544663.529415586</v>
      </c>
      <c r="CT26" s="12" t="n">
        <f aca="false">CT$24-CT$25</f>
        <v>544663.529415586</v>
      </c>
      <c r="CU26" s="12" t="n">
        <f aca="false">CU$24-CU$25</f>
        <v>544663.529415586</v>
      </c>
      <c r="CV26" s="12" t="n">
        <f aca="false">CV$24-CV$25</f>
        <v>544663.529415586</v>
      </c>
      <c r="CW26" s="12" t="n">
        <f aca="false">CW$24-CW$25</f>
        <v>544663.529415586</v>
      </c>
      <c r="CX26" s="12" t="n">
        <f aca="false">CX$24-CX$25</f>
        <v>544663.529415586</v>
      </c>
      <c r="CY26" s="12" t="n">
        <f aca="false">CY$24-CY$25</f>
        <v>546458.680949372</v>
      </c>
      <c r="CZ26" s="12" t="n">
        <f aca="false">CZ$24-CZ$25</f>
        <v>547276.811978999</v>
      </c>
      <c r="DA26" s="12" t="n">
        <f aca="false">DA$24-DA$25</f>
        <v>547276.811978999</v>
      </c>
      <c r="DB26" s="12" t="n">
        <f aca="false">DB$24-DB$25</f>
        <v>547276.811978999</v>
      </c>
      <c r="DC26" s="12" t="n">
        <f aca="false">DC$24-DC$25</f>
        <v>547276.811978999</v>
      </c>
      <c r="DD26" s="12" t="n">
        <f aca="false">DD$24-DD$25</f>
        <v>547276.811978999</v>
      </c>
      <c r="DE26" s="12" t="n">
        <f aca="false">DE$24-DE$25</f>
        <v>547276.811978999</v>
      </c>
      <c r="DF26" s="12" t="n">
        <f aca="false">DF$24-DF$25</f>
        <v>547276.811978999</v>
      </c>
      <c r="DG26" s="12" t="n">
        <f aca="false">DG$24-DG$25</f>
        <v>547276.811978999</v>
      </c>
      <c r="DH26" s="12" t="n">
        <f aca="false">DH$24-DH$25</f>
        <v>547276.811978999</v>
      </c>
      <c r="DI26" s="12" t="n">
        <f aca="false">DI$24-DI$25</f>
        <v>547276.811978999</v>
      </c>
      <c r="DJ26" s="12" t="n">
        <f aca="false">DJ$24-DJ$25</f>
        <v>547276.811978999</v>
      </c>
      <c r="DK26" s="12" t="n">
        <f aca="false">DK$24-DK$25</f>
        <v>549089.557921684</v>
      </c>
      <c r="DL26" s="12" t="n">
        <f aca="false">DL$24-DL$25</f>
        <v>549915.707478045</v>
      </c>
      <c r="DM26" s="12" t="n">
        <f aca="false">DM$24-DM$25</f>
        <v>549915.707478045</v>
      </c>
      <c r="DN26" s="12" t="n">
        <f aca="false">DN$24-DN$25</f>
        <v>549915.707478045</v>
      </c>
      <c r="DO26" s="12" t="n">
        <f aca="false">DO$24-DO$25</f>
        <v>549915.707478045</v>
      </c>
      <c r="DP26" s="12" t="n">
        <f aca="false">DP$24-DP$25</f>
        <v>549915.707478045</v>
      </c>
      <c r="DQ26" s="12" t="n">
        <f aca="false">DQ$24-DQ$25</f>
        <v>549915.707478045</v>
      </c>
      <c r="DR26" s="12" t="n">
        <f aca="false">DR$24-DR$25</f>
        <v>549915.707478045</v>
      </c>
      <c r="DS26" s="12" t="n">
        <f aca="false">DS$24-DS$25</f>
        <v>549915.707478045</v>
      </c>
      <c r="DT26" s="12" t="n">
        <f aca="false">DT$24-DT$25</f>
        <v>549915.707478045</v>
      </c>
      <c r="DU26" s="12" t="n">
        <f aca="false">DU$24-DU$25</f>
        <v>549915.707478045</v>
      </c>
      <c r="DV26" s="12" t="n">
        <f aca="false">DV$24-DV$25</f>
        <v>563966.462809211</v>
      </c>
      <c r="DW26" s="12" t="n">
        <f aca="false">DW$24-DW$25</f>
        <v>0</v>
      </c>
      <c r="DX26" s="12" t="n">
        <f aca="false">DX$24-DX$25</f>
        <v>0</v>
      </c>
      <c r="DY26" s="12" t="n">
        <f aca="false">DY$24-DY$25</f>
        <v>0</v>
      </c>
      <c r="DZ26" s="12" t="n">
        <f aca="false">DZ$24-DZ$25</f>
        <v>0</v>
      </c>
      <c r="EA26" s="12" t="n">
        <f aca="false">EA$24-EA$25</f>
        <v>0</v>
      </c>
      <c r="EB26" s="12" t="n">
        <f aca="false">EB$24-EB$25</f>
        <v>0</v>
      </c>
      <c r="EC26" s="12" t="n">
        <f aca="false">EC$24-EC$25</f>
        <v>0</v>
      </c>
      <c r="ED26" s="12" t="n">
        <f aca="false">ED$24-ED$25</f>
        <v>0</v>
      </c>
      <c r="EE26" s="12" t="n">
        <f aca="false">EE$24-EE$25</f>
        <v>0</v>
      </c>
      <c r="EF26" s="12" t="n">
        <f aca="false">EF$24-EF$25</f>
        <v>0</v>
      </c>
      <c r="EG26" s="12" t="n">
        <f aca="false">EG$24-EG$25</f>
        <v>0</v>
      </c>
      <c r="EH26" s="12" t="n">
        <f aca="false">EH$24-EH$25</f>
        <v>0</v>
      </c>
      <c r="EI26" s="12" t="n">
        <f aca="false">EI$24-EI$25</f>
        <v>0</v>
      </c>
      <c r="EJ26" s="12" t="n">
        <f aca="false">EJ$24-EJ$25</f>
        <v>0</v>
      </c>
      <c r="EK26" s="12" t="n">
        <f aca="false">EK$24-EK$25</f>
        <v>0</v>
      </c>
      <c r="EL26" s="12" t="n">
        <f aca="false">EL$24-EL$25</f>
        <v>0</v>
      </c>
      <c r="EM26" s="12" t="n">
        <f aca="false">EM$24-EM$25</f>
        <v>0</v>
      </c>
      <c r="EN26" s="12" t="n">
        <f aca="false">EN$24-EN$25</f>
        <v>0</v>
      </c>
      <c r="EO26" s="12" t="n">
        <f aca="false">EO$24-EO$25</f>
        <v>0</v>
      </c>
      <c r="EP26" s="12" t="n">
        <f aca="false">EP$24-EP$25</f>
        <v>0</v>
      </c>
      <c r="EQ26" s="12" t="n">
        <f aca="false">EQ$24-EQ$25</f>
        <v>0</v>
      </c>
      <c r="ER26" s="12" t="n">
        <f aca="false">ER$24-ER$25</f>
        <v>0</v>
      </c>
      <c r="ES26" s="12" t="n">
        <f aca="false">ES$24-ES$25</f>
        <v>0</v>
      </c>
      <c r="ET26" s="12" t="n">
        <f aca="false">ET$24-ET$25</f>
        <v>0</v>
      </c>
      <c r="EU26" s="12" t="n">
        <f aca="false">EU$24-EU$25</f>
        <v>0</v>
      </c>
      <c r="EV26" s="12" t="n">
        <f aca="false">EV$24-EV$25</f>
        <v>0</v>
      </c>
      <c r="EW26" s="12" t="n">
        <f aca="false">EW$24-EW$25</f>
        <v>0</v>
      </c>
      <c r="EX26" s="12" t="n">
        <f aca="false">EX$24-EX$25</f>
        <v>0</v>
      </c>
      <c r="EY26" s="12" t="n">
        <f aca="false">EY$24-EY$25</f>
        <v>0</v>
      </c>
      <c r="EZ26" s="12" t="n">
        <f aca="false">EZ$24-EZ$25</f>
        <v>0</v>
      </c>
      <c r="FA26" s="12" t="n">
        <f aca="false">FA$24-FA$25</f>
        <v>0</v>
      </c>
      <c r="FB26" s="12" t="n">
        <f aca="false">FB$24-FB$25</f>
        <v>0</v>
      </c>
      <c r="FC26" s="12" t="n">
        <f aca="false">FC$24-FC$25</f>
        <v>0</v>
      </c>
      <c r="FD26" s="12" t="n">
        <f aca="false">FD$24-FD$25</f>
        <v>0</v>
      </c>
      <c r="FE26" s="12" t="n">
        <f aca="false">FE$24-FE$25</f>
        <v>0</v>
      </c>
      <c r="FF26" s="12" t="n">
        <f aca="false">FF$24-FF$25</f>
        <v>0</v>
      </c>
    </row>
    <row r="27" customFormat="false" ht="15" hidden="false" customHeight="false" outlineLevel="0" collapsed="false">
      <c r="A27" s="2" t="s">
        <v>1477</v>
      </c>
      <c r="B27" s="66" t="s">
        <v>1478</v>
      </c>
      <c r="C27" s="8" t="s">
        <v>255</v>
      </c>
      <c r="E27" s="67" t="n">
        <f aca="false">SUM($F27:$FF27)</f>
        <v>21430739.1794812</v>
      </c>
      <c r="F27" s="12" t="n">
        <f aca="false">F$14-F$26</f>
        <v>0</v>
      </c>
      <c r="G27" s="12" t="n">
        <f aca="false">G$14-G$26</f>
        <v>89662.5391623341</v>
      </c>
      <c r="H27" s="12" t="n">
        <f aca="false">H$14-H$26</f>
        <v>84200.2669330185</v>
      </c>
      <c r="I27" s="12" t="n">
        <f aca="false">I$14-I$26</f>
        <v>79500.6391013827</v>
      </c>
      <c r="J27" s="12" t="n">
        <f aca="false">J$14-J$26</f>
        <v>79500.6391013827</v>
      </c>
      <c r="K27" s="12" t="n">
        <f aca="false">K$14-K$26</f>
        <v>79500.6391013827</v>
      </c>
      <c r="L27" s="12" t="n">
        <f aca="false">L$14-L$26</f>
        <v>79500.6391013827</v>
      </c>
      <c r="M27" s="12" t="n">
        <f aca="false">M$14-M$26</f>
        <v>79500.6391013827</v>
      </c>
      <c r="N27" s="12" t="n">
        <f aca="false">N$14-N$26</f>
        <v>79500.6391013827</v>
      </c>
      <c r="O27" s="12" t="n">
        <f aca="false">O$14-O$26</f>
        <v>79500.6391013827</v>
      </c>
      <c r="P27" s="12" t="n">
        <f aca="false">P$14-P$26</f>
        <v>79500.6391013827</v>
      </c>
      <c r="Q27" s="12" t="n">
        <f aca="false">Q$14-Q$26</f>
        <v>79500.6391013827</v>
      </c>
      <c r="R27" s="12" t="n">
        <f aca="false">R$14-R$26</f>
        <v>81487.5324572729</v>
      </c>
      <c r="S27" s="12" t="n">
        <f aca="false">S$14-S$26</f>
        <v>116739.515487502</v>
      </c>
      <c r="T27" s="12" t="n">
        <f aca="false">T$14-T$26</f>
        <v>119253.178268049</v>
      </c>
      <c r="U27" s="12" t="n">
        <f aca="false">U$14-U$26</f>
        <v>119253.178268049</v>
      </c>
      <c r="V27" s="12" t="n">
        <f aca="false">V$14-V$26</f>
        <v>119253.178268049</v>
      </c>
      <c r="W27" s="12" t="n">
        <f aca="false">W$14-W$26</f>
        <v>119253.178268049</v>
      </c>
      <c r="X27" s="12" t="n">
        <f aca="false">X$14-X$26</f>
        <v>119253.178268049</v>
      </c>
      <c r="Y27" s="12" t="n">
        <f aca="false">Y$14-Y$26</f>
        <v>119253.178268049</v>
      </c>
      <c r="Z27" s="12" t="n">
        <f aca="false">Z$14-Z$26</f>
        <v>119253.178268049</v>
      </c>
      <c r="AA27" s="12" t="n">
        <f aca="false">AA$14-AA$26</f>
        <v>119253.178268049</v>
      </c>
      <c r="AB27" s="12" t="n">
        <f aca="false">AB$14-AB$26</f>
        <v>119253.178268049</v>
      </c>
      <c r="AC27" s="12" t="n">
        <f aca="false">AC$14-AC$26</f>
        <v>119253.178268049</v>
      </c>
      <c r="AD27" s="12" t="n">
        <f aca="false">AD$14-AD$26</f>
        <v>120639.574054639</v>
      </c>
      <c r="AE27" s="12" t="n">
        <f aca="false">AE$14-AE$26</f>
        <v>156715.496124543</v>
      </c>
      <c r="AF27" s="12" t="n">
        <f aca="false">AF$14-AF$26</f>
        <v>157636.444418901</v>
      </c>
      <c r="AG27" s="12" t="n">
        <f aca="false">AG$14-AG$26</f>
        <v>157636.444418901</v>
      </c>
      <c r="AH27" s="12" t="n">
        <f aca="false">AH$14-AH$26</f>
        <v>157636.444418901</v>
      </c>
      <c r="AI27" s="12" t="n">
        <f aca="false">AI$14-AI$26</f>
        <v>157636.444418901</v>
      </c>
      <c r="AJ27" s="12" t="n">
        <f aca="false">AJ$14-AJ$26</f>
        <v>157636.444418901</v>
      </c>
      <c r="AK27" s="12" t="n">
        <f aca="false">AK$14-AK$26</f>
        <v>157636.444418901</v>
      </c>
      <c r="AL27" s="12" t="n">
        <f aca="false">AL$14-AL$26</f>
        <v>157636.444418901</v>
      </c>
      <c r="AM27" s="12" t="n">
        <f aca="false">AM$14-AM$26</f>
        <v>157636.444418901</v>
      </c>
      <c r="AN27" s="12" t="n">
        <f aca="false">AN$14-AN$26</f>
        <v>157636.444418901</v>
      </c>
      <c r="AO27" s="12" t="n">
        <f aca="false">AO$14-AO$26</f>
        <v>157636.444418901</v>
      </c>
      <c r="AP27" s="12" t="n">
        <f aca="false">AP$14-AP$26</f>
        <v>158552.774956431</v>
      </c>
      <c r="AQ27" s="12" t="n">
        <f aca="false">AQ$14-AQ$26</f>
        <v>191747.481280273</v>
      </c>
      <c r="AR27" s="12" t="n">
        <f aca="false">AR$14-AR$26</f>
        <v>192064.269567521</v>
      </c>
      <c r="AS27" s="12" t="n">
        <f aca="false">AS$14-AS$26</f>
        <v>192064.269567521</v>
      </c>
      <c r="AT27" s="12" t="n">
        <f aca="false">AT$14-AT$26</f>
        <v>192064.269567521</v>
      </c>
      <c r="AU27" s="12" t="n">
        <f aca="false">AU$14-AU$26</f>
        <v>192064.269567521</v>
      </c>
      <c r="AV27" s="12" t="n">
        <f aca="false">AV$14-AV$26</f>
        <v>192064.269567521</v>
      </c>
      <c r="AW27" s="12" t="n">
        <f aca="false">AW$14-AW$26</f>
        <v>192064.269567521</v>
      </c>
      <c r="AX27" s="12" t="n">
        <f aca="false">AX$14-AX$26</f>
        <v>192064.269567521</v>
      </c>
      <c r="AY27" s="12" t="n">
        <f aca="false">AY$14-AY$26</f>
        <v>192064.269567521</v>
      </c>
      <c r="AZ27" s="12" t="n">
        <f aca="false">AZ$14-AZ$26</f>
        <v>192064.269567521</v>
      </c>
      <c r="BA27" s="12" t="n">
        <f aca="false">BA$14-BA$26</f>
        <v>192064.269567521</v>
      </c>
      <c r="BB27" s="12" t="n">
        <f aca="false">BB$14-BB$26</f>
        <v>192064.269567521</v>
      </c>
      <c r="BC27" s="12" t="n">
        <f aca="false">BC$14-BC$26</f>
        <v>195694.03407976</v>
      </c>
      <c r="BD27" s="12" t="n">
        <f aca="false">BD$14-BD$26</f>
        <v>194049.481090798</v>
      </c>
      <c r="BE27" s="12" t="n">
        <f aca="false">BE$14-BE$26</f>
        <v>194049.481090798</v>
      </c>
      <c r="BF27" s="12" t="n">
        <f aca="false">BF$14-BF$26</f>
        <v>194049.481090798</v>
      </c>
      <c r="BG27" s="12" t="n">
        <f aca="false">BG$14-BG$26</f>
        <v>194049.481090798</v>
      </c>
      <c r="BH27" s="12" t="n">
        <f aca="false">BH$14-BH$26</f>
        <v>194049.481090798</v>
      </c>
      <c r="BI27" s="12" t="n">
        <f aca="false">BI$14-BI$26</f>
        <v>194049.481090798</v>
      </c>
      <c r="BJ27" s="12" t="n">
        <f aca="false">BJ$14-BJ$26</f>
        <v>194049.481090798</v>
      </c>
      <c r="BK27" s="12" t="n">
        <f aca="false">BK$14-BK$26</f>
        <v>194049.481090798</v>
      </c>
      <c r="BL27" s="12" t="n">
        <f aca="false">BL$14-BL$26</f>
        <v>194049.481090798</v>
      </c>
      <c r="BM27" s="12" t="n">
        <f aca="false">BM$14-BM$26</f>
        <v>194049.481090798</v>
      </c>
      <c r="BN27" s="12" t="n">
        <f aca="false">BN$14-BN$26</f>
        <v>194049.481090798</v>
      </c>
      <c r="BO27" s="12" t="n">
        <f aca="false">BO$14-BO$26</f>
        <v>199616.317623566</v>
      </c>
      <c r="BP27" s="12" t="n">
        <f aca="false">BP$14-BP$26</f>
        <v>198821.768962449</v>
      </c>
      <c r="BQ27" s="12" t="n">
        <f aca="false">BQ$14-BQ$26</f>
        <v>198821.768962449</v>
      </c>
      <c r="BR27" s="12" t="n">
        <f aca="false">BR$14-BR$26</f>
        <v>198821.768962449</v>
      </c>
      <c r="BS27" s="12" t="n">
        <f aca="false">BS$14-BS$26</f>
        <v>198821.768962449</v>
      </c>
      <c r="BT27" s="12" t="n">
        <f aca="false">BT$14-BT$26</f>
        <v>198821.768962449</v>
      </c>
      <c r="BU27" s="12" t="n">
        <f aca="false">BU$14-BU$26</f>
        <v>198821.768962449</v>
      </c>
      <c r="BV27" s="12" t="n">
        <f aca="false">BV$14-BV$26</f>
        <v>198821.768962449</v>
      </c>
      <c r="BW27" s="12" t="n">
        <f aca="false">BW$14-BW$26</f>
        <v>198821.768962449</v>
      </c>
      <c r="BX27" s="12" t="n">
        <f aca="false">BX$14-BX$26</f>
        <v>198821.768962449</v>
      </c>
      <c r="BY27" s="12" t="n">
        <f aca="false">BY$14-BY$26</f>
        <v>198821.768962449</v>
      </c>
      <c r="BZ27" s="12" t="n">
        <f aca="false">BZ$14-BZ$26</f>
        <v>198821.768962449</v>
      </c>
      <c r="CA27" s="12" t="n">
        <f aca="false">CA$14-CA$26</f>
        <v>204444.630966983</v>
      </c>
      <c r="CB27" s="12" t="n">
        <f aca="false">CB$14-CB$26</f>
        <v>203642.299602817</v>
      </c>
      <c r="CC27" s="12" t="n">
        <f aca="false">CC$14-CC$26</f>
        <v>203642.299602817</v>
      </c>
      <c r="CD27" s="12" t="n">
        <f aca="false">CD$14-CD$26</f>
        <v>203642.299602817</v>
      </c>
      <c r="CE27" s="12" t="n">
        <f aca="false">CE$14-CE$26</f>
        <v>203642.299602817</v>
      </c>
      <c r="CF27" s="12" t="n">
        <f aca="false">CF$14-CF$26</f>
        <v>203642.299602817</v>
      </c>
      <c r="CG27" s="12" t="n">
        <f aca="false">CG$14-CG$26</f>
        <v>203642.299602817</v>
      </c>
      <c r="CH27" s="12" t="n">
        <f aca="false">CH$14-CH$26</f>
        <v>203642.299602817</v>
      </c>
      <c r="CI27" s="12" t="n">
        <f aca="false">CI$14-CI$26</f>
        <v>203642.299602817</v>
      </c>
      <c r="CJ27" s="12" t="n">
        <f aca="false">CJ$14-CJ$26</f>
        <v>203642.299602817</v>
      </c>
      <c r="CK27" s="12" t="n">
        <f aca="false">CK$14-CK$26</f>
        <v>203642.299602817</v>
      </c>
      <c r="CL27" s="12" t="n">
        <f aca="false">CL$14-CL$26</f>
        <v>203642.299602817</v>
      </c>
      <c r="CM27" s="12" t="n">
        <f aca="false">CM$14-CM$26</f>
        <v>209321.747333834</v>
      </c>
      <c r="CN27" s="12" t="n">
        <f aca="false">CN$14-CN$26</f>
        <v>208511.555439589</v>
      </c>
      <c r="CO27" s="12" t="n">
        <f aca="false">CO$14-CO$26</f>
        <v>208511.555439589</v>
      </c>
      <c r="CP27" s="12" t="n">
        <f aca="false">CP$14-CP$26</f>
        <v>208511.555439589</v>
      </c>
      <c r="CQ27" s="12" t="n">
        <f aca="false">CQ$14-CQ$26</f>
        <v>208511.555439589</v>
      </c>
      <c r="CR27" s="12" t="n">
        <f aca="false">CR$14-CR$26</f>
        <v>208511.555439589</v>
      </c>
      <c r="CS27" s="12" t="n">
        <f aca="false">CS$14-CS$26</f>
        <v>208511.555439589</v>
      </c>
      <c r="CT27" s="12" t="n">
        <f aca="false">CT$14-CT$26</f>
        <v>208511.555439589</v>
      </c>
      <c r="CU27" s="12" t="n">
        <f aca="false">CU$14-CU$26</f>
        <v>208511.555439589</v>
      </c>
      <c r="CV27" s="12" t="n">
        <f aca="false">CV$14-CV$26</f>
        <v>208511.555439589</v>
      </c>
      <c r="CW27" s="12" t="n">
        <f aca="false">CW$14-CW$26</f>
        <v>208511.555439589</v>
      </c>
      <c r="CX27" s="12" t="n">
        <f aca="false">CX$14-CX$26</f>
        <v>208511.555439589</v>
      </c>
      <c r="CY27" s="12" t="n">
        <f aca="false">CY$14-CY$26</f>
        <v>214248.154754354</v>
      </c>
      <c r="CZ27" s="12" t="n">
        <f aca="false">CZ$14-CZ$26</f>
        <v>213430.023724728</v>
      </c>
      <c r="DA27" s="12" t="n">
        <f aca="false">DA$14-DA$26</f>
        <v>213430.023724728</v>
      </c>
      <c r="DB27" s="12" t="n">
        <f aca="false">DB$14-DB$26</f>
        <v>213430.023724728</v>
      </c>
      <c r="DC27" s="12" t="n">
        <f aca="false">DC$14-DC$26</f>
        <v>213430.023724728</v>
      </c>
      <c r="DD27" s="12" t="n">
        <f aca="false">DD$14-DD$26</f>
        <v>213430.023724728</v>
      </c>
      <c r="DE27" s="12" t="n">
        <f aca="false">DE$14-DE$26</f>
        <v>213430.023724728</v>
      </c>
      <c r="DF27" s="12" t="n">
        <f aca="false">DF$14-DF$26</f>
        <v>213430.023724728</v>
      </c>
      <c r="DG27" s="12" t="n">
        <f aca="false">DG$14-DG$26</f>
        <v>213430.023724728</v>
      </c>
      <c r="DH27" s="12" t="n">
        <f aca="false">DH$14-DH$26</f>
        <v>213430.023724728</v>
      </c>
      <c r="DI27" s="12" t="n">
        <f aca="false">DI$14-DI$26</f>
        <v>213430.023724728</v>
      </c>
      <c r="DJ27" s="12" t="n">
        <f aca="false">DJ$14-DJ$26</f>
        <v>213430.023724728</v>
      </c>
      <c r="DK27" s="12" t="n">
        <f aca="false">DK$14-DK$26</f>
        <v>219224.34613908</v>
      </c>
      <c r="DL27" s="12" t="n">
        <f aca="false">DL$14-DL$26</f>
        <v>218398.196582719</v>
      </c>
      <c r="DM27" s="12" t="n">
        <f aca="false">DM$14-DM$26</f>
        <v>218398.196582719</v>
      </c>
      <c r="DN27" s="12" t="n">
        <f aca="false">DN$14-DN$26</f>
        <v>218398.196582719</v>
      </c>
      <c r="DO27" s="12" t="n">
        <f aca="false">DO$14-DO$26</f>
        <v>218398.196582719</v>
      </c>
      <c r="DP27" s="12" t="n">
        <f aca="false">DP$14-DP$26</f>
        <v>218398.196582719</v>
      </c>
      <c r="DQ27" s="12" t="n">
        <f aca="false">DQ$14-DQ$26</f>
        <v>218398.196582719</v>
      </c>
      <c r="DR27" s="12" t="n">
        <f aca="false">DR$14-DR$26</f>
        <v>218398.196582719</v>
      </c>
      <c r="DS27" s="12" t="n">
        <f aca="false">DS$14-DS$26</f>
        <v>218398.196582719</v>
      </c>
      <c r="DT27" s="12" t="n">
        <f aca="false">DT$14-DT$26</f>
        <v>218398.196582719</v>
      </c>
      <c r="DU27" s="12" t="n">
        <f aca="false">DU$14-DU$26</f>
        <v>218398.196582719</v>
      </c>
      <c r="DV27" s="12" t="n">
        <f aca="false">DV$14-DV$26</f>
        <v>204347.441251552</v>
      </c>
      <c r="DW27" s="12" t="n">
        <f aca="false">DW$14-DW$26</f>
        <v>0</v>
      </c>
      <c r="DX27" s="12" t="n">
        <f aca="false">DX$14-DX$26</f>
        <v>0</v>
      </c>
      <c r="DY27" s="12" t="n">
        <f aca="false">DY$14-DY$26</f>
        <v>0</v>
      </c>
      <c r="DZ27" s="12" t="n">
        <f aca="false">DZ$14-DZ$26</f>
        <v>0</v>
      </c>
      <c r="EA27" s="12" t="n">
        <f aca="false">EA$14-EA$26</f>
        <v>0</v>
      </c>
      <c r="EB27" s="12" t="n">
        <f aca="false">EB$14-EB$26</f>
        <v>0</v>
      </c>
      <c r="EC27" s="12" t="n">
        <f aca="false">EC$14-EC$26</f>
        <v>0</v>
      </c>
      <c r="ED27" s="12" t="n">
        <f aca="false">ED$14-ED$26</f>
        <v>0</v>
      </c>
      <c r="EE27" s="12" t="n">
        <f aca="false">EE$14-EE$26</f>
        <v>0</v>
      </c>
      <c r="EF27" s="12" t="n">
        <f aca="false">EF$14-EF$26</f>
        <v>0</v>
      </c>
      <c r="EG27" s="12" t="n">
        <f aca="false">EG$14-EG$26</f>
        <v>0</v>
      </c>
      <c r="EH27" s="12" t="n">
        <f aca="false">EH$14-EH$26</f>
        <v>0</v>
      </c>
      <c r="EI27" s="12" t="n">
        <f aca="false">EI$14-EI$26</f>
        <v>0</v>
      </c>
      <c r="EJ27" s="12" t="n">
        <f aca="false">EJ$14-EJ$26</f>
        <v>0</v>
      </c>
      <c r="EK27" s="12" t="n">
        <f aca="false">EK$14-EK$26</f>
        <v>0</v>
      </c>
      <c r="EL27" s="12" t="n">
        <f aca="false">EL$14-EL$26</f>
        <v>0</v>
      </c>
      <c r="EM27" s="12" t="n">
        <f aca="false">EM$14-EM$26</f>
        <v>0</v>
      </c>
      <c r="EN27" s="12" t="n">
        <f aca="false">EN$14-EN$26</f>
        <v>0</v>
      </c>
      <c r="EO27" s="12" t="n">
        <f aca="false">EO$14-EO$26</f>
        <v>0</v>
      </c>
      <c r="EP27" s="12" t="n">
        <f aca="false">EP$14-EP$26</f>
        <v>0</v>
      </c>
      <c r="EQ27" s="12" t="n">
        <f aca="false">EQ$14-EQ$26</f>
        <v>0</v>
      </c>
      <c r="ER27" s="12" t="n">
        <f aca="false">ER$14-ER$26</f>
        <v>0</v>
      </c>
      <c r="ES27" s="12" t="n">
        <f aca="false">ES$14-ES$26</f>
        <v>0</v>
      </c>
      <c r="ET27" s="12" t="n">
        <f aca="false">ET$14-ET$26</f>
        <v>0</v>
      </c>
      <c r="EU27" s="12" t="n">
        <f aca="false">EU$14-EU$26</f>
        <v>0</v>
      </c>
      <c r="EV27" s="12" t="n">
        <f aca="false">EV$14-EV$26</f>
        <v>0</v>
      </c>
      <c r="EW27" s="12" t="n">
        <f aca="false">EW$14-EW$26</f>
        <v>0</v>
      </c>
      <c r="EX27" s="12" t="n">
        <f aca="false">EX$14-EX$26</f>
        <v>0</v>
      </c>
      <c r="EY27" s="12" t="n">
        <f aca="false">EY$14-EY$26</f>
        <v>0</v>
      </c>
      <c r="EZ27" s="12" t="n">
        <f aca="false">EZ$14-EZ$26</f>
        <v>0</v>
      </c>
      <c r="FA27" s="12" t="n">
        <f aca="false">FA$14-FA$26</f>
        <v>0</v>
      </c>
      <c r="FB27" s="12" t="n">
        <f aca="false">FB$14-FB$26</f>
        <v>0</v>
      </c>
      <c r="FC27" s="12" t="n">
        <f aca="false">FC$14-FC$26</f>
        <v>0</v>
      </c>
      <c r="FD27" s="12" t="n">
        <f aca="false">FD$14-FD$26</f>
        <v>0</v>
      </c>
      <c r="FE27" s="12" t="n">
        <f aca="false">FE$14-FE$26</f>
        <v>0</v>
      </c>
      <c r="FF27" s="12" t="n">
        <f aca="false">FF$14-FF$26</f>
        <v>0</v>
      </c>
    </row>
    <row r="28" customFormat="false" ht="15" hidden="false" customHeight="false" outlineLevel="0" collapsed="false">
      <c r="A28" s="2" t="s">
        <v>1479</v>
      </c>
      <c r="B28" s="8" t="s">
        <v>1480</v>
      </c>
      <c r="C28" s="8" t="s">
        <v>255</v>
      </c>
      <c r="E28" s="65" t="n">
        <f aca="false">SUM($F28:$FF28)</f>
        <v>812224.477216454</v>
      </c>
      <c r="F28" s="28" t="n">
        <f aca="false">Costos_Personal!F$130</f>
        <v>0</v>
      </c>
      <c r="G28" s="28" t="n">
        <f aca="false">Costos_Personal!G$130</f>
        <v>4041.66666666667</v>
      </c>
      <c r="H28" s="28" t="n">
        <f aca="false">Costos_Personal!H$130</f>
        <v>4041.66666666667</v>
      </c>
      <c r="I28" s="28" t="n">
        <f aca="false">Costos_Personal!I$130</f>
        <v>4041.66666666667</v>
      </c>
      <c r="J28" s="28" t="n">
        <f aca="false">Costos_Personal!J$130</f>
        <v>4041.66666666667</v>
      </c>
      <c r="K28" s="28" t="n">
        <f aca="false">Costos_Personal!K$130</f>
        <v>4041.66666666667</v>
      </c>
      <c r="L28" s="28" t="n">
        <f aca="false">Costos_Personal!L$130</f>
        <v>4041.66666666667</v>
      </c>
      <c r="M28" s="28" t="n">
        <f aca="false">Costos_Personal!M$130</f>
        <v>4041.66666666667</v>
      </c>
      <c r="N28" s="28" t="n">
        <f aca="false">Costos_Personal!N$130</f>
        <v>4041.66666666667</v>
      </c>
      <c r="O28" s="28" t="n">
        <f aca="false">Costos_Personal!O$130</f>
        <v>4041.66666666667</v>
      </c>
      <c r="P28" s="28" t="n">
        <f aca="false">Costos_Personal!P$130</f>
        <v>4041.66666666667</v>
      </c>
      <c r="Q28" s="28" t="n">
        <f aca="false">Costos_Personal!Q$130</f>
        <v>4041.66666666667</v>
      </c>
      <c r="R28" s="28" t="n">
        <f aca="false">Costos_Personal!R$130</f>
        <v>4041.66666666667</v>
      </c>
      <c r="S28" s="28" t="n">
        <f aca="false">Costos_Personal!S$130</f>
        <v>5151</v>
      </c>
      <c r="T28" s="28" t="n">
        <f aca="false">Costos_Personal!T$130</f>
        <v>5151</v>
      </c>
      <c r="U28" s="28" t="n">
        <f aca="false">Costos_Personal!U$130</f>
        <v>5151</v>
      </c>
      <c r="V28" s="28" t="n">
        <f aca="false">Costos_Personal!V$130</f>
        <v>5151</v>
      </c>
      <c r="W28" s="28" t="n">
        <f aca="false">Costos_Personal!W$130</f>
        <v>5151</v>
      </c>
      <c r="X28" s="28" t="n">
        <f aca="false">Costos_Personal!X$130</f>
        <v>5151</v>
      </c>
      <c r="Y28" s="28" t="n">
        <f aca="false">Costos_Personal!Y$130</f>
        <v>5151</v>
      </c>
      <c r="Z28" s="28" t="n">
        <f aca="false">Costos_Personal!Z$130</f>
        <v>5151</v>
      </c>
      <c r="AA28" s="28" t="n">
        <f aca="false">Costos_Personal!AA$130</f>
        <v>5151</v>
      </c>
      <c r="AB28" s="28" t="n">
        <f aca="false">Costos_Personal!AB$130</f>
        <v>5151</v>
      </c>
      <c r="AC28" s="28" t="n">
        <f aca="false">Costos_Personal!AC$130</f>
        <v>5151</v>
      </c>
      <c r="AD28" s="28" t="n">
        <f aca="false">Costos_Personal!AD$130</f>
        <v>5151</v>
      </c>
      <c r="AE28" s="28" t="n">
        <f aca="false">Costos_Personal!AE$130</f>
        <v>6282.11583333333</v>
      </c>
      <c r="AF28" s="28" t="n">
        <f aca="false">Costos_Personal!AF$130</f>
        <v>6282.11583333333</v>
      </c>
      <c r="AG28" s="28" t="n">
        <f aca="false">Costos_Personal!AG$130</f>
        <v>6282.11583333333</v>
      </c>
      <c r="AH28" s="28" t="n">
        <f aca="false">Costos_Personal!AH$130</f>
        <v>6282.11583333333</v>
      </c>
      <c r="AI28" s="28" t="n">
        <f aca="false">Costos_Personal!AI$130</f>
        <v>6282.11583333333</v>
      </c>
      <c r="AJ28" s="28" t="n">
        <f aca="false">Costos_Personal!AJ$130</f>
        <v>6282.11583333333</v>
      </c>
      <c r="AK28" s="28" t="n">
        <f aca="false">Costos_Personal!AK$130</f>
        <v>6282.11583333333</v>
      </c>
      <c r="AL28" s="28" t="n">
        <f aca="false">Costos_Personal!AL$130</f>
        <v>6282.11583333333</v>
      </c>
      <c r="AM28" s="28" t="n">
        <f aca="false">Costos_Personal!AM$130</f>
        <v>6282.11583333333</v>
      </c>
      <c r="AN28" s="28" t="n">
        <f aca="false">Costos_Personal!AN$130</f>
        <v>6282.11583333333</v>
      </c>
      <c r="AO28" s="28" t="n">
        <f aca="false">Costos_Personal!AO$130</f>
        <v>6282.11583333333</v>
      </c>
      <c r="AP28" s="28" t="n">
        <f aca="false">Costos_Personal!AP$130</f>
        <v>6282.11583333333</v>
      </c>
      <c r="AQ28" s="28" t="n">
        <f aca="false">Costos_Personal!AQ$130</f>
        <v>7237.864525</v>
      </c>
      <c r="AR28" s="28" t="n">
        <f aca="false">Costos_Personal!AR$130</f>
        <v>7237.864525</v>
      </c>
      <c r="AS28" s="28" t="n">
        <f aca="false">Costos_Personal!AS$130</f>
        <v>7237.864525</v>
      </c>
      <c r="AT28" s="28" t="n">
        <f aca="false">Costos_Personal!AT$130</f>
        <v>7237.864525</v>
      </c>
      <c r="AU28" s="28" t="n">
        <f aca="false">Costos_Personal!AU$130</f>
        <v>7237.864525</v>
      </c>
      <c r="AV28" s="28" t="n">
        <f aca="false">Costos_Personal!AV$130</f>
        <v>7237.864525</v>
      </c>
      <c r="AW28" s="28" t="n">
        <f aca="false">Costos_Personal!AW$130</f>
        <v>7237.864525</v>
      </c>
      <c r="AX28" s="28" t="n">
        <f aca="false">Costos_Personal!AX$130</f>
        <v>7237.864525</v>
      </c>
      <c r="AY28" s="28" t="n">
        <f aca="false">Costos_Personal!AY$130</f>
        <v>7237.864525</v>
      </c>
      <c r="AZ28" s="28" t="n">
        <f aca="false">Costos_Personal!AZ$130</f>
        <v>7237.864525</v>
      </c>
      <c r="BA28" s="28" t="n">
        <f aca="false">Costos_Personal!BA$130</f>
        <v>7237.864525</v>
      </c>
      <c r="BB28" s="28" t="n">
        <f aca="false">Costos_Personal!BB$130</f>
        <v>7237.864525</v>
      </c>
      <c r="BC28" s="28" t="n">
        <f aca="false">Costos_Personal!BC$130</f>
        <v>7310.24317025</v>
      </c>
      <c r="BD28" s="28" t="n">
        <f aca="false">Costos_Personal!BD$130</f>
        <v>7310.24317025</v>
      </c>
      <c r="BE28" s="28" t="n">
        <f aca="false">Costos_Personal!BE$130</f>
        <v>7310.24317025</v>
      </c>
      <c r="BF28" s="28" t="n">
        <f aca="false">Costos_Personal!BF$130</f>
        <v>7310.24317025</v>
      </c>
      <c r="BG28" s="28" t="n">
        <f aca="false">Costos_Personal!BG$130</f>
        <v>7310.24317025</v>
      </c>
      <c r="BH28" s="28" t="n">
        <f aca="false">Costos_Personal!BH$130</f>
        <v>7310.24317025</v>
      </c>
      <c r="BI28" s="28" t="n">
        <f aca="false">Costos_Personal!BI$130</f>
        <v>7310.24317025</v>
      </c>
      <c r="BJ28" s="28" t="n">
        <f aca="false">Costos_Personal!BJ$130</f>
        <v>7310.24317025</v>
      </c>
      <c r="BK28" s="28" t="n">
        <f aca="false">Costos_Personal!BK$130</f>
        <v>7310.24317025</v>
      </c>
      <c r="BL28" s="28" t="n">
        <f aca="false">Costos_Personal!BL$130</f>
        <v>7310.24317025</v>
      </c>
      <c r="BM28" s="28" t="n">
        <f aca="false">Costos_Personal!BM$130</f>
        <v>7310.24317025</v>
      </c>
      <c r="BN28" s="28" t="n">
        <f aca="false">Costos_Personal!BN$130</f>
        <v>7310.24317025</v>
      </c>
      <c r="BO28" s="28" t="n">
        <f aca="false">Costos_Personal!BO$130</f>
        <v>7383.3456019525</v>
      </c>
      <c r="BP28" s="28" t="n">
        <f aca="false">Costos_Personal!BP$130</f>
        <v>7383.3456019525</v>
      </c>
      <c r="BQ28" s="28" t="n">
        <f aca="false">Costos_Personal!BQ$130</f>
        <v>7383.3456019525</v>
      </c>
      <c r="BR28" s="28" t="n">
        <f aca="false">Costos_Personal!BR$130</f>
        <v>7383.3456019525</v>
      </c>
      <c r="BS28" s="28" t="n">
        <f aca="false">Costos_Personal!BS$130</f>
        <v>7383.3456019525</v>
      </c>
      <c r="BT28" s="28" t="n">
        <f aca="false">Costos_Personal!BT$130</f>
        <v>7383.3456019525</v>
      </c>
      <c r="BU28" s="28" t="n">
        <f aca="false">Costos_Personal!BU$130</f>
        <v>7383.3456019525</v>
      </c>
      <c r="BV28" s="28" t="n">
        <f aca="false">Costos_Personal!BV$130</f>
        <v>7383.3456019525</v>
      </c>
      <c r="BW28" s="28" t="n">
        <f aca="false">Costos_Personal!BW$130</f>
        <v>7383.3456019525</v>
      </c>
      <c r="BX28" s="28" t="n">
        <f aca="false">Costos_Personal!BX$130</f>
        <v>7383.3456019525</v>
      </c>
      <c r="BY28" s="28" t="n">
        <f aca="false">Costos_Personal!BY$130</f>
        <v>7383.3456019525</v>
      </c>
      <c r="BZ28" s="28" t="n">
        <f aca="false">Costos_Personal!BZ$130</f>
        <v>7383.3456019525</v>
      </c>
      <c r="CA28" s="28" t="n">
        <f aca="false">Costos_Personal!CA$130</f>
        <v>7457.17905797203</v>
      </c>
      <c r="CB28" s="28" t="n">
        <f aca="false">Costos_Personal!CB$130</f>
        <v>7457.17905797203</v>
      </c>
      <c r="CC28" s="28" t="n">
        <f aca="false">Costos_Personal!CC$130</f>
        <v>7457.17905797203</v>
      </c>
      <c r="CD28" s="28" t="n">
        <f aca="false">Costos_Personal!CD$130</f>
        <v>7457.17905797203</v>
      </c>
      <c r="CE28" s="28" t="n">
        <f aca="false">Costos_Personal!CE$130</f>
        <v>7457.17905797203</v>
      </c>
      <c r="CF28" s="28" t="n">
        <f aca="false">Costos_Personal!CF$130</f>
        <v>7457.17905797203</v>
      </c>
      <c r="CG28" s="28" t="n">
        <f aca="false">Costos_Personal!CG$130</f>
        <v>7457.17905797203</v>
      </c>
      <c r="CH28" s="28" t="n">
        <f aca="false">Costos_Personal!CH$130</f>
        <v>7457.17905797203</v>
      </c>
      <c r="CI28" s="28" t="n">
        <f aca="false">Costos_Personal!CI$130</f>
        <v>7457.17905797203</v>
      </c>
      <c r="CJ28" s="28" t="n">
        <f aca="false">Costos_Personal!CJ$130</f>
        <v>7457.17905797203</v>
      </c>
      <c r="CK28" s="28" t="n">
        <f aca="false">Costos_Personal!CK$130</f>
        <v>7457.17905797203</v>
      </c>
      <c r="CL28" s="28" t="n">
        <f aca="false">Costos_Personal!CL$130</f>
        <v>7457.17905797203</v>
      </c>
      <c r="CM28" s="28" t="n">
        <f aca="false">Costos_Personal!CM$130</f>
        <v>7531.75084855175</v>
      </c>
      <c r="CN28" s="28" t="n">
        <f aca="false">Costos_Personal!CN$130</f>
        <v>7531.75084855175</v>
      </c>
      <c r="CO28" s="28" t="n">
        <f aca="false">Costos_Personal!CO$130</f>
        <v>7531.75084855175</v>
      </c>
      <c r="CP28" s="28" t="n">
        <f aca="false">Costos_Personal!CP$130</f>
        <v>7531.75084855175</v>
      </c>
      <c r="CQ28" s="28" t="n">
        <f aca="false">Costos_Personal!CQ$130</f>
        <v>7531.75084855175</v>
      </c>
      <c r="CR28" s="28" t="n">
        <f aca="false">Costos_Personal!CR$130</f>
        <v>7531.75084855175</v>
      </c>
      <c r="CS28" s="28" t="n">
        <f aca="false">Costos_Personal!CS$130</f>
        <v>7531.75084855175</v>
      </c>
      <c r="CT28" s="28" t="n">
        <f aca="false">Costos_Personal!CT$130</f>
        <v>7531.75084855175</v>
      </c>
      <c r="CU28" s="28" t="n">
        <f aca="false">Costos_Personal!CU$130</f>
        <v>7531.75084855175</v>
      </c>
      <c r="CV28" s="28" t="n">
        <f aca="false">Costos_Personal!CV$130</f>
        <v>7531.75084855175</v>
      </c>
      <c r="CW28" s="28" t="n">
        <f aca="false">Costos_Personal!CW$130</f>
        <v>7531.75084855175</v>
      </c>
      <c r="CX28" s="28" t="n">
        <f aca="false">Costos_Personal!CX$130</f>
        <v>7531.75084855175</v>
      </c>
      <c r="CY28" s="28" t="n">
        <f aca="false">Costos_Personal!CY$130</f>
        <v>7607.06835703726</v>
      </c>
      <c r="CZ28" s="28" t="n">
        <f aca="false">Costos_Personal!CZ$130</f>
        <v>7607.06835703726</v>
      </c>
      <c r="DA28" s="28" t="n">
        <f aca="false">Costos_Personal!DA$130</f>
        <v>7607.06835703726</v>
      </c>
      <c r="DB28" s="28" t="n">
        <f aca="false">Costos_Personal!DB$130</f>
        <v>7607.06835703726</v>
      </c>
      <c r="DC28" s="28" t="n">
        <f aca="false">Costos_Personal!DC$130</f>
        <v>7607.06835703726</v>
      </c>
      <c r="DD28" s="28" t="n">
        <f aca="false">Costos_Personal!DD$130</f>
        <v>7607.06835703726</v>
      </c>
      <c r="DE28" s="28" t="n">
        <f aca="false">Costos_Personal!DE$130</f>
        <v>7607.06835703726</v>
      </c>
      <c r="DF28" s="28" t="n">
        <f aca="false">Costos_Personal!DF$130</f>
        <v>7607.06835703726</v>
      </c>
      <c r="DG28" s="28" t="n">
        <f aca="false">Costos_Personal!DG$130</f>
        <v>7607.06835703726</v>
      </c>
      <c r="DH28" s="28" t="n">
        <f aca="false">Costos_Personal!DH$130</f>
        <v>7607.06835703726</v>
      </c>
      <c r="DI28" s="28" t="n">
        <f aca="false">Costos_Personal!DI$130</f>
        <v>7607.06835703726</v>
      </c>
      <c r="DJ28" s="28" t="n">
        <f aca="false">Costos_Personal!DJ$130</f>
        <v>7607.06835703726</v>
      </c>
      <c r="DK28" s="28" t="n">
        <f aca="false">Costos_Personal!DK$130</f>
        <v>7683.13904060764</v>
      </c>
      <c r="DL28" s="28" t="n">
        <f aca="false">Costos_Personal!DL$130</f>
        <v>7683.13904060764</v>
      </c>
      <c r="DM28" s="28" t="n">
        <f aca="false">Costos_Personal!DM$130</f>
        <v>7683.13904060764</v>
      </c>
      <c r="DN28" s="28" t="n">
        <f aca="false">Costos_Personal!DN$130</f>
        <v>7683.13904060764</v>
      </c>
      <c r="DO28" s="28" t="n">
        <f aca="false">Costos_Personal!DO$130</f>
        <v>7683.13904060764</v>
      </c>
      <c r="DP28" s="28" t="n">
        <f aca="false">Costos_Personal!DP$130</f>
        <v>7683.13904060764</v>
      </c>
      <c r="DQ28" s="28" t="n">
        <f aca="false">Costos_Personal!DQ$130</f>
        <v>7683.13904060764</v>
      </c>
      <c r="DR28" s="28" t="n">
        <f aca="false">Costos_Personal!DR$130</f>
        <v>7683.13904060764</v>
      </c>
      <c r="DS28" s="28" t="n">
        <f aca="false">Costos_Personal!DS$130</f>
        <v>7683.13904060764</v>
      </c>
      <c r="DT28" s="28" t="n">
        <f aca="false">Costos_Personal!DT$130</f>
        <v>7683.13904060764</v>
      </c>
      <c r="DU28" s="28" t="n">
        <f aca="false">Costos_Personal!DU$130</f>
        <v>7683.13904060764</v>
      </c>
      <c r="DV28" s="28" t="n">
        <f aca="false">Costos_Personal!DV$130</f>
        <v>7683.13904060764</v>
      </c>
      <c r="DW28" s="28" t="n">
        <f aca="false">Costos_Personal!DW$130</f>
        <v>0</v>
      </c>
      <c r="DX28" s="28" t="n">
        <f aca="false">Costos_Personal!DX$130</f>
        <v>0</v>
      </c>
      <c r="DY28" s="28" t="n">
        <f aca="false">Costos_Personal!DY$130</f>
        <v>0</v>
      </c>
      <c r="DZ28" s="28" t="n">
        <f aca="false">Costos_Personal!DZ$130</f>
        <v>0</v>
      </c>
      <c r="EA28" s="28" t="n">
        <f aca="false">Costos_Personal!EA$130</f>
        <v>0</v>
      </c>
      <c r="EB28" s="28" t="n">
        <f aca="false">Costos_Personal!EB$130</f>
        <v>0</v>
      </c>
      <c r="EC28" s="28" t="n">
        <f aca="false">Costos_Personal!EC$130</f>
        <v>0</v>
      </c>
      <c r="ED28" s="28" t="n">
        <f aca="false">Costos_Personal!ED$130</f>
        <v>0</v>
      </c>
      <c r="EE28" s="28" t="n">
        <f aca="false">Costos_Personal!EE$130</f>
        <v>0</v>
      </c>
      <c r="EF28" s="28" t="n">
        <f aca="false">Costos_Personal!EF$130</f>
        <v>0</v>
      </c>
      <c r="EG28" s="28" t="n">
        <f aca="false">Costos_Personal!EG$130</f>
        <v>0</v>
      </c>
      <c r="EH28" s="28" t="n">
        <f aca="false">Costos_Personal!EH$130</f>
        <v>0</v>
      </c>
      <c r="EI28" s="28" t="n">
        <f aca="false">Costos_Personal!EI$130</f>
        <v>0</v>
      </c>
      <c r="EJ28" s="28" t="n">
        <f aca="false">Costos_Personal!EJ$130</f>
        <v>0</v>
      </c>
      <c r="EK28" s="28" t="n">
        <f aca="false">Costos_Personal!EK$130</f>
        <v>0</v>
      </c>
      <c r="EL28" s="28" t="n">
        <f aca="false">Costos_Personal!EL$130</f>
        <v>0</v>
      </c>
      <c r="EM28" s="28" t="n">
        <f aca="false">Costos_Personal!EM$130</f>
        <v>0</v>
      </c>
      <c r="EN28" s="28" t="n">
        <f aca="false">Costos_Personal!EN$130</f>
        <v>0</v>
      </c>
      <c r="EO28" s="28" t="n">
        <f aca="false">Costos_Personal!EO$130</f>
        <v>0</v>
      </c>
      <c r="EP28" s="28" t="n">
        <f aca="false">Costos_Personal!EP$130</f>
        <v>0</v>
      </c>
      <c r="EQ28" s="28" t="n">
        <f aca="false">Costos_Personal!EQ$130</f>
        <v>0</v>
      </c>
      <c r="ER28" s="28" t="n">
        <f aca="false">Costos_Personal!ER$130</f>
        <v>0</v>
      </c>
      <c r="ES28" s="28" t="n">
        <f aca="false">Costos_Personal!ES$130</f>
        <v>0</v>
      </c>
      <c r="ET28" s="28" t="n">
        <f aca="false">Costos_Personal!ET$130</f>
        <v>0</v>
      </c>
      <c r="EU28" s="28" t="n">
        <f aca="false">Costos_Personal!EU$130</f>
        <v>0</v>
      </c>
      <c r="EV28" s="28" t="n">
        <f aca="false">Costos_Personal!EV$130</f>
        <v>0</v>
      </c>
      <c r="EW28" s="28" t="n">
        <f aca="false">Costos_Personal!EW$130</f>
        <v>0</v>
      </c>
      <c r="EX28" s="28" t="n">
        <f aca="false">Costos_Personal!EX$130</f>
        <v>0</v>
      </c>
      <c r="EY28" s="28" t="n">
        <f aca="false">Costos_Personal!EY$130</f>
        <v>0</v>
      </c>
      <c r="EZ28" s="28" t="n">
        <f aca="false">Costos_Personal!EZ$130</f>
        <v>0</v>
      </c>
      <c r="FA28" s="28" t="n">
        <f aca="false">Costos_Personal!FA$130</f>
        <v>0</v>
      </c>
      <c r="FB28" s="28" t="n">
        <f aca="false">Costos_Personal!FB$130</f>
        <v>0</v>
      </c>
      <c r="FC28" s="28" t="n">
        <f aca="false">Costos_Personal!FC$130</f>
        <v>0</v>
      </c>
      <c r="FD28" s="28" t="n">
        <f aca="false">Costos_Personal!FD$130</f>
        <v>0</v>
      </c>
      <c r="FE28" s="28" t="n">
        <f aca="false">Costos_Personal!FE$130</f>
        <v>0</v>
      </c>
      <c r="FF28" s="28" t="n">
        <f aca="false">Costos_Personal!FF$130</f>
        <v>0</v>
      </c>
    </row>
    <row r="29" customFormat="false" ht="15" hidden="false" customHeight="false" outlineLevel="0" collapsed="false">
      <c r="A29" s="2" t="s">
        <v>1481</v>
      </c>
      <c r="B29" s="8" t="s">
        <v>1003</v>
      </c>
      <c r="C29" s="8" t="s">
        <v>255</v>
      </c>
      <c r="E29" s="65" t="n">
        <f aca="false">SUM($F29:$FF29)</f>
        <v>81222.4477216454</v>
      </c>
      <c r="F29" s="28" t="n">
        <f aca="false">Costos_Personal!F$126</f>
        <v>0</v>
      </c>
      <c r="G29" s="28" t="n">
        <f aca="false">Costos_Personal!G$126</f>
        <v>404.166666666667</v>
      </c>
      <c r="H29" s="28" t="n">
        <f aca="false">Costos_Personal!H$126</f>
        <v>404.166666666667</v>
      </c>
      <c r="I29" s="28" t="n">
        <f aca="false">Costos_Personal!I$126</f>
        <v>404.166666666667</v>
      </c>
      <c r="J29" s="28" t="n">
        <f aca="false">Costos_Personal!J$126</f>
        <v>404.166666666667</v>
      </c>
      <c r="K29" s="28" t="n">
        <f aca="false">Costos_Personal!K$126</f>
        <v>404.166666666667</v>
      </c>
      <c r="L29" s="28" t="n">
        <f aca="false">Costos_Personal!L$126</f>
        <v>404.166666666667</v>
      </c>
      <c r="M29" s="28" t="n">
        <f aca="false">Costos_Personal!M$126</f>
        <v>404.166666666667</v>
      </c>
      <c r="N29" s="28" t="n">
        <f aca="false">Costos_Personal!N$126</f>
        <v>404.166666666667</v>
      </c>
      <c r="O29" s="28" t="n">
        <f aca="false">Costos_Personal!O$126</f>
        <v>404.166666666667</v>
      </c>
      <c r="P29" s="28" t="n">
        <f aca="false">Costos_Personal!P$126</f>
        <v>404.166666666667</v>
      </c>
      <c r="Q29" s="28" t="n">
        <f aca="false">Costos_Personal!Q$126</f>
        <v>404.166666666667</v>
      </c>
      <c r="R29" s="28" t="n">
        <f aca="false">Costos_Personal!R$126</f>
        <v>404.166666666667</v>
      </c>
      <c r="S29" s="28" t="n">
        <f aca="false">Costos_Personal!S$126</f>
        <v>515.1</v>
      </c>
      <c r="T29" s="28" t="n">
        <f aca="false">Costos_Personal!T$126</f>
        <v>515.1</v>
      </c>
      <c r="U29" s="28" t="n">
        <f aca="false">Costos_Personal!U$126</f>
        <v>515.1</v>
      </c>
      <c r="V29" s="28" t="n">
        <f aca="false">Costos_Personal!V$126</f>
        <v>515.1</v>
      </c>
      <c r="W29" s="28" t="n">
        <f aca="false">Costos_Personal!W$126</f>
        <v>515.1</v>
      </c>
      <c r="X29" s="28" t="n">
        <f aca="false">Costos_Personal!X$126</f>
        <v>515.1</v>
      </c>
      <c r="Y29" s="28" t="n">
        <f aca="false">Costos_Personal!Y$126</f>
        <v>515.1</v>
      </c>
      <c r="Z29" s="28" t="n">
        <f aca="false">Costos_Personal!Z$126</f>
        <v>515.1</v>
      </c>
      <c r="AA29" s="28" t="n">
        <f aca="false">Costos_Personal!AA$126</f>
        <v>515.1</v>
      </c>
      <c r="AB29" s="28" t="n">
        <f aca="false">Costos_Personal!AB$126</f>
        <v>515.1</v>
      </c>
      <c r="AC29" s="28" t="n">
        <f aca="false">Costos_Personal!AC$126</f>
        <v>515.1</v>
      </c>
      <c r="AD29" s="28" t="n">
        <f aca="false">Costos_Personal!AD$126</f>
        <v>515.1</v>
      </c>
      <c r="AE29" s="28" t="n">
        <f aca="false">Costos_Personal!AE$126</f>
        <v>628.211583333333</v>
      </c>
      <c r="AF29" s="28" t="n">
        <f aca="false">Costos_Personal!AF$126</f>
        <v>628.211583333333</v>
      </c>
      <c r="AG29" s="28" t="n">
        <f aca="false">Costos_Personal!AG$126</f>
        <v>628.211583333333</v>
      </c>
      <c r="AH29" s="28" t="n">
        <f aca="false">Costos_Personal!AH$126</f>
        <v>628.211583333333</v>
      </c>
      <c r="AI29" s="28" t="n">
        <f aca="false">Costos_Personal!AI$126</f>
        <v>628.211583333333</v>
      </c>
      <c r="AJ29" s="28" t="n">
        <f aca="false">Costos_Personal!AJ$126</f>
        <v>628.211583333333</v>
      </c>
      <c r="AK29" s="28" t="n">
        <f aca="false">Costos_Personal!AK$126</f>
        <v>628.211583333333</v>
      </c>
      <c r="AL29" s="28" t="n">
        <f aca="false">Costos_Personal!AL$126</f>
        <v>628.211583333333</v>
      </c>
      <c r="AM29" s="28" t="n">
        <f aca="false">Costos_Personal!AM$126</f>
        <v>628.211583333333</v>
      </c>
      <c r="AN29" s="28" t="n">
        <f aca="false">Costos_Personal!AN$126</f>
        <v>628.211583333333</v>
      </c>
      <c r="AO29" s="28" t="n">
        <f aca="false">Costos_Personal!AO$126</f>
        <v>628.211583333333</v>
      </c>
      <c r="AP29" s="28" t="n">
        <f aca="false">Costos_Personal!AP$126</f>
        <v>628.211583333333</v>
      </c>
      <c r="AQ29" s="28" t="n">
        <f aca="false">Costos_Personal!AQ$126</f>
        <v>723.7864525</v>
      </c>
      <c r="AR29" s="28" t="n">
        <f aca="false">Costos_Personal!AR$126</f>
        <v>723.7864525</v>
      </c>
      <c r="AS29" s="28" t="n">
        <f aca="false">Costos_Personal!AS$126</f>
        <v>723.7864525</v>
      </c>
      <c r="AT29" s="28" t="n">
        <f aca="false">Costos_Personal!AT$126</f>
        <v>723.7864525</v>
      </c>
      <c r="AU29" s="28" t="n">
        <f aca="false">Costos_Personal!AU$126</f>
        <v>723.7864525</v>
      </c>
      <c r="AV29" s="28" t="n">
        <f aca="false">Costos_Personal!AV$126</f>
        <v>723.7864525</v>
      </c>
      <c r="AW29" s="28" t="n">
        <f aca="false">Costos_Personal!AW$126</f>
        <v>723.7864525</v>
      </c>
      <c r="AX29" s="28" t="n">
        <f aca="false">Costos_Personal!AX$126</f>
        <v>723.7864525</v>
      </c>
      <c r="AY29" s="28" t="n">
        <f aca="false">Costos_Personal!AY$126</f>
        <v>723.7864525</v>
      </c>
      <c r="AZ29" s="28" t="n">
        <f aca="false">Costos_Personal!AZ$126</f>
        <v>723.7864525</v>
      </c>
      <c r="BA29" s="28" t="n">
        <f aca="false">Costos_Personal!BA$126</f>
        <v>723.7864525</v>
      </c>
      <c r="BB29" s="28" t="n">
        <f aca="false">Costos_Personal!BB$126</f>
        <v>723.7864525</v>
      </c>
      <c r="BC29" s="28" t="n">
        <f aca="false">Costos_Personal!BC$126</f>
        <v>731.024317025</v>
      </c>
      <c r="BD29" s="28" t="n">
        <f aca="false">Costos_Personal!BD$126</f>
        <v>731.024317025</v>
      </c>
      <c r="BE29" s="28" t="n">
        <f aca="false">Costos_Personal!BE$126</f>
        <v>731.024317025</v>
      </c>
      <c r="BF29" s="28" t="n">
        <f aca="false">Costos_Personal!BF$126</f>
        <v>731.024317025</v>
      </c>
      <c r="BG29" s="28" t="n">
        <f aca="false">Costos_Personal!BG$126</f>
        <v>731.024317025</v>
      </c>
      <c r="BH29" s="28" t="n">
        <f aca="false">Costos_Personal!BH$126</f>
        <v>731.024317025</v>
      </c>
      <c r="BI29" s="28" t="n">
        <f aca="false">Costos_Personal!BI$126</f>
        <v>731.024317025</v>
      </c>
      <c r="BJ29" s="28" t="n">
        <f aca="false">Costos_Personal!BJ$126</f>
        <v>731.024317025</v>
      </c>
      <c r="BK29" s="28" t="n">
        <f aca="false">Costos_Personal!BK$126</f>
        <v>731.024317025</v>
      </c>
      <c r="BL29" s="28" t="n">
        <f aca="false">Costos_Personal!BL$126</f>
        <v>731.024317025</v>
      </c>
      <c r="BM29" s="28" t="n">
        <f aca="false">Costos_Personal!BM$126</f>
        <v>731.024317025</v>
      </c>
      <c r="BN29" s="28" t="n">
        <f aca="false">Costos_Personal!BN$126</f>
        <v>731.024317025</v>
      </c>
      <c r="BO29" s="28" t="n">
        <f aca="false">Costos_Personal!BO$126</f>
        <v>738.33456019525</v>
      </c>
      <c r="BP29" s="28" t="n">
        <f aca="false">Costos_Personal!BP$126</f>
        <v>738.33456019525</v>
      </c>
      <c r="BQ29" s="28" t="n">
        <f aca="false">Costos_Personal!BQ$126</f>
        <v>738.33456019525</v>
      </c>
      <c r="BR29" s="28" t="n">
        <f aca="false">Costos_Personal!BR$126</f>
        <v>738.33456019525</v>
      </c>
      <c r="BS29" s="28" t="n">
        <f aca="false">Costos_Personal!BS$126</f>
        <v>738.33456019525</v>
      </c>
      <c r="BT29" s="28" t="n">
        <f aca="false">Costos_Personal!BT$126</f>
        <v>738.33456019525</v>
      </c>
      <c r="BU29" s="28" t="n">
        <f aca="false">Costos_Personal!BU$126</f>
        <v>738.33456019525</v>
      </c>
      <c r="BV29" s="28" t="n">
        <f aca="false">Costos_Personal!BV$126</f>
        <v>738.33456019525</v>
      </c>
      <c r="BW29" s="28" t="n">
        <f aca="false">Costos_Personal!BW$126</f>
        <v>738.33456019525</v>
      </c>
      <c r="BX29" s="28" t="n">
        <f aca="false">Costos_Personal!BX$126</f>
        <v>738.33456019525</v>
      </c>
      <c r="BY29" s="28" t="n">
        <f aca="false">Costos_Personal!BY$126</f>
        <v>738.33456019525</v>
      </c>
      <c r="BZ29" s="28" t="n">
        <f aca="false">Costos_Personal!BZ$126</f>
        <v>738.33456019525</v>
      </c>
      <c r="CA29" s="28" t="n">
        <f aca="false">Costos_Personal!CA$126</f>
        <v>745.717905797203</v>
      </c>
      <c r="CB29" s="28" t="n">
        <f aca="false">Costos_Personal!CB$126</f>
        <v>745.717905797203</v>
      </c>
      <c r="CC29" s="28" t="n">
        <f aca="false">Costos_Personal!CC$126</f>
        <v>745.717905797203</v>
      </c>
      <c r="CD29" s="28" t="n">
        <f aca="false">Costos_Personal!CD$126</f>
        <v>745.717905797203</v>
      </c>
      <c r="CE29" s="28" t="n">
        <f aca="false">Costos_Personal!CE$126</f>
        <v>745.717905797203</v>
      </c>
      <c r="CF29" s="28" t="n">
        <f aca="false">Costos_Personal!CF$126</f>
        <v>745.717905797203</v>
      </c>
      <c r="CG29" s="28" t="n">
        <f aca="false">Costos_Personal!CG$126</f>
        <v>745.717905797203</v>
      </c>
      <c r="CH29" s="28" t="n">
        <f aca="false">Costos_Personal!CH$126</f>
        <v>745.717905797203</v>
      </c>
      <c r="CI29" s="28" t="n">
        <f aca="false">Costos_Personal!CI$126</f>
        <v>745.717905797203</v>
      </c>
      <c r="CJ29" s="28" t="n">
        <f aca="false">Costos_Personal!CJ$126</f>
        <v>745.717905797203</v>
      </c>
      <c r="CK29" s="28" t="n">
        <f aca="false">Costos_Personal!CK$126</f>
        <v>745.717905797203</v>
      </c>
      <c r="CL29" s="28" t="n">
        <f aca="false">Costos_Personal!CL$126</f>
        <v>745.717905797203</v>
      </c>
      <c r="CM29" s="28" t="n">
        <f aca="false">Costos_Personal!CM$126</f>
        <v>753.175084855175</v>
      </c>
      <c r="CN29" s="28" t="n">
        <f aca="false">Costos_Personal!CN$126</f>
        <v>753.175084855175</v>
      </c>
      <c r="CO29" s="28" t="n">
        <f aca="false">Costos_Personal!CO$126</f>
        <v>753.175084855175</v>
      </c>
      <c r="CP29" s="28" t="n">
        <f aca="false">Costos_Personal!CP$126</f>
        <v>753.175084855175</v>
      </c>
      <c r="CQ29" s="28" t="n">
        <f aca="false">Costos_Personal!CQ$126</f>
        <v>753.175084855175</v>
      </c>
      <c r="CR29" s="28" t="n">
        <f aca="false">Costos_Personal!CR$126</f>
        <v>753.175084855175</v>
      </c>
      <c r="CS29" s="28" t="n">
        <f aca="false">Costos_Personal!CS$126</f>
        <v>753.175084855175</v>
      </c>
      <c r="CT29" s="28" t="n">
        <f aca="false">Costos_Personal!CT$126</f>
        <v>753.175084855175</v>
      </c>
      <c r="CU29" s="28" t="n">
        <f aca="false">Costos_Personal!CU$126</f>
        <v>753.175084855175</v>
      </c>
      <c r="CV29" s="28" t="n">
        <f aca="false">Costos_Personal!CV$126</f>
        <v>753.175084855175</v>
      </c>
      <c r="CW29" s="28" t="n">
        <f aca="false">Costos_Personal!CW$126</f>
        <v>753.175084855175</v>
      </c>
      <c r="CX29" s="28" t="n">
        <f aca="false">Costos_Personal!CX$126</f>
        <v>753.175084855175</v>
      </c>
      <c r="CY29" s="28" t="n">
        <f aca="false">Costos_Personal!CY$126</f>
        <v>760.706835703726</v>
      </c>
      <c r="CZ29" s="28" t="n">
        <f aca="false">Costos_Personal!CZ$126</f>
        <v>760.706835703726</v>
      </c>
      <c r="DA29" s="28" t="n">
        <f aca="false">Costos_Personal!DA$126</f>
        <v>760.706835703726</v>
      </c>
      <c r="DB29" s="28" t="n">
        <f aca="false">Costos_Personal!DB$126</f>
        <v>760.706835703726</v>
      </c>
      <c r="DC29" s="28" t="n">
        <f aca="false">Costos_Personal!DC$126</f>
        <v>760.706835703726</v>
      </c>
      <c r="DD29" s="28" t="n">
        <f aca="false">Costos_Personal!DD$126</f>
        <v>760.706835703726</v>
      </c>
      <c r="DE29" s="28" t="n">
        <f aca="false">Costos_Personal!DE$126</f>
        <v>760.706835703726</v>
      </c>
      <c r="DF29" s="28" t="n">
        <f aca="false">Costos_Personal!DF$126</f>
        <v>760.706835703726</v>
      </c>
      <c r="DG29" s="28" t="n">
        <f aca="false">Costos_Personal!DG$126</f>
        <v>760.706835703726</v>
      </c>
      <c r="DH29" s="28" t="n">
        <f aca="false">Costos_Personal!DH$126</f>
        <v>760.706835703726</v>
      </c>
      <c r="DI29" s="28" t="n">
        <f aca="false">Costos_Personal!DI$126</f>
        <v>760.706835703726</v>
      </c>
      <c r="DJ29" s="28" t="n">
        <f aca="false">Costos_Personal!DJ$126</f>
        <v>760.706835703726</v>
      </c>
      <c r="DK29" s="28" t="n">
        <f aca="false">Costos_Personal!DK$126</f>
        <v>768.313904060764</v>
      </c>
      <c r="DL29" s="28" t="n">
        <f aca="false">Costos_Personal!DL$126</f>
        <v>768.313904060764</v>
      </c>
      <c r="DM29" s="28" t="n">
        <f aca="false">Costos_Personal!DM$126</f>
        <v>768.313904060764</v>
      </c>
      <c r="DN29" s="28" t="n">
        <f aca="false">Costos_Personal!DN$126</f>
        <v>768.313904060764</v>
      </c>
      <c r="DO29" s="28" t="n">
        <f aca="false">Costos_Personal!DO$126</f>
        <v>768.313904060764</v>
      </c>
      <c r="DP29" s="28" t="n">
        <f aca="false">Costos_Personal!DP$126</f>
        <v>768.313904060764</v>
      </c>
      <c r="DQ29" s="28" t="n">
        <f aca="false">Costos_Personal!DQ$126</f>
        <v>768.313904060764</v>
      </c>
      <c r="DR29" s="28" t="n">
        <f aca="false">Costos_Personal!DR$126</f>
        <v>768.313904060764</v>
      </c>
      <c r="DS29" s="28" t="n">
        <f aca="false">Costos_Personal!DS$126</f>
        <v>768.313904060764</v>
      </c>
      <c r="DT29" s="28" t="n">
        <f aca="false">Costos_Personal!DT$126</f>
        <v>768.313904060764</v>
      </c>
      <c r="DU29" s="28" t="n">
        <f aca="false">Costos_Personal!DU$126</f>
        <v>768.313904060764</v>
      </c>
      <c r="DV29" s="28" t="n">
        <f aca="false">Costos_Personal!DV$126</f>
        <v>768.313904060764</v>
      </c>
      <c r="DW29" s="28" t="n">
        <f aca="false">Costos_Personal!DW$126</f>
        <v>0</v>
      </c>
      <c r="DX29" s="28" t="n">
        <f aca="false">Costos_Personal!DX$126</f>
        <v>0</v>
      </c>
      <c r="DY29" s="28" t="n">
        <f aca="false">Costos_Personal!DY$126</f>
        <v>0</v>
      </c>
      <c r="DZ29" s="28" t="n">
        <f aca="false">Costos_Personal!DZ$126</f>
        <v>0</v>
      </c>
      <c r="EA29" s="28" t="n">
        <f aca="false">Costos_Personal!EA$126</f>
        <v>0</v>
      </c>
      <c r="EB29" s="28" t="n">
        <f aca="false">Costos_Personal!EB$126</f>
        <v>0</v>
      </c>
      <c r="EC29" s="28" t="n">
        <f aca="false">Costos_Personal!EC$126</f>
        <v>0</v>
      </c>
      <c r="ED29" s="28" t="n">
        <f aca="false">Costos_Personal!ED$126</f>
        <v>0</v>
      </c>
      <c r="EE29" s="28" t="n">
        <f aca="false">Costos_Personal!EE$126</f>
        <v>0</v>
      </c>
      <c r="EF29" s="28" t="n">
        <f aca="false">Costos_Personal!EF$126</f>
        <v>0</v>
      </c>
      <c r="EG29" s="28" t="n">
        <f aca="false">Costos_Personal!EG$126</f>
        <v>0</v>
      </c>
      <c r="EH29" s="28" t="n">
        <f aca="false">Costos_Personal!EH$126</f>
        <v>0</v>
      </c>
      <c r="EI29" s="28" t="n">
        <f aca="false">Costos_Personal!EI$126</f>
        <v>0</v>
      </c>
      <c r="EJ29" s="28" t="n">
        <f aca="false">Costos_Personal!EJ$126</f>
        <v>0</v>
      </c>
      <c r="EK29" s="28" t="n">
        <f aca="false">Costos_Personal!EK$126</f>
        <v>0</v>
      </c>
      <c r="EL29" s="28" t="n">
        <f aca="false">Costos_Personal!EL$126</f>
        <v>0</v>
      </c>
      <c r="EM29" s="28" t="n">
        <f aca="false">Costos_Personal!EM$126</f>
        <v>0</v>
      </c>
      <c r="EN29" s="28" t="n">
        <f aca="false">Costos_Personal!EN$126</f>
        <v>0</v>
      </c>
      <c r="EO29" s="28" t="n">
        <f aca="false">Costos_Personal!EO$126</f>
        <v>0</v>
      </c>
      <c r="EP29" s="28" t="n">
        <f aca="false">Costos_Personal!EP$126</f>
        <v>0</v>
      </c>
      <c r="EQ29" s="28" t="n">
        <f aca="false">Costos_Personal!EQ$126</f>
        <v>0</v>
      </c>
      <c r="ER29" s="28" t="n">
        <f aca="false">Costos_Personal!ER$126</f>
        <v>0</v>
      </c>
      <c r="ES29" s="28" t="n">
        <f aca="false">Costos_Personal!ES$126</f>
        <v>0</v>
      </c>
      <c r="ET29" s="28" t="n">
        <f aca="false">Costos_Personal!ET$126</f>
        <v>0</v>
      </c>
      <c r="EU29" s="28" t="n">
        <f aca="false">Costos_Personal!EU$126</f>
        <v>0</v>
      </c>
      <c r="EV29" s="28" t="n">
        <f aca="false">Costos_Personal!EV$126</f>
        <v>0</v>
      </c>
      <c r="EW29" s="28" t="n">
        <f aca="false">Costos_Personal!EW$126</f>
        <v>0</v>
      </c>
      <c r="EX29" s="28" t="n">
        <f aca="false">Costos_Personal!EX$126</f>
        <v>0</v>
      </c>
      <c r="EY29" s="28" t="n">
        <f aca="false">Costos_Personal!EY$126</f>
        <v>0</v>
      </c>
      <c r="EZ29" s="28" t="n">
        <f aca="false">Costos_Personal!EZ$126</f>
        <v>0</v>
      </c>
      <c r="FA29" s="28" t="n">
        <f aca="false">Costos_Personal!FA$126</f>
        <v>0</v>
      </c>
      <c r="FB29" s="28" t="n">
        <f aca="false">Costos_Personal!FB$126</f>
        <v>0</v>
      </c>
      <c r="FC29" s="28" t="n">
        <f aca="false">Costos_Personal!FC$126</f>
        <v>0</v>
      </c>
      <c r="FD29" s="28" t="n">
        <f aca="false">Costos_Personal!FD$126</f>
        <v>0</v>
      </c>
      <c r="FE29" s="28" t="n">
        <f aca="false">Costos_Personal!FE$126</f>
        <v>0</v>
      </c>
      <c r="FF29" s="28" t="n">
        <f aca="false">Costos_Personal!FF$126</f>
        <v>0</v>
      </c>
    </row>
    <row r="30" customFormat="false" ht="15" hidden="false" customHeight="false" outlineLevel="0" collapsed="false">
      <c r="A30" s="2" t="s">
        <v>1482</v>
      </c>
      <c r="B30" s="8" t="s">
        <v>1100</v>
      </c>
      <c r="C30" s="8" t="s">
        <v>255</v>
      </c>
      <c r="E30" s="65" t="n">
        <f aca="false">SUM($F30:$FF30)</f>
        <v>0</v>
      </c>
      <c r="F30" s="28" t="n">
        <f aca="false">Costos_Personal!F$127</f>
        <v>0</v>
      </c>
      <c r="G30" s="28" t="n">
        <f aca="false">Costos_Personal!G$127</f>
        <v>0</v>
      </c>
      <c r="H30" s="28" t="n">
        <f aca="false">Costos_Personal!H$127</f>
        <v>0</v>
      </c>
      <c r="I30" s="28" t="n">
        <f aca="false">Costos_Personal!I$127</f>
        <v>0</v>
      </c>
      <c r="J30" s="28" t="n">
        <f aca="false">Costos_Personal!J$127</f>
        <v>0</v>
      </c>
      <c r="K30" s="28" t="n">
        <f aca="false">Costos_Personal!K$127</f>
        <v>0</v>
      </c>
      <c r="L30" s="28" t="n">
        <f aca="false">Costos_Personal!L$127</f>
        <v>0</v>
      </c>
      <c r="M30" s="28" t="n">
        <f aca="false">Costos_Personal!M$127</f>
        <v>0</v>
      </c>
      <c r="N30" s="28" t="n">
        <f aca="false">Costos_Personal!N$127</f>
        <v>0</v>
      </c>
      <c r="O30" s="28" t="n">
        <f aca="false">Costos_Personal!O$127</f>
        <v>0</v>
      </c>
      <c r="P30" s="28" t="n">
        <f aca="false">Costos_Personal!P$127</f>
        <v>0</v>
      </c>
      <c r="Q30" s="28" t="n">
        <f aca="false">Costos_Personal!Q$127</f>
        <v>0</v>
      </c>
      <c r="R30" s="28" t="n">
        <f aca="false">Costos_Personal!R$127</f>
        <v>0</v>
      </c>
      <c r="S30" s="28" t="n">
        <f aca="false">Costos_Personal!S$127</f>
        <v>0</v>
      </c>
      <c r="T30" s="28" t="n">
        <f aca="false">Costos_Personal!T$127</f>
        <v>0</v>
      </c>
      <c r="U30" s="28" t="n">
        <f aca="false">Costos_Personal!U$127</f>
        <v>0</v>
      </c>
      <c r="V30" s="28" t="n">
        <f aca="false">Costos_Personal!V$127</f>
        <v>0</v>
      </c>
      <c r="W30" s="28" t="n">
        <f aca="false">Costos_Personal!W$127</f>
        <v>0</v>
      </c>
      <c r="X30" s="28" t="n">
        <f aca="false">Costos_Personal!X$127</f>
        <v>0</v>
      </c>
      <c r="Y30" s="28" t="n">
        <f aca="false">Costos_Personal!Y$127</f>
        <v>0</v>
      </c>
      <c r="Z30" s="28" t="n">
        <f aca="false">Costos_Personal!Z$127</f>
        <v>0</v>
      </c>
      <c r="AA30" s="28" t="n">
        <f aca="false">Costos_Personal!AA$127</f>
        <v>0</v>
      </c>
      <c r="AB30" s="28" t="n">
        <f aca="false">Costos_Personal!AB$127</f>
        <v>0</v>
      </c>
      <c r="AC30" s="28" t="n">
        <f aca="false">Costos_Personal!AC$127</f>
        <v>0</v>
      </c>
      <c r="AD30" s="28" t="n">
        <f aca="false">Costos_Personal!AD$127</f>
        <v>0</v>
      </c>
      <c r="AE30" s="28" t="n">
        <f aca="false">Costos_Personal!AE$127</f>
        <v>0</v>
      </c>
      <c r="AF30" s="28" t="n">
        <f aca="false">Costos_Personal!AF$127</f>
        <v>0</v>
      </c>
      <c r="AG30" s="28" t="n">
        <f aca="false">Costos_Personal!AG$127</f>
        <v>0</v>
      </c>
      <c r="AH30" s="28" t="n">
        <f aca="false">Costos_Personal!AH$127</f>
        <v>0</v>
      </c>
      <c r="AI30" s="28" t="n">
        <f aca="false">Costos_Personal!AI$127</f>
        <v>0</v>
      </c>
      <c r="AJ30" s="28" t="n">
        <f aca="false">Costos_Personal!AJ$127</f>
        <v>0</v>
      </c>
      <c r="AK30" s="28" t="n">
        <f aca="false">Costos_Personal!AK$127</f>
        <v>0</v>
      </c>
      <c r="AL30" s="28" t="n">
        <f aca="false">Costos_Personal!AL$127</f>
        <v>0</v>
      </c>
      <c r="AM30" s="28" t="n">
        <f aca="false">Costos_Personal!AM$127</f>
        <v>0</v>
      </c>
      <c r="AN30" s="28" t="n">
        <f aca="false">Costos_Personal!AN$127</f>
        <v>0</v>
      </c>
      <c r="AO30" s="28" t="n">
        <f aca="false">Costos_Personal!AO$127</f>
        <v>0</v>
      </c>
      <c r="AP30" s="28" t="n">
        <f aca="false">Costos_Personal!AP$127</f>
        <v>0</v>
      </c>
      <c r="AQ30" s="28" t="n">
        <f aca="false">Costos_Personal!AQ$127</f>
        <v>0</v>
      </c>
      <c r="AR30" s="28" t="n">
        <f aca="false">Costos_Personal!AR$127</f>
        <v>0</v>
      </c>
      <c r="AS30" s="28" t="n">
        <f aca="false">Costos_Personal!AS$127</f>
        <v>0</v>
      </c>
      <c r="AT30" s="28" t="n">
        <f aca="false">Costos_Personal!AT$127</f>
        <v>0</v>
      </c>
      <c r="AU30" s="28" t="n">
        <f aca="false">Costos_Personal!AU$127</f>
        <v>0</v>
      </c>
      <c r="AV30" s="28" t="n">
        <f aca="false">Costos_Personal!AV$127</f>
        <v>0</v>
      </c>
      <c r="AW30" s="28" t="n">
        <f aca="false">Costos_Personal!AW$127</f>
        <v>0</v>
      </c>
      <c r="AX30" s="28" t="n">
        <f aca="false">Costos_Personal!AX$127</f>
        <v>0</v>
      </c>
      <c r="AY30" s="28" t="n">
        <f aca="false">Costos_Personal!AY$127</f>
        <v>0</v>
      </c>
      <c r="AZ30" s="28" t="n">
        <f aca="false">Costos_Personal!AZ$127</f>
        <v>0</v>
      </c>
      <c r="BA30" s="28" t="n">
        <f aca="false">Costos_Personal!BA$127</f>
        <v>0</v>
      </c>
      <c r="BB30" s="28" t="n">
        <f aca="false">Costos_Personal!BB$127</f>
        <v>0</v>
      </c>
      <c r="BC30" s="28" t="n">
        <f aca="false">Costos_Personal!BC$127</f>
        <v>0</v>
      </c>
      <c r="BD30" s="28" t="n">
        <f aca="false">Costos_Personal!BD$127</f>
        <v>0</v>
      </c>
      <c r="BE30" s="28" t="n">
        <f aca="false">Costos_Personal!BE$127</f>
        <v>0</v>
      </c>
      <c r="BF30" s="28" t="n">
        <f aca="false">Costos_Personal!BF$127</f>
        <v>0</v>
      </c>
      <c r="BG30" s="28" t="n">
        <f aca="false">Costos_Personal!BG$127</f>
        <v>0</v>
      </c>
      <c r="BH30" s="28" t="n">
        <f aca="false">Costos_Personal!BH$127</f>
        <v>0</v>
      </c>
      <c r="BI30" s="28" t="n">
        <f aca="false">Costos_Personal!BI$127</f>
        <v>0</v>
      </c>
      <c r="BJ30" s="28" t="n">
        <f aca="false">Costos_Personal!BJ$127</f>
        <v>0</v>
      </c>
      <c r="BK30" s="28" t="n">
        <f aca="false">Costos_Personal!BK$127</f>
        <v>0</v>
      </c>
      <c r="BL30" s="28" t="n">
        <f aca="false">Costos_Personal!BL$127</f>
        <v>0</v>
      </c>
      <c r="BM30" s="28" t="n">
        <f aca="false">Costos_Personal!BM$127</f>
        <v>0</v>
      </c>
      <c r="BN30" s="28" t="n">
        <f aca="false">Costos_Personal!BN$127</f>
        <v>0</v>
      </c>
      <c r="BO30" s="28" t="n">
        <f aca="false">Costos_Personal!BO$127</f>
        <v>0</v>
      </c>
      <c r="BP30" s="28" t="n">
        <f aca="false">Costos_Personal!BP$127</f>
        <v>0</v>
      </c>
      <c r="BQ30" s="28" t="n">
        <f aca="false">Costos_Personal!BQ$127</f>
        <v>0</v>
      </c>
      <c r="BR30" s="28" t="n">
        <f aca="false">Costos_Personal!BR$127</f>
        <v>0</v>
      </c>
      <c r="BS30" s="28" t="n">
        <f aca="false">Costos_Personal!BS$127</f>
        <v>0</v>
      </c>
      <c r="BT30" s="28" t="n">
        <f aca="false">Costos_Personal!BT$127</f>
        <v>0</v>
      </c>
      <c r="BU30" s="28" t="n">
        <f aca="false">Costos_Personal!BU$127</f>
        <v>0</v>
      </c>
      <c r="BV30" s="28" t="n">
        <f aca="false">Costos_Personal!BV$127</f>
        <v>0</v>
      </c>
      <c r="BW30" s="28" t="n">
        <f aca="false">Costos_Personal!BW$127</f>
        <v>0</v>
      </c>
      <c r="BX30" s="28" t="n">
        <f aca="false">Costos_Personal!BX$127</f>
        <v>0</v>
      </c>
      <c r="BY30" s="28" t="n">
        <f aca="false">Costos_Personal!BY$127</f>
        <v>0</v>
      </c>
      <c r="BZ30" s="28" t="n">
        <f aca="false">Costos_Personal!BZ$127</f>
        <v>0</v>
      </c>
      <c r="CA30" s="28" t="n">
        <f aca="false">Costos_Personal!CA$127</f>
        <v>0</v>
      </c>
      <c r="CB30" s="28" t="n">
        <f aca="false">Costos_Personal!CB$127</f>
        <v>0</v>
      </c>
      <c r="CC30" s="28" t="n">
        <f aca="false">Costos_Personal!CC$127</f>
        <v>0</v>
      </c>
      <c r="CD30" s="28" t="n">
        <f aca="false">Costos_Personal!CD$127</f>
        <v>0</v>
      </c>
      <c r="CE30" s="28" t="n">
        <f aca="false">Costos_Personal!CE$127</f>
        <v>0</v>
      </c>
      <c r="CF30" s="28" t="n">
        <f aca="false">Costos_Personal!CF$127</f>
        <v>0</v>
      </c>
      <c r="CG30" s="28" t="n">
        <f aca="false">Costos_Personal!CG$127</f>
        <v>0</v>
      </c>
      <c r="CH30" s="28" t="n">
        <f aca="false">Costos_Personal!CH$127</f>
        <v>0</v>
      </c>
      <c r="CI30" s="28" t="n">
        <f aca="false">Costos_Personal!CI$127</f>
        <v>0</v>
      </c>
      <c r="CJ30" s="28" t="n">
        <f aca="false">Costos_Personal!CJ$127</f>
        <v>0</v>
      </c>
      <c r="CK30" s="28" t="n">
        <f aca="false">Costos_Personal!CK$127</f>
        <v>0</v>
      </c>
      <c r="CL30" s="28" t="n">
        <f aca="false">Costos_Personal!CL$127</f>
        <v>0</v>
      </c>
      <c r="CM30" s="28" t="n">
        <f aca="false">Costos_Personal!CM$127</f>
        <v>0</v>
      </c>
      <c r="CN30" s="28" t="n">
        <f aca="false">Costos_Personal!CN$127</f>
        <v>0</v>
      </c>
      <c r="CO30" s="28" t="n">
        <f aca="false">Costos_Personal!CO$127</f>
        <v>0</v>
      </c>
      <c r="CP30" s="28" t="n">
        <f aca="false">Costos_Personal!CP$127</f>
        <v>0</v>
      </c>
      <c r="CQ30" s="28" t="n">
        <f aca="false">Costos_Personal!CQ$127</f>
        <v>0</v>
      </c>
      <c r="CR30" s="28" t="n">
        <f aca="false">Costos_Personal!CR$127</f>
        <v>0</v>
      </c>
      <c r="CS30" s="28" t="n">
        <f aca="false">Costos_Personal!CS$127</f>
        <v>0</v>
      </c>
      <c r="CT30" s="28" t="n">
        <f aca="false">Costos_Personal!CT$127</f>
        <v>0</v>
      </c>
      <c r="CU30" s="28" t="n">
        <f aca="false">Costos_Personal!CU$127</f>
        <v>0</v>
      </c>
      <c r="CV30" s="28" t="n">
        <f aca="false">Costos_Personal!CV$127</f>
        <v>0</v>
      </c>
      <c r="CW30" s="28" t="n">
        <f aca="false">Costos_Personal!CW$127</f>
        <v>0</v>
      </c>
      <c r="CX30" s="28" t="n">
        <f aca="false">Costos_Personal!CX$127</f>
        <v>0</v>
      </c>
      <c r="CY30" s="28" t="n">
        <f aca="false">Costos_Personal!CY$127</f>
        <v>0</v>
      </c>
      <c r="CZ30" s="28" t="n">
        <f aca="false">Costos_Personal!CZ$127</f>
        <v>0</v>
      </c>
      <c r="DA30" s="28" t="n">
        <f aca="false">Costos_Personal!DA$127</f>
        <v>0</v>
      </c>
      <c r="DB30" s="28" t="n">
        <f aca="false">Costos_Personal!DB$127</f>
        <v>0</v>
      </c>
      <c r="DC30" s="28" t="n">
        <f aca="false">Costos_Personal!DC$127</f>
        <v>0</v>
      </c>
      <c r="DD30" s="28" t="n">
        <f aca="false">Costos_Personal!DD$127</f>
        <v>0</v>
      </c>
      <c r="DE30" s="28" t="n">
        <f aca="false">Costos_Personal!DE$127</f>
        <v>0</v>
      </c>
      <c r="DF30" s="28" t="n">
        <f aca="false">Costos_Personal!DF$127</f>
        <v>0</v>
      </c>
      <c r="DG30" s="28" t="n">
        <f aca="false">Costos_Personal!DG$127</f>
        <v>0</v>
      </c>
      <c r="DH30" s="28" t="n">
        <f aca="false">Costos_Personal!DH$127</f>
        <v>0</v>
      </c>
      <c r="DI30" s="28" t="n">
        <f aca="false">Costos_Personal!DI$127</f>
        <v>0</v>
      </c>
      <c r="DJ30" s="28" t="n">
        <f aca="false">Costos_Personal!DJ$127</f>
        <v>0</v>
      </c>
      <c r="DK30" s="28" t="n">
        <f aca="false">Costos_Personal!DK$127</f>
        <v>0</v>
      </c>
      <c r="DL30" s="28" t="n">
        <f aca="false">Costos_Personal!DL$127</f>
        <v>0</v>
      </c>
      <c r="DM30" s="28" t="n">
        <f aca="false">Costos_Personal!DM$127</f>
        <v>0</v>
      </c>
      <c r="DN30" s="28" t="n">
        <f aca="false">Costos_Personal!DN$127</f>
        <v>0</v>
      </c>
      <c r="DO30" s="28" t="n">
        <f aca="false">Costos_Personal!DO$127</f>
        <v>0</v>
      </c>
      <c r="DP30" s="28" t="n">
        <f aca="false">Costos_Personal!DP$127</f>
        <v>0</v>
      </c>
      <c r="DQ30" s="28" t="n">
        <f aca="false">Costos_Personal!DQ$127</f>
        <v>0</v>
      </c>
      <c r="DR30" s="28" t="n">
        <f aca="false">Costos_Personal!DR$127</f>
        <v>0</v>
      </c>
      <c r="DS30" s="28" t="n">
        <f aca="false">Costos_Personal!DS$127</f>
        <v>0</v>
      </c>
      <c r="DT30" s="28" t="n">
        <f aca="false">Costos_Personal!DT$127</f>
        <v>0</v>
      </c>
      <c r="DU30" s="28" t="n">
        <f aca="false">Costos_Personal!DU$127</f>
        <v>0</v>
      </c>
      <c r="DV30" s="28" t="n">
        <f aca="false">Costos_Personal!DV$127</f>
        <v>0</v>
      </c>
      <c r="DW30" s="28" t="n">
        <f aca="false">Costos_Personal!DW$127</f>
        <v>0</v>
      </c>
      <c r="DX30" s="28" t="n">
        <f aca="false">Costos_Personal!DX$127</f>
        <v>0</v>
      </c>
      <c r="DY30" s="28" t="n">
        <f aca="false">Costos_Personal!DY$127</f>
        <v>0</v>
      </c>
      <c r="DZ30" s="28" t="n">
        <f aca="false">Costos_Personal!DZ$127</f>
        <v>0</v>
      </c>
      <c r="EA30" s="28" t="n">
        <f aca="false">Costos_Personal!EA$127</f>
        <v>0</v>
      </c>
      <c r="EB30" s="28" t="n">
        <f aca="false">Costos_Personal!EB$127</f>
        <v>0</v>
      </c>
      <c r="EC30" s="28" t="n">
        <f aca="false">Costos_Personal!EC$127</f>
        <v>0</v>
      </c>
      <c r="ED30" s="28" t="n">
        <f aca="false">Costos_Personal!ED$127</f>
        <v>0</v>
      </c>
      <c r="EE30" s="28" t="n">
        <f aca="false">Costos_Personal!EE$127</f>
        <v>0</v>
      </c>
      <c r="EF30" s="28" t="n">
        <f aca="false">Costos_Personal!EF$127</f>
        <v>0</v>
      </c>
      <c r="EG30" s="28" t="n">
        <f aca="false">Costos_Personal!EG$127</f>
        <v>0</v>
      </c>
      <c r="EH30" s="28" t="n">
        <f aca="false">Costos_Personal!EH$127</f>
        <v>0</v>
      </c>
      <c r="EI30" s="28" t="n">
        <f aca="false">Costos_Personal!EI$127</f>
        <v>0</v>
      </c>
      <c r="EJ30" s="28" t="n">
        <f aca="false">Costos_Personal!EJ$127</f>
        <v>0</v>
      </c>
      <c r="EK30" s="28" t="n">
        <f aca="false">Costos_Personal!EK$127</f>
        <v>0</v>
      </c>
      <c r="EL30" s="28" t="n">
        <f aca="false">Costos_Personal!EL$127</f>
        <v>0</v>
      </c>
      <c r="EM30" s="28" t="n">
        <f aca="false">Costos_Personal!EM$127</f>
        <v>0</v>
      </c>
      <c r="EN30" s="28" t="n">
        <f aca="false">Costos_Personal!EN$127</f>
        <v>0</v>
      </c>
      <c r="EO30" s="28" t="n">
        <f aca="false">Costos_Personal!EO$127</f>
        <v>0</v>
      </c>
      <c r="EP30" s="28" t="n">
        <f aca="false">Costos_Personal!EP$127</f>
        <v>0</v>
      </c>
      <c r="EQ30" s="28" t="n">
        <f aca="false">Costos_Personal!EQ$127</f>
        <v>0</v>
      </c>
      <c r="ER30" s="28" t="n">
        <f aca="false">Costos_Personal!ER$127</f>
        <v>0</v>
      </c>
      <c r="ES30" s="28" t="n">
        <f aca="false">Costos_Personal!ES$127</f>
        <v>0</v>
      </c>
      <c r="ET30" s="28" t="n">
        <f aca="false">Costos_Personal!ET$127</f>
        <v>0</v>
      </c>
      <c r="EU30" s="28" t="n">
        <f aca="false">Costos_Personal!EU$127</f>
        <v>0</v>
      </c>
      <c r="EV30" s="28" t="n">
        <f aca="false">Costos_Personal!EV$127</f>
        <v>0</v>
      </c>
      <c r="EW30" s="28" t="n">
        <f aca="false">Costos_Personal!EW$127</f>
        <v>0</v>
      </c>
      <c r="EX30" s="28" t="n">
        <f aca="false">Costos_Personal!EX$127</f>
        <v>0</v>
      </c>
      <c r="EY30" s="28" t="n">
        <f aca="false">Costos_Personal!EY$127</f>
        <v>0</v>
      </c>
      <c r="EZ30" s="28" t="n">
        <f aca="false">Costos_Personal!EZ$127</f>
        <v>0</v>
      </c>
      <c r="FA30" s="28" t="n">
        <f aca="false">Costos_Personal!FA$127</f>
        <v>0</v>
      </c>
      <c r="FB30" s="28" t="n">
        <f aca="false">Costos_Personal!FB$127</f>
        <v>0</v>
      </c>
      <c r="FC30" s="28" t="n">
        <f aca="false">Costos_Personal!FC$127</f>
        <v>0</v>
      </c>
      <c r="FD30" s="28" t="n">
        <f aca="false">Costos_Personal!FD$127</f>
        <v>0</v>
      </c>
      <c r="FE30" s="28" t="n">
        <f aca="false">Costos_Personal!FE$127</f>
        <v>0</v>
      </c>
      <c r="FF30" s="28" t="n">
        <f aca="false">Costos_Personal!FF$127</f>
        <v>0</v>
      </c>
    </row>
    <row r="31" customFormat="false" ht="15" hidden="false" customHeight="false" outlineLevel="0" collapsed="false">
      <c r="A31" s="2" t="s">
        <v>1483</v>
      </c>
      <c r="B31" s="8" t="s">
        <v>629</v>
      </c>
      <c r="C31" s="8" t="s">
        <v>255</v>
      </c>
      <c r="E31" s="65" t="n">
        <f aca="false">SUM($F31:$FF31)</f>
        <v>0</v>
      </c>
      <c r="F31" s="28" t="n">
        <f aca="false">Capital_Trabajo!F$16</f>
        <v>0</v>
      </c>
      <c r="G31" s="28" t="n">
        <f aca="false">Capital_Trabajo!G$16</f>
        <v>0</v>
      </c>
      <c r="H31" s="28" t="n">
        <f aca="false">Capital_Trabajo!H$16</f>
        <v>0</v>
      </c>
      <c r="I31" s="28" t="n">
        <f aca="false">Capital_Trabajo!I$16</f>
        <v>0</v>
      </c>
      <c r="J31" s="28" t="n">
        <f aca="false">Capital_Trabajo!J$16</f>
        <v>0</v>
      </c>
      <c r="K31" s="28" t="n">
        <f aca="false">Capital_Trabajo!K$16</f>
        <v>0</v>
      </c>
      <c r="L31" s="28" t="n">
        <f aca="false">Capital_Trabajo!L$16</f>
        <v>0</v>
      </c>
      <c r="M31" s="28" t="n">
        <f aca="false">Capital_Trabajo!M$16</f>
        <v>0</v>
      </c>
      <c r="N31" s="28" t="n">
        <f aca="false">Capital_Trabajo!N$16</f>
        <v>0</v>
      </c>
      <c r="O31" s="28" t="n">
        <f aca="false">Capital_Trabajo!O$16</f>
        <v>0</v>
      </c>
      <c r="P31" s="28" t="n">
        <f aca="false">Capital_Trabajo!P$16</f>
        <v>0</v>
      </c>
      <c r="Q31" s="28" t="n">
        <f aca="false">Capital_Trabajo!Q$16</f>
        <v>0</v>
      </c>
      <c r="R31" s="28" t="n">
        <f aca="false">Capital_Trabajo!R$16</f>
        <v>0</v>
      </c>
      <c r="S31" s="28" t="n">
        <f aca="false">Capital_Trabajo!S$16</f>
        <v>0</v>
      </c>
      <c r="T31" s="28" t="n">
        <f aca="false">Capital_Trabajo!T$16</f>
        <v>0</v>
      </c>
      <c r="U31" s="28" t="n">
        <f aca="false">Capital_Trabajo!U$16</f>
        <v>0</v>
      </c>
      <c r="V31" s="28" t="n">
        <f aca="false">Capital_Trabajo!V$16</f>
        <v>0</v>
      </c>
      <c r="W31" s="28" t="n">
        <f aca="false">Capital_Trabajo!W$16</f>
        <v>0</v>
      </c>
      <c r="X31" s="28" t="n">
        <f aca="false">Capital_Trabajo!X$16</f>
        <v>0</v>
      </c>
      <c r="Y31" s="28" t="n">
        <f aca="false">Capital_Trabajo!Y$16</f>
        <v>0</v>
      </c>
      <c r="Z31" s="28" t="n">
        <f aca="false">Capital_Trabajo!Z$16</f>
        <v>0</v>
      </c>
      <c r="AA31" s="28" t="n">
        <f aca="false">Capital_Trabajo!AA$16</f>
        <v>0</v>
      </c>
      <c r="AB31" s="28" t="n">
        <f aca="false">Capital_Trabajo!AB$16</f>
        <v>0</v>
      </c>
      <c r="AC31" s="28" t="n">
        <f aca="false">Capital_Trabajo!AC$16</f>
        <v>0</v>
      </c>
      <c r="AD31" s="28" t="n">
        <f aca="false">Capital_Trabajo!AD$16</f>
        <v>0</v>
      </c>
      <c r="AE31" s="28" t="n">
        <f aca="false">Capital_Trabajo!AE$16</f>
        <v>0</v>
      </c>
      <c r="AF31" s="28" t="n">
        <f aca="false">Capital_Trabajo!AF$16</f>
        <v>0</v>
      </c>
      <c r="AG31" s="28" t="n">
        <f aca="false">Capital_Trabajo!AG$16</f>
        <v>0</v>
      </c>
      <c r="AH31" s="28" t="n">
        <f aca="false">Capital_Trabajo!AH$16</f>
        <v>0</v>
      </c>
      <c r="AI31" s="28" t="n">
        <f aca="false">Capital_Trabajo!AI$16</f>
        <v>0</v>
      </c>
      <c r="AJ31" s="28" t="n">
        <f aca="false">Capital_Trabajo!AJ$16</f>
        <v>0</v>
      </c>
      <c r="AK31" s="28" t="n">
        <f aca="false">Capital_Trabajo!AK$16</f>
        <v>0</v>
      </c>
      <c r="AL31" s="28" t="n">
        <f aca="false">Capital_Trabajo!AL$16</f>
        <v>0</v>
      </c>
      <c r="AM31" s="28" t="n">
        <f aca="false">Capital_Trabajo!AM$16</f>
        <v>0</v>
      </c>
      <c r="AN31" s="28" t="n">
        <f aca="false">Capital_Trabajo!AN$16</f>
        <v>0</v>
      </c>
      <c r="AO31" s="28" t="n">
        <f aca="false">Capital_Trabajo!AO$16</f>
        <v>0</v>
      </c>
      <c r="AP31" s="28" t="n">
        <f aca="false">Capital_Trabajo!AP$16</f>
        <v>0</v>
      </c>
      <c r="AQ31" s="28" t="n">
        <f aca="false">Capital_Trabajo!AQ$16</f>
        <v>0</v>
      </c>
      <c r="AR31" s="28" t="n">
        <f aca="false">Capital_Trabajo!AR$16</f>
        <v>0</v>
      </c>
      <c r="AS31" s="28" t="n">
        <f aca="false">Capital_Trabajo!AS$16</f>
        <v>0</v>
      </c>
      <c r="AT31" s="28" t="n">
        <f aca="false">Capital_Trabajo!AT$16</f>
        <v>0</v>
      </c>
      <c r="AU31" s="28" t="n">
        <f aca="false">Capital_Trabajo!AU$16</f>
        <v>0</v>
      </c>
      <c r="AV31" s="28" t="n">
        <f aca="false">Capital_Trabajo!AV$16</f>
        <v>0</v>
      </c>
      <c r="AW31" s="28" t="n">
        <f aca="false">Capital_Trabajo!AW$16</f>
        <v>0</v>
      </c>
      <c r="AX31" s="28" t="n">
        <f aca="false">Capital_Trabajo!AX$16</f>
        <v>0</v>
      </c>
      <c r="AY31" s="28" t="n">
        <f aca="false">Capital_Trabajo!AY$16</f>
        <v>0</v>
      </c>
      <c r="AZ31" s="28" t="n">
        <f aca="false">Capital_Trabajo!AZ$16</f>
        <v>0</v>
      </c>
      <c r="BA31" s="28" t="n">
        <f aca="false">Capital_Trabajo!BA$16</f>
        <v>0</v>
      </c>
      <c r="BB31" s="28" t="n">
        <f aca="false">Capital_Trabajo!BB$16</f>
        <v>0</v>
      </c>
      <c r="BC31" s="28" t="n">
        <f aca="false">Capital_Trabajo!BC$16</f>
        <v>0</v>
      </c>
      <c r="BD31" s="28" t="n">
        <f aca="false">Capital_Trabajo!BD$16</f>
        <v>0</v>
      </c>
      <c r="BE31" s="28" t="n">
        <f aca="false">Capital_Trabajo!BE$16</f>
        <v>0</v>
      </c>
      <c r="BF31" s="28" t="n">
        <f aca="false">Capital_Trabajo!BF$16</f>
        <v>0</v>
      </c>
      <c r="BG31" s="28" t="n">
        <f aca="false">Capital_Trabajo!BG$16</f>
        <v>0</v>
      </c>
      <c r="BH31" s="28" t="n">
        <f aca="false">Capital_Trabajo!BH$16</f>
        <v>0</v>
      </c>
      <c r="BI31" s="28" t="n">
        <f aca="false">Capital_Trabajo!BI$16</f>
        <v>0</v>
      </c>
      <c r="BJ31" s="28" t="n">
        <f aca="false">Capital_Trabajo!BJ$16</f>
        <v>0</v>
      </c>
      <c r="BK31" s="28" t="n">
        <f aca="false">Capital_Trabajo!BK$16</f>
        <v>0</v>
      </c>
      <c r="BL31" s="28" t="n">
        <f aca="false">Capital_Trabajo!BL$16</f>
        <v>0</v>
      </c>
      <c r="BM31" s="28" t="n">
        <f aca="false">Capital_Trabajo!BM$16</f>
        <v>0</v>
      </c>
      <c r="BN31" s="28" t="n">
        <f aca="false">Capital_Trabajo!BN$16</f>
        <v>0</v>
      </c>
      <c r="BO31" s="28" t="n">
        <f aca="false">Capital_Trabajo!BO$16</f>
        <v>0</v>
      </c>
      <c r="BP31" s="28" t="n">
        <f aca="false">Capital_Trabajo!BP$16</f>
        <v>0</v>
      </c>
      <c r="BQ31" s="28" t="n">
        <f aca="false">Capital_Trabajo!BQ$16</f>
        <v>0</v>
      </c>
      <c r="BR31" s="28" t="n">
        <f aca="false">Capital_Trabajo!BR$16</f>
        <v>0</v>
      </c>
      <c r="BS31" s="28" t="n">
        <f aca="false">Capital_Trabajo!BS$16</f>
        <v>0</v>
      </c>
      <c r="BT31" s="28" t="n">
        <f aca="false">Capital_Trabajo!BT$16</f>
        <v>0</v>
      </c>
      <c r="BU31" s="28" t="n">
        <f aca="false">Capital_Trabajo!BU$16</f>
        <v>0</v>
      </c>
      <c r="BV31" s="28" t="n">
        <f aca="false">Capital_Trabajo!BV$16</f>
        <v>0</v>
      </c>
      <c r="BW31" s="28" t="n">
        <f aca="false">Capital_Trabajo!BW$16</f>
        <v>0</v>
      </c>
      <c r="BX31" s="28" t="n">
        <f aca="false">Capital_Trabajo!BX$16</f>
        <v>0</v>
      </c>
      <c r="BY31" s="28" t="n">
        <f aca="false">Capital_Trabajo!BY$16</f>
        <v>0</v>
      </c>
      <c r="BZ31" s="28" t="n">
        <f aca="false">Capital_Trabajo!BZ$16</f>
        <v>0</v>
      </c>
      <c r="CA31" s="28" t="n">
        <f aca="false">Capital_Trabajo!CA$16</f>
        <v>0</v>
      </c>
      <c r="CB31" s="28" t="n">
        <f aca="false">Capital_Trabajo!CB$16</f>
        <v>0</v>
      </c>
      <c r="CC31" s="28" t="n">
        <f aca="false">Capital_Trabajo!CC$16</f>
        <v>0</v>
      </c>
      <c r="CD31" s="28" t="n">
        <f aca="false">Capital_Trabajo!CD$16</f>
        <v>0</v>
      </c>
      <c r="CE31" s="28" t="n">
        <f aca="false">Capital_Trabajo!CE$16</f>
        <v>0</v>
      </c>
      <c r="CF31" s="28" t="n">
        <f aca="false">Capital_Trabajo!CF$16</f>
        <v>0</v>
      </c>
      <c r="CG31" s="28" t="n">
        <f aca="false">Capital_Trabajo!CG$16</f>
        <v>0</v>
      </c>
      <c r="CH31" s="28" t="n">
        <f aca="false">Capital_Trabajo!CH$16</f>
        <v>0</v>
      </c>
      <c r="CI31" s="28" t="n">
        <f aca="false">Capital_Trabajo!CI$16</f>
        <v>0</v>
      </c>
      <c r="CJ31" s="28" t="n">
        <f aca="false">Capital_Trabajo!CJ$16</f>
        <v>0</v>
      </c>
      <c r="CK31" s="28" t="n">
        <f aca="false">Capital_Trabajo!CK$16</f>
        <v>0</v>
      </c>
      <c r="CL31" s="28" t="n">
        <f aca="false">Capital_Trabajo!CL$16</f>
        <v>0</v>
      </c>
      <c r="CM31" s="28" t="n">
        <f aca="false">Capital_Trabajo!CM$16</f>
        <v>0</v>
      </c>
      <c r="CN31" s="28" t="n">
        <f aca="false">Capital_Trabajo!CN$16</f>
        <v>0</v>
      </c>
      <c r="CO31" s="28" t="n">
        <f aca="false">Capital_Trabajo!CO$16</f>
        <v>0</v>
      </c>
      <c r="CP31" s="28" t="n">
        <f aca="false">Capital_Trabajo!CP$16</f>
        <v>0</v>
      </c>
      <c r="CQ31" s="28" t="n">
        <f aca="false">Capital_Trabajo!CQ$16</f>
        <v>0</v>
      </c>
      <c r="CR31" s="28" t="n">
        <f aca="false">Capital_Trabajo!CR$16</f>
        <v>0</v>
      </c>
      <c r="CS31" s="28" t="n">
        <f aca="false">Capital_Trabajo!CS$16</f>
        <v>0</v>
      </c>
      <c r="CT31" s="28" t="n">
        <f aca="false">Capital_Trabajo!CT$16</f>
        <v>0</v>
      </c>
      <c r="CU31" s="28" t="n">
        <f aca="false">Capital_Trabajo!CU$16</f>
        <v>0</v>
      </c>
      <c r="CV31" s="28" t="n">
        <f aca="false">Capital_Trabajo!CV$16</f>
        <v>0</v>
      </c>
      <c r="CW31" s="28" t="n">
        <f aca="false">Capital_Trabajo!CW$16</f>
        <v>0</v>
      </c>
      <c r="CX31" s="28" t="n">
        <f aca="false">Capital_Trabajo!CX$16</f>
        <v>0</v>
      </c>
      <c r="CY31" s="28" t="n">
        <f aca="false">Capital_Trabajo!CY$16</f>
        <v>0</v>
      </c>
      <c r="CZ31" s="28" t="n">
        <f aca="false">Capital_Trabajo!CZ$16</f>
        <v>0</v>
      </c>
      <c r="DA31" s="28" t="n">
        <f aca="false">Capital_Trabajo!DA$16</f>
        <v>0</v>
      </c>
      <c r="DB31" s="28" t="n">
        <f aca="false">Capital_Trabajo!DB$16</f>
        <v>0</v>
      </c>
      <c r="DC31" s="28" t="n">
        <f aca="false">Capital_Trabajo!DC$16</f>
        <v>0</v>
      </c>
      <c r="DD31" s="28" t="n">
        <f aca="false">Capital_Trabajo!DD$16</f>
        <v>0</v>
      </c>
      <c r="DE31" s="28" t="n">
        <f aca="false">Capital_Trabajo!DE$16</f>
        <v>0</v>
      </c>
      <c r="DF31" s="28" t="n">
        <f aca="false">Capital_Trabajo!DF$16</f>
        <v>0</v>
      </c>
      <c r="DG31" s="28" t="n">
        <f aca="false">Capital_Trabajo!DG$16</f>
        <v>0</v>
      </c>
      <c r="DH31" s="28" t="n">
        <f aca="false">Capital_Trabajo!DH$16</f>
        <v>0</v>
      </c>
      <c r="DI31" s="28" t="n">
        <f aca="false">Capital_Trabajo!DI$16</f>
        <v>0</v>
      </c>
      <c r="DJ31" s="28" t="n">
        <f aca="false">Capital_Trabajo!DJ$16</f>
        <v>0</v>
      </c>
      <c r="DK31" s="28" t="n">
        <f aca="false">Capital_Trabajo!DK$16</f>
        <v>0</v>
      </c>
      <c r="DL31" s="28" t="n">
        <f aca="false">Capital_Trabajo!DL$16</f>
        <v>0</v>
      </c>
      <c r="DM31" s="28" t="n">
        <f aca="false">Capital_Trabajo!DM$16</f>
        <v>0</v>
      </c>
      <c r="DN31" s="28" t="n">
        <f aca="false">Capital_Trabajo!DN$16</f>
        <v>0</v>
      </c>
      <c r="DO31" s="28" t="n">
        <f aca="false">Capital_Trabajo!DO$16</f>
        <v>0</v>
      </c>
      <c r="DP31" s="28" t="n">
        <f aca="false">Capital_Trabajo!DP$16</f>
        <v>0</v>
      </c>
      <c r="DQ31" s="28" t="n">
        <f aca="false">Capital_Trabajo!DQ$16</f>
        <v>0</v>
      </c>
      <c r="DR31" s="28" t="n">
        <f aca="false">Capital_Trabajo!DR$16</f>
        <v>0</v>
      </c>
      <c r="DS31" s="28" t="n">
        <f aca="false">Capital_Trabajo!DS$16</f>
        <v>0</v>
      </c>
      <c r="DT31" s="28" t="n">
        <f aca="false">Capital_Trabajo!DT$16</f>
        <v>0</v>
      </c>
      <c r="DU31" s="28" t="n">
        <f aca="false">Capital_Trabajo!DU$16</f>
        <v>0</v>
      </c>
      <c r="DV31" s="28" t="n">
        <f aca="false">Capital_Trabajo!DV$16</f>
        <v>0</v>
      </c>
      <c r="DW31" s="28" t="n">
        <f aca="false">Capital_Trabajo!DW$16</f>
        <v>0</v>
      </c>
      <c r="DX31" s="28" t="n">
        <f aca="false">Capital_Trabajo!DX$16</f>
        <v>0</v>
      </c>
      <c r="DY31" s="28" t="n">
        <f aca="false">Capital_Trabajo!DY$16</f>
        <v>0</v>
      </c>
      <c r="DZ31" s="28" t="n">
        <f aca="false">Capital_Trabajo!DZ$16</f>
        <v>0</v>
      </c>
      <c r="EA31" s="28" t="n">
        <f aca="false">Capital_Trabajo!EA$16</f>
        <v>0</v>
      </c>
      <c r="EB31" s="28" t="n">
        <f aca="false">Capital_Trabajo!EB$16</f>
        <v>0</v>
      </c>
      <c r="EC31" s="28" t="n">
        <f aca="false">Capital_Trabajo!EC$16</f>
        <v>0</v>
      </c>
      <c r="ED31" s="28" t="n">
        <f aca="false">Capital_Trabajo!ED$16</f>
        <v>0</v>
      </c>
      <c r="EE31" s="28" t="n">
        <f aca="false">Capital_Trabajo!EE$16</f>
        <v>0</v>
      </c>
      <c r="EF31" s="28" t="n">
        <f aca="false">Capital_Trabajo!EF$16</f>
        <v>0</v>
      </c>
      <c r="EG31" s="28" t="n">
        <f aca="false">Capital_Trabajo!EG$16</f>
        <v>0</v>
      </c>
      <c r="EH31" s="28" t="n">
        <f aca="false">Capital_Trabajo!EH$16</f>
        <v>0</v>
      </c>
      <c r="EI31" s="28" t="n">
        <f aca="false">Capital_Trabajo!EI$16</f>
        <v>0</v>
      </c>
      <c r="EJ31" s="28" t="n">
        <f aca="false">Capital_Trabajo!EJ$16</f>
        <v>0</v>
      </c>
      <c r="EK31" s="28" t="n">
        <f aca="false">Capital_Trabajo!EK$16</f>
        <v>0</v>
      </c>
      <c r="EL31" s="28" t="n">
        <f aca="false">Capital_Trabajo!EL$16</f>
        <v>0</v>
      </c>
      <c r="EM31" s="28" t="n">
        <f aca="false">Capital_Trabajo!EM$16</f>
        <v>0</v>
      </c>
      <c r="EN31" s="28" t="n">
        <f aca="false">Capital_Trabajo!EN$16</f>
        <v>0</v>
      </c>
      <c r="EO31" s="28" t="n">
        <f aca="false">Capital_Trabajo!EO$16</f>
        <v>0</v>
      </c>
      <c r="EP31" s="28" t="n">
        <f aca="false">Capital_Trabajo!EP$16</f>
        <v>0</v>
      </c>
      <c r="EQ31" s="28" t="n">
        <f aca="false">Capital_Trabajo!EQ$16</f>
        <v>0</v>
      </c>
      <c r="ER31" s="28" t="n">
        <f aca="false">Capital_Trabajo!ER$16</f>
        <v>0</v>
      </c>
      <c r="ES31" s="28" t="n">
        <f aca="false">Capital_Trabajo!ES$16</f>
        <v>0</v>
      </c>
      <c r="ET31" s="28" t="n">
        <f aca="false">Capital_Trabajo!ET$16</f>
        <v>0</v>
      </c>
      <c r="EU31" s="28" t="n">
        <f aca="false">Capital_Trabajo!EU$16</f>
        <v>0</v>
      </c>
      <c r="EV31" s="28" t="n">
        <f aca="false">Capital_Trabajo!EV$16</f>
        <v>0</v>
      </c>
      <c r="EW31" s="28" t="n">
        <f aca="false">Capital_Trabajo!EW$16</f>
        <v>0</v>
      </c>
      <c r="EX31" s="28" t="n">
        <f aca="false">Capital_Trabajo!EX$16</f>
        <v>0</v>
      </c>
      <c r="EY31" s="28" t="n">
        <f aca="false">Capital_Trabajo!EY$16</f>
        <v>0</v>
      </c>
      <c r="EZ31" s="28" t="n">
        <f aca="false">Capital_Trabajo!EZ$16</f>
        <v>0</v>
      </c>
      <c r="FA31" s="28" t="n">
        <f aca="false">Capital_Trabajo!FA$16</f>
        <v>0</v>
      </c>
      <c r="FB31" s="28" t="n">
        <f aca="false">Capital_Trabajo!FB$16</f>
        <v>0</v>
      </c>
      <c r="FC31" s="28" t="n">
        <f aca="false">Capital_Trabajo!FC$16</f>
        <v>0</v>
      </c>
      <c r="FD31" s="28" t="n">
        <f aca="false">Capital_Trabajo!FD$16</f>
        <v>0</v>
      </c>
      <c r="FE31" s="28" t="n">
        <f aca="false">Capital_Trabajo!FE$16</f>
        <v>0</v>
      </c>
      <c r="FF31" s="28" t="n">
        <f aca="false">Capital_Trabajo!FF$16</f>
        <v>0</v>
      </c>
    </row>
    <row r="32" customFormat="false" ht="15" hidden="false" customHeight="false" outlineLevel="0" collapsed="false">
      <c r="A32" s="2" t="s">
        <v>1484</v>
      </c>
      <c r="B32" s="66" t="s">
        <v>1126</v>
      </c>
      <c r="C32" s="8" t="s">
        <v>255</v>
      </c>
      <c r="E32" s="67" t="n">
        <f aca="false">SUM($F32:$FF32)</f>
        <v>893446.9249381</v>
      </c>
      <c r="F32" s="12" t="n">
        <f aca="false">F$28+F$29+F$30+F$31</f>
        <v>0</v>
      </c>
      <c r="G32" s="12" t="n">
        <f aca="false">G$28+G$29+G$30+G$31</f>
        <v>4445.83333333333</v>
      </c>
      <c r="H32" s="12" t="n">
        <f aca="false">H$28+H$29+H$30+H$31</f>
        <v>4445.83333333333</v>
      </c>
      <c r="I32" s="12" t="n">
        <f aca="false">I$28+I$29+I$30+I$31</f>
        <v>4445.83333333333</v>
      </c>
      <c r="J32" s="12" t="n">
        <f aca="false">J$28+J$29+J$30+J$31</f>
        <v>4445.83333333333</v>
      </c>
      <c r="K32" s="12" t="n">
        <f aca="false">K$28+K$29+K$30+K$31</f>
        <v>4445.83333333333</v>
      </c>
      <c r="L32" s="12" t="n">
        <f aca="false">L$28+L$29+L$30+L$31</f>
        <v>4445.83333333333</v>
      </c>
      <c r="M32" s="12" t="n">
        <f aca="false">M$28+M$29+M$30+M$31</f>
        <v>4445.83333333333</v>
      </c>
      <c r="N32" s="12" t="n">
        <f aca="false">N$28+N$29+N$30+N$31</f>
        <v>4445.83333333333</v>
      </c>
      <c r="O32" s="12" t="n">
        <f aca="false">O$28+O$29+O$30+O$31</f>
        <v>4445.83333333333</v>
      </c>
      <c r="P32" s="12" t="n">
        <f aca="false">P$28+P$29+P$30+P$31</f>
        <v>4445.83333333333</v>
      </c>
      <c r="Q32" s="12" t="n">
        <f aca="false">Q$28+Q$29+Q$30+Q$31</f>
        <v>4445.83333333333</v>
      </c>
      <c r="R32" s="12" t="n">
        <f aca="false">R$28+R$29+R$30+R$31</f>
        <v>4445.83333333333</v>
      </c>
      <c r="S32" s="12" t="n">
        <f aca="false">S$28+S$29+S$30+S$31</f>
        <v>5666.1</v>
      </c>
      <c r="T32" s="12" t="n">
        <f aca="false">T$28+T$29+T$30+T$31</f>
        <v>5666.1</v>
      </c>
      <c r="U32" s="12" t="n">
        <f aca="false">U$28+U$29+U$30+U$31</f>
        <v>5666.1</v>
      </c>
      <c r="V32" s="12" t="n">
        <f aca="false">V$28+V$29+V$30+V$31</f>
        <v>5666.1</v>
      </c>
      <c r="W32" s="12" t="n">
        <f aca="false">W$28+W$29+W$30+W$31</f>
        <v>5666.1</v>
      </c>
      <c r="X32" s="12" t="n">
        <f aca="false">X$28+X$29+X$30+X$31</f>
        <v>5666.1</v>
      </c>
      <c r="Y32" s="12" t="n">
        <f aca="false">Y$28+Y$29+Y$30+Y$31</f>
        <v>5666.1</v>
      </c>
      <c r="Z32" s="12" t="n">
        <f aca="false">Z$28+Z$29+Z$30+Z$31</f>
        <v>5666.1</v>
      </c>
      <c r="AA32" s="12" t="n">
        <f aca="false">AA$28+AA$29+AA$30+AA$31</f>
        <v>5666.1</v>
      </c>
      <c r="AB32" s="12" t="n">
        <f aca="false">AB$28+AB$29+AB$30+AB$31</f>
        <v>5666.1</v>
      </c>
      <c r="AC32" s="12" t="n">
        <f aca="false">AC$28+AC$29+AC$30+AC$31</f>
        <v>5666.1</v>
      </c>
      <c r="AD32" s="12" t="n">
        <f aca="false">AD$28+AD$29+AD$30+AD$31</f>
        <v>5666.1</v>
      </c>
      <c r="AE32" s="12" t="n">
        <f aca="false">AE$28+AE$29+AE$30+AE$31</f>
        <v>6910.32741666667</v>
      </c>
      <c r="AF32" s="12" t="n">
        <f aca="false">AF$28+AF$29+AF$30+AF$31</f>
        <v>6910.32741666667</v>
      </c>
      <c r="AG32" s="12" t="n">
        <f aca="false">AG$28+AG$29+AG$30+AG$31</f>
        <v>6910.32741666667</v>
      </c>
      <c r="AH32" s="12" t="n">
        <f aca="false">AH$28+AH$29+AH$30+AH$31</f>
        <v>6910.32741666667</v>
      </c>
      <c r="AI32" s="12" t="n">
        <f aca="false">AI$28+AI$29+AI$30+AI$31</f>
        <v>6910.32741666667</v>
      </c>
      <c r="AJ32" s="12" t="n">
        <f aca="false">AJ$28+AJ$29+AJ$30+AJ$31</f>
        <v>6910.32741666667</v>
      </c>
      <c r="AK32" s="12" t="n">
        <f aca="false">AK$28+AK$29+AK$30+AK$31</f>
        <v>6910.32741666667</v>
      </c>
      <c r="AL32" s="12" t="n">
        <f aca="false">AL$28+AL$29+AL$30+AL$31</f>
        <v>6910.32741666667</v>
      </c>
      <c r="AM32" s="12" t="n">
        <f aca="false">AM$28+AM$29+AM$30+AM$31</f>
        <v>6910.32741666667</v>
      </c>
      <c r="AN32" s="12" t="n">
        <f aca="false">AN$28+AN$29+AN$30+AN$31</f>
        <v>6910.32741666667</v>
      </c>
      <c r="AO32" s="12" t="n">
        <f aca="false">AO$28+AO$29+AO$30+AO$31</f>
        <v>6910.32741666667</v>
      </c>
      <c r="AP32" s="12" t="n">
        <f aca="false">AP$28+AP$29+AP$30+AP$31</f>
        <v>6910.32741666667</v>
      </c>
      <c r="AQ32" s="12" t="n">
        <f aca="false">AQ$28+AQ$29+AQ$30+AQ$31</f>
        <v>7961.6509775</v>
      </c>
      <c r="AR32" s="12" t="n">
        <f aca="false">AR$28+AR$29+AR$30+AR$31</f>
        <v>7961.6509775</v>
      </c>
      <c r="AS32" s="12" t="n">
        <f aca="false">AS$28+AS$29+AS$30+AS$31</f>
        <v>7961.6509775</v>
      </c>
      <c r="AT32" s="12" t="n">
        <f aca="false">AT$28+AT$29+AT$30+AT$31</f>
        <v>7961.6509775</v>
      </c>
      <c r="AU32" s="12" t="n">
        <f aca="false">AU$28+AU$29+AU$30+AU$31</f>
        <v>7961.6509775</v>
      </c>
      <c r="AV32" s="12" t="n">
        <f aca="false">AV$28+AV$29+AV$30+AV$31</f>
        <v>7961.6509775</v>
      </c>
      <c r="AW32" s="12" t="n">
        <f aca="false">AW$28+AW$29+AW$30+AW$31</f>
        <v>7961.6509775</v>
      </c>
      <c r="AX32" s="12" t="n">
        <f aca="false">AX$28+AX$29+AX$30+AX$31</f>
        <v>7961.6509775</v>
      </c>
      <c r="AY32" s="12" t="n">
        <f aca="false">AY$28+AY$29+AY$30+AY$31</f>
        <v>7961.6509775</v>
      </c>
      <c r="AZ32" s="12" t="n">
        <f aca="false">AZ$28+AZ$29+AZ$30+AZ$31</f>
        <v>7961.6509775</v>
      </c>
      <c r="BA32" s="12" t="n">
        <f aca="false">BA$28+BA$29+BA$30+BA$31</f>
        <v>7961.6509775</v>
      </c>
      <c r="BB32" s="12" t="n">
        <f aca="false">BB$28+BB$29+BB$30+BB$31</f>
        <v>7961.6509775</v>
      </c>
      <c r="BC32" s="12" t="n">
        <f aca="false">BC$28+BC$29+BC$30+BC$31</f>
        <v>8041.267487275</v>
      </c>
      <c r="BD32" s="12" t="n">
        <f aca="false">BD$28+BD$29+BD$30+BD$31</f>
        <v>8041.267487275</v>
      </c>
      <c r="BE32" s="12" t="n">
        <f aca="false">BE$28+BE$29+BE$30+BE$31</f>
        <v>8041.267487275</v>
      </c>
      <c r="BF32" s="12" t="n">
        <f aca="false">BF$28+BF$29+BF$30+BF$31</f>
        <v>8041.267487275</v>
      </c>
      <c r="BG32" s="12" t="n">
        <f aca="false">BG$28+BG$29+BG$30+BG$31</f>
        <v>8041.267487275</v>
      </c>
      <c r="BH32" s="12" t="n">
        <f aca="false">BH$28+BH$29+BH$30+BH$31</f>
        <v>8041.267487275</v>
      </c>
      <c r="BI32" s="12" t="n">
        <f aca="false">BI$28+BI$29+BI$30+BI$31</f>
        <v>8041.267487275</v>
      </c>
      <c r="BJ32" s="12" t="n">
        <f aca="false">BJ$28+BJ$29+BJ$30+BJ$31</f>
        <v>8041.267487275</v>
      </c>
      <c r="BK32" s="12" t="n">
        <f aca="false">BK$28+BK$29+BK$30+BK$31</f>
        <v>8041.267487275</v>
      </c>
      <c r="BL32" s="12" t="n">
        <f aca="false">BL$28+BL$29+BL$30+BL$31</f>
        <v>8041.267487275</v>
      </c>
      <c r="BM32" s="12" t="n">
        <f aca="false">BM$28+BM$29+BM$30+BM$31</f>
        <v>8041.267487275</v>
      </c>
      <c r="BN32" s="12" t="n">
        <f aca="false">BN$28+BN$29+BN$30+BN$31</f>
        <v>8041.267487275</v>
      </c>
      <c r="BO32" s="12" t="n">
        <f aca="false">BO$28+BO$29+BO$30+BO$31</f>
        <v>8121.68016214775</v>
      </c>
      <c r="BP32" s="12" t="n">
        <f aca="false">BP$28+BP$29+BP$30+BP$31</f>
        <v>8121.68016214775</v>
      </c>
      <c r="BQ32" s="12" t="n">
        <f aca="false">BQ$28+BQ$29+BQ$30+BQ$31</f>
        <v>8121.68016214775</v>
      </c>
      <c r="BR32" s="12" t="n">
        <f aca="false">BR$28+BR$29+BR$30+BR$31</f>
        <v>8121.68016214775</v>
      </c>
      <c r="BS32" s="12" t="n">
        <f aca="false">BS$28+BS$29+BS$30+BS$31</f>
        <v>8121.68016214775</v>
      </c>
      <c r="BT32" s="12" t="n">
        <f aca="false">BT$28+BT$29+BT$30+BT$31</f>
        <v>8121.68016214775</v>
      </c>
      <c r="BU32" s="12" t="n">
        <f aca="false">BU$28+BU$29+BU$30+BU$31</f>
        <v>8121.68016214775</v>
      </c>
      <c r="BV32" s="12" t="n">
        <f aca="false">BV$28+BV$29+BV$30+BV$31</f>
        <v>8121.68016214775</v>
      </c>
      <c r="BW32" s="12" t="n">
        <f aca="false">BW$28+BW$29+BW$30+BW$31</f>
        <v>8121.68016214775</v>
      </c>
      <c r="BX32" s="12" t="n">
        <f aca="false">BX$28+BX$29+BX$30+BX$31</f>
        <v>8121.68016214775</v>
      </c>
      <c r="BY32" s="12" t="n">
        <f aca="false">BY$28+BY$29+BY$30+BY$31</f>
        <v>8121.68016214775</v>
      </c>
      <c r="BZ32" s="12" t="n">
        <f aca="false">BZ$28+BZ$29+BZ$30+BZ$31</f>
        <v>8121.68016214775</v>
      </c>
      <c r="CA32" s="12" t="n">
        <f aca="false">CA$28+CA$29+CA$30+CA$31</f>
        <v>8202.89696376923</v>
      </c>
      <c r="CB32" s="12" t="n">
        <f aca="false">CB$28+CB$29+CB$30+CB$31</f>
        <v>8202.89696376923</v>
      </c>
      <c r="CC32" s="12" t="n">
        <f aca="false">CC$28+CC$29+CC$30+CC$31</f>
        <v>8202.89696376923</v>
      </c>
      <c r="CD32" s="12" t="n">
        <f aca="false">CD$28+CD$29+CD$30+CD$31</f>
        <v>8202.89696376923</v>
      </c>
      <c r="CE32" s="12" t="n">
        <f aca="false">CE$28+CE$29+CE$30+CE$31</f>
        <v>8202.89696376923</v>
      </c>
      <c r="CF32" s="12" t="n">
        <f aca="false">CF$28+CF$29+CF$30+CF$31</f>
        <v>8202.89696376923</v>
      </c>
      <c r="CG32" s="12" t="n">
        <f aca="false">CG$28+CG$29+CG$30+CG$31</f>
        <v>8202.89696376923</v>
      </c>
      <c r="CH32" s="12" t="n">
        <f aca="false">CH$28+CH$29+CH$30+CH$31</f>
        <v>8202.89696376923</v>
      </c>
      <c r="CI32" s="12" t="n">
        <f aca="false">CI$28+CI$29+CI$30+CI$31</f>
        <v>8202.89696376923</v>
      </c>
      <c r="CJ32" s="12" t="n">
        <f aca="false">CJ$28+CJ$29+CJ$30+CJ$31</f>
        <v>8202.89696376923</v>
      </c>
      <c r="CK32" s="12" t="n">
        <f aca="false">CK$28+CK$29+CK$30+CK$31</f>
        <v>8202.89696376923</v>
      </c>
      <c r="CL32" s="12" t="n">
        <f aca="false">CL$28+CL$29+CL$30+CL$31</f>
        <v>8202.89696376923</v>
      </c>
      <c r="CM32" s="12" t="n">
        <f aca="false">CM$28+CM$29+CM$30+CM$31</f>
        <v>8284.92593340692</v>
      </c>
      <c r="CN32" s="12" t="n">
        <f aca="false">CN$28+CN$29+CN$30+CN$31</f>
        <v>8284.92593340692</v>
      </c>
      <c r="CO32" s="12" t="n">
        <f aca="false">CO$28+CO$29+CO$30+CO$31</f>
        <v>8284.92593340692</v>
      </c>
      <c r="CP32" s="12" t="n">
        <f aca="false">CP$28+CP$29+CP$30+CP$31</f>
        <v>8284.92593340692</v>
      </c>
      <c r="CQ32" s="12" t="n">
        <f aca="false">CQ$28+CQ$29+CQ$30+CQ$31</f>
        <v>8284.92593340692</v>
      </c>
      <c r="CR32" s="12" t="n">
        <f aca="false">CR$28+CR$29+CR$30+CR$31</f>
        <v>8284.92593340692</v>
      </c>
      <c r="CS32" s="12" t="n">
        <f aca="false">CS$28+CS$29+CS$30+CS$31</f>
        <v>8284.92593340692</v>
      </c>
      <c r="CT32" s="12" t="n">
        <f aca="false">CT$28+CT$29+CT$30+CT$31</f>
        <v>8284.92593340692</v>
      </c>
      <c r="CU32" s="12" t="n">
        <f aca="false">CU$28+CU$29+CU$30+CU$31</f>
        <v>8284.92593340692</v>
      </c>
      <c r="CV32" s="12" t="n">
        <f aca="false">CV$28+CV$29+CV$30+CV$31</f>
        <v>8284.92593340692</v>
      </c>
      <c r="CW32" s="12" t="n">
        <f aca="false">CW$28+CW$29+CW$30+CW$31</f>
        <v>8284.92593340692</v>
      </c>
      <c r="CX32" s="12" t="n">
        <f aca="false">CX$28+CX$29+CX$30+CX$31</f>
        <v>8284.92593340692</v>
      </c>
      <c r="CY32" s="12" t="n">
        <f aca="false">CY$28+CY$29+CY$30+CY$31</f>
        <v>8367.77519274099</v>
      </c>
      <c r="CZ32" s="12" t="n">
        <f aca="false">CZ$28+CZ$29+CZ$30+CZ$31</f>
        <v>8367.77519274099</v>
      </c>
      <c r="DA32" s="12" t="n">
        <f aca="false">DA$28+DA$29+DA$30+DA$31</f>
        <v>8367.77519274099</v>
      </c>
      <c r="DB32" s="12" t="n">
        <f aca="false">DB$28+DB$29+DB$30+DB$31</f>
        <v>8367.77519274099</v>
      </c>
      <c r="DC32" s="12" t="n">
        <f aca="false">DC$28+DC$29+DC$30+DC$31</f>
        <v>8367.77519274099</v>
      </c>
      <c r="DD32" s="12" t="n">
        <f aca="false">DD$28+DD$29+DD$30+DD$31</f>
        <v>8367.77519274099</v>
      </c>
      <c r="DE32" s="12" t="n">
        <f aca="false">DE$28+DE$29+DE$30+DE$31</f>
        <v>8367.77519274099</v>
      </c>
      <c r="DF32" s="12" t="n">
        <f aca="false">DF$28+DF$29+DF$30+DF$31</f>
        <v>8367.77519274099</v>
      </c>
      <c r="DG32" s="12" t="n">
        <f aca="false">DG$28+DG$29+DG$30+DG$31</f>
        <v>8367.77519274099</v>
      </c>
      <c r="DH32" s="12" t="n">
        <f aca="false">DH$28+DH$29+DH$30+DH$31</f>
        <v>8367.77519274099</v>
      </c>
      <c r="DI32" s="12" t="n">
        <f aca="false">DI$28+DI$29+DI$30+DI$31</f>
        <v>8367.77519274099</v>
      </c>
      <c r="DJ32" s="12" t="n">
        <f aca="false">DJ$28+DJ$29+DJ$30+DJ$31</f>
        <v>8367.77519274099</v>
      </c>
      <c r="DK32" s="12" t="n">
        <f aca="false">DK$28+DK$29+DK$30+DK$31</f>
        <v>8451.4529446684</v>
      </c>
      <c r="DL32" s="12" t="n">
        <f aca="false">DL$28+DL$29+DL$30+DL$31</f>
        <v>8451.4529446684</v>
      </c>
      <c r="DM32" s="12" t="n">
        <f aca="false">DM$28+DM$29+DM$30+DM$31</f>
        <v>8451.4529446684</v>
      </c>
      <c r="DN32" s="12" t="n">
        <f aca="false">DN$28+DN$29+DN$30+DN$31</f>
        <v>8451.4529446684</v>
      </c>
      <c r="DO32" s="12" t="n">
        <f aca="false">DO$28+DO$29+DO$30+DO$31</f>
        <v>8451.4529446684</v>
      </c>
      <c r="DP32" s="12" t="n">
        <f aca="false">DP$28+DP$29+DP$30+DP$31</f>
        <v>8451.4529446684</v>
      </c>
      <c r="DQ32" s="12" t="n">
        <f aca="false">DQ$28+DQ$29+DQ$30+DQ$31</f>
        <v>8451.4529446684</v>
      </c>
      <c r="DR32" s="12" t="n">
        <f aca="false">DR$28+DR$29+DR$30+DR$31</f>
        <v>8451.4529446684</v>
      </c>
      <c r="DS32" s="12" t="n">
        <f aca="false">DS$28+DS$29+DS$30+DS$31</f>
        <v>8451.4529446684</v>
      </c>
      <c r="DT32" s="12" t="n">
        <f aca="false">DT$28+DT$29+DT$30+DT$31</f>
        <v>8451.4529446684</v>
      </c>
      <c r="DU32" s="12" t="n">
        <f aca="false">DU$28+DU$29+DU$30+DU$31</f>
        <v>8451.4529446684</v>
      </c>
      <c r="DV32" s="12" t="n">
        <f aca="false">DV$28+DV$29+DV$30+DV$31</f>
        <v>8451.4529446684</v>
      </c>
      <c r="DW32" s="12" t="n">
        <f aca="false">DW$28+DW$29+DW$30+DW$31</f>
        <v>0</v>
      </c>
      <c r="DX32" s="12" t="n">
        <f aca="false">DX$28+DX$29+DX$30+DX$31</f>
        <v>0</v>
      </c>
      <c r="DY32" s="12" t="n">
        <f aca="false">DY$28+DY$29+DY$30+DY$31</f>
        <v>0</v>
      </c>
      <c r="DZ32" s="12" t="n">
        <f aca="false">DZ$28+DZ$29+DZ$30+DZ$31</f>
        <v>0</v>
      </c>
      <c r="EA32" s="12" t="n">
        <f aca="false">EA$28+EA$29+EA$30+EA$31</f>
        <v>0</v>
      </c>
      <c r="EB32" s="12" t="n">
        <f aca="false">EB$28+EB$29+EB$30+EB$31</f>
        <v>0</v>
      </c>
      <c r="EC32" s="12" t="n">
        <f aca="false">EC$28+EC$29+EC$30+EC$31</f>
        <v>0</v>
      </c>
      <c r="ED32" s="12" t="n">
        <f aca="false">ED$28+ED$29+ED$30+ED$31</f>
        <v>0</v>
      </c>
      <c r="EE32" s="12" t="n">
        <f aca="false">EE$28+EE$29+EE$30+EE$31</f>
        <v>0</v>
      </c>
      <c r="EF32" s="12" t="n">
        <f aca="false">EF$28+EF$29+EF$30+EF$31</f>
        <v>0</v>
      </c>
      <c r="EG32" s="12" t="n">
        <f aca="false">EG$28+EG$29+EG$30+EG$31</f>
        <v>0</v>
      </c>
      <c r="EH32" s="12" t="n">
        <f aca="false">EH$28+EH$29+EH$30+EH$31</f>
        <v>0</v>
      </c>
      <c r="EI32" s="12" t="n">
        <f aca="false">EI$28+EI$29+EI$30+EI$31</f>
        <v>0</v>
      </c>
      <c r="EJ32" s="12" t="n">
        <f aca="false">EJ$28+EJ$29+EJ$30+EJ$31</f>
        <v>0</v>
      </c>
      <c r="EK32" s="12" t="n">
        <f aca="false">EK$28+EK$29+EK$30+EK$31</f>
        <v>0</v>
      </c>
      <c r="EL32" s="12" t="n">
        <f aca="false">EL$28+EL$29+EL$30+EL$31</f>
        <v>0</v>
      </c>
      <c r="EM32" s="12" t="n">
        <f aca="false">EM$28+EM$29+EM$30+EM$31</f>
        <v>0</v>
      </c>
      <c r="EN32" s="12" t="n">
        <f aca="false">EN$28+EN$29+EN$30+EN$31</f>
        <v>0</v>
      </c>
      <c r="EO32" s="12" t="n">
        <f aca="false">EO$28+EO$29+EO$30+EO$31</f>
        <v>0</v>
      </c>
      <c r="EP32" s="12" t="n">
        <f aca="false">EP$28+EP$29+EP$30+EP$31</f>
        <v>0</v>
      </c>
      <c r="EQ32" s="12" t="n">
        <f aca="false">EQ$28+EQ$29+EQ$30+EQ$31</f>
        <v>0</v>
      </c>
      <c r="ER32" s="12" t="n">
        <f aca="false">ER$28+ER$29+ER$30+ER$31</f>
        <v>0</v>
      </c>
      <c r="ES32" s="12" t="n">
        <f aca="false">ES$28+ES$29+ES$30+ES$31</f>
        <v>0</v>
      </c>
      <c r="ET32" s="12" t="n">
        <f aca="false">ET$28+ET$29+ET$30+ET$31</f>
        <v>0</v>
      </c>
      <c r="EU32" s="12" t="n">
        <f aca="false">EU$28+EU$29+EU$30+EU$31</f>
        <v>0</v>
      </c>
      <c r="EV32" s="12" t="n">
        <f aca="false">EV$28+EV$29+EV$30+EV$31</f>
        <v>0</v>
      </c>
      <c r="EW32" s="12" t="n">
        <f aca="false">EW$28+EW$29+EW$30+EW$31</f>
        <v>0</v>
      </c>
      <c r="EX32" s="12" t="n">
        <f aca="false">EX$28+EX$29+EX$30+EX$31</f>
        <v>0</v>
      </c>
      <c r="EY32" s="12" t="n">
        <f aca="false">EY$28+EY$29+EY$30+EY$31</f>
        <v>0</v>
      </c>
      <c r="EZ32" s="12" t="n">
        <f aca="false">EZ$28+EZ$29+EZ$30+EZ$31</f>
        <v>0</v>
      </c>
      <c r="FA32" s="12" t="n">
        <f aca="false">FA$28+FA$29+FA$30+FA$31</f>
        <v>0</v>
      </c>
      <c r="FB32" s="12" t="n">
        <f aca="false">FB$28+FB$29+FB$30+FB$31</f>
        <v>0</v>
      </c>
      <c r="FC32" s="12" t="n">
        <f aca="false">FC$28+FC$29+FC$30+FC$31</f>
        <v>0</v>
      </c>
      <c r="FD32" s="12" t="n">
        <f aca="false">FD$28+FD$29+FD$30+FD$31</f>
        <v>0</v>
      </c>
      <c r="FE32" s="12" t="n">
        <f aca="false">FE$28+FE$29+FE$30+FE$31</f>
        <v>0</v>
      </c>
      <c r="FF32" s="12" t="n">
        <f aca="false">FF$28+FF$29+FF$30+FF$31</f>
        <v>0</v>
      </c>
    </row>
    <row r="33" customFormat="false" ht="15" hidden="false" customHeight="false" outlineLevel="0" collapsed="false">
      <c r="A33" s="2" t="s">
        <v>1485</v>
      </c>
      <c r="B33" s="66" t="s">
        <v>1486</v>
      </c>
      <c r="C33" s="8" t="s">
        <v>255</v>
      </c>
      <c r="E33" s="67" t="n">
        <f aca="false">SUM($F33:$FF33)</f>
        <v>4219192.39510538</v>
      </c>
      <c r="F33" s="71" t="n">
        <f aca="false">Costos_Personal!F$145</f>
        <v>0</v>
      </c>
      <c r="G33" s="71" t="n">
        <f aca="false">Costos_Personal!G$145</f>
        <v>32557.3055980144</v>
      </c>
      <c r="H33" s="71" t="n">
        <f aca="false">Costos_Personal!H$145</f>
        <v>32557.3055980144</v>
      </c>
      <c r="I33" s="71" t="n">
        <f aca="false">Costos_Personal!I$145</f>
        <v>32557.3055980144</v>
      </c>
      <c r="J33" s="71" t="n">
        <f aca="false">Costos_Personal!J$145</f>
        <v>32557.3055980144</v>
      </c>
      <c r="K33" s="71" t="n">
        <f aca="false">Costos_Personal!K$145</f>
        <v>32557.3055980144</v>
      </c>
      <c r="L33" s="71" t="n">
        <f aca="false">Costos_Personal!L$145</f>
        <v>32557.3055980144</v>
      </c>
      <c r="M33" s="71" t="n">
        <f aca="false">Costos_Personal!M$145</f>
        <v>32557.3055980144</v>
      </c>
      <c r="N33" s="71" t="n">
        <f aca="false">Costos_Personal!N$145</f>
        <v>32557.3055980144</v>
      </c>
      <c r="O33" s="71" t="n">
        <f aca="false">Costos_Personal!O$145</f>
        <v>32557.3055980144</v>
      </c>
      <c r="P33" s="71" t="n">
        <f aca="false">Costos_Personal!P$145</f>
        <v>32557.3055980144</v>
      </c>
      <c r="Q33" s="71" t="n">
        <f aca="false">Costos_Personal!Q$145</f>
        <v>32557.3055980144</v>
      </c>
      <c r="R33" s="71" t="n">
        <f aca="false">Costos_Personal!R$145</f>
        <v>32557.3055980144</v>
      </c>
      <c r="S33" s="71" t="n">
        <f aca="false">Costos_Personal!S$145</f>
        <v>33090.6755980144</v>
      </c>
      <c r="T33" s="71" t="n">
        <f aca="false">Costos_Personal!T$145</f>
        <v>33090.6755980144</v>
      </c>
      <c r="U33" s="71" t="n">
        <f aca="false">Costos_Personal!U$145</f>
        <v>33090.6755980144</v>
      </c>
      <c r="V33" s="71" t="n">
        <f aca="false">Costos_Personal!V$145</f>
        <v>33090.6755980144</v>
      </c>
      <c r="W33" s="71" t="n">
        <f aca="false">Costos_Personal!W$145</f>
        <v>33090.6755980144</v>
      </c>
      <c r="X33" s="71" t="n">
        <f aca="false">Costos_Personal!X$145</f>
        <v>33090.6755980144</v>
      </c>
      <c r="Y33" s="71" t="n">
        <f aca="false">Costos_Personal!Y$145</f>
        <v>33090.6755980144</v>
      </c>
      <c r="Z33" s="71" t="n">
        <f aca="false">Costos_Personal!Z$145</f>
        <v>33090.6755980144</v>
      </c>
      <c r="AA33" s="71" t="n">
        <f aca="false">Costos_Personal!AA$145</f>
        <v>33090.6755980144</v>
      </c>
      <c r="AB33" s="71" t="n">
        <f aca="false">Costos_Personal!AB$145</f>
        <v>33090.6755980144</v>
      </c>
      <c r="AC33" s="71" t="n">
        <f aca="false">Costos_Personal!AC$145</f>
        <v>33090.6755980144</v>
      </c>
      <c r="AD33" s="71" t="n">
        <f aca="false">Costos_Personal!AD$145</f>
        <v>33090.6755980144</v>
      </c>
      <c r="AE33" s="71" t="n">
        <f aca="false">Costos_Personal!AE$145</f>
        <v>33640.0466980144</v>
      </c>
      <c r="AF33" s="71" t="n">
        <f aca="false">Costos_Personal!AF$145</f>
        <v>33640.0466980144</v>
      </c>
      <c r="AG33" s="71" t="n">
        <f aca="false">Costos_Personal!AG$145</f>
        <v>33640.0466980144</v>
      </c>
      <c r="AH33" s="71" t="n">
        <f aca="false">Costos_Personal!AH$145</f>
        <v>33640.0466980144</v>
      </c>
      <c r="AI33" s="71" t="n">
        <f aca="false">Costos_Personal!AI$145</f>
        <v>33640.0466980144</v>
      </c>
      <c r="AJ33" s="71" t="n">
        <f aca="false">Costos_Personal!AJ$145</f>
        <v>33640.0466980144</v>
      </c>
      <c r="AK33" s="71" t="n">
        <f aca="false">Costos_Personal!AK$145</f>
        <v>33640.0466980144</v>
      </c>
      <c r="AL33" s="71" t="n">
        <f aca="false">Costos_Personal!AL$145</f>
        <v>33640.0466980144</v>
      </c>
      <c r="AM33" s="71" t="n">
        <f aca="false">Costos_Personal!AM$145</f>
        <v>33640.0466980144</v>
      </c>
      <c r="AN33" s="71" t="n">
        <f aca="false">Costos_Personal!AN$145</f>
        <v>33640.0466980144</v>
      </c>
      <c r="AO33" s="71" t="n">
        <f aca="false">Costos_Personal!AO$145</f>
        <v>33640.0466980144</v>
      </c>
      <c r="AP33" s="71" t="n">
        <f aca="false">Costos_Personal!AP$145</f>
        <v>33640.0466980144</v>
      </c>
      <c r="AQ33" s="71" t="n">
        <f aca="false">Costos_Personal!AQ$145</f>
        <v>34205.8989310144</v>
      </c>
      <c r="AR33" s="71" t="n">
        <f aca="false">Costos_Personal!AR$145</f>
        <v>34205.8989310144</v>
      </c>
      <c r="AS33" s="71" t="n">
        <f aca="false">Costos_Personal!AS$145</f>
        <v>34205.8989310144</v>
      </c>
      <c r="AT33" s="71" t="n">
        <f aca="false">Costos_Personal!AT$145</f>
        <v>34205.8989310144</v>
      </c>
      <c r="AU33" s="71" t="n">
        <f aca="false">Costos_Personal!AU$145</f>
        <v>34205.8989310144</v>
      </c>
      <c r="AV33" s="71" t="n">
        <f aca="false">Costos_Personal!AV$145</f>
        <v>34205.8989310144</v>
      </c>
      <c r="AW33" s="71" t="n">
        <f aca="false">Costos_Personal!AW$145</f>
        <v>34205.8989310144</v>
      </c>
      <c r="AX33" s="71" t="n">
        <f aca="false">Costos_Personal!AX$145</f>
        <v>34205.8989310144</v>
      </c>
      <c r="AY33" s="71" t="n">
        <f aca="false">Costos_Personal!AY$145</f>
        <v>34205.8989310144</v>
      </c>
      <c r="AZ33" s="71" t="n">
        <f aca="false">Costos_Personal!AZ$145</f>
        <v>34205.8989310144</v>
      </c>
      <c r="BA33" s="71" t="n">
        <f aca="false">Costos_Personal!BA$145</f>
        <v>34205.8989310144</v>
      </c>
      <c r="BB33" s="71" t="n">
        <f aca="false">Costos_Personal!BB$145</f>
        <v>34205.8989310144</v>
      </c>
      <c r="BC33" s="71" t="n">
        <f aca="false">Costos_Personal!BC$145</f>
        <v>34788.7267310044</v>
      </c>
      <c r="BD33" s="71" t="n">
        <f aca="false">Costos_Personal!BD$145</f>
        <v>34788.7267310044</v>
      </c>
      <c r="BE33" s="71" t="n">
        <f aca="false">Costos_Personal!BE$145</f>
        <v>34788.7267310044</v>
      </c>
      <c r="BF33" s="71" t="n">
        <f aca="false">Costos_Personal!BF$145</f>
        <v>34788.7267310044</v>
      </c>
      <c r="BG33" s="71" t="n">
        <f aca="false">Costos_Personal!BG$145</f>
        <v>34788.7267310044</v>
      </c>
      <c r="BH33" s="71" t="n">
        <f aca="false">Costos_Personal!BH$145</f>
        <v>34788.7267310044</v>
      </c>
      <c r="BI33" s="71" t="n">
        <f aca="false">Costos_Personal!BI$145</f>
        <v>34788.7267310044</v>
      </c>
      <c r="BJ33" s="71" t="n">
        <f aca="false">Costos_Personal!BJ$145</f>
        <v>34788.7267310044</v>
      </c>
      <c r="BK33" s="71" t="n">
        <f aca="false">Costos_Personal!BK$145</f>
        <v>34788.7267310044</v>
      </c>
      <c r="BL33" s="71" t="n">
        <f aca="false">Costos_Personal!BL$145</f>
        <v>34788.7267310044</v>
      </c>
      <c r="BM33" s="71" t="n">
        <f aca="false">Costos_Personal!BM$145</f>
        <v>34788.7267310044</v>
      </c>
      <c r="BN33" s="71" t="n">
        <f aca="false">Costos_Personal!BN$145</f>
        <v>34788.7267310044</v>
      </c>
      <c r="BO33" s="71" t="n">
        <f aca="false">Costos_Personal!BO$145</f>
        <v>35389.0393649941</v>
      </c>
      <c r="BP33" s="71" t="n">
        <f aca="false">Costos_Personal!BP$145</f>
        <v>35389.0393649941</v>
      </c>
      <c r="BQ33" s="71" t="n">
        <f aca="false">Costos_Personal!BQ$145</f>
        <v>35389.0393649941</v>
      </c>
      <c r="BR33" s="71" t="n">
        <f aca="false">Costos_Personal!BR$145</f>
        <v>35389.0393649941</v>
      </c>
      <c r="BS33" s="71" t="n">
        <f aca="false">Costos_Personal!BS$145</f>
        <v>35389.0393649941</v>
      </c>
      <c r="BT33" s="71" t="n">
        <f aca="false">Costos_Personal!BT$145</f>
        <v>35389.0393649941</v>
      </c>
      <c r="BU33" s="71" t="n">
        <f aca="false">Costos_Personal!BU$145</f>
        <v>35389.0393649941</v>
      </c>
      <c r="BV33" s="71" t="n">
        <f aca="false">Costos_Personal!BV$145</f>
        <v>35389.0393649941</v>
      </c>
      <c r="BW33" s="71" t="n">
        <f aca="false">Costos_Personal!BW$145</f>
        <v>35389.0393649941</v>
      </c>
      <c r="BX33" s="71" t="n">
        <f aca="false">Costos_Personal!BX$145</f>
        <v>35389.0393649941</v>
      </c>
      <c r="BY33" s="71" t="n">
        <f aca="false">Costos_Personal!BY$145</f>
        <v>35389.0393649941</v>
      </c>
      <c r="BZ33" s="71" t="n">
        <f aca="false">Costos_Personal!BZ$145</f>
        <v>35389.0393649941</v>
      </c>
      <c r="CA33" s="71" t="n">
        <f aca="false">Costos_Personal!CA$145</f>
        <v>36007.3613780035</v>
      </c>
      <c r="CB33" s="71" t="n">
        <f aca="false">Costos_Personal!CB$145</f>
        <v>36007.3613780035</v>
      </c>
      <c r="CC33" s="71" t="n">
        <f aca="false">Costos_Personal!CC$145</f>
        <v>36007.3613780035</v>
      </c>
      <c r="CD33" s="71" t="n">
        <f aca="false">Costos_Personal!CD$145</f>
        <v>36007.3613780035</v>
      </c>
      <c r="CE33" s="71" t="n">
        <f aca="false">Costos_Personal!CE$145</f>
        <v>36007.3613780035</v>
      </c>
      <c r="CF33" s="71" t="n">
        <f aca="false">Costos_Personal!CF$145</f>
        <v>36007.3613780035</v>
      </c>
      <c r="CG33" s="71" t="n">
        <f aca="false">Costos_Personal!CG$145</f>
        <v>36007.3613780035</v>
      </c>
      <c r="CH33" s="71" t="n">
        <f aca="false">Costos_Personal!CH$145</f>
        <v>36007.3613780035</v>
      </c>
      <c r="CI33" s="71" t="n">
        <f aca="false">Costos_Personal!CI$145</f>
        <v>36007.3613780035</v>
      </c>
      <c r="CJ33" s="71" t="n">
        <f aca="false">Costos_Personal!CJ$145</f>
        <v>36007.3613780035</v>
      </c>
      <c r="CK33" s="71" t="n">
        <f aca="false">Costos_Personal!CK$145</f>
        <v>36007.3613780035</v>
      </c>
      <c r="CL33" s="71" t="n">
        <f aca="false">Costos_Personal!CL$145</f>
        <v>36007.3613780035</v>
      </c>
      <c r="CM33" s="71" t="n">
        <f aca="false">Costos_Personal!CM$145</f>
        <v>36644.2330514032</v>
      </c>
      <c r="CN33" s="71" t="n">
        <f aca="false">Costos_Personal!CN$145</f>
        <v>36644.2330514032</v>
      </c>
      <c r="CO33" s="71" t="n">
        <f aca="false">Costos_Personal!CO$145</f>
        <v>36644.2330514032</v>
      </c>
      <c r="CP33" s="71" t="n">
        <f aca="false">Costos_Personal!CP$145</f>
        <v>36644.2330514032</v>
      </c>
      <c r="CQ33" s="71" t="n">
        <f aca="false">Costos_Personal!CQ$145</f>
        <v>36644.2330514032</v>
      </c>
      <c r="CR33" s="71" t="n">
        <f aca="false">Costos_Personal!CR$145</f>
        <v>36644.2330514032</v>
      </c>
      <c r="CS33" s="71" t="n">
        <f aca="false">Costos_Personal!CS$145</f>
        <v>36644.2330514032</v>
      </c>
      <c r="CT33" s="71" t="n">
        <f aca="false">Costos_Personal!CT$145</f>
        <v>36644.2330514032</v>
      </c>
      <c r="CU33" s="71" t="n">
        <f aca="false">Costos_Personal!CU$145</f>
        <v>36644.2330514032</v>
      </c>
      <c r="CV33" s="71" t="n">
        <f aca="false">Costos_Personal!CV$145</f>
        <v>36644.2330514032</v>
      </c>
      <c r="CW33" s="71" t="n">
        <f aca="false">Costos_Personal!CW$145</f>
        <v>36644.2330514032</v>
      </c>
      <c r="CX33" s="71" t="n">
        <f aca="false">Costos_Personal!CX$145</f>
        <v>36644.2330514032</v>
      </c>
      <c r="CY33" s="71" t="n">
        <f aca="false">Costos_Personal!CY$145</f>
        <v>37300.2108750048</v>
      </c>
      <c r="CZ33" s="71" t="n">
        <f aca="false">Costos_Personal!CZ$145</f>
        <v>37300.2108750048</v>
      </c>
      <c r="DA33" s="71" t="n">
        <f aca="false">Costos_Personal!DA$145</f>
        <v>37300.2108750048</v>
      </c>
      <c r="DB33" s="71" t="n">
        <f aca="false">Costos_Personal!DB$145</f>
        <v>37300.2108750048</v>
      </c>
      <c r="DC33" s="71" t="n">
        <f aca="false">Costos_Personal!DC$145</f>
        <v>37300.2108750048</v>
      </c>
      <c r="DD33" s="71" t="n">
        <f aca="false">Costos_Personal!DD$145</f>
        <v>37300.2108750048</v>
      </c>
      <c r="DE33" s="71" t="n">
        <f aca="false">Costos_Personal!DE$145</f>
        <v>37300.2108750048</v>
      </c>
      <c r="DF33" s="71" t="n">
        <f aca="false">Costos_Personal!DF$145</f>
        <v>37300.2108750048</v>
      </c>
      <c r="DG33" s="71" t="n">
        <f aca="false">Costos_Personal!DG$145</f>
        <v>37300.2108750048</v>
      </c>
      <c r="DH33" s="71" t="n">
        <f aca="false">Costos_Personal!DH$145</f>
        <v>37300.2108750048</v>
      </c>
      <c r="DI33" s="71" t="n">
        <f aca="false">Costos_Personal!DI$145</f>
        <v>37300.2108750048</v>
      </c>
      <c r="DJ33" s="71" t="n">
        <f aca="false">Costos_Personal!DJ$145</f>
        <v>37300.2108750048</v>
      </c>
      <c r="DK33" s="71" t="n">
        <f aca="false">Costos_Personal!DK$145</f>
        <v>37975.8680333145</v>
      </c>
      <c r="DL33" s="71" t="n">
        <f aca="false">Costos_Personal!DL$145</f>
        <v>37975.8680333145</v>
      </c>
      <c r="DM33" s="71" t="n">
        <f aca="false">Costos_Personal!DM$145</f>
        <v>37975.8680333145</v>
      </c>
      <c r="DN33" s="71" t="n">
        <f aca="false">Costos_Personal!DN$145</f>
        <v>37975.8680333145</v>
      </c>
      <c r="DO33" s="71" t="n">
        <f aca="false">Costos_Personal!DO$145</f>
        <v>37975.8680333145</v>
      </c>
      <c r="DP33" s="71" t="n">
        <f aca="false">Costos_Personal!DP$145</f>
        <v>37975.8680333145</v>
      </c>
      <c r="DQ33" s="71" t="n">
        <f aca="false">Costos_Personal!DQ$145</f>
        <v>37975.8680333145</v>
      </c>
      <c r="DR33" s="71" t="n">
        <f aca="false">Costos_Personal!DR$145</f>
        <v>37975.8680333145</v>
      </c>
      <c r="DS33" s="71" t="n">
        <f aca="false">Costos_Personal!DS$145</f>
        <v>37975.8680333145</v>
      </c>
      <c r="DT33" s="71" t="n">
        <f aca="false">Costos_Personal!DT$145</f>
        <v>37975.8680333145</v>
      </c>
      <c r="DU33" s="71" t="n">
        <f aca="false">Costos_Personal!DU$145</f>
        <v>37975.8680333145</v>
      </c>
      <c r="DV33" s="71" t="n">
        <f aca="false">Costos_Personal!DV$145</f>
        <v>37975.8680333145</v>
      </c>
      <c r="DW33" s="71" t="n">
        <f aca="false">Costos_Personal!DW$145</f>
        <v>0</v>
      </c>
      <c r="DX33" s="71" t="n">
        <f aca="false">Costos_Personal!DX$145</f>
        <v>0</v>
      </c>
      <c r="DY33" s="71" t="n">
        <f aca="false">Costos_Personal!DY$145</f>
        <v>0</v>
      </c>
      <c r="DZ33" s="71" t="n">
        <f aca="false">Costos_Personal!DZ$145</f>
        <v>0</v>
      </c>
      <c r="EA33" s="71" t="n">
        <f aca="false">Costos_Personal!EA$145</f>
        <v>0</v>
      </c>
      <c r="EB33" s="71" t="n">
        <f aca="false">Costos_Personal!EB$145</f>
        <v>0</v>
      </c>
      <c r="EC33" s="71" t="n">
        <f aca="false">Costos_Personal!EC$145</f>
        <v>0</v>
      </c>
      <c r="ED33" s="71" t="n">
        <f aca="false">Costos_Personal!ED$145</f>
        <v>0</v>
      </c>
      <c r="EE33" s="71" t="n">
        <f aca="false">Costos_Personal!EE$145</f>
        <v>0</v>
      </c>
      <c r="EF33" s="71" t="n">
        <f aca="false">Costos_Personal!EF$145</f>
        <v>0</v>
      </c>
      <c r="EG33" s="71" t="n">
        <f aca="false">Costos_Personal!EG$145</f>
        <v>0</v>
      </c>
      <c r="EH33" s="71" t="n">
        <f aca="false">Costos_Personal!EH$145</f>
        <v>0</v>
      </c>
      <c r="EI33" s="71" t="n">
        <f aca="false">Costos_Personal!EI$145</f>
        <v>0</v>
      </c>
      <c r="EJ33" s="71" t="n">
        <f aca="false">Costos_Personal!EJ$145</f>
        <v>0</v>
      </c>
      <c r="EK33" s="71" t="n">
        <f aca="false">Costos_Personal!EK$145</f>
        <v>0</v>
      </c>
      <c r="EL33" s="71" t="n">
        <f aca="false">Costos_Personal!EL$145</f>
        <v>0</v>
      </c>
      <c r="EM33" s="71" t="n">
        <f aca="false">Costos_Personal!EM$145</f>
        <v>0</v>
      </c>
      <c r="EN33" s="71" t="n">
        <f aca="false">Costos_Personal!EN$145</f>
        <v>0</v>
      </c>
      <c r="EO33" s="71" t="n">
        <f aca="false">Costos_Personal!EO$145</f>
        <v>0</v>
      </c>
      <c r="EP33" s="71" t="n">
        <f aca="false">Costos_Personal!EP$145</f>
        <v>0</v>
      </c>
      <c r="EQ33" s="71" t="n">
        <f aca="false">Costos_Personal!EQ$145</f>
        <v>0</v>
      </c>
      <c r="ER33" s="71" t="n">
        <f aca="false">Costos_Personal!ER$145</f>
        <v>0</v>
      </c>
      <c r="ES33" s="71" t="n">
        <f aca="false">Costos_Personal!ES$145</f>
        <v>0</v>
      </c>
      <c r="ET33" s="71" t="n">
        <f aca="false">Costos_Personal!ET$145</f>
        <v>0</v>
      </c>
      <c r="EU33" s="71" t="n">
        <f aca="false">Costos_Personal!EU$145</f>
        <v>0</v>
      </c>
      <c r="EV33" s="71" t="n">
        <f aca="false">Costos_Personal!EV$145</f>
        <v>0</v>
      </c>
      <c r="EW33" s="71" t="n">
        <f aca="false">Costos_Personal!EW$145</f>
        <v>0</v>
      </c>
      <c r="EX33" s="71" t="n">
        <f aca="false">Costos_Personal!EX$145</f>
        <v>0</v>
      </c>
      <c r="EY33" s="71" t="n">
        <f aca="false">Costos_Personal!EY$145</f>
        <v>0</v>
      </c>
      <c r="EZ33" s="71" t="n">
        <f aca="false">Costos_Personal!EZ$145</f>
        <v>0</v>
      </c>
      <c r="FA33" s="71" t="n">
        <f aca="false">Costos_Personal!FA$145</f>
        <v>0</v>
      </c>
      <c r="FB33" s="71" t="n">
        <f aca="false">Costos_Personal!FB$145</f>
        <v>0</v>
      </c>
      <c r="FC33" s="71" t="n">
        <f aca="false">Costos_Personal!FC$145</f>
        <v>0</v>
      </c>
      <c r="FD33" s="71" t="n">
        <f aca="false">Costos_Personal!FD$145</f>
        <v>0</v>
      </c>
      <c r="FE33" s="71" t="n">
        <f aca="false">Costos_Personal!FE$145</f>
        <v>0</v>
      </c>
      <c r="FF33" s="71" t="n">
        <f aca="false">Costos_Personal!FF$145</f>
        <v>0</v>
      </c>
    </row>
    <row r="34" customFormat="false" ht="15" hidden="false" customHeight="false" outlineLevel="0" collapsed="false">
      <c r="A34" s="2" t="s">
        <v>1487</v>
      </c>
      <c r="B34" s="8" t="s">
        <v>1488</v>
      </c>
      <c r="C34" s="8" t="s">
        <v>255</v>
      </c>
      <c r="E34" s="65" t="n">
        <f aca="false">SUM($F34:$FF34)</f>
        <v>2339456.77885046</v>
      </c>
      <c r="F34" s="28" t="n">
        <f aca="false">Costos_Personal!F$132</f>
        <v>0</v>
      </c>
      <c r="G34" s="28" t="n">
        <f aca="false">Costos_Personal!G$132</f>
        <v>17006</v>
      </c>
      <c r="H34" s="28" t="n">
        <f aca="false">Costos_Personal!H$132</f>
        <v>17006</v>
      </c>
      <c r="I34" s="28" t="n">
        <f aca="false">Costos_Personal!I$132</f>
        <v>17006</v>
      </c>
      <c r="J34" s="28" t="n">
        <f aca="false">Costos_Personal!J$132</f>
        <v>17006</v>
      </c>
      <c r="K34" s="28" t="n">
        <f aca="false">Costos_Personal!K$132</f>
        <v>17006</v>
      </c>
      <c r="L34" s="28" t="n">
        <f aca="false">Costos_Personal!L$132</f>
        <v>17006</v>
      </c>
      <c r="M34" s="28" t="n">
        <f aca="false">Costos_Personal!M$132</f>
        <v>17006</v>
      </c>
      <c r="N34" s="28" t="n">
        <f aca="false">Costos_Personal!N$132</f>
        <v>17006</v>
      </c>
      <c r="O34" s="28" t="n">
        <f aca="false">Costos_Personal!O$132</f>
        <v>17006</v>
      </c>
      <c r="P34" s="28" t="n">
        <f aca="false">Costos_Personal!P$132</f>
        <v>17006</v>
      </c>
      <c r="Q34" s="28" t="n">
        <f aca="false">Costos_Personal!Q$132</f>
        <v>17006</v>
      </c>
      <c r="R34" s="28" t="n">
        <f aca="false">Costos_Personal!R$132</f>
        <v>17006</v>
      </c>
      <c r="S34" s="28" t="n">
        <f aca="false">Costos_Personal!S$132</f>
        <v>17516.18</v>
      </c>
      <c r="T34" s="28" t="n">
        <f aca="false">Costos_Personal!T$132</f>
        <v>17516.18</v>
      </c>
      <c r="U34" s="28" t="n">
        <f aca="false">Costos_Personal!U$132</f>
        <v>17516.18</v>
      </c>
      <c r="V34" s="28" t="n">
        <f aca="false">Costos_Personal!V$132</f>
        <v>17516.18</v>
      </c>
      <c r="W34" s="28" t="n">
        <f aca="false">Costos_Personal!W$132</f>
        <v>17516.18</v>
      </c>
      <c r="X34" s="28" t="n">
        <f aca="false">Costos_Personal!X$132</f>
        <v>17516.18</v>
      </c>
      <c r="Y34" s="28" t="n">
        <f aca="false">Costos_Personal!Y$132</f>
        <v>17516.18</v>
      </c>
      <c r="Z34" s="28" t="n">
        <f aca="false">Costos_Personal!Z$132</f>
        <v>17516.18</v>
      </c>
      <c r="AA34" s="28" t="n">
        <f aca="false">Costos_Personal!AA$132</f>
        <v>17516.18</v>
      </c>
      <c r="AB34" s="28" t="n">
        <f aca="false">Costos_Personal!AB$132</f>
        <v>17516.18</v>
      </c>
      <c r="AC34" s="28" t="n">
        <f aca="false">Costos_Personal!AC$132</f>
        <v>17516.18</v>
      </c>
      <c r="AD34" s="28" t="n">
        <f aca="false">Costos_Personal!AD$132</f>
        <v>17516.18</v>
      </c>
      <c r="AE34" s="28" t="n">
        <f aca="false">Costos_Personal!AE$132</f>
        <v>18041.6654</v>
      </c>
      <c r="AF34" s="28" t="n">
        <f aca="false">Costos_Personal!AF$132</f>
        <v>18041.6654</v>
      </c>
      <c r="AG34" s="28" t="n">
        <f aca="false">Costos_Personal!AG$132</f>
        <v>18041.6654</v>
      </c>
      <c r="AH34" s="28" t="n">
        <f aca="false">Costos_Personal!AH$132</f>
        <v>18041.6654</v>
      </c>
      <c r="AI34" s="28" t="n">
        <f aca="false">Costos_Personal!AI$132</f>
        <v>18041.6654</v>
      </c>
      <c r="AJ34" s="28" t="n">
        <f aca="false">Costos_Personal!AJ$132</f>
        <v>18041.6654</v>
      </c>
      <c r="AK34" s="28" t="n">
        <f aca="false">Costos_Personal!AK$132</f>
        <v>18041.6654</v>
      </c>
      <c r="AL34" s="28" t="n">
        <f aca="false">Costos_Personal!AL$132</f>
        <v>18041.6654</v>
      </c>
      <c r="AM34" s="28" t="n">
        <f aca="false">Costos_Personal!AM$132</f>
        <v>18041.6654</v>
      </c>
      <c r="AN34" s="28" t="n">
        <f aca="false">Costos_Personal!AN$132</f>
        <v>18041.6654</v>
      </c>
      <c r="AO34" s="28" t="n">
        <f aca="false">Costos_Personal!AO$132</f>
        <v>18041.6654</v>
      </c>
      <c r="AP34" s="28" t="n">
        <f aca="false">Costos_Personal!AP$132</f>
        <v>18041.6654</v>
      </c>
      <c r="AQ34" s="28" t="n">
        <f aca="false">Costos_Personal!AQ$132</f>
        <v>18582.915362</v>
      </c>
      <c r="AR34" s="28" t="n">
        <f aca="false">Costos_Personal!AR$132</f>
        <v>18582.915362</v>
      </c>
      <c r="AS34" s="28" t="n">
        <f aca="false">Costos_Personal!AS$132</f>
        <v>18582.915362</v>
      </c>
      <c r="AT34" s="28" t="n">
        <f aca="false">Costos_Personal!AT$132</f>
        <v>18582.915362</v>
      </c>
      <c r="AU34" s="28" t="n">
        <f aca="false">Costos_Personal!AU$132</f>
        <v>18582.915362</v>
      </c>
      <c r="AV34" s="28" t="n">
        <f aca="false">Costos_Personal!AV$132</f>
        <v>18582.915362</v>
      </c>
      <c r="AW34" s="28" t="n">
        <f aca="false">Costos_Personal!AW$132</f>
        <v>18582.915362</v>
      </c>
      <c r="AX34" s="28" t="n">
        <f aca="false">Costos_Personal!AX$132</f>
        <v>18582.915362</v>
      </c>
      <c r="AY34" s="28" t="n">
        <f aca="false">Costos_Personal!AY$132</f>
        <v>18582.915362</v>
      </c>
      <c r="AZ34" s="28" t="n">
        <f aca="false">Costos_Personal!AZ$132</f>
        <v>18582.915362</v>
      </c>
      <c r="BA34" s="28" t="n">
        <f aca="false">Costos_Personal!BA$132</f>
        <v>18582.915362</v>
      </c>
      <c r="BB34" s="28" t="n">
        <f aca="false">Costos_Personal!BB$132</f>
        <v>18582.915362</v>
      </c>
      <c r="BC34" s="28" t="n">
        <f aca="false">Costos_Personal!BC$132</f>
        <v>19140.40282286</v>
      </c>
      <c r="BD34" s="28" t="n">
        <f aca="false">Costos_Personal!BD$132</f>
        <v>19140.40282286</v>
      </c>
      <c r="BE34" s="28" t="n">
        <f aca="false">Costos_Personal!BE$132</f>
        <v>19140.40282286</v>
      </c>
      <c r="BF34" s="28" t="n">
        <f aca="false">Costos_Personal!BF$132</f>
        <v>19140.40282286</v>
      </c>
      <c r="BG34" s="28" t="n">
        <f aca="false">Costos_Personal!BG$132</f>
        <v>19140.40282286</v>
      </c>
      <c r="BH34" s="28" t="n">
        <f aca="false">Costos_Personal!BH$132</f>
        <v>19140.40282286</v>
      </c>
      <c r="BI34" s="28" t="n">
        <f aca="false">Costos_Personal!BI$132</f>
        <v>19140.40282286</v>
      </c>
      <c r="BJ34" s="28" t="n">
        <f aca="false">Costos_Personal!BJ$132</f>
        <v>19140.40282286</v>
      </c>
      <c r="BK34" s="28" t="n">
        <f aca="false">Costos_Personal!BK$132</f>
        <v>19140.40282286</v>
      </c>
      <c r="BL34" s="28" t="n">
        <f aca="false">Costos_Personal!BL$132</f>
        <v>19140.40282286</v>
      </c>
      <c r="BM34" s="28" t="n">
        <f aca="false">Costos_Personal!BM$132</f>
        <v>19140.40282286</v>
      </c>
      <c r="BN34" s="28" t="n">
        <f aca="false">Costos_Personal!BN$132</f>
        <v>19140.40282286</v>
      </c>
      <c r="BO34" s="28" t="n">
        <f aca="false">Costos_Personal!BO$132</f>
        <v>19714.6149075458</v>
      </c>
      <c r="BP34" s="28" t="n">
        <f aca="false">Costos_Personal!BP$132</f>
        <v>19714.6149075458</v>
      </c>
      <c r="BQ34" s="28" t="n">
        <f aca="false">Costos_Personal!BQ$132</f>
        <v>19714.6149075458</v>
      </c>
      <c r="BR34" s="28" t="n">
        <f aca="false">Costos_Personal!BR$132</f>
        <v>19714.6149075458</v>
      </c>
      <c r="BS34" s="28" t="n">
        <f aca="false">Costos_Personal!BS$132</f>
        <v>19714.6149075458</v>
      </c>
      <c r="BT34" s="28" t="n">
        <f aca="false">Costos_Personal!BT$132</f>
        <v>19714.6149075458</v>
      </c>
      <c r="BU34" s="28" t="n">
        <f aca="false">Costos_Personal!BU$132</f>
        <v>19714.6149075458</v>
      </c>
      <c r="BV34" s="28" t="n">
        <f aca="false">Costos_Personal!BV$132</f>
        <v>19714.6149075458</v>
      </c>
      <c r="BW34" s="28" t="n">
        <f aca="false">Costos_Personal!BW$132</f>
        <v>19714.6149075458</v>
      </c>
      <c r="BX34" s="28" t="n">
        <f aca="false">Costos_Personal!BX$132</f>
        <v>19714.6149075458</v>
      </c>
      <c r="BY34" s="28" t="n">
        <f aca="false">Costos_Personal!BY$132</f>
        <v>19714.6149075458</v>
      </c>
      <c r="BZ34" s="28" t="n">
        <f aca="false">Costos_Personal!BZ$132</f>
        <v>19714.6149075458</v>
      </c>
      <c r="CA34" s="28" t="n">
        <f aca="false">Costos_Personal!CA$132</f>
        <v>20306.0533547722</v>
      </c>
      <c r="CB34" s="28" t="n">
        <f aca="false">Costos_Personal!CB$132</f>
        <v>20306.0533547722</v>
      </c>
      <c r="CC34" s="28" t="n">
        <f aca="false">Costos_Personal!CC$132</f>
        <v>20306.0533547722</v>
      </c>
      <c r="CD34" s="28" t="n">
        <f aca="false">Costos_Personal!CD$132</f>
        <v>20306.0533547722</v>
      </c>
      <c r="CE34" s="28" t="n">
        <f aca="false">Costos_Personal!CE$132</f>
        <v>20306.0533547722</v>
      </c>
      <c r="CF34" s="28" t="n">
        <f aca="false">Costos_Personal!CF$132</f>
        <v>20306.0533547722</v>
      </c>
      <c r="CG34" s="28" t="n">
        <f aca="false">Costos_Personal!CG$132</f>
        <v>20306.0533547722</v>
      </c>
      <c r="CH34" s="28" t="n">
        <f aca="false">Costos_Personal!CH$132</f>
        <v>20306.0533547722</v>
      </c>
      <c r="CI34" s="28" t="n">
        <f aca="false">Costos_Personal!CI$132</f>
        <v>20306.0533547722</v>
      </c>
      <c r="CJ34" s="28" t="n">
        <f aca="false">Costos_Personal!CJ$132</f>
        <v>20306.0533547722</v>
      </c>
      <c r="CK34" s="28" t="n">
        <f aca="false">Costos_Personal!CK$132</f>
        <v>20306.0533547722</v>
      </c>
      <c r="CL34" s="28" t="n">
        <f aca="false">Costos_Personal!CL$132</f>
        <v>20306.0533547722</v>
      </c>
      <c r="CM34" s="28" t="n">
        <f aca="false">Costos_Personal!CM$132</f>
        <v>20915.2349554153</v>
      </c>
      <c r="CN34" s="28" t="n">
        <f aca="false">Costos_Personal!CN$132</f>
        <v>20915.2349554153</v>
      </c>
      <c r="CO34" s="28" t="n">
        <f aca="false">Costos_Personal!CO$132</f>
        <v>20915.2349554153</v>
      </c>
      <c r="CP34" s="28" t="n">
        <f aca="false">Costos_Personal!CP$132</f>
        <v>20915.2349554153</v>
      </c>
      <c r="CQ34" s="28" t="n">
        <f aca="false">Costos_Personal!CQ$132</f>
        <v>20915.2349554153</v>
      </c>
      <c r="CR34" s="28" t="n">
        <f aca="false">Costos_Personal!CR$132</f>
        <v>20915.2349554153</v>
      </c>
      <c r="CS34" s="28" t="n">
        <f aca="false">Costos_Personal!CS$132</f>
        <v>20915.2349554153</v>
      </c>
      <c r="CT34" s="28" t="n">
        <f aca="false">Costos_Personal!CT$132</f>
        <v>20915.2349554153</v>
      </c>
      <c r="CU34" s="28" t="n">
        <f aca="false">Costos_Personal!CU$132</f>
        <v>20915.2349554153</v>
      </c>
      <c r="CV34" s="28" t="n">
        <f aca="false">Costos_Personal!CV$132</f>
        <v>20915.2349554153</v>
      </c>
      <c r="CW34" s="28" t="n">
        <f aca="false">Costos_Personal!CW$132</f>
        <v>20915.2349554153</v>
      </c>
      <c r="CX34" s="28" t="n">
        <f aca="false">Costos_Personal!CX$132</f>
        <v>20915.2349554153</v>
      </c>
      <c r="CY34" s="28" t="n">
        <f aca="false">Costos_Personal!CY$132</f>
        <v>21542.6920040778</v>
      </c>
      <c r="CZ34" s="28" t="n">
        <f aca="false">Costos_Personal!CZ$132</f>
        <v>21542.6920040778</v>
      </c>
      <c r="DA34" s="28" t="n">
        <f aca="false">Costos_Personal!DA$132</f>
        <v>21542.6920040778</v>
      </c>
      <c r="DB34" s="28" t="n">
        <f aca="false">Costos_Personal!DB$132</f>
        <v>21542.6920040778</v>
      </c>
      <c r="DC34" s="28" t="n">
        <f aca="false">Costos_Personal!DC$132</f>
        <v>21542.6920040778</v>
      </c>
      <c r="DD34" s="28" t="n">
        <f aca="false">Costos_Personal!DD$132</f>
        <v>21542.6920040778</v>
      </c>
      <c r="DE34" s="28" t="n">
        <f aca="false">Costos_Personal!DE$132</f>
        <v>21542.6920040778</v>
      </c>
      <c r="DF34" s="28" t="n">
        <f aca="false">Costos_Personal!DF$132</f>
        <v>21542.6920040778</v>
      </c>
      <c r="DG34" s="28" t="n">
        <f aca="false">Costos_Personal!DG$132</f>
        <v>21542.6920040778</v>
      </c>
      <c r="DH34" s="28" t="n">
        <f aca="false">Costos_Personal!DH$132</f>
        <v>21542.6920040778</v>
      </c>
      <c r="DI34" s="28" t="n">
        <f aca="false">Costos_Personal!DI$132</f>
        <v>21542.6920040778</v>
      </c>
      <c r="DJ34" s="28" t="n">
        <f aca="false">Costos_Personal!DJ$132</f>
        <v>21542.6920040778</v>
      </c>
      <c r="DK34" s="28" t="n">
        <f aca="false">Costos_Personal!DK$132</f>
        <v>22188.9727642001</v>
      </c>
      <c r="DL34" s="28" t="n">
        <f aca="false">Costos_Personal!DL$132</f>
        <v>22188.9727642001</v>
      </c>
      <c r="DM34" s="28" t="n">
        <f aca="false">Costos_Personal!DM$132</f>
        <v>22188.9727642001</v>
      </c>
      <c r="DN34" s="28" t="n">
        <f aca="false">Costos_Personal!DN$132</f>
        <v>22188.9727642001</v>
      </c>
      <c r="DO34" s="28" t="n">
        <f aca="false">Costos_Personal!DO$132</f>
        <v>22188.9727642001</v>
      </c>
      <c r="DP34" s="28" t="n">
        <f aca="false">Costos_Personal!DP$132</f>
        <v>22188.9727642001</v>
      </c>
      <c r="DQ34" s="28" t="n">
        <f aca="false">Costos_Personal!DQ$132</f>
        <v>22188.9727642001</v>
      </c>
      <c r="DR34" s="28" t="n">
        <f aca="false">Costos_Personal!DR$132</f>
        <v>22188.9727642001</v>
      </c>
      <c r="DS34" s="28" t="n">
        <f aca="false">Costos_Personal!DS$132</f>
        <v>22188.9727642001</v>
      </c>
      <c r="DT34" s="28" t="n">
        <f aca="false">Costos_Personal!DT$132</f>
        <v>22188.9727642001</v>
      </c>
      <c r="DU34" s="28" t="n">
        <f aca="false">Costos_Personal!DU$132</f>
        <v>22188.9727642001</v>
      </c>
      <c r="DV34" s="28" t="n">
        <f aca="false">Costos_Personal!DV$132</f>
        <v>22188.9727642001</v>
      </c>
      <c r="DW34" s="28" t="n">
        <f aca="false">Costos_Personal!DW$132</f>
        <v>0</v>
      </c>
      <c r="DX34" s="28" t="n">
        <f aca="false">Costos_Personal!DX$132</f>
        <v>0</v>
      </c>
      <c r="DY34" s="28" t="n">
        <f aca="false">Costos_Personal!DY$132</f>
        <v>0</v>
      </c>
      <c r="DZ34" s="28" t="n">
        <f aca="false">Costos_Personal!DZ$132</f>
        <v>0</v>
      </c>
      <c r="EA34" s="28" t="n">
        <f aca="false">Costos_Personal!EA$132</f>
        <v>0</v>
      </c>
      <c r="EB34" s="28" t="n">
        <f aca="false">Costos_Personal!EB$132</f>
        <v>0</v>
      </c>
      <c r="EC34" s="28" t="n">
        <f aca="false">Costos_Personal!EC$132</f>
        <v>0</v>
      </c>
      <c r="ED34" s="28" t="n">
        <f aca="false">Costos_Personal!ED$132</f>
        <v>0</v>
      </c>
      <c r="EE34" s="28" t="n">
        <f aca="false">Costos_Personal!EE$132</f>
        <v>0</v>
      </c>
      <c r="EF34" s="28" t="n">
        <f aca="false">Costos_Personal!EF$132</f>
        <v>0</v>
      </c>
      <c r="EG34" s="28" t="n">
        <f aca="false">Costos_Personal!EG$132</f>
        <v>0</v>
      </c>
      <c r="EH34" s="28" t="n">
        <f aca="false">Costos_Personal!EH$132</f>
        <v>0</v>
      </c>
      <c r="EI34" s="28" t="n">
        <f aca="false">Costos_Personal!EI$132</f>
        <v>0</v>
      </c>
      <c r="EJ34" s="28" t="n">
        <f aca="false">Costos_Personal!EJ$132</f>
        <v>0</v>
      </c>
      <c r="EK34" s="28" t="n">
        <f aca="false">Costos_Personal!EK$132</f>
        <v>0</v>
      </c>
      <c r="EL34" s="28" t="n">
        <f aca="false">Costos_Personal!EL$132</f>
        <v>0</v>
      </c>
      <c r="EM34" s="28" t="n">
        <f aca="false">Costos_Personal!EM$132</f>
        <v>0</v>
      </c>
      <c r="EN34" s="28" t="n">
        <f aca="false">Costos_Personal!EN$132</f>
        <v>0</v>
      </c>
      <c r="EO34" s="28" t="n">
        <f aca="false">Costos_Personal!EO$132</f>
        <v>0</v>
      </c>
      <c r="EP34" s="28" t="n">
        <f aca="false">Costos_Personal!EP$132</f>
        <v>0</v>
      </c>
      <c r="EQ34" s="28" t="n">
        <f aca="false">Costos_Personal!EQ$132</f>
        <v>0</v>
      </c>
      <c r="ER34" s="28" t="n">
        <f aca="false">Costos_Personal!ER$132</f>
        <v>0</v>
      </c>
      <c r="ES34" s="28" t="n">
        <f aca="false">Costos_Personal!ES$132</f>
        <v>0</v>
      </c>
      <c r="ET34" s="28" t="n">
        <f aca="false">Costos_Personal!ET$132</f>
        <v>0</v>
      </c>
      <c r="EU34" s="28" t="n">
        <f aca="false">Costos_Personal!EU$132</f>
        <v>0</v>
      </c>
      <c r="EV34" s="28" t="n">
        <f aca="false">Costos_Personal!EV$132</f>
        <v>0</v>
      </c>
      <c r="EW34" s="28" t="n">
        <f aca="false">Costos_Personal!EW$132</f>
        <v>0</v>
      </c>
      <c r="EX34" s="28" t="n">
        <f aca="false">Costos_Personal!EX$132</f>
        <v>0</v>
      </c>
      <c r="EY34" s="28" t="n">
        <f aca="false">Costos_Personal!EY$132</f>
        <v>0</v>
      </c>
      <c r="EZ34" s="28" t="n">
        <f aca="false">Costos_Personal!EZ$132</f>
        <v>0</v>
      </c>
      <c r="FA34" s="28" t="n">
        <f aca="false">Costos_Personal!FA$132</f>
        <v>0</v>
      </c>
      <c r="FB34" s="28" t="n">
        <f aca="false">Costos_Personal!FB$132</f>
        <v>0</v>
      </c>
      <c r="FC34" s="28" t="n">
        <f aca="false">Costos_Personal!FC$132</f>
        <v>0</v>
      </c>
      <c r="FD34" s="28" t="n">
        <f aca="false">Costos_Personal!FD$132</f>
        <v>0</v>
      </c>
      <c r="FE34" s="28" t="n">
        <f aca="false">Costos_Personal!FE$132</f>
        <v>0</v>
      </c>
      <c r="FF34" s="28" t="n">
        <f aca="false">Costos_Personal!FF$132</f>
        <v>0</v>
      </c>
    </row>
    <row r="35" customFormat="false" ht="15" hidden="false" customHeight="false" outlineLevel="0" collapsed="false">
      <c r="A35" s="2" t="s">
        <v>1489</v>
      </c>
      <c r="B35" s="8" t="s">
        <v>1119</v>
      </c>
      <c r="C35" s="8" t="s">
        <v>255</v>
      </c>
      <c r="E35" s="65" t="n">
        <f aca="false">SUM($F35:$FF35)</f>
        <v>0</v>
      </c>
      <c r="F35" s="28" t="n">
        <f aca="false">Costos_Personal!F$140</f>
        <v>0</v>
      </c>
      <c r="G35" s="28" t="n">
        <f aca="false">Costos_Personal!G$140</f>
        <v>0</v>
      </c>
      <c r="H35" s="28" t="n">
        <f aca="false">Costos_Personal!H$140</f>
        <v>0</v>
      </c>
      <c r="I35" s="28" t="n">
        <f aca="false">Costos_Personal!I$140</f>
        <v>0</v>
      </c>
      <c r="J35" s="28" t="n">
        <f aca="false">Costos_Personal!J$140</f>
        <v>0</v>
      </c>
      <c r="K35" s="28" t="n">
        <f aca="false">Costos_Personal!K$140</f>
        <v>0</v>
      </c>
      <c r="L35" s="28" t="n">
        <f aca="false">Costos_Personal!L$140</f>
        <v>0</v>
      </c>
      <c r="M35" s="28" t="n">
        <f aca="false">Costos_Personal!M$140</f>
        <v>0</v>
      </c>
      <c r="N35" s="28" t="n">
        <f aca="false">Costos_Personal!N$140</f>
        <v>0</v>
      </c>
      <c r="O35" s="28" t="n">
        <f aca="false">Costos_Personal!O$140</f>
        <v>0</v>
      </c>
      <c r="P35" s="28" t="n">
        <f aca="false">Costos_Personal!P$140</f>
        <v>0</v>
      </c>
      <c r="Q35" s="28" t="n">
        <f aca="false">Costos_Personal!Q$140</f>
        <v>0</v>
      </c>
      <c r="R35" s="28" t="n">
        <f aca="false">Costos_Personal!R$140</f>
        <v>0</v>
      </c>
      <c r="S35" s="28" t="n">
        <f aca="false">Costos_Personal!S$140</f>
        <v>0</v>
      </c>
      <c r="T35" s="28" t="n">
        <f aca="false">Costos_Personal!T$140</f>
        <v>0</v>
      </c>
      <c r="U35" s="28" t="n">
        <f aca="false">Costos_Personal!U$140</f>
        <v>0</v>
      </c>
      <c r="V35" s="28" t="n">
        <f aca="false">Costos_Personal!V$140</f>
        <v>0</v>
      </c>
      <c r="W35" s="28" t="n">
        <f aca="false">Costos_Personal!W$140</f>
        <v>0</v>
      </c>
      <c r="X35" s="28" t="n">
        <f aca="false">Costos_Personal!X$140</f>
        <v>0</v>
      </c>
      <c r="Y35" s="28" t="n">
        <f aca="false">Costos_Personal!Y$140</f>
        <v>0</v>
      </c>
      <c r="Z35" s="28" t="n">
        <f aca="false">Costos_Personal!Z$140</f>
        <v>0</v>
      </c>
      <c r="AA35" s="28" t="n">
        <f aca="false">Costos_Personal!AA$140</f>
        <v>0</v>
      </c>
      <c r="AB35" s="28" t="n">
        <f aca="false">Costos_Personal!AB$140</f>
        <v>0</v>
      </c>
      <c r="AC35" s="28" t="n">
        <f aca="false">Costos_Personal!AC$140</f>
        <v>0</v>
      </c>
      <c r="AD35" s="28" t="n">
        <f aca="false">Costos_Personal!AD$140</f>
        <v>0</v>
      </c>
      <c r="AE35" s="28" t="n">
        <f aca="false">Costos_Personal!AE$140</f>
        <v>0</v>
      </c>
      <c r="AF35" s="28" t="n">
        <f aca="false">Costos_Personal!AF$140</f>
        <v>0</v>
      </c>
      <c r="AG35" s="28" t="n">
        <f aca="false">Costos_Personal!AG$140</f>
        <v>0</v>
      </c>
      <c r="AH35" s="28" t="n">
        <f aca="false">Costos_Personal!AH$140</f>
        <v>0</v>
      </c>
      <c r="AI35" s="28" t="n">
        <f aca="false">Costos_Personal!AI$140</f>
        <v>0</v>
      </c>
      <c r="AJ35" s="28" t="n">
        <f aca="false">Costos_Personal!AJ$140</f>
        <v>0</v>
      </c>
      <c r="AK35" s="28" t="n">
        <f aca="false">Costos_Personal!AK$140</f>
        <v>0</v>
      </c>
      <c r="AL35" s="28" t="n">
        <f aca="false">Costos_Personal!AL$140</f>
        <v>0</v>
      </c>
      <c r="AM35" s="28" t="n">
        <f aca="false">Costos_Personal!AM$140</f>
        <v>0</v>
      </c>
      <c r="AN35" s="28" t="n">
        <f aca="false">Costos_Personal!AN$140</f>
        <v>0</v>
      </c>
      <c r="AO35" s="28" t="n">
        <f aca="false">Costos_Personal!AO$140</f>
        <v>0</v>
      </c>
      <c r="AP35" s="28" t="n">
        <f aca="false">Costos_Personal!AP$140</f>
        <v>0</v>
      </c>
      <c r="AQ35" s="28" t="n">
        <f aca="false">Costos_Personal!AQ$140</f>
        <v>0</v>
      </c>
      <c r="AR35" s="28" t="n">
        <f aca="false">Costos_Personal!AR$140</f>
        <v>0</v>
      </c>
      <c r="AS35" s="28" t="n">
        <f aca="false">Costos_Personal!AS$140</f>
        <v>0</v>
      </c>
      <c r="AT35" s="28" t="n">
        <f aca="false">Costos_Personal!AT$140</f>
        <v>0</v>
      </c>
      <c r="AU35" s="28" t="n">
        <f aca="false">Costos_Personal!AU$140</f>
        <v>0</v>
      </c>
      <c r="AV35" s="28" t="n">
        <f aca="false">Costos_Personal!AV$140</f>
        <v>0</v>
      </c>
      <c r="AW35" s="28" t="n">
        <f aca="false">Costos_Personal!AW$140</f>
        <v>0</v>
      </c>
      <c r="AX35" s="28" t="n">
        <f aca="false">Costos_Personal!AX$140</f>
        <v>0</v>
      </c>
      <c r="AY35" s="28" t="n">
        <f aca="false">Costos_Personal!AY$140</f>
        <v>0</v>
      </c>
      <c r="AZ35" s="28" t="n">
        <f aca="false">Costos_Personal!AZ$140</f>
        <v>0</v>
      </c>
      <c r="BA35" s="28" t="n">
        <f aca="false">Costos_Personal!BA$140</f>
        <v>0</v>
      </c>
      <c r="BB35" s="28" t="n">
        <f aca="false">Costos_Personal!BB$140</f>
        <v>0</v>
      </c>
      <c r="BC35" s="28" t="n">
        <f aca="false">Costos_Personal!BC$140</f>
        <v>0</v>
      </c>
      <c r="BD35" s="28" t="n">
        <f aca="false">Costos_Personal!BD$140</f>
        <v>0</v>
      </c>
      <c r="BE35" s="28" t="n">
        <f aca="false">Costos_Personal!BE$140</f>
        <v>0</v>
      </c>
      <c r="BF35" s="28" t="n">
        <f aca="false">Costos_Personal!BF$140</f>
        <v>0</v>
      </c>
      <c r="BG35" s="28" t="n">
        <f aca="false">Costos_Personal!BG$140</f>
        <v>0</v>
      </c>
      <c r="BH35" s="28" t="n">
        <f aca="false">Costos_Personal!BH$140</f>
        <v>0</v>
      </c>
      <c r="BI35" s="28" t="n">
        <f aca="false">Costos_Personal!BI$140</f>
        <v>0</v>
      </c>
      <c r="BJ35" s="28" t="n">
        <f aca="false">Costos_Personal!BJ$140</f>
        <v>0</v>
      </c>
      <c r="BK35" s="28" t="n">
        <f aca="false">Costos_Personal!BK$140</f>
        <v>0</v>
      </c>
      <c r="BL35" s="28" t="n">
        <f aca="false">Costos_Personal!BL$140</f>
        <v>0</v>
      </c>
      <c r="BM35" s="28" t="n">
        <f aca="false">Costos_Personal!BM$140</f>
        <v>0</v>
      </c>
      <c r="BN35" s="28" t="n">
        <f aca="false">Costos_Personal!BN$140</f>
        <v>0</v>
      </c>
      <c r="BO35" s="28" t="n">
        <f aca="false">Costos_Personal!BO$140</f>
        <v>0</v>
      </c>
      <c r="BP35" s="28" t="n">
        <f aca="false">Costos_Personal!BP$140</f>
        <v>0</v>
      </c>
      <c r="BQ35" s="28" t="n">
        <f aca="false">Costos_Personal!BQ$140</f>
        <v>0</v>
      </c>
      <c r="BR35" s="28" t="n">
        <f aca="false">Costos_Personal!BR$140</f>
        <v>0</v>
      </c>
      <c r="BS35" s="28" t="n">
        <f aca="false">Costos_Personal!BS$140</f>
        <v>0</v>
      </c>
      <c r="BT35" s="28" t="n">
        <f aca="false">Costos_Personal!BT$140</f>
        <v>0</v>
      </c>
      <c r="BU35" s="28" t="n">
        <f aca="false">Costos_Personal!BU$140</f>
        <v>0</v>
      </c>
      <c r="BV35" s="28" t="n">
        <f aca="false">Costos_Personal!BV$140</f>
        <v>0</v>
      </c>
      <c r="BW35" s="28" t="n">
        <f aca="false">Costos_Personal!BW$140</f>
        <v>0</v>
      </c>
      <c r="BX35" s="28" t="n">
        <f aca="false">Costos_Personal!BX$140</f>
        <v>0</v>
      </c>
      <c r="BY35" s="28" t="n">
        <f aca="false">Costos_Personal!BY$140</f>
        <v>0</v>
      </c>
      <c r="BZ35" s="28" t="n">
        <f aca="false">Costos_Personal!BZ$140</f>
        <v>0</v>
      </c>
      <c r="CA35" s="28" t="n">
        <f aca="false">Costos_Personal!CA$140</f>
        <v>0</v>
      </c>
      <c r="CB35" s="28" t="n">
        <f aca="false">Costos_Personal!CB$140</f>
        <v>0</v>
      </c>
      <c r="CC35" s="28" t="n">
        <f aca="false">Costos_Personal!CC$140</f>
        <v>0</v>
      </c>
      <c r="CD35" s="28" t="n">
        <f aca="false">Costos_Personal!CD$140</f>
        <v>0</v>
      </c>
      <c r="CE35" s="28" t="n">
        <f aca="false">Costos_Personal!CE$140</f>
        <v>0</v>
      </c>
      <c r="CF35" s="28" t="n">
        <f aca="false">Costos_Personal!CF$140</f>
        <v>0</v>
      </c>
      <c r="CG35" s="28" t="n">
        <f aca="false">Costos_Personal!CG$140</f>
        <v>0</v>
      </c>
      <c r="CH35" s="28" t="n">
        <f aca="false">Costos_Personal!CH$140</f>
        <v>0</v>
      </c>
      <c r="CI35" s="28" t="n">
        <f aca="false">Costos_Personal!CI$140</f>
        <v>0</v>
      </c>
      <c r="CJ35" s="28" t="n">
        <f aca="false">Costos_Personal!CJ$140</f>
        <v>0</v>
      </c>
      <c r="CK35" s="28" t="n">
        <f aca="false">Costos_Personal!CK$140</f>
        <v>0</v>
      </c>
      <c r="CL35" s="28" t="n">
        <f aca="false">Costos_Personal!CL$140</f>
        <v>0</v>
      </c>
      <c r="CM35" s="28" t="n">
        <f aca="false">Costos_Personal!CM$140</f>
        <v>0</v>
      </c>
      <c r="CN35" s="28" t="n">
        <f aca="false">Costos_Personal!CN$140</f>
        <v>0</v>
      </c>
      <c r="CO35" s="28" t="n">
        <f aca="false">Costos_Personal!CO$140</f>
        <v>0</v>
      </c>
      <c r="CP35" s="28" t="n">
        <f aca="false">Costos_Personal!CP$140</f>
        <v>0</v>
      </c>
      <c r="CQ35" s="28" t="n">
        <f aca="false">Costos_Personal!CQ$140</f>
        <v>0</v>
      </c>
      <c r="CR35" s="28" t="n">
        <f aca="false">Costos_Personal!CR$140</f>
        <v>0</v>
      </c>
      <c r="CS35" s="28" t="n">
        <f aca="false">Costos_Personal!CS$140</f>
        <v>0</v>
      </c>
      <c r="CT35" s="28" t="n">
        <f aca="false">Costos_Personal!CT$140</f>
        <v>0</v>
      </c>
      <c r="CU35" s="28" t="n">
        <f aca="false">Costos_Personal!CU$140</f>
        <v>0</v>
      </c>
      <c r="CV35" s="28" t="n">
        <f aca="false">Costos_Personal!CV$140</f>
        <v>0</v>
      </c>
      <c r="CW35" s="28" t="n">
        <f aca="false">Costos_Personal!CW$140</f>
        <v>0</v>
      </c>
      <c r="CX35" s="28" t="n">
        <f aca="false">Costos_Personal!CX$140</f>
        <v>0</v>
      </c>
      <c r="CY35" s="28" t="n">
        <f aca="false">Costos_Personal!CY$140</f>
        <v>0</v>
      </c>
      <c r="CZ35" s="28" t="n">
        <f aca="false">Costos_Personal!CZ$140</f>
        <v>0</v>
      </c>
      <c r="DA35" s="28" t="n">
        <f aca="false">Costos_Personal!DA$140</f>
        <v>0</v>
      </c>
      <c r="DB35" s="28" t="n">
        <f aca="false">Costos_Personal!DB$140</f>
        <v>0</v>
      </c>
      <c r="DC35" s="28" t="n">
        <f aca="false">Costos_Personal!DC$140</f>
        <v>0</v>
      </c>
      <c r="DD35" s="28" t="n">
        <f aca="false">Costos_Personal!DD$140</f>
        <v>0</v>
      </c>
      <c r="DE35" s="28" t="n">
        <f aca="false">Costos_Personal!DE$140</f>
        <v>0</v>
      </c>
      <c r="DF35" s="28" t="n">
        <f aca="false">Costos_Personal!DF$140</f>
        <v>0</v>
      </c>
      <c r="DG35" s="28" t="n">
        <f aca="false">Costos_Personal!DG$140</f>
        <v>0</v>
      </c>
      <c r="DH35" s="28" t="n">
        <f aca="false">Costos_Personal!DH$140</f>
        <v>0</v>
      </c>
      <c r="DI35" s="28" t="n">
        <f aca="false">Costos_Personal!DI$140</f>
        <v>0</v>
      </c>
      <c r="DJ35" s="28" t="n">
        <f aca="false">Costos_Personal!DJ$140</f>
        <v>0</v>
      </c>
      <c r="DK35" s="28" t="n">
        <f aca="false">Costos_Personal!DK$140</f>
        <v>0</v>
      </c>
      <c r="DL35" s="28" t="n">
        <f aca="false">Costos_Personal!DL$140</f>
        <v>0</v>
      </c>
      <c r="DM35" s="28" t="n">
        <f aca="false">Costos_Personal!DM$140</f>
        <v>0</v>
      </c>
      <c r="DN35" s="28" t="n">
        <f aca="false">Costos_Personal!DN$140</f>
        <v>0</v>
      </c>
      <c r="DO35" s="28" t="n">
        <f aca="false">Costos_Personal!DO$140</f>
        <v>0</v>
      </c>
      <c r="DP35" s="28" t="n">
        <f aca="false">Costos_Personal!DP$140</f>
        <v>0</v>
      </c>
      <c r="DQ35" s="28" t="n">
        <f aca="false">Costos_Personal!DQ$140</f>
        <v>0</v>
      </c>
      <c r="DR35" s="28" t="n">
        <f aca="false">Costos_Personal!DR$140</f>
        <v>0</v>
      </c>
      <c r="DS35" s="28" t="n">
        <f aca="false">Costos_Personal!DS$140</f>
        <v>0</v>
      </c>
      <c r="DT35" s="28" t="n">
        <f aca="false">Costos_Personal!DT$140</f>
        <v>0</v>
      </c>
      <c r="DU35" s="28" t="n">
        <f aca="false">Costos_Personal!DU$140</f>
        <v>0</v>
      </c>
      <c r="DV35" s="28" t="n">
        <f aca="false">Costos_Personal!DV$140</f>
        <v>0</v>
      </c>
      <c r="DW35" s="28" t="n">
        <f aca="false">Costos_Personal!DW$140</f>
        <v>0</v>
      </c>
      <c r="DX35" s="28" t="n">
        <f aca="false">Costos_Personal!DX$140</f>
        <v>0</v>
      </c>
      <c r="DY35" s="28" t="n">
        <f aca="false">Costos_Personal!DY$140</f>
        <v>0</v>
      </c>
      <c r="DZ35" s="28" t="n">
        <f aca="false">Costos_Personal!DZ$140</f>
        <v>0</v>
      </c>
      <c r="EA35" s="28" t="n">
        <f aca="false">Costos_Personal!EA$140</f>
        <v>0</v>
      </c>
      <c r="EB35" s="28" t="n">
        <f aca="false">Costos_Personal!EB$140</f>
        <v>0</v>
      </c>
      <c r="EC35" s="28" t="n">
        <f aca="false">Costos_Personal!EC$140</f>
        <v>0</v>
      </c>
      <c r="ED35" s="28" t="n">
        <f aca="false">Costos_Personal!ED$140</f>
        <v>0</v>
      </c>
      <c r="EE35" s="28" t="n">
        <f aca="false">Costos_Personal!EE$140</f>
        <v>0</v>
      </c>
      <c r="EF35" s="28" t="n">
        <f aca="false">Costos_Personal!EF$140</f>
        <v>0</v>
      </c>
      <c r="EG35" s="28" t="n">
        <f aca="false">Costos_Personal!EG$140</f>
        <v>0</v>
      </c>
      <c r="EH35" s="28" t="n">
        <f aca="false">Costos_Personal!EH$140</f>
        <v>0</v>
      </c>
      <c r="EI35" s="28" t="n">
        <f aca="false">Costos_Personal!EI$140</f>
        <v>0</v>
      </c>
      <c r="EJ35" s="28" t="n">
        <f aca="false">Costos_Personal!EJ$140</f>
        <v>0</v>
      </c>
      <c r="EK35" s="28" t="n">
        <f aca="false">Costos_Personal!EK$140</f>
        <v>0</v>
      </c>
      <c r="EL35" s="28" t="n">
        <f aca="false">Costos_Personal!EL$140</f>
        <v>0</v>
      </c>
      <c r="EM35" s="28" t="n">
        <f aca="false">Costos_Personal!EM$140</f>
        <v>0</v>
      </c>
      <c r="EN35" s="28" t="n">
        <f aca="false">Costos_Personal!EN$140</f>
        <v>0</v>
      </c>
      <c r="EO35" s="28" t="n">
        <f aca="false">Costos_Personal!EO$140</f>
        <v>0</v>
      </c>
      <c r="EP35" s="28" t="n">
        <f aca="false">Costos_Personal!EP$140</f>
        <v>0</v>
      </c>
      <c r="EQ35" s="28" t="n">
        <f aca="false">Costos_Personal!EQ$140</f>
        <v>0</v>
      </c>
      <c r="ER35" s="28" t="n">
        <f aca="false">Costos_Personal!ER$140</f>
        <v>0</v>
      </c>
      <c r="ES35" s="28" t="n">
        <f aca="false">Costos_Personal!ES$140</f>
        <v>0</v>
      </c>
      <c r="ET35" s="28" t="n">
        <f aca="false">Costos_Personal!ET$140</f>
        <v>0</v>
      </c>
      <c r="EU35" s="28" t="n">
        <f aca="false">Costos_Personal!EU$140</f>
        <v>0</v>
      </c>
      <c r="EV35" s="28" t="n">
        <f aca="false">Costos_Personal!EV$140</f>
        <v>0</v>
      </c>
      <c r="EW35" s="28" t="n">
        <f aca="false">Costos_Personal!EW$140</f>
        <v>0</v>
      </c>
      <c r="EX35" s="28" t="n">
        <f aca="false">Costos_Personal!EX$140</f>
        <v>0</v>
      </c>
      <c r="EY35" s="28" t="n">
        <f aca="false">Costos_Personal!EY$140</f>
        <v>0</v>
      </c>
      <c r="EZ35" s="28" t="n">
        <f aca="false">Costos_Personal!EZ$140</f>
        <v>0</v>
      </c>
      <c r="FA35" s="28" t="n">
        <f aca="false">Costos_Personal!FA$140</f>
        <v>0</v>
      </c>
      <c r="FB35" s="28" t="n">
        <f aca="false">Costos_Personal!FB$140</f>
        <v>0</v>
      </c>
      <c r="FC35" s="28" t="n">
        <f aca="false">Costos_Personal!FC$140</f>
        <v>0</v>
      </c>
      <c r="FD35" s="28" t="n">
        <f aca="false">Costos_Personal!FD$140</f>
        <v>0</v>
      </c>
      <c r="FE35" s="28" t="n">
        <f aca="false">Costos_Personal!FE$140</f>
        <v>0</v>
      </c>
      <c r="FF35" s="28" t="n">
        <f aca="false">Costos_Personal!FF$140</f>
        <v>0</v>
      </c>
    </row>
    <row r="36" customFormat="false" ht="15" hidden="false" customHeight="false" outlineLevel="0" collapsed="false">
      <c r="A36" s="2" t="s">
        <v>1490</v>
      </c>
      <c r="B36" s="8" t="s">
        <v>1491</v>
      </c>
      <c r="C36" s="8" t="s">
        <v>255</v>
      </c>
      <c r="E36" s="65" t="n">
        <f aca="false">SUM($F36:$FF36)</f>
        <v>0</v>
      </c>
      <c r="F36" s="28" t="n">
        <f aca="false">Deuda_Tributos!F$12</f>
        <v>0</v>
      </c>
      <c r="G36" s="28" t="n">
        <f aca="false">Deuda_Tributos!G$12</f>
        <v>0</v>
      </c>
      <c r="H36" s="28" t="n">
        <f aca="false">Deuda_Tributos!H$12</f>
        <v>0</v>
      </c>
      <c r="I36" s="28" t="n">
        <f aca="false">Deuda_Tributos!I$12</f>
        <v>0</v>
      </c>
      <c r="J36" s="28" t="n">
        <f aca="false">Deuda_Tributos!J$12</f>
        <v>0</v>
      </c>
      <c r="K36" s="28" t="n">
        <f aca="false">Deuda_Tributos!K$12</f>
        <v>0</v>
      </c>
      <c r="L36" s="28" t="n">
        <f aca="false">Deuda_Tributos!L$12</f>
        <v>0</v>
      </c>
      <c r="M36" s="28" t="n">
        <f aca="false">Deuda_Tributos!M$12</f>
        <v>0</v>
      </c>
      <c r="N36" s="28" t="n">
        <f aca="false">Deuda_Tributos!N$12</f>
        <v>0</v>
      </c>
      <c r="O36" s="28" t="n">
        <f aca="false">Deuda_Tributos!O$12</f>
        <v>0</v>
      </c>
      <c r="P36" s="28" t="n">
        <f aca="false">Deuda_Tributos!P$12</f>
        <v>0</v>
      </c>
      <c r="Q36" s="28" t="n">
        <f aca="false">Deuda_Tributos!Q$12</f>
        <v>0</v>
      </c>
      <c r="R36" s="28" t="n">
        <f aca="false">Deuda_Tributos!R$12</f>
        <v>0</v>
      </c>
      <c r="S36" s="28" t="n">
        <f aca="false">Deuda_Tributos!S$12</f>
        <v>0</v>
      </c>
      <c r="T36" s="28" t="n">
        <f aca="false">Deuda_Tributos!T$12</f>
        <v>0</v>
      </c>
      <c r="U36" s="28" t="n">
        <f aca="false">Deuda_Tributos!U$12</f>
        <v>0</v>
      </c>
      <c r="V36" s="28" t="n">
        <f aca="false">Deuda_Tributos!V$12</f>
        <v>0</v>
      </c>
      <c r="W36" s="28" t="n">
        <f aca="false">Deuda_Tributos!W$12</f>
        <v>0</v>
      </c>
      <c r="X36" s="28" t="n">
        <f aca="false">Deuda_Tributos!X$12</f>
        <v>0</v>
      </c>
      <c r="Y36" s="28" t="n">
        <f aca="false">Deuda_Tributos!Y$12</f>
        <v>0</v>
      </c>
      <c r="Z36" s="28" t="n">
        <f aca="false">Deuda_Tributos!Z$12</f>
        <v>0</v>
      </c>
      <c r="AA36" s="28" t="n">
        <f aca="false">Deuda_Tributos!AA$12</f>
        <v>0</v>
      </c>
      <c r="AB36" s="28" t="n">
        <f aca="false">Deuda_Tributos!AB$12</f>
        <v>0</v>
      </c>
      <c r="AC36" s="28" t="n">
        <f aca="false">Deuda_Tributos!AC$12</f>
        <v>0</v>
      </c>
      <c r="AD36" s="28" t="n">
        <f aca="false">Deuda_Tributos!AD$12</f>
        <v>0</v>
      </c>
      <c r="AE36" s="28" t="n">
        <f aca="false">Deuda_Tributos!AE$12</f>
        <v>0</v>
      </c>
      <c r="AF36" s="28" t="n">
        <f aca="false">Deuda_Tributos!AF$12</f>
        <v>0</v>
      </c>
      <c r="AG36" s="28" t="n">
        <f aca="false">Deuda_Tributos!AG$12</f>
        <v>0</v>
      </c>
      <c r="AH36" s="28" t="n">
        <f aca="false">Deuda_Tributos!AH$12</f>
        <v>0</v>
      </c>
      <c r="AI36" s="28" t="n">
        <f aca="false">Deuda_Tributos!AI$12</f>
        <v>0</v>
      </c>
      <c r="AJ36" s="28" t="n">
        <f aca="false">Deuda_Tributos!AJ$12</f>
        <v>0</v>
      </c>
      <c r="AK36" s="28" t="n">
        <f aca="false">Deuda_Tributos!AK$12</f>
        <v>0</v>
      </c>
      <c r="AL36" s="28" t="n">
        <f aca="false">Deuda_Tributos!AL$12</f>
        <v>0</v>
      </c>
      <c r="AM36" s="28" t="n">
        <f aca="false">Deuda_Tributos!AM$12</f>
        <v>0</v>
      </c>
      <c r="AN36" s="28" t="n">
        <f aca="false">Deuda_Tributos!AN$12</f>
        <v>0</v>
      </c>
      <c r="AO36" s="28" t="n">
        <f aca="false">Deuda_Tributos!AO$12</f>
        <v>0</v>
      </c>
      <c r="AP36" s="28" t="n">
        <f aca="false">Deuda_Tributos!AP$12</f>
        <v>0</v>
      </c>
      <c r="AQ36" s="28" t="n">
        <f aca="false">Deuda_Tributos!AQ$12</f>
        <v>0</v>
      </c>
      <c r="AR36" s="28" t="n">
        <f aca="false">Deuda_Tributos!AR$12</f>
        <v>0</v>
      </c>
      <c r="AS36" s="28" t="n">
        <f aca="false">Deuda_Tributos!AS$12</f>
        <v>0</v>
      </c>
      <c r="AT36" s="28" t="n">
        <f aca="false">Deuda_Tributos!AT$12</f>
        <v>0</v>
      </c>
      <c r="AU36" s="28" t="n">
        <f aca="false">Deuda_Tributos!AU$12</f>
        <v>0</v>
      </c>
      <c r="AV36" s="28" t="n">
        <f aca="false">Deuda_Tributos!AV$12</f>
        <v>0</v>
      </c>
      <c r="AW36" s="28" t="n">
        <f aca="false">Deuda_Tributos!AW$12</f>
        <v>0</v>
      </c>
      <c r="AX36" s="28" t="n">
        <f aca="false">Deuda_Tributos!AX$12</f>
        <v>0</v>
      </c>
      <c r="AY36" s="28" t="n">
        <f aca="false">Deuda_Tributos!AY$12</f>
        <v>0</v>
      </c>
      <c r="AZ36" s="28" t="n">
        <f aca="false">Deuda_Tributos!AZ$12</f>
        <v>0</v>
      </c>
      <c r="BA36" s="28" t="n">
        <f aca="false">Deuda_Tributos!BA$12</f>
        <v>0</v>
      </c>
      <c r="BB36" s="28" t="n">
        <f aca="false">Deuda_Tributos!BB$12</f>
        <v>0</v>
      </c>
      <c r="BC36" s="28" t="n">
        <f aca="false">Deuda_Tributos!BC$12</f>
        <v>0</v>
      </c>
      <c r="BD36" s="28" t="n">
        <f aca="false">Deuda_Tributos!BD$12</f>
        <v>0</v>
      </c>
      <c r="BE36" s="28" t="n">
        <f aca="false">Deuda_Tributos!BE$12</f>
        <v>0</v>
      </c>
      <c r="BF36" s="28" t="n">
        <f aca="false">Deuda_Tributos!BF$12</f>
        <v>0</v>
      </c>
      <c r="BG36" s="28" t="n">
        <f aca="false">Deuda_Tributos!BG$12</f>
        <v>0</v>
      </c>
      <c r="BH36" s="28" t="n">
        <f aca="false">Deuda_Tributos!BH$12</f>
        <v>0</v>
      </c>
      <c r="BI36" s="28" t="n">
        <f aca="false">Deuda_Tributos!BI$12</f>
        <v>0</v>
      </c>
      <c r="BJ36" s="28" t="n">
        <f aca="false">Deuda_Tributos!BJ$12</f>
        <v>0</v>
      </c>
      <c r="BK36" s="28" t="n">
        <f aca="false">Deuda_Tributos!BK$12</f>
        <v>0</v>
      </c>
      <c r="BL36" s="28" t="n">
        <f aca="false">Deuda_Tributos!BL$12</f>
        <v>0</v>
      </c>
      <c r="BM36" s="28" t="n">
        <f aca="false">Deuda_Tributos!BM$12</f>
        <v>0</v>
      </c>
      <c r="BN36" s="28" t="n">
        <f aca="false">Deuda_Tributos!BN$12</f>
        <v>0</v>
      </c>
      <c r="BO36" s="28" t="n">
        <f aca="false">Deuda_Tributos!BO$12</f>
        <v>0</v>
      </c>
      <c r="BP36" s="28" t="n">
        <f aca="false">Deuda_Tributos!BP$12</f>
        <v>0</v>
      </c>
      <c r="BQ36" s="28" t="n">
        <f aca="false">Deuda_Tributos!BQ$12</f>
        <v>0</v>
      </c>
      <c r="BR36" s="28" t="n">
        <f aca="false">Deuda_Tributos!BR$12</f>
        <v>0</v>
      </c>
      <c r="BS36" s="28" t="n">
        <f aca="false">Deuda_Tributos!BS$12</f>
        <v>0</v>
      </c>
      <c r="BT36" s="28" t="n">
        <f aca="false">Deuda_Tributos!BT$12</f>
        <v>0</v>
      </c>
      <c r="BU36" s="28" t="n">
        <f aca="false">Deuda_Tributos!BU$12</f>
        <v>0</v>
      </c>
      <c r="BV36" s="28" t="n">
        <f aca="false">Deuda_Tributos!BV$12</f>
        <v>0</v>
      </c>
      <c r="BW36" s="28" t="n">
        <f aca="false">Deuda_Tributos!BW$12</f>
        <v>0</v>
      </c>
      <c r="BX36" s="28" t="n">
        <f aca="false">Deuda_Tributos!BX$12</f>
        <v>0</v>
      </c>
      <c r="BY36" s="28" t="n">
        <f aca="false">Deuda_Tributos!BY$12</f>
        <v>0</v>
      </c>
      <c r="BZ36" s="28" t="n">
        <f aca="false">Deuda_Tributos!BZ$12</f>
        <v>0</v>
      </c>
      <c r="CA36" s="28" t="n">
        <f aca="false">Deuda_Tributos!CA$12</f>
        <v>0</v>
      </c>
      <c r="CB36" s="28" t="n">
        <f aca="false">Deuda_Tributos!CB$12</f>
        <v>0</v>
      </c>
      <c r="CC36" s="28" t="n">
        <f aca="false">Deuda_Tributos!CC$12</f>
        <v>0</v>
      </c>
      <c r="CD36" s="28" t="n">
        <f aca="false">Deuda_Tributos!CD$12</f>
        <v>0</v>
      </c>
      <c r="CE36" s="28" t="n">
        <f aca="false">Deuda_Tributos!CE$12</f>
        <v>0</v>
      </c>
      <c r="CF36" s="28" t="n">
        <f aca="false">Deuda_Tributos!CF$12</f>
        <v>0</v>
      </c>
      <c r="CG36" s="28" t="n">
        <f aca="false">Deuda_Tributos!CG$12</f>
        <v>0</v>
      </c>
      <c r="CH36" s="28" t="n">
        <f aca="false">Deuda_Tributos!CH$12</f>
        <v>0</v>
      </c>
      <c r="CI36" s="28" t="n">
        <f aca="false">Deuda_Tributos!CI$12</f>
        <v>0</v>
      </c>
      <c r="CJ36" s="28" t="n">
        <f aca="false">Deuda_Tributos!CJ$12</f>
        <v>0</v>
      </c>
      <c r="CK36" s="28" t="n">
        <f aca="false">Deuda_Tributos!CK$12</f>
        <v>0</v>
      </c>
      <c r="CL36" s="28" t="n">
        <f aca="false">Deuda_Tributos!CL$12</f>
        <v>0</v>
      </c>
      <c r="CM36" s="28" t="n">
        <f aca="false">Deuda_Tributos!CM$12</f>
        <v>0</v>
      </c>
      <c r="CN36" s="28" t="n">
        <f aca="false">Deuda_Tributos!CN$12</f>
        <v>0</v>
      </c>
      <c r="CO36" s="28" t="n">
        <f aca="false">Deuda_Tributos!CO$12</f>
        <v>0</v>
      </c>
      <c r="CP36" s="28" t="n">
        <f aca="false">Deuda_Tributos!CP$12</f>
        <v>0</v>
      </c>
      <c r="CQ36" s="28" t="n">
        <f aca="false">Deuda_Tributos!CQ$12</f>
        <v>0</v>
      </c>
      <c r="CR36" s="28" t="n">
        <f aca="false">Deuda_Tributos!CR$12</f>
        <v>0</v>
      </c>
      <c r="CS36" s="28" t="n">
        <f aca="false">Deuda_Tributos!CS$12</f>
        <v>0</v>
      </c>
      <c r="CT36" s="28" t="n">
        <f aca="false">Deuda_Tributos!CT$12</f>
        <v>0</v>
      </c>
      <c r="CU36" s="28" t="n">
        <f aca="false">Deuda_Tributos!CU$12</f>
        <v>0</v>
      </c>
      <c r="CV36" s="28" t="n">
        <f aca="false">Deuda_Tributos!CV$12</f>
        <v>0</v>
      </c>
      <c r="CW36" s="28" t="n">
        <f aca="false">Deuda_Tributos!CW$12</f>
        <v>0</v>
      </c>
      <c r="CX36" s="28" t="n">
        <f aca="false">Deuda_Tributos!CX$12</f>
        <v>0</v>
      </c>
      <c r="CY36" s="28" t="n">
        <f aca="false">Deuda_Tributos!CY$12</f>
        <v>0</v>
      </c>
      <c r="CZ36" s="28" t="n">
        <f aca="false">Deuda_Tributos!CZ$12</f>
        <v>0</v>
      </c>
      <c r="DA36" s="28" t="n">
        <f aca="false">Deuda_Tributos!DA$12</f>
        <v>0</v>
      </c>
      <c r="DB36" s="28" t="n">
        <f aca="false">Deuda_Tributos!DB$12</f>
        <v>0</v>
      </c>
      <c r="DC36" s="28" t="n">
        <f aca="false">Deuda_Tributos!DC$12</f>
        <v>0</v>
      </c>
      <c r="DD36" s="28" t="n">
        <f aca="false">Deuda_Tributos!DD$12</f>
        <v>0</v>
      </c>
      <c r="DE36" s="28" t="n">
        <f aca="false">Deuda_Tributos!DE$12</f>
        <v>0</v>
      </c>
      <c r="DF36" s="28" t="n">
        <f aca="false">Deuda_Tributos!DF$12</f>
        <v>0</v>
      </c>
      <c r="DG36" s="28" t="n">
        <f aca="false">Deuda_Tributos!DG$12</f>
        <v>0</v>
      </c>
      <c r="DH36" s="28" t="n">
        <f aca="false">Deuda_Tributos!DH$12</f>
        <v>0</v>
      </c>
      <c r="DI36" s="28" t="n">
        <f aca="false">Deuda_Tributos!DI$12</f>
        <v>0</v>
      </c>
      <c r="DJ36" s="28" t="n">
        <f aca="false">Deuda_Tributos!DJ$12</f>
        <v>0</v>
      </c>
      <c r="DK36" s="28" t="n">
        <f aca="false">Deuda_Tributos!DK$12</f>
        <v>0</v>
      </c>
      <c r="DL36" s="28" t="n">
        <f aca="false">Deuda_Tributos!DL$12</f>
        <v>0</v>
      </c>
      <c r="DM36" s="28" t="n">
        <f aca="false">Deuda_Tributos!DM$12</f>
        <v>0</v>
      </c>
      <c r="DN36" s="28" t="n">
        <f aca="false">Deuda_Tributos!DN$12</f>
        <v>0</v>
      </c>
      <c r="DO36" s="28" t="n">
        <f aca="false">Deuda_Tributos!DO$12</f>
        <v>0</v>
      </c>
      <c r="DP36" s="28" t="n">
        <f aca="false">Deuda_Tributos!DP$12</f>
        <v>0</v>
      </c>
      <c r="DQ36" s="28" t="n">
        <f aca="false">Deuda_Tributos!DQ$12</f>
        <v>0</v>
      </c>
      <c r="DR36" s="28" t="n">
        <f aca="false">Deuda_Tributos!DR$12</f>
        <v>0</v>
      </c>
      <c r="DS36" s="28" t="n">
        <f aca="false">Deuda_Tributos!DS$12</f>
        <v>0</v>
      </c>
      <c r="DT36" s="28" t="n">
        <f aca="false">Deuda_Tributos!DT$12</f>
        <v>0</v>
      </c>
      <c r="DU36" s="28" t="n">
        <f aca="false">Deuda_Tributos!DU$12</f>
        <v>0</v>
      </c>
      <c r="DV36" s="28" t="n">
        <f aca="false">Deuda_Tributos!DV$12</f>
        <v>0</v>
      </c>
      <c r="DW36" s="28" t="n">
        <f aca="false">Deuda_Tributos!DW$12</f>
        <v>0</v>
      </c>
      <c r="DX36" s="28" t="n">
        <f aca="false">Deuda_Tributos!DX$12</f>
        <v>0</v>
      </c>
      <c r="DY36" s="28" t="n">
        <f aca="false">Deuda_Tributos!DY$12</f>
        <v>0</v>
      </c>
      <c r="DZ36" s="28" t="n">
        <f aca="false">Deuda_Tributos!DZ$12</f>
        <v>0</v>
      </c>
      <c r="EA36" s="28" t="n">
        <f aca="false">Deuda_Tributos!EA$12</f>
        <v>0</v>
      </c>
      <c r="EB36" s="28" t="n">
        <f aca="false">Deuda_Tributos!EB$12</f>
        <v>0</v>
      </c>
      <c r="EC36" s="28" t="n">
        <f aca="false">Deuda_Tributos!EC$12</f>
        <v>0</v>
      </c>
      <c r="ED36" s="28" t="n">
        <f aca="false">Deuda_Tributos!ED$12</f>
        <v>0</v>
      </c>
      <c r="EE36" s="28" t="n">
        <f aca="false">Deuda_Tributos!EE$12</f>
        <v>0</v>
      </c>
      <c r="EF36" s="28" t="n">
        <f aca="false">Deuda_Tributos!EF$12</f>
        <v>0</v>
      </c>
      <c r="EG36" s="28" t="n">
        <f aca="false">Deuda_Tributos!EG$12</f>
        <v>0</v>
      </c>
      <c r="EH36" s="28" t="n">
        <f aca="false">Deuda_Tributos!EH$12</f>
        <v>0</v>
      </c>
      <c r="EI36" s="28" t="n">
        <f aca="false">Deuda_Tributos!EI$12</f>
        <v>0</v>
      </c>
      <c r="EJ36" s="28" t="n">
        <f aca="false">Deuda_Tributos!EJ$12</f>
        <v>0</v>
      </c>
      <c r="EK36" s="28" t="n">
        <f aca="false">Deuda_Tributos!EK$12</f>
        <v>0</v>
      </c>
      <c r="EL36" s="28" t="n">
        <f aca="false">Deuda_Tributos!EL$12</f>
        <v>0</v>
      </c>
      <c r="EM36" s="28" t="n">
        <f aca="false">Deuda_Tributos!EM$12</f>
        <v>0</v>
      </c>
      <c r="EN36" s="28" t="n">
        <f aca="false">Deuda_Tributos!EN$12</f>
        <v>0</v>
      </c>
      <c r="EO36" s="28" t="n">
        <f aca="false">Deuda_Tributos!EO$12</f>
        <v>0</v>
      </c>
      <c r="EP36" s="28" t="n">
        <f aca="false">Deuda_Tributos!EP$12</f>
        <v>0</v>
      </c>
      <c r="EQ36" s="28" t="n">
        <f aca="false">Deuda_Tributos!EQ$12</f>
        <v>0</v>
      </c>
      <c r="ER36" s="28" t="n">
        <f aca="false">Deuda_Tributos!ER$12</f>
        <v>0</v>
      </c>
      <c r="ES36" s="28" t="n">
        <f aca="false">Deuda_Tributos!ES$12</f>
        <v>0</v>
      </c>
      <c r="ET36" s="28" t="n">
        <f aca="false">Deuda_Tributos!ET$12</f>
        <v>0</v>
      </c>
      <c r="EU36" s="28" t="n">
        <f aca="false">Deuda_Tributos!EU$12</f>
        <v>0</v>
      </c>
      <c r="EV36" s="28" t="n">
        <f aca="false">Deuda_Tributos!EV$12</f>
        <v>0</v>
      </c>
      <c r="EW36" s="28" t="n">
        <f aca="false">Deuda_Tributos!EW$12</f>
        <v>0</v>
      </c>
      <c r="EX36" s="28" t="n">
        <f aca="false">Deuda_Tributos!EX$12</f>
        <v>0</v>
      </c>
      <c r="EY36" s="28" t="n">
        <f aca="false">Deuda_Tributos!EY$12</f>
        <v>0</v>
      </c>
      <c r="EZ36" s="28" t="n">
        <f aca="false">Deuda_Tributos!EZ$12</f>
        <v>0</v>
      </c>
      <c r="FA36" s="28" t="n">
        <f aca="false">Deuda_Tributos!FA$12</f>
        <v>0</v>
      </c>
      <c r="FB36" s="28" t="n">
        <f aca="false">Deuda_Tributos!FB$12</f>
        <v>0</v>
      </c>
      <c r="FC36" s="28" t="n">
        <f aca="false">Deuda_Tributos!FC$12</f>
        <v>0</v>
      </c>
      <c r="FD36" s="28" t="n">
        <f aca="false">Deuda_Tributos!FD$12</f>
        <v>0</v>
      </c>
      <c r="FE36" s="28" t="n">
        <f aca="false">Deuda_Tributos!FE$12</f>
        <v>0</v>
      </c>
      <c r="FF36" s="28" t="n">
        <f aca="false">Deuda_Tributos!FF$12</f>
        <v>0</v>
      </c>
    </row>
    <row r="37" customFormat="false" ht="15" hidden="false" customHeight="false" outlineLevel="0" collapsed="false">
      <c r="A37" s="2" t="s">
        <v>1492</v>
      </c>
      <c r="B37" s="66" t="s">
        <v>1493</v>
      </c>
      <c r="C37" s="8" t="s">
        <v>255</v>
      </c>
      <c r="E37" s="67" t="n">
        <f aca="false">SUM($F37:$FF37)</f>
        <v>16318099.8594377</v>
      </c>
      <c r="F37" s="12" t="n">
        <f aca="false">F$27-F$32-F$33-F$35+F$36</f>
        <v>0</v>
      </c>
      <c r="G37" s="12" t="n">
        <f aca="false">G$27-G$32-G$33-G$35+G$36</f>
        <v>52659.4002309864</v>
      </c>
      <c r="H37" s="12" t="n">
        <f aca="false">H$27-H$32-H$33-H$35+H$36</f>
        <v>47197.1280016707</v>
      </c>
      <c r="I37" s="12" t="n">
        <f aca="false">I$27-I$32-I$33-I$35+I$36</f>
        <v>42497.500170035</v>
      </c>
      <c r="J37" s="12" t="n">
        <f aca="false">J$27-J$32-J$33-J$35+J$36</f>
        <v>42497.500170035</v>
      </c>
      <c r="K37" s="12" t="n">
        <f aca="false">K$27-K$32-K$33-K$35+K$36</f>
        <v>42497.500170035</v>
      </c>
      <c r="L37" s="12" t="n">
        <f aca="false">L$27-L$32-L$33-L$35+L$36</f>
        <v>42497.500170035</v>
      </c>
      <c r="M37" s="12" t="n">
        <f aca="false">M$27-M$32-M$33-M$35+M$36</f>
        <v>42497.500170035</v>
      </c>
      <c r="N37" s="12" t="n">
        <f aca="false">N$27-N$32-N$33-N$35+N$36</f>
        <v>42497.500170035</v>
      </c>
      <c r="O37" s="12" t="n">
        <f aca="false">O$27-O$32-O$33-O$35+O$36</f>
        <v>42497.500170035</v>
      </c>
      <c r="P37" s="12" t="n">
        <f aca="false">P$27-P$32-P$33-P$35+P$36</f>
        <v>42497.500170035</v>
      </c>
      <c r="Q37" s="12" t="n">
        <f aca="false">Q$27-Q$32-Q$33-Q$35+Q$36</f>
        <v>42497.500170035</v>
      </c>
      <c r="R37" s="12" t="n">
        <f aca="false">R$27-R$32-R$33-R$35+R$36</f>
        <v>44484.3935259252</v>
      </c>
      <c r="S37" s="12" t="n">
        <f aca="false">S$27-S$32-S$33-S$35+S$36</f>
        <v>77982.7398894873</v>
      </c>
      <c r="T37" s="12" t="n">
        <f aca="false">T$27-T$32-T$33-T$35+T$36</f>
        <v>80496.4026700351</v>
      </c>
      <c r="U37" s="12" t="n">
        <f aca="false">U$27-U$32-U$33-U$35+U$36</f>
        <v>80496.4026700351</v>
      </c>
      <c r="V37" s="12" t="n">
        <f aca="false">V$27-V$32-V$33-V$35+V$36</f>
        <v>80496.4026700351</v>
      </c>
      <c r="W37" s="12" t="n">
        <f aca="false">W$27-W$32-W$33-W$35+W$36</f>
        <v>80496.4026700351</v>
      </c>
      <c r="X37" s="12" t="n">
        <f aca="false">X$27-X$32-X$33-X$35+X$36</f>
        <v>80496.4026700351</v>
      </c>
      <c r="Y37" s="12" t="n">
        <f aca="false">Y$27-Y$32-Y$33-Y$35+Y$36</f>
        <v>80496.4026700351</v>
      </c>
      <c r="Z37" s="12" t="n">
        <f aca="false">Z$27-Z$32-Z$33-Z$35+Z$36</f>
        <v>80496.4026700351</v>
      </c>
      <c r="AA37" s="12" t="n">
        <f aca="false">AA$27-AA$32-AA$33-AA$35+AA$36</f>
        <v>80496.4026700351</v>
      </c>
      <c r="AB37" s="12" t="n">
        <f aca="false">AB$27-AB$32-AB$33-AB$35+AB$36</f>
        <v>80496.4026700351</v>
      </c>
      <c r="AC37" s="12" t="n">
        <f aca="false">AC$27-AC$32-AC$33-AC$35+AC$36</f>
        <v>80496.4026700351</v>
      </c>
      <c r="AD37" s="12" t="n">
        <f aca="false">AD$27-AD$32-AD$33-AD$35+AD$36</f>
        <v>81882.7984566248</v>
      </c>
      <c r="AE37" s="12" t="n">
        <f aca="false">AE$27-AE$32-AE$33-AE$35+AE$36</f>
        <v>116165.122009862</v>
      </c>
      <c r="AF37" s="12" t="n">
        <f aca="false">AF$27-AF$32-AF$33-AF$35+AF$36</f>
        <v>117086.07030422</v>
      </c>
      <c r="AG37" s="12" t="n">
        <f aca="false">AG$27-AG$32-AG$33-AG$35+AG$36</f>
        <v>117086.07030422</v>
      </c>
      <c r="AH37" s="12" t="n">
        <f aca="false">AH$27-AH$32-AH$33-AH$35+AH$36</f>
        <v>117086.07030422</v>
      </c>
      <c r="AI37" s="12" t="n">
        <f aca="false">AI$27-AI$32-AI$33-AI$35+AI$36</f>
        <v>117086.07030422</v>
      </c>
      <c r="AJ37" s="12" t="n">
        <f aca="false">AJ$27-AJ$32-AJ$33-AJ$35+AJ$36</f>
        <v>117086.07030422</v>
      </c>
      <c r="AK37" s="12" t="n">
        <f aca="false">AK$27-AK$32-AK$33-AK$35+AK$36</f>
        <v>117086.07030422</v>
      </c>
      <c r="AL37" s="12" t="n">
        <f aca="false">AL$27-AL$32-AL$33-AL$35+AL$36</f>
        <v>117086.07030422</v>
      </c>
      <c r="AM37" s="12" t="n">
        <f aca="false">AM$27-AM$32-AM$33-AM$35+AM$36</f>
        <v>117086.07030422</v>
      </c>
      <c r="AN37" s="12" t="n">
        <f aca="false">AN$27-AN$32-AN$33-AN$35+AN$36</f>
        <v>117086.07030422</v>
      </c>
      <c r="AO37" s="12" t="n">
        <f aca="false">AO$27-AO$32-AO$33-AO$35+AO$36</f>
        <v>117086.07030422</v>
      </c>
      <c r="AP37" s="12" t="n">
        <f aca="false">AP$27-AP$32-AP$33-AP$35+AP$36</f>
        <v>118002.40084175</v>
      </c>
      <c r="AQ37" s="12" t="n">
        <f aca="false">AQ$27-AQ$32-AQ$33-AQ$35+AQ$36</f>
        <v>149579.931371759</v>
      </c>
      <c r="AR37" s="12" t="n">
        <f aca="false">AR$27-AR$32-AR$33-AR$35+AR$36</f>
        <v>149896.719659007</v>
      </c>
      <c r="AS37" s="12" t="n">
        <f aca="false">AS$27-AS$32-AS$33-AS$35+AS$36</f>
        <v>149896.719659007</v>
      </c>
      <c r="AT37" s="12" t="n">
        <f aca="false">AT$27-AT$32-AT$33-AT$35+AT$36</f>
        <v>149896.719659007</v>
      </c>
      <c r="AU37" s="12" t="n">
        <f aca="false">AU$27-AU$32-AU$33-AU$35+AU$36</f>
        <v>149896.719659007</v>
      </c>
      <c r="AV37" s="12" t="n">
        <f aca="false">AV$27-AV$32-AV$33-AV$35+AV$36</f>
        <v>149896.719659007</v>
      </c>
      <c r="AW37" s="12" t="n">
        <f aca="false">AW$27-AW$32-AW$33-AW$35+AW$36</f>
        <v>149896.719659007</v>
      </c>
      <c r="AX37" s="12" t="n">
        <f aca="false">AX$27-AX$32-AX$33-AX$35+AX$36</f>
        <v>149896.719659007</v>
      </c>
      <c r="AY37" s="12" t="n">
        <f aca="false">AY$27-AY$32-AY$33-AY$35+AY$36</f>
        <v>149896.719659007</v>
      </c>
      <c r="AZ37" s="12" t="n">
        <f aca="false">AZ$27-AZ$32-AZ$33-AZ$35+AZ$36</f>
        <v>149896.719659007</v>
      </c>
      <c r="BA37" s="12" t="n">
        <f aca="false">BA$27-BA$32-BA$33-BA$35+BA$36</f>
        <v>149896.719659007</v>
      </c>
      <c r="BB37" s="12" t="n">
        <f aca="false">BB$27-BB$32-BB$33-BB$35+BB$36</f>
        <v>149896.719659007</v>
      </c>
      <c r="BC37" s="12" t="n">
        <f aca="false">BC$27-BC$32-BC$33-BC$35+BC$36</f>
        <v>152864.03986148</v>
      </c>
      <c r="BD37" s="12" t="n">
        <f aca="false">BD$27-BD$32-BD$33-BD$35+BD$36</f>
        <v>151219.486872519</v>
      </c>
      <c r="BE37" s="12" t="n">
        <f aca="false">BE$27-BE$32-BE$33-BE$35+BE$36</f>
        <v>151219.486872519</v>
      </c>
      <c r="BF37" s="12" t="n">
        <f aca="false">BF$27-BF$32-BF$33-BF$35+BF$36</f>
        <v>151219.486872519</v>
      </c>
      <c r="BG37" s="12" t="n">
        <f aca="false">BG$27-BG$32-BG$33-BG$35+BG$36</f>
        <v>151219.486872519</v>
      </c>
      <c r="BH37" s="12" t="n">
        <f aca="false">BH$27-BH$32-BH$33-BH$35+BH$36</f>
        <v>151219.486872519</v>
      </c>
      <c r="BI37" s="12" t="n">
        <f aca="false">BI$27-BI$32-BI$33-BI$35+BI$36</f>
        <v>151219.486872519</v>
      </c>
      <c r="BJ37" s="12" t="n">
        <f aca="false">BJ$27-BJ$32-BJ$33-BJ$35+BJ$36</f>
        <v>151219.486872519</v>
      </c>
      <c r="BK37" s="12" t="n">
        <f aca="false">BK$27-BK$32-BK$33-BK$35+BK$36</f>
        <v>151219.486872519</v>
      </c>
      <c r="BL37" s="12" t="n">
        <f aca="false">BL$27-BL$32-BL$33-BL$35+BL$36</f>
        <v>151219.486872519</v>
      </c>
      <c r="BM37" s="12" t="n">
        <f aca="false">BM$27-BM$32-BM$33-BM$35+BM$36</f>
        <v>151219.486872519</v>
      </c>
      <c r="BN37" s="12" t="n">
        <f aca="false">BN$27-BN$32-BN$33-BN$35+BN$36</f>
        <v>151219.486872519</v>
      </c>
      <c r="BO37" s="12" t="n">
        <f aca="false">BO$27-BO$32-BO$33-BO$35+BO$36</f>
        <v>156105.598096424</v>
      </c>
      <c r="BP37" s="12" t="n">
        <f aca="false">BP$27-BP$32-BP$33-BP$35+BP$36</f>
        <v>155311.049435307</v>
      </c>
      <c r="BQ37" s="12" t="n">
        <f aca="false">BQ$27-BQ$32-BQ$33-BQ$35+BQ$36</f>
        <v>155311.049435307</v>
      </c>
      <c r="BR37" s="12" t="n">
        <f aca="false">BR$27-BR$32-BR$33-BR$35+BR$36</f>
        <v>155311.049435307</v>
      </c>
      <c r="BS37" s="12" t="n">
        <f aca="false">BS$27-BS$32-BS$33-BS$35+BS$36</f>
        <v>155311.049435307</v>
      </c>
      <c r="BT37" s="12" t="n">
        <f aca="false">BT$27-BT$32-BT$33-BT$35+BT$36</f>
        <v>155311.049435307</v>
      </c>
      <c r="BU37" s="12" t="n">
        <f aca="false">BU$27-BU$32-BU$33-BU$35+BU$36</f>
        <v>155311.049435307</v>
      </c>
      <c r="BV37" s="12" t="n">
        <f aca="false">BV$27-BV$32-BV$33-BV$35+BV$36</f>
        <v>155311.049435307</v>
      </c>
      <c r="BW37" s="12" t="n">
        <f aca="false">BW$27-BW$32-BW$33-BW$35+BW$36</f>
        <v>155311.049435307</v>
      </c>
      <c r="BX37" s="12" t="n">
        <f aca="false">BX$27-BX$32-BX$33-BX$35+BX$36</f>
        <v>155311.049435307</v>
      </c>
      <c r="BY37" s="12" t="n">
        <f aca="false">BY$27-BY$32-BY$33-BY$35+BY$36</f>
        <v>155311.049435307</v>
      </c>
      <c r="BZ37" s="12" t="n">
        <f aca="false">BZ$27-BZ$32-BZ$33-BZ$35+BZ$36</f>
        <v>155311.049435307</v>
      </c>
      <c r="CA37" s="12" t="n">
        <f aca="false">CA$27-CA$32-CA$33-CA$35+CA$36</f>
        <v>160234.37262521</v>
      </c>
      <c r="CB37" s="12" t="n">
        <f aca="false">CB$27-CB$32-CB$33-CB$35+CB$36</f>
        <v>159432.041261044</v>
      </c>
      <c r="CC37" s="12" t="n">
        <f aca="false">CC$27-CC$32-CC$33-CC$35+CC$36</f>
        <v>159432.041261044</v>
      </c>
      <c r="CD37" s="12" t="n">
        <f aca="false">CD$27-CD$32-CD$33-CD$35+CD$36</f>
        <v>159432.041261044</v>
      </c>
      <c r="CE37" s="12" t="n">
        <f aca="false">CE$27-CE$32-CE$33-CE$35+CE$36</f>
        <v>159432.041261044</v>
      </c>
      <c r="CF37" s="12" t="n">
        <f aca="false">CF$27-CF$32-CF$33-CF$35+CF$36</f>
        <v>159432.041261044</v>
      </c>
      <c r="CG37" s="12" t="n">
        <f aca="false">CG$27-CG$32-CG$33-CG$35+CG$36</f>
        <v>159432.041261044</v>
      </c>
      <c r="CH37" s="12" t="n">
        <f aca="false">CH$27-CH$32-CH$33-CH$35+CH$36</f>
        <v>159432.041261044</v>
      </c>
      <c r="CI37" s="12" t="n">
        <f aca="false">CI$27-CI$32-CI$33-CI$35+CI$36</f>
        <v>159432.041261044</v>
      </c>
      <c r="CJ37" s="12" t="n">
        <f aca="false">CJ$27-CJ$32-CJ$33-CJ$35+CJ$36</f>
        <v>159432.041261044</v>
      </c>
      <c r="CK37" s="12" t="n">
        <f aca="false">CK$27-CK$32-CK$33-CK$35+CK$36</f>
        <v>159432.041261044</v>
      </c>
      <c r="CL37" s="12" t="n">
        <f aca="false">CL$27-CL$32-CL$33-CL$35+CL$36</f>
        <v>159432.041261044</v>
      </c>
      <c r="CM37" s="12" t="n">
        <f aca="false">CM$27-CM$32-CM$33-CM$35+CM$36</f>
        <v>164392.588349024</v>
      </c>
      <c r="CN37" s="12" t="n">
        <f aca="false">CN$27-CN$32-CN$33-CN$35+CN$36</f>
        <v>163582.396454778</v>
      </c>
      <c r="CO37" s="12" t="n">
        <f aca="false">CO$27-CO$32-CO$33-CO$35+CO$36</f>
        <v>163582.396454778</v>
      </c>
      <c r="CP37" s="12" t="n">
        <f aca="false">CP$27-CP$32-CP$33-CP$35+CP$36</f>
        <v>163582.396454778</v>
      </c>
      <c r="CQ37" s="12" t="n">
        <f aca="false">CQ$27-CQ$32-CQ$33-CQ$35+CQ$36</f>
        <v>163582.396454778</v>
      </c>
      <c r="CR37" s="12" t="n">
        <f aca="false">CR$27-CR$32-CR$33-CR$35+CR$36</f>
        <v>163582.396454778</v>
      </c>
      <c r="CS37" s="12" t="n">
        <f aca="false">CS$27-CS$32-CS$33-CS$35+CS$36</f>
        <v>163582.396454778</v>
      </c>
      <c r="CT37" s="12" t="n">
        <f aca="false">CT$27-CT$32-CT$33-CT$35+CT$36</f>
        <v>163582.396454778</v>
      </c>
      <c r="CU37" s="12" t="n">
        <f aca="false">CU$27-CU$32-CU$33-CU$35+CU$36</f>
        <v>163582.396454778</v>
      </c>
      <c r="CV37" s="12" t="n">
        <f aca="false">CV$27-CV$32-CV$33-CV$35+CV$36</f>
        <v>163582.396454778</v>
      </c>
      <c r="CW37" s="12" t="n">
        <f aca="false">CW$27-CW$32-CW$33-CW$35+CW$36</f>
        <v>163582.396454778</v>
      </c>
      <c r="CX37" s="12" t="n">
        <f aca="false">CX$27-CX$32-CX$33-CX$35+CX$36</f>
        <v>163582.396454778</v>
      </c>
      <c r="CY37" s="12" t="n">
        <f aca="false">CY$27-CY$32-CY$33-CY$35+CY$36</f>
        <v>168580.168686609</v>
      </c>
      <c r="CZ37" s="12" t="n">
        <f aca="false">CZ$27-CZ$32-CZ$33-CZ$35+CZ$36</f>
        <v>167762.037656982</v>
      </c>
      <c r="DA37" s="12" t="n">
        <f aca="false">DA$27-DA$32-DA$33-DA$35+DA$36</f>
        <v>167762.037656982</v>
      </c>
      <c r="DB37" s="12" t="n">
        <f aca="false">DB$27-DB$32-DB$33-DB$35+DB$36</f>
        <v>167762.037656982</v>
      </c>
      <c r="DC37" s="12" t="n">
        <f aca="false">DC$27-DC$32-DC$33-DC$35+DC$36</f>
        <v>167762.037656982</v>
      </c>
      <c r="DD37" s="12" t="n">
        <f aca="false">DD$27-DD$32-DD$33-DD$35+DD$36</f>
        <v>167762.037656982</v>
      </c>
      <c r="DE37" s="12" t="n">
        <f aca="false">DE$27-DE$32-DE$33-DE$35+DE$36</f>
        <v>167762.037656982</v>
      </c>
      <c r="DF37" s="12" t="n">
        <f aca="false">DF$27-DF$32-DF$33-DF$35+DF$36</f>
        <v>167762.037656982</v>
      </c>
      <c r="DG37" s="12" t="n">
        <f aca="false">DG$27-DG$32-DG$33-DG$35+DG$36</f>
        <v>167762.037656982</v>
      </c>
      <c r="DH37" s="12" t="n">
        <f aca="false">DH$27-DH$32-DH$33-DH$35+DH$36</f>
        <v>167762.037656982</v>
      </c>
      <c r="DI37" s="12" t="n">
        <f aca="false">DI$27-DI$32-DI$33-DI$35+DI$36</f>
        <v>167762.037656982</v>
      </c>
      <c r="DJ37" s="12" t="n">
        <f aca="false">DJ$27-DJ$32-DJ$33-DJ$35+DJ$36</f>
        <v>167762.037656982</v>
      </c>
      <c r="DK37" s="12" t="n">
        <f aca="false">DK$27-DK$32-DK$33-DK$35+DK$36</f>
        <v>172797.025161097</v>
      </c>
      <c r="DL37" s="12" t="n">
        <f aca="false">DL$27-DL$32-DL$33-DL$35+DL$36</f>
        <v>171970.875604736</v>
      </c>
      <c r="DM37" s="12" t="n">
        <f aca="false">DM$27-DM$32-DM$33-DM$35+DM$36</f>
        <v>171970.875604736</v>
      </c>
      <c r="DN37" s="12" t="n">
        <f aca="false">DN$27-DN$32-DN$33-DN$35+DN$36</f>
        <v>171970.875604736</v>
      </c>
      <c r="DO37" s="12" t="n">
        <f aca="false">DO$27-DO$32-DO$33-DO$35+DO$36</f>
        <v>171970.875604736</v>
      </c>
      <c r="DP37" s="12" t="n">
        <f aca="false">DP$27-DP$32-DP$33-DP$35+DP$36</f>
        <v>171970.875604736</v>
      </c>
      <c r="DQ37" s="12" t="n">
        <f aca="false">DQ$27-DQ$32-DQ$33-DQ$35+DQ$36</f>
        <v>171970.875604736</v>
      </c>
      <c r="DR37" s="12" t="n">
        <f aca="false">DR$27-DR$32-DR$33-DR$35+DR$36</f>
        <v>171970.875604736</v>
      </c>
      <c r="DS37" s="12" t="n">
        <f aca="false">DS$27-DS$32-DS$33-DS$35+DS$36</f>
        <v>171970.875604736</v>
      </c>
      <c r="DT37" s="12" t="n">
        <f aca="false">DT$27-DT$32-DT$33-DT$35+DT$36</f>
        <v>171970.875604736</v>
      </c>
      <c r="DU37" s="12" t="n">
        <f aca="false">DU$27-DU$32-DU$33-DU$35+DU$36</f>
        <v>171970.875604736</v>
      </c>
      <c r="DV37" s="12" t="n">
        <f aca="false">DV$27-DV$32-DV$33-DV$35+DV$36</f>
        <v>157920.120273569</v>
      </c>
      <c r="DW37" s="12" t="n">
        <f aca="false">DW$27-DW$32-DW$33-DW$35+DW$36</f>
        <v>0</v>
      </c>
      <c r="DX37" s="12" t="n">
        <f aca="false">DX$27-DX$32-DX$33-DX$35+DX$36</f>
        <v>0</v>
      </c>
      <c r="DY37" s="12" t="n">
        <f aca="false">DY$27-DY$32-DY$33-DY$35+DY$36</f>
        <v>0</v>
      </c>
      <c r="DZ37" s="12" t="n">
        <f aca="false">DZ$27-DZ$32-DZ$33-DZ$35+DZ$36</f>
        <v>0</v>
      </c>
      <c r="EA37" s="12" t="n">
        <f aca="false">EA$27-EA$32-EA$33-EA$35+EA$36</f>
        <v>0</v>
      </c>
      <c r="EB37" s="12" t="n">
        <f aca="false">EB$27-EB$32-EB$33-EB$35+EB$36</f>
        <v>0</v>
      </c>
      <c r="EC37" s="12" t="n">
        <f aca="false">EC$27-EC$32-EC$33-EC$35+EC$36</f>
        <v>0</v>
      </c>
      <c r="ED37" s="12" t="n">
        <f aca="false">ED$27-ED$32-ED$33-ED$35+ED$36</f>
        <v>0</v>
      </c>
      <c r="EE37" s="12" t="n">
        <f aca="false">EE$27-EE$32-EE$33-EE$35+EE$36</f>
        <v>0</v>
      </c>
      <c r="EF37" s="12" t="n">
        <f aca="false">EF$27-EF$32-EF$33-EF$35+EF$36</f>
        <v>0</v>
      </c>
      <c r="EG37" s="12" t="n">
        <f aca="false">EG$27-EG$32-EG$33-EG$35+EG$36</f>
        <v>0</v>
      </c>
      <c r="EH37" s="12" t="n">
        <f aca="false">EH$27-EH$32-EH$33-EH$35+EH$36</f>
        <v>0</v>
      </c>
      <c r="EI37" s="12" t="n">
        <f aca="false">EI$27-EI$32-EI$33-EI$35+EI$36</f>
        <v>0</v>
      </c>
      <c r="EJ37" s="12" t="n">
        <f aca="false">EJ$27-EJ$32-EJ$33-EJ$35+EJ$36</f>
        <v>0</v>
      </c>
      <c r="EK37" s="12" t="n">
        <f aca="false">EK$27-EK$32-EK$33-EK$35+EK$36</f>
        <v>0</v>
      </c>
      <c r="EL37" s="12" t="n">
        <f aca="false">EL$27-EL$32-EL$33-EL$35+EL$36</f>
        <v>0</v>
      </c>
      <c r="EM37" s="12" t="n">
        <f aca="false">EM$27-EM$32-EM$33-EM$35+EM$36</f>
        <v>0</v>
      </c>
      <c r="EN37" s="12" t="n">
        <f aca="false">EN$27-EN$32-EN$33-EN$35+EN$36</f>
        <v>0</v>
      </c>
      <c r="EO37" s="12" t="n">
        <f aca="false">EO$27-EO$32-EO$33-EO$35+EO$36</f>
        <v>0</v>
      </c>
      <c r="EP37" s="12" t="n">
        <f aca="false">EP$27-EP$32-EP$33-EP$35+EP$36</f>
        <v>0</v>
      </c>
      <c r="EQ37" s="12" t="n">
        <f aca="false">EQ$27-EQ$32-EQ$33-EQ$35+EQ$36</f>
        <v>0</v>
      </c>
      <c r="ER37" s="12" t="n">
        <f aca="false">ER$27-ER$32-ER$33-ER$35+ER$36</f>
        <v>0</v>
      </c>
      <c r="ES37" s="12" t="n">
        <f aca="false">ES$27-ES$32-ES$33-ES$35+ES$36</f>
        <v>0</v>
      </c>
      <c r="ET37" s="12" t="n">
        <f aca="false">ET$27-ET$32-ET$33-ET$35+ET$36</f>
        <v>0</v>
      </c>
      <c r="EU37" s="12" t="n">
        <f aca="false">EU$27-EU$32-EU$33-EU$35+EU$36</f>
        <v>0</v>
      </c>
      <c r="EV37" s="12" t="n">
        <f aca="false">EV$27-EV$32-EV$33-EV$35+EV$36</f>
        <v>0</v>
      </c>
      <c r="EW37" s="12" t="n">
        <f aca="false">EW$27-EW$32-EW$33-EW$35+EW$36</f>
        <v>0</v>
      </c>
      <c r="EX37" s="12" t="n">
        <f aca="false">EX$27-EX$32-EX$33-EX$35+EX$36</f>
        <v>0</v>
      </c>
      <c r="EY37" s="12" t="n">
        <f aca="false">EY$27-EY$32-EY$33-EY$35+EY$36</f>
        <v>0</v>
      </c>
      <c r="EZ37" s="12" t="n">
        <f aca="false">EZ$27-EZ$32-EZ$33-EZ$35+EZ$36</f>
        <v>0</v>
      </c>
      <c r="FA37" s="12" t="n">
        <f aca="false">FA$27-FA$32-FA$33-FA$35+FA$36</f>
        <v>0</v>
      </c>
      <c r="FB37" s="12" t="n">
        <f aca="false">FB$27-FB$32-FB$33-FB$35+FB$36</f>
        <v>0</v>
      </c>
      <c r="FC37" s="12" t="n">
        <f aca="false">FC$27-FC$32-FC$33-FC$35+FC$36</f>
        <v>0</v>
      </c>
      <c r="FD37" s="12" t="n">
        <f aca="false">FD$27-FD$32-FD$33-FD$35+FD$36</f>
        <v>0</v>
      </c>
      <c r="FE37" s="12" t="n">
        <f aca="false">FE$27-FE$32-FE$33-FE$35+FE$36</f>
        <v>0</v>
      </c>
      <c r="FF37" s="12" t="n">
        <f aca="false">FF$27-FF$32-FF$33-FF$35+FF$36</f>
        <v>0</v>
      </c>
    </row>
    <row r="38" customFormat="false" ht="15" hidden="false" customHeight="false" outlineLevel="0" collapsed="false">
      <c r="A38" s="2" t="s">
        <v>1273</v>
      </c>
      <c r="B38" s="8" t="s">
        <v>1494</v>
      </c>
      <c r="C38" s="8" t="s">
        <v>255</v>
      </c>
      <c r="E38" s="65" t="n">
        <f aca="false">SUM($F38:$FF38)</f>
        <v>745044.1</v>
      </c>
      <c r="F38" s="28" t="n">
        <f aca="false">Inversion_Activos!F$63</f>
        <v>0</v>
      </c>
      <c r="G38" s="28" t="n">
        <f aca="false">Inversion_Activos!G$63</f>
        <v>5966.0175</v>
      </c>
      <c r="H38" s="28" t="n">
        <f aca="false">Inversion_Activos!H$63</f>
        <v>5966.0175</v>
      </c>
      <c r="I38" s="28" t="n">
        <f aca="false">Inversion_Activos!I$63</f>
        <v>5966.0175</v>
      </c>
      <c r="J38" s="28" t="n">
        <f aca="false">Inversion_Activos!J$63</f>
        <v>5966.0175</v>
      </c>
      <c r="K38" s="28" t="n">
        <f aca="false">Inversion_Activos!K$63</f>
        <v>5966.0175</v>
      </c>
      <c r="L38" s="28" t="n">
        <f aca="false">Inversion_Activos!L$63</f>
        <v>5966.0175</v>
      </c>
      <c r="M38" s="28" t="n">
        <f aca="false">Inversion_Activos!M$63</f>
        <v>5966.0175</v>
      </c>
      <c r="N38" s="28" t="n">
        <f aca="false">Inversion_Activos!N$63</f>
        <v>5966.0175</v>
      </c>
      <c r="O38" s="28" t="n">
        <f aca="false">Inversion_Activos!O$63</f>
        <v>5966.0175</v>
      </c>
      <c r="P38" s="28" t="n">
        <f aca="false">Inversion_Activos!P$63</f>
        <v>5966.0175</v>
      </c>
      <c r="Q38" s="28" t="n">
        <f aca="false">Inversion_Activos!Q$63</f>
        <v>5966.0175</v>
      </c>
      <c r="R38" s="28" t="n">
        <f aca="false">Inversion_Activos!R$63</f>
        <v>5966.0175</v>
      </c>
      <c r="S38" s="28" t="n">
        <f aca="false">Inversion_Activos!S$63</f>
        <v>6799.35083333333</v>
      </c>
      <c r="T38" s="28" t="n">
        <f aca="false">Inversion_Activos!T$63</f>
        <v>6799.35083333333</v>
      </c>
      <c r="U38" s="28" t="n">
        <f aca="false">Inversion_Activos!U$63</f>
        <v>6799.35083333333</v>
      </c>
      <c r="V38" s="28" t="n">
        <f aca="false">Inversion_Activos!V$63</f>
        <v>6799.35083333333</v>
      </c>
      <c r="W38" s="28" t="n">
        <f aca="false">Inversion_Activos!W$63</f>
        <v>6799.35083333333</v>
      </c>
      <c r="X38" s="28" t="n">
        <f aca="false">Inversion_Activos!X$63</f>
        <v>6799.35083333333</v>
      </c>
      <c r="Y38" s="28" t="n">
        <f aca="false">Inversion_Activos!Y$63</f>
        <v>6799.35083333333</v>
      </c>
      <c r="Z38" s="28" t="n">
        <f aca="false">Inversion_Activos!Z$63</f>
        <v>6799.35083333333</v>
      </c>
      <c r="AA38" s="28" t="n">
        <f aca="false">Inversion_Activos!AA$63</f>
        <v>6799.35083333333</v>
      </c>
      <c r="AB38" s="28" t="n">
        <f aca="false">Inversion_Activos!AB$63</f>
        <v>6799.35083333333</v>
      </c>
      <c r="AC38" s="28" t="n">
        <f aca="false">Inversion_Activos!AC$63</f>
        <v>6799.35083333333</v>
      </c>
      <c r="AD38" s="28" t="n">
        <f aca="false">Inversion_Activos!AD$63</f>
        <v>6799.35083333333</v>
      </c>
      <c r="AE38" s="28" t="n">
        <f aca="false">Inversion_Activos!AE$63</f>
        <v>6799.35083333333</v>
      </c>
      <c r="AF38" s="28" t="n">
        <f aca="false">Inversion_Activos!AF$63</f>
        <v>6799.35083333333</v>
      </c>
      <c r="AG38" s="28" t="n">
        <f aca="false">Inversion_Activos!AG$63</f>
        <v>6799.35083333333</v>
      </c>
      <c r="AH38" s="28" t="n">
        <f aca="false">Inversion_Activos!AH$63</f>
        <v>6799.35083333333</v>
      </c>
      <c r="AI38" s="28" t="n">
        <f aca="false">Inversion_Activos!AI$63</f>
        <v>6799.35083333333</v>
      </c>
      <c r="AJ38" s="28" t="n">
        <f aca="false">Inversion_Activos!AJ$63</f>
        <v>6799.35083333333</v>
      </c>
      <c r="AK38" s="28" t="n">
        <f aca="false">Inversion_Activos!AK$63</f>
        <v>6799.35083333333</v>
      </c>
      <c r="AL38" s="28" t="n">
        <f aca="false">Inversion_Activos!AL$63</f>
        <v>6799.35083333333</v>
      </c>
      <c r="AM38" s="28" t="n">
        <f aca="false">Inversion_Activos!AM$63</f>
        <v>6799.35083333333</v>
      </c>
      <c r="AN38" s="28" t="n">
        <f aca="false">Inversion_Activos!AN$63</f>
        <v>6799.35083333333</v>
      </c>
      <c r="AO38" s="28" t="n">
        <f aca="false">Inversion_Activos!AO$63</f>
        <v>6799.35083333333</v>
      </c>
      <c r="AP38" s="28" t="n">
        <f aca="false">Inversion_Activos!AP$63</f>
        <v>6799.35083333333</v>
      </c>
      <c r="AQ38" s="28" t="n">
        <f aca="false">Inversion_Activos!AQ$63</f>
        <v>6799.35083333333</v>
      </c>
      <c r="AR38" s="28" t="n">
        <f aca="false">Inversion_Activos!AR$63</f>
        <v>6799.35083333333</v>
      </c>
      <c r="AS38" s="28" t="n">
        <f aca="false">Inversion_Activos!AS$63</f>
        <v>6799.35083333333</v>
      </c>
      <c r="AT38" s="28" t="n">
        <f aca="false">Inversion_Activos!AT$63</f>
        <v>6799.35083333333</v>
      </c>
      <c r="AU38" s="28" t="n">
        <f aca="false">Inversion_Activos!AU$63</f>
        <v>6799.35083333333</v>
      </c>
      <c r="AV38" s="28" t="n">
        <f aca="false">Inversion_Activos!AV$63</f>
        <v>6799.35083333333</v>
      </c>
      <c r="AW38" s="28" t="n">
        <f aca="false">Inversion_Activos!AW$63</f>
        <v>6799.35083333333</v>
      </c>
      <c r="AX38" s="28" t="n">
        <f aca="false">Inversion_Activos!AX$63</f>
        <v>6799.35083333333</v>
      </c>
      <c r="AY38" s="28" t="n">
        <f aca="false">Inversion_Activos!AY$63</f>
        <v>6799.35083333333</v>
      </c>
      <c r="AZ38" s="28" t="n">
        <f aca="false">Inversion_Activos!AZ$63</f>
        <v>6799.35083333333</v>
      </c>
      <c r="BA38" s="28" t="n">
        <f aca="false">Inversion_Activos!BA$63</f>
        <v>6799.35083333333</v>
      </c>
      <c r="BB38" s="28" t="n">
        <f aca="false">Inversion_Activos!BB$63</f>
        <v>6799.35083333333</v>
      </c>
      <c r="BC38" s="28" t="n">
        <f aca="false">Inversion_Activos!BC$63</f>
        <v>6799.35083333333</v>
      </c>
      <c r="BD38" s="28" t="n">
        <f aca="false">Inversion_Activos!BD$63</f>
        <v>6799.35083333333</v>
      </c>
      <c r="BE38" s="28" t="n">
        <f aca="false">Inversion_Activos!BE$63</f>
        <v>6799.35083333333</v>
      </c>
      <c r="BF38" s="28" t="n">
        <f aca="false">Inversion_Activos!BF$63</f>
        <v>6799.35083333333</v>
      </c>
      <c r="BG38" s="28" t="n">
        <f aca="false">Inversion_Activos!BG$63</f>
        <v>6799.35083333333</v>
      </c>
      <c r="BH38" s="28" t="n">
        <f aca="false">Inversion_Activos!BH$63</f>
        <v>6799.35083333333</v>
      </c>
      <c r="BI38" s="28" t="n">
        <f aca="false">Inversion_Activos!BI$63</f>
        <v>6799.35083333333</v>
      </c>
      <c r="BJ38" s="28" t="n">
        <f aca="false">Inversion_Activos!BJ$63</f>
        <v>6799.35083333333</v>
      </c>
      <c r="BK38" s="28" t="n">
        <f aca="false">Inversion_Activos!BK$63</f>
        <v>6799.35083333333</v>
      </c>
      <c r="BL38" s="28" t="n">
        <f aca="false">Inversion_Activos!BL$63</f>
        <v>6799.35083333333</v>
      </c>
      <c r="BM38" s="28" t="n">
        <f aca="false">Inversion_Activos!BM$63</f>
        <v>6799.35083333333</v>
      </c>
      <c r="BN38" s="28" t="n">
        <f aca="false">Inversion_Activos!BN$63</f>
        <v>6799.35083333333</v>
      </c>
      <c r="BO38" s="28" t="n">
        <f aca="false">Inversion_Activos!BO$63</f>
        <v>5784.7175</v>
      </c>
      <c r="BP38" s="28" t="n">
        <f aca="false">Inversion_Activos!BP$63</f>
        <v>5784.7175</v>
      </c>
      <c r="BQ38" s="28" t="n">
        <f aca="false">Inversion_Activos!BQ$63</f>
        <v>5784.7175</v>
      </c>
      <c r="BR38" s="28" t="n">
        <f aca="false">Inversion_Activos!BR$63</f>
        <v>5784.7175</v>
      </c>
      <c r="BS38" s="28" t="n">
        <f aca="false">Inversion_Activos!BS$63</f>
        <v>5784.7175</v>
      </c>
      <c r="BT38" s="28" t="n">
        <f aca="false">Inversion_Activos!BT$63</f>
        <v>5784.7175</v>
      </c>
      <c r="BU38" s="28" t="n">
        <f aca="false">Inversion_Activos!BU$63</f>
        <v>5784.7175</v>
      </c>
      <c r="BV38" s="28" t="n">
        <f aca="false">Inversion_Activos!BV$63</f>
        <v>5784.7175</v>
      </c>
      <c r="BW38" s="28" t="n">
        <f aca="false">Inversion_Activos!BW$63</f>
        <v>5784.7175</v>
      </c>
      <c r="BX38" s="28" t="n">
        <f aca="false">Inversion_Activos!BX$63</f>
        <v>5784.7175</v>
      </c>
      <c r="BY38" s="28" t="n">
        <f aca="false">Inversion_Activos!BY$63</f>
        <v>5784.7175</v>
      </c>
      <c r="BZ38" s="28" t="n">
        <f aca="false">Inversion_Activos!BZ$63</f>
        <v>5784.7175</v>
      </c>
      <c r="CA38" s="28" t="n">
        <f aca="false">Inversion_Activos!CA$63</f>
        <v>5784.7175</v>
      </c>
      <c r="CB38" s="28" t="n">
        <f aca="false">Inversion_Activos!CB$63</f>
        <v>5784.7175</v>
      </c>
      <c r="CC38" s="28" t="n">
        <f aca="false">Inversion_Activos!CC$63</f>
        <v>5784.7175</v>
      </c>
      <c r="CD38" s="28" t="n">
        <f aca="false">Inversion_Activos!CD$63</f>
        <v>5784.7175</v>
      </c>
      <c r="CE38" s="28" t="n">
        <f aca="false">Inversion_Activos!CE$63</f>
        <v>5784.7175</v>
      </c>
      <c r="CF38" s="28" t="n">
        <f aca="false">Inversion_Activos!CF$63</f>
        <v>5784.7175</v>
      </c>
      <c r="CG38" s="28" t="n">
        <f aca="false">Inversion_Activos!CG$63</f>
        <v>5784.7175</v>
      </c>
      <c r="CH38" s="28" t="n">
        <f aca="false">Inversion_Activos!CH$63</f>
        <v>5784.7175</v>
      </c>
      <c r="CI38" s="28" t="n">
        <f aca="false">Inversion_Activos!CI$63</f>
        <v>5784.7175</v>
      </c>
      <c r="CJ38" s="28" t="n">
        <f aca="false">Inversion_Activos!CJ$63</f>
        <v>5784.7175</v>
      </c>
      <c r="CK38" s="28" t="n">
        <f aca="false">Inversion_Activos!CK$63</f>
        <v>5784.7175</v>
      </c>
      <c r="CL38" s="28" t="n">
        <f aca="false">Inversion_Activos!CL$63</f>
        <v>5784.7175</v>
      </c>
      <c r="CM38" s="28" t="n">
        <f aca="false">Inversion_Activos!CM$63</f>
        <v>5784.7175</v>
      </c>
      <c r="CN38" s="28" t="n">
        <f aca="false">Inversion_Activos!CN$63</f>
        <v>5784.7175</v>
      </c>
      <c r="CO38" s="28" t="n">
        <f aca="false">Inversion_Activos!CO$63</f>
        <v>5784.7175</v>
      </c>
      <c r="CP38" s="28" t="n">
        <f aca="false">Inversion_Activos!CP$63</f>
        <v>5784.7175</v>
      </c>
      <c r="CQ38" s="28" t="n">
        <f aca="false">Inversion_Activos!CQ$63</f>
        <v>5784.7175</v>
      </c>
      <c r="CR38" s="28" t="n">
        <f aca="false">Inversion_Activos!CR$63</f>
        <v>5784.7175</v>
      </c>
      <c r="CS38" s="28" t="n">
        <f aca="false">Inversion_Activos!CS$63</f>
        <v>5784.7175</v>
      </c>
      <c r="CT38" s="28" t="n">
        <f aca="false">Inversion_Activos!CT$63</f>
        <v>5784.7175</v>
      </c>
      <c r="CU38" s="28" t="n">
        <f aca="false">Inversion_Activos!CU$63</f>
        <v>5784.7175</v>
      </c>
      <c r="CV38" s="28" t="n">
        <f aca="false">Inversion_Activos!CV$63</f>
        <v>5784.7175</v>
      </c>
      <c r="CW38" s="28" t="n">
        <f aca="false">Inversion_Activos!CW$63</f>
        <v>5784.7175</v>
      </c>
      <c r="CX38" s="28" t="n">
        <f aca="false">Inversion_Activos!CX$63</f>
        <v>5784.7175</v>
      </c>
      <c r="CY38" s="28" t="n">
        <f aca="false">Inversion_Activos!CY$63</f>
        <v>5784.7175</v>
      </c>
      <c r="CZ38" s="28" t="n">
        <f aca="false">Inversion_Activos!CZ$63</f>
        <v>5784.7175</v>
      </c>
      <c r="DA38" s="28" t="n">
        <f aca="false">Inversion_Activos!DA$63</f>
        <v>5784.7175</v>
      </c>
      <c r="DB38" s="28" t="n">
        <f aca="false">Inversion_Activos!DB$63</f>
        <v>5784.7175</v>
      </c>
      <c r="DC38" s="28" t="n">
        <f aca="false">Inversion_Activos!DC$63</f>
        <v>5784.7175</v>
      </c>
      <c r="DD38" s="28" t="n">
        <f aca="false">Inversion_Activos!DD$63</f>
        <v>5784.7175</v>
      </c>
      <c r="DE38" s="28" t="n">
        <f aca="false">Inversion_Activos!DE$63</f>
        <v>5784.7175</v>
      </c>
      <c r="DF38" s="28" t="n">
        <f aca="false">Inversion_Activos!DF$63</f>
        <v>5784.7175</v>
      </c>
      <c r="DG38" s="28" t="n">
        <f aca="false">Inversion_Activos!DG$63</f>
        <v>5784.7175</v>
      </c>
      <c r="DH38" s="28" t="n">
        <f aca="false">Inversion_Activos!DH$63</f>
        <v>5784.7175</v>
      </c>
      <c r="DI38" s="28" t="n">
        <f aca="false">Inversion_Activos!DI$63</f>
        <v>5784.7175</v>
      </c>
      <c r="DJ38" s="28" t="n">
        <f aca="false">Inversion_Activos!DJ$63</f>
        <v>5784.7175</v>
      </c>
      <c r="DK38" s="28" t="n">
        <f aca="false">Inversion_Activos!DK$63</f>
        <v>5784.7175</v>
      </c>
      <c r="DL38" s="28" t="n">
        <f aca="false">Inversion_Activos!DL$63</f>
        <v>5784.7175</v>
      </c>
      <c r="DM38" s="28" t="n">
        <f aca="false">Inversion_Activos!DM$63</f>
        <v>5784.7175</v>
      </c>
      <c r="DN38" s="28" t="n">
        <f aca="false">Inversion_Activos!DN$63</f>
        <v>5784.7175</v>
      </c>
      <c r="DO38" s="28" t="n">
        <f aca="false">Inversion_Activos!DO$63</f>
        <v>5784.7175</v>
      </c>
      <c r="DP38" s="28" t="n">
        <f aca="false">Inversion_Activos!DP$63</f>
        <v>5784.7175</v>
      </c>
      <c r="DQ38" s="28" t="n">
        <f aca="false">Inversion_Activos!DQ$63</f>
        <v>5784.7175</v>
      </c>
      <c r="DR38" s="28" t="n">
        <f aca="false">Inversion_Activos!DR$63</f>
        <v>5784.7175</v>
      </c>
      <c r="DS38" s="28" t="n">
        <f aca="false">Inversion_Activos!DS$63</f>
        <v>5784.7175</v>
      </c>
      <c r="DT38" s="28" t="n">
        <f aca="false">Inversion_Activos!DT$63</f>
        <v>5784.7175</v>
      </c>
      <c r="DU38" s="28" t="n">
        <f aca="false">Inversion_Activos!DU$63</f>
        <v>5784.7175</v>
      </c>
      <c r="DV38" s="28" t="n">
        <f aca="false">Inversion_Activos!DV$63</f>
        <v>5784.7175</v>
      </c>
      <c r="DW38" s="28" t="n">
        <f aca="false">Inversion_Activos!DW$63</f>
        <v>0</v>
      </c>
      <c r="DX38" s="28" t="n">
        <f aca="false">Inversion_Activos!DX$63</f>
        <v>0</v>
      </c>
      <c r="DY38" s="28" t="n">
        <f aca="false">Inversion_Activos!DY$63</f>
        <v>0</v>
      </c>
      <c r="DZ38" s="28" t="n">
        <f aca="false">Inversion_Activos!DZ$63</f>
        <v>0</v>
      </c>
      <c r="EA38" s="28" t="n">
        <f aca="false">Inversion_Activos!EA$63</f>
        <v>0</v>
      </c>
      <c r="EB38" s="28" t="n">
        <f aca="false">Inversion_Activos!EB$63</f>
        <v>0</v>
      </c>
      <c r="EC38" s="28" t="n">
        <f aca="false">Inversion_Activos!EC$63</f>
        <v>0</v>
      </c>
      <c r="ED38" s="28" t="n">
        <f aca="false">Inversion_Activos!ED$63</f>
        <v>0</v>
      </c>
      <c r="EE38" s="28" t="n">
        <f aca="false">Inversion_Activos!EE$63</f>
        <v>0</v>
      </c>
      <c r="EF38" s="28" t="n">
        <f aca="false">Inversion_Activos!EF$63</f>
        <v>0</v>
      </c>
      <c r="EG38" s="28" t="n">
        <f aca="false">Inversion_Activos!EG$63</f>
        <v>0</v>
      </c>
      <c r="EH38" s="28" t="n">
        <f aca="false">Inversion_Activos!EH$63</f>
        <v>0</v>
      </c>
      <c r="EI38" s="28" t="n">
        <f aca="false">Inversion_Activos!EI$63</f>
        <v>0</v>
      </c>
      <c r="EJ38" s="28" t="n">
        <f aca="false">Inversion_Activos!EJ$63</f>
        <v>0</v>
      </c>
      <c r="EK38" s="28" t="n">
        <f aca="false">Inversion_Activos!EK$63</f>
        <v>0</v>
      </c>
      <c r="EL38" s="28" t="n">
        <f aca="false">Inversion_Activos!EL$63</f>
        <v>0</v>
      </c>
      <c r="EM38" s="28" t="n">
        <f aca="false">Inversion_Activos!EM$63</f>
        <v>0</v>
      </c>
      <c r="EN38" s="28" t="n">
        <f aca="false">Inversion_Activos!EN$63</f>
        <v>0</v>
      </c>
      <c r="EO38" s="28" t="n">
        <f aca="false">Inversion_Activos!EO$63</f>
        <v>0</v>
      </c>
      <c r="EP38" s="28" t="n">
        <f aca="false">Inversion_Activos!EP$63</f>
        <v>0</v>
      </c>
      <c r="EQ38" s="28" t="n">
        <f aca="false">Inversion_Activos!EQ$63</f>
        <v>0</v>
      </c>
      <c r="ER38" s="28" t="n">
        <f aca="false">Inversion_Activos!ER$63</f>
        <v>0</v>
      </c>
      <c r="ES38" s="28" t="n">
        <f aca="false">Inversion_Activos!ES$63</f>
        <v>0</v>
      </c>
      <c r="ET38" s="28" t="n">
        <f aca="false">Inversion_Activos!ET$63</f>
        <v>0</v>
      </c>
      <c r="EU38" s="28" t="n">
        <f aca="false">Inversion_Activos!EU$63</f>
        <v>0</v>
      </c>
      <c r="EV38" s="28" t="n">
        <f aca="false">Inversion_Activos!EV$63</f>
        <v>0</v>
      </c>
      <c r="EW38" s="28" t="n">
        <f aca="false">Inversion_Activos!EW$63</f>
        <v>0</v>
      </c>
      <c r="EX38" s="28" t="n">
        <f aca="false">Inversion_Activos!EX$63</f>
        <v>0</v>
      </c>
      <c r="EY38" s="28" t="n">
        <f aca="false">Inversion_Activos!EY$63</f>
        <v>0</v>
      </c>
      <c r="EZ38" s="28" t="n">
        <f aca="false">Inversion_Activos!EZ$63</f>
        <v>0</v>
      </c>
      <c r="FA38" s="28" t="n">
        <f aca="false">Inversion_Activos!FA$63</f>
        <v>0</v>
      </c>
      <c r="FB38" s="28" t="n">
        <f aca="false">Inversion_Activos!FB$63</f>
        <v>0</v>
      </c>
      <c r="FC38" s="28" t="n">
        <f aca="false">Inversion_Activos!FC$63</f>
        <v>0</v>
      </c>
      <c r="FD38" s="28" t="n">
        <f aca="false">Inversion_Activos!FD$63</f>
        <v>0</v>
      </c>
      <c r="FE38" s="28" t="n">
        <f aca="false">Inversion_Activos!FE$63</f>
        <v>0</v>
      </c>
      <c r="FF38" s="28" t="n">
        <f aca="false">Inversion_Activos!FF$63</f>
        <v>0</v>
      </c>
    </row>
    <row r="39" customFormat="false" ht="15" hidden="false" customHeight="false" outlineLevel="0" collapsed="false">
      <c r="A39" s="2" t="s">
        <v>1495</v>
      </c>
      <c r="B39" s="66" t="s">
        <v>1496</v>
      </c>
      <c r="C39" s="8" t="s">
        <v>255</v>
      </c>
      <c r="E39" s="67" t="n">
        <f aca="false">SUM($F39:$FF39)</f>
        <v>15573055.7594377</v>
      </c>
      <c r="F39" s="12" t="n">
        <f aca="false">F$37-F$38</f>
        <v>0</v>
      </c>
      <c r="G39" s="12" t="n">
        <f aca="false">G$37-G$38</f>
        <v>46693.3827309864</v>
      </c>
      <c r="H39" s="12" t="n">
        <f aca="false">H$37-H$38</f>
        <v>41231.1105016707</v>
      </c>
      <c r="I39" s="12" t="n">
        <f aca="false">I$37-I$38</f>
        <v>36531.482670035</v>
      </c>
      <c r="J39" s="12" t="n">
        <f aca="false">J$37-J$38</f>
        <v>36531.482670035</v>
      </c>
      <c r="K39" s="12" t="n">
        <f aca="false">K$37-K$38</f>
        <v>36531.482670035</v>
      </c>
      <c r="L39" s="12" t="n">
        <f aca="false">L$37-L$38</f>
        <v>36531.482670035</v>
      </c>
      <c r="M39" s="12" t="n">
        <f aca="false">M$37-M$38</f>
        <v>36531.482670035</v>
      </c>
      <c r="N39" s="12" t="n">
        <f aca="false">N$37-N$38</f>
        <v>36531.482670035</v>
      </c>
      <c r="O39" s="12" t="n">
        <f aca="false">O$37-O$38</f>
        <v>36531.482670035</v>
      </c>
      <c r="P39" s="12" t="n">
        <f aca="false">P$37-P$38</f>
        <v>36531.482670035</v>
      </c>
      <c r="Q39" s="12" t="n">
        <f aca="false">Q$37-Q$38</f>
        <v>36531.482670035</v>
      </c>
      <c r="R39" s="12" t="n">
        <f aca="false">R$37-R$38</f>
        <v>38518.3760259252</v>
      </c>
      <c r="S39" s="12" t="n">
        <f aca="false">S$37-S$38</f>
        <v>71183.389056154</v>
      </c>
      <c r="T39" s="12" t="n">
        <f aca="false">T$37-T$38</f>
        <v>73697.0518367017</v>
      </c>
      <c r="U39" s="12" t="n">
        <f aca="false">U$37-U$38</f>
        <v>73697.0518367017</v>
      </c>
      <c r="V39" s="12" t="n">
        <f aca="false">V$37-V$38</f>
        <v>73697.0518367017</v>
      </c>
      <c r="W39" s="12" t="n">
        <f aca="false">W$37-W$38</f>
        <v>73697.0518367017</v>
      </c>
      <c r="X39" s="12" t="n">
        <f aca="false">X$37-X$38</f>
        <v>73697.0518367017</v>
      </c>
      <c r="Y39" s="12" t="n">
        <f aca="false">Y$37-Y$38</f>
        <v>73697.0518367017</v>
      </c>
      <c r="Z39" s="12" t="n">
        <f aca="false">Z$37-Z$38</f>
        <v>73697.0518367017</v>
      </c>
      <c r="AA39" s="12" t="n">
        <f aca="false">AA$37-AA$38</f>
        <v>73697.0518367017</v>
      </c>
      <c r="AB39" s="12" t="n">
        <f aca="false">AB$37-AB$38</f>
        <v>73697.0518367017</v>
      </c>
      <c r="AC39" s="12" t="n">
        <f aca="false">AC$37-AC$38</f>
        <v>73697.0518367017</v>
      </c>
      <c r="AD39" s="12" t="n">
        <f aca="false">AD$37-AD$38</f>
        <v>75083.4476232915</v>
      </c>
      <c r="AE39" s="12" t="n">
        <f aca="false">AE$37-AE$38</f>
        <v>109365.771176529</v>
      </c>
      <c r="AF39" s="12" t="n">
        <f aca="false">AF$37-AF$38</f>
        <v>110286.719470887</v>
      </c>
      <c r="AG39" s="12" t="n">
        <f aca="false">AG$37-AG$38</f>
        <v>110286.719470887</v>
      </c>
      <c r="AH39" s="12" t="n">
        <f aca="false">AH$37-AH$38</f>
        <v>110286.719470887</v>
      </c>
      <c r="AI39" s="12" t="n">
        <f aca="false">AI$37-AI$38</f>
        <v>110286.719470887</v>
      </c>
      <c r="AJ39" s="12" t="n">
        <f aca="false">AJ$37-AJ$38</f>
        <v>110286.719470887</v>
      </c>
      <c r="AK39" s="12" t="n">
        <f aca="false">AK$37-AK$38</f>
        <v>110286.719470887</v>
      </c>
      <c r="AL39" s="12" t="n">
        <f aca="false">AL$37-AL$38</f>
        <v>110286.719470887</v>
      </c>
      <c r="AM39" s="12" t="n">
        <f aca="false">AM$37-AM$38</f>
        <v>110286.719470887</v>
      </c>
      <c r="AN39" s="12" t="n">
        <f aca="false">AN$37-AN$38</f>
        <v>110286.719470887</v>
      </c>
      <c r="AO39" s="12" t="n">
        <f aca="false">AO$37-AO$38</f>
        <v>110286.719470887</v>
      </c>
      <c r="AP39" s="12" t="n">
        <f aca="false">AP$37-AP$38</f>
        <v>111203.050008417</v>
      </c>
      <c r="AQ39" s="12" t="n">
        <f aca="false">AQ$37-AQ$38</f>
        <v>142780.580538426</v>
      </c>
      <c r="AR39" s="12" t="n">
        <f aca="false">AR$37-AR$38</f>
        <v>143097.368825673</v>
      </c>
      <c r="AS39" s="12" t="n">
        <f aca="false">AS$37-AS$38</f>
        <v>143097.368825673</v>
      </c>
      <c r="AT39" s="12" t="n">
        <f aca="false">AT$37-AT$38</f>
        <v>143097.368825673</v>
      </c>
      <c r="AU39" s="12" t="n">
        <f aca="false">AU$37-AU$38</f>
        <v>143097.368825673</v>
      </c>
      <c r="AV39" s="12" t="n">
        <f aca="false">AV$37-AV$38</f>
        <v>143097.368825673</v>
      </c>
      <c r="AW39" s="12" t="n">
        <f aca="false">AW$37-AW$38</f>
        <v>143097.368825673</v>
      </c>
      <c r="AX39" s="12" t="n">
        <f aca="false">AX$37-AX$38</f>
        <v>143097.368825673</v>
      </c>
      <c r="AY39" s="12" t="n">
        <f aca="false">AY$37-AY$38</f>
        <v>143097.368825673</v>
      </c>
      <c r="AZ39" s="12" t="n">
        <f aca="false">AZ$37-AZ$38</f>
        <v>143097.368825673</v>
      </c>
      <c r="BA39" s="12" t="n">
        <f aca="false">BA$37-BA$38</f>
        <v>143097.368825673</v>
      </c>
      <c r="BB39" s="12" t="n">
        <f aca="false">BB$37-BB$38</f>
        <v>143097.368825673</v>
      </c>
      <c r="BC39" s="12" t="n">
        <f aca="false">BC$37-BC$38</f>
        <v>146064.689028147</v>
      </c>
      <c r="BD39" s="12" t="n">
        <f aca="false">BD$37-BD$38</f>
        <v>144420.136039185</v>
      </c>
      <c r="BE39" s="12" t="n">
        <f aca="false">BE$37-BE$38</f>
        <v>144420.136039185</v>
      </c>
      <c r="BF39" s="12" t="n">
        <f aca="false">BF$37-BF$38</f>
        <v>144420.136039185</v>
      </c>
      <c r="BG39" s="12" t="n">
        <f aca="false">BG$37-BG$38</f>
        <v>144420.136039185</v>
      </c>
      <c r="BH39" s="12" t="n">
        <f aca="false">BH$37-BH$38</f>
        <v>144420.136039185</v>
      </c>
      <c r="BI39" s="12" t="n">
        <f aca="false">BI$37-BI$38</f>
        <v>144420.136039185</v>
      </c>
      <c r="BJ39" s="12" t="n">
        <f aca="false">BJ$37-BJ$38</f>
        <v>144420.136039185</v>
      </c>
      <c r="BK39" s="12" t="n">
        <f aca="false">BK$37-BK$38</f>
        <v>144420.136039185</v>
      </c>
      <c r="BL39" s="12" t="n">
        <f aca="false">BL$37-BL$38</f>
        <v>144420.136039185</v>
      </c>
      <c r="BM39" s="12" t="n">
        <f aca="false">BM$37-BM$38</f>
        <v>144420.136039185</v>
      </c>
      <c r="BN39" s="12" t="n">
        <f aca="false">BN$37-BN$38</f>
        <v>144420.136039185</v>
      </c>
      <c r="BO39" s="12" t="n">
        <f aca="false">BO$37-BO$38</f>
        <v>150320.880596424</v>
      </c>
      <c r="BP39" s="12" t="n">
        <f aca="false">BP$37-BP$38</f>
        <v>149526.331935307</v>
      </c>
      <c r="BQ39" s="12" t="n">
        <f aca="false">BQ$37-BQ$38</f>
        <v>149526.331935307</v>
      </c>
      <c r="BR39" s="12" t="n">
        <f aca="false">BR$37-BR$38</f>
        <v>149526.331935307</v>
      </c>
      <c r="BS39" s="12" t="n">
        <f aca="false">BS$37-BS$38</f>
        <v>149526.331935307</v>
      </c>
      <c r="BT39" s="12" t="n">
        <f aca="false">BT$37-BT$38</f>
        <v>149526.331935307</v>
      </c>
      <c r="BU39" s="12" t="n">
        <f aca="false">BU$37-BU$38</f>
        <v>149526.331935307</v>
      </c>
      <c r="BV39" s="12" t="n">
        <f aca="false">BV$37-BV$38</f>
        <v>149526.331935307</v>
      </c>
      <c r="BW39" s="12" t="n">
        <f aca="false">BW$37-BW$38</f>
        <v>149526.331935307</v>
      </c>
      <c r="BX39" s="12" t="n">
        <f aca="false">BX$37-BX$38</f>
        <v>149526.331935307</v>
      </c>
      <c r="BY39" s="12" t="n">
        <f aca="false">BY$37-BY$38</f>
        <v>149526.331935307</v>
      </c>
      <c r="BZ39" s="12" t="n">
        <f aca="false">BZ$37-BZ$38</f>
        <v>149526.331935307</v>
      </c>
      <c r="CA39" s="12" t="n">
        <f aca="false">CA$37-CA$38</f>
        <v>154449.65512521</v>
      </c>
      <c r="CB39" s="12" t="n">
        <f aca="false">CB$37-CB$38</f>
        <v>153647.323761044</v>
      </c>
      <c r="CC39" s="12" t="n">
        <f aca="false">CC$37-CC$38</f>
        <v>153647.323761044</v>
      </c>
      <c r="CD39" s="12" t="n">
        <f aca="false">CD$37-CD$38</f>
        <v>153647.323761044</v>
      </c>
      <c r="CE39" s="12" t="n">
        <f aca="false">CE$37-CE$38</f>
        <v>153647.323761044</v>
      </c>
      <c r="CF39" s="12" t="n">
        <f aca="false">CF$37-CF$38</f>
        <v>153647.323761044</v>
      </c>
      <c r="CG39" s="12" t="n">
        <f aca="false">CG$37-CG$38</f>
        <v>153647.323761044</v>
      </c>
      <c r="CH39" s="12" t="n">
        <f aca="false">CH$37-CH$38</f>
        <v>153647.323761044</v>
      </c>
      <c r="CI39" s="12" t="n">
        <f aca="false">CI$37-CI$38</f>
        <v>153647.323761044</v>
      </c>
      <c r="CJ39" s="12" t="n">
        <f aca="false">CJ$37-CJ$38</f>
        <v>153647.323761044</v>
      </c>
      <c r="CK39" s="12" t="n">
        <f aca="false">CK$37-CK$38</f>
        <v>153647.323761044</v>
      </c>
      <c r="CL39" s="12" t="n">
        <f aca="false">CL$37-CL$38</f>
        <v>153647.323761044</v>
      </c>
      <c r="CM39" s="12" t="n">
        <f aca="false">CM$37-CM$38</f>
        <v>158607.870849024</v>
      </c>
      <c r="CN39" s="12" t="n">
        <f aca="false">CN$37-CN$38</f>
        <v>157797.678954778</v>
      </c>
      <c r="CO39" s="12" t="n">
        <f aca="false">CO$37-CO$38</f>
        <v>157797.678954778</v>
      </c>
      <c r="CP39" s="12" t="n">
        <f aca="false">CP$37-CP$38</f>
        <v>157797.678954778</v>
      </c>
      <c r="CQ39" s="12" t="n">
        <f aca="false">CQ$37-CQ$38</f>
        <v>157797.678954778</v>
      </c>
      <c r="CR39" s="12" t="n">
        <f aca="false">CR$37-CR$38</f>
        <v>157797.678954778</v>
      </c>
      <c r="CS39" s="12" t="n">
        <f aca="false">CS$37-CS$38</f>
        <v>157797.678954778</v>
      </c>
      <c r="CT39" s="12" t="n">
        <f aca="false">CT$37-CT$38</f>
        <v>157797.678954778</v>
      </c>
      <c r="CU39" s="12" t="n">
        <f aca="false">CU$37-CU$38</f>
        <v>157797.678954778</v>
      </c>
      <c r="CV39" s="12" t="n">
        <f aca="false">CV$37-CV$38</f>
        <v>157797.678954778</v>
      </c>
      <c r="CW39" s="12" t="n">
        <f aca="false">CW$37-CW$38</f>
        <v>157797.678954778</v>
      </c>
      <c r="CX39" s="12" t="n">
        <f aca="false">CX$37-CX$38</f>
        <v>157797.678954778</v>
      </c>
      <c r="CY39" s="12" t="n">
        <f aca="false">CY$37-CY$38</f>
        <v>162795.451186609</v>
      </c>
      <c r="CZ39" s="12" t="n">
        <f aca="false">CZ$37-CZ$38</f>
        <v>161977.320156982</v>
      </c>
      <c r="DA39" s="12" t="n">
        <f aca="false">DA$37-DA$38</f>
        <v>161977.320156982</v>
      </c>
      <c r="DB39" s="12" t="n">
        <f aca="false">DB$37-DB$38</f>
        <v>161977.320156982</v>
      </c>
      <c r="DC39" s="12" t="n">
        <f aca="false">DC$37-DC$38</f>
        <v>161977.320156982</v>
      </c>
      <c r="DD39" s="12" t="n">
        <f aca="false">DD$37-DD$38</f>
        <v>161977.320156982</v>
      </c>
      <c r="DE39" s="12" t="n">
        <f aca="false">DE$37-DE$38</f>
        <v>161977.320156982</v>
      </c>
      <c r="DF39" s="12" t="n">
        <f aca="false">DF$37-DF$38</f>
        <v>161977.320156982</v>
      </c>
      <c r="DG39" s="12" t="n">
        <f aca="false">DG$37-DG$38</f>
        <v>161977.320156982</v>
      </c>
      <c r="DH39" s="12" t="n">
        <f aca="false">DH$37-DH$38</f>
        <v>161977.320156982</v>
      </c>
      <c r="DI39" s="12" t="n">
        <f aca="false">DI$37-DI$38</f>
        <v>161977.320156982</v>
      </c>
      <c r="DJ39" s="12" t="n">
        <f aca="false">DJ$37-DJ$38</f>
        <v>161977.320156982</v>
      </c>
      <c r="DK39" s="12" t="n">
        <f aca="false">DK$37-DK$38</f>
        <v>167012.307661097</v>
      </c>
      <c r="DL39" s="12" t="n">
        <f aca="false">DL$37-DL$38</f>
        <v>166186.158104736</v>
      </c>
      <c r="DM39" s="12" t="n">
        <f aca="false">DM$37-DM$38</f>
        <v>166186.158104736</v>
      </c>
      <c r="DN39" s="12" t="n">
        <f aca="false">DN$37-DN$38</f>
        <v>166186.158104736</v>
      </c>
      <c r="DO39" s="12" t="n">
        <f aca="false">DO$37-DO$38</f>
        <v>166186.158104736</v>
      </c>
      <c r="DP39" s="12" t="n">
        <f aca="false">DP$37-DP$38</f>
        <v>166186.158104736</v>
      </c>
      <c r="DQ39" s="12" t="n">
        <f aca="false">DQ$37-DQ$38</f>
        <v>166186.158104736</v>
      </c>
      <c r="DR39" s="12" t="n">
        <f aca="false">DR$37-DR$38</f>
        <v>166186.158104736</v>
      </c>
      <c r="DS39" s="12" t="n">
        <f aca="false">DS$37-DS$38</f>
        <v>166186.158104736</v>
      </c>
      <c r="DT39" s="12" t="n">
        <f aca="false">DT$37-DT$38</f>
        <v>166186.158104736</v>
      </c>
      <c r="DU39" s="12" t="n">
        <f aca="false">DU$37-DU$38</f>
        <v>166186.158104736</v>
      </c>
      <c r="DV39" s="12" t="n">
        <f aca="false">DV$37-DV$38</f>
        <v>152135.402773569</v>
      </c>
      <c r="DW39" s="12" t="n">
        <f aca="false">DW$37-DW$38</f>
        <v>0</v>
      </c>
      <c r="DX39" s="12" t="n">
        <f aca="false">DX$37-DX$38</f>
        <v>0</v>
      </c>
      <c r="DY39" s="12" t="n">
        <f aca="false">DY$37-DY$38</f>
        <v>0</v>
      </c>
      <c r="DZ39" s="12" t="n">
        <f aca="false">DZ$37-DZ$38</f>
        <v>0</v>
      </c>
      <c r="EA39" s="12" t="n">
        <f aca="false">EA$37-EA$38</f>
        <v>0</v>
      </c>
      <c r="EB39" s="12" t="n">
        <f aca="false">EB$37-EB$38</f>
        <v>0</v>
      </c>
      <c r="EC39" s="12" t="n">
        <f aca="false">EC$37-EC$38</f>
        <v>0</v>
      </c>
      <c r="ED39" s="12" t="n">
        <f aca="false">ED$37-ED$38</f>
        <v>0</v>
      </c>
      <c r="EE39" s="12" t="n">
        <f aca="false">EE$37-EE$38</f>
        <v>0</v>
      </c>
      <c r="EF39" s="12" t="n">
        <f aca="false">EF$37-EF$38</f>
        <v>0</v>
      </c>
      <c r="EG39" s="12" t="n">
        <f aca="false">EG$37-EG$38</f>
        <v>0</v>
      </c>
      <c r="EH39" s="12" t="n">
        <f aca="false">EH$37-EH$38</f>
        <v>0</v>
      </c>
      <c r="EI39" s="12" t="n">
        <f aca="false">EI$37-EI$38</f>
        <v>0</v>
      </c>
      <c r="EJ39" s="12" t="n">
        <f aca="false">EJ$37-EJ$38</f>
        <v>0</v>
      </c>
      <c r="EK39" s="12" t="n">
        <f aca="false">EK$37-EK$38</f>
        <v>0</v>
      </c>
      <c r="EL39" s="12" t="n">
        <f aca="false">EL$37-EL$38</f>
        <v>0</v>
      </c>
      <c r="EM39" s="12" t="n">
        <f aca="false">EM$37-EM$38</f>
        <v>0</v>
      </c>
      <c r="EN39" s="12" t="n">
        <f aca="false">EN$37-EN$38</f>
        <v>0</v>
      </c>
      <c r="EO39" s="12" t="n">
        <f aca="false">EO$37-EO$38</f>
        <v>0</v>
      </c>
      <c r="EP39" s="12" t="n">
        <f aca="false">EP$37-EP$38</f>
        <v>0</v>
      </c>
      <c r="EQ39" s="12" t="n">
        <f aca="false">EQ$37-EQ$38</f>
        <v>0</v>
      </c>
      <c r="ER39" s="12" t="n">
        <f aca="false">ER$37-ER$38</f>
        <v>0</v>
      </c>
      <c r="ES39" s="12" t="n">
        <f aca="false">ES$37-ES$38</f>
        <v>0</v>
      </c>
      <c r="ET39" s="12" t="n">
        <f aca="false">ET$37-ET$38</f>
        <v>0</v>
      </c>
      <c r="EU39" s="12" t="n">
        <f aca="false">EU$37-EU$38</f>
        <v>0</v>
      </c>
      <c r="EV39" s="12" t="n">
        <f aca="false">EV$37-EV$38</f>
        <v>0</v>
      </c>
      <c r="EW39" s="12" t="n">
        <f aca="false">EW$37-EW$38</f>
        <v>0</v>
      </c>
      <c r="EX39" s="12" t="n">
        <f aca="false">EX$37-EX$38</f>
        <v>0</v>
      </c>
      <c r="EY39" s="12" t="n">
        <f aca="false">EY$37-EY$38</f>
        <v>0</v>
      </c>
      <c r="EZ39" s="12" t="n">
        <f aca="false">EZ$37-EZ$38</f>
        <v>0</v>
      </c>
      <c r="FA39" s="12" t="n">
        <f aca="false">FA$37-FA$38</f>
        <v>0</v>
      </c>
      <c r="FB39" s="12" t="n">
        <f aca="false">FB$37-FB$38</f>
        <v>0</v>
      </c>
      <c r="FC39" s="12" t="n">
        <f aca="false">FC$37-FC$38</f>
        <v>0</v>
      </c>
      <c r="FD39" s="12" t="n">
        <f aca="false">FD$37-FD$38</f>
        <v>0</v>
      </c>
      <c r="FE39" s="12" t="n">
        <f aca="false">FE$37-FE$38</f>
        <v>0</v>
      </c>
      <c r="FF39" s="12" t="n">
        <f aca="false">FF$37-FF$38</f>
        <v>0</v>
      </c>
    </row>
    <row r="40" customFormat="false" ht="15" hidden="false" customHeight="false" outlineLevel="0" collapsed="false">
      <c r="A40" s="2" t="s">
        <v>1497</v>
      </c>
      <c r="B40" s="8" t="s">
        <v>1498</v>
      </c>
      <c r="C40" s="8" t="s">
        <v>255</v>
      </c>
      <c r="E40" s="65" t="n">
        <f aca="false">SUM($F40:$FF40)</f>
        <v>739285.57111314</v>
      </c>
      <c r="F40" s="13" t="n">
        <f aca="false">Deuda_Tributos!F$26+Deuda_Tributos!F$40</f>
        <v>0</v>
      </c>
      <c r="G40" s="13" t="n">
        <f aca="false">Deuda_Tributos!G$26+Deuda_Tributos!G$40</f>
        <v>20936.9025</v>
      </c>
      <c r="H40" s="13" t="n">
        <f aca="false">Deuda_Tributos!H$26+Deuda_Tributos!H$40</f>
        <v>20936.9025</v>
      </c>
      <c r="I40" s="13" t="n">
        <f aca="false">Deuda_Tributos!I$26+Deuda_Tributos!I$40</f>
        <v>20936.9025</v>
      </c>
      <c r="J40" s="13" t="n">
        <f aca="false">Deuda_Tributos!J$26+Deuda_Tributos!J$40</f>
        <v>20936.9025</v>
      </c>
      <c r="K40" s="13" t="n">
        <f aca="false">Deuda_Tributos!K$26+Deuda_Tributos!K$40</f>
        <v>20936.9025</v>
      </c>
      <c r="L40" s="13" t="n">
        <f aca="false">Deuda_Tributos!L$26+Deuda_Tributos!L$40</f>
        <v>20936.9025</v>
      </c>
      <c r="M40" s="13" t="n">
        <f aca="false">Deuda_Tributos!M$26+Deuda_Tributos!M$40</f>
        <v>20936.9025</v>
      </c>
      <c r="N40" s="13" t="n">
        <f aca="false">Deuda_Tributos!N$26+Deuda_Tributos!N$40</f>
        <v>20620.9777192898</v>
      </c>
      <c r="O40" s="13" t="n">
        <f aca="false">Deuda_Tributos!O$26+Deuda_Tributos!O$40</f>
        <v>20302.6835027244</v>
      </c>
      <c r="P40" s="13" t="n">
        <f aca="false">Deuda_Tributos!P$26+Deuda_Tributos!P$40</f>
        <v>19982.0020795346</v>
      </c>
      <c r="Q40" s="13" t="n">
        <f aca="false">Deuda_Tributos!Q$26+Deuda_Tributos!Q$40</f>
        <v>19658.915545671</v>
      </c>
      <c r="R40" s="13" t="n">
        <f aca="false">Deuda_Tributos!R$26+Deuda_Tributos!R$40</f>
        <v>19333.4058628034</v>
      </c>
      <c r="S40" s="13" t="n">
        <f aca="false">Deuda_Tributos!S$26+Deuda_Tributos!S$40</f>
        <v>19005.4548573142</v>
      </c>
      <c r="T40" s="13" t="n">
        <f aca="false">Deuda_Tributos!T$26+Deuda_Tributos!T$40</f>
        <v>18675.0442192839</v>
      </c>
      <c r="U40" s="13" t="n">
        <f aca="false">Deuda_Tributos!U$26+Deuda_Tributos!U$40</f>
        <v>18342.1555014684</v>
      </c>
      <c r="V40" s="13" t="n">
        <f aca="false">Deuda_Tributos!V$26+Deuda_Tributos!V$40</f>
        <v>18006.7701182693</v>
      </c>
      <c r="W40" s="13" t="n">
        <f aca="false">Deuda_Tributos!W$26+Deuda_Tributos!W$40</f>
        <v>17668.8693446961</v>
      </c>
      <c r="X40" s="13" t="n">
        <f aca="false">Deuda_Tributos!X$26+Deuda_Tributos!X$40</f>
        <v>17328.4343153212</v>
      </c>
      <c r="Y40" s="13" t="n">
        <f aca="false">Deuda_Tributos!Y$26+Deuda_Tributos!Y$40</f>
        <v>16985.4460232259</v>
      </c>
      <c r="Z40" s="13" t="n">
        <f aca="false">Deuda_Tributos!Z$26+Deuda_Tributos!Z$40</f>
        <v>16639.88531894</v>
      </c>
      <c r="AA40" s="13" t="n">
        <f aca="false">Deuda_Tributos!AA$26+Deuda_Tributos!AA$40</f>
        <v>16291.7329093719</v>
      </c>
      <c r="AB40" s="13" t="n">
        <f aca="false">Deuda_Tributos!AB$26+Deuda_Tributos!AB$40</f>
        <v>15940.969356732</v>
      </c>
      <c r="AC40" s="13" t="n">
        <f aca="false">Deuda_Tributos!AC$26+Deuda_Tributos!AC$40</f>
        <v>15587.5750774473</v>
      </c>
      <c r="AD40" s="13" t="n">
        <f aca="false">Deuda_Tributos!AD$26+Deuda_Tributos!AD$40</f>
        <v>15231.530341068</v>
      </c>
      <c r="AE40" s="13" t="n">
        <f aca="false">Deuda_Tributos!AE$26+Deuda_Tributos!AE$40</f>
        <v>14872.8152691659</v>
      </c>
      <c r="AF40" s="13" t="n">
        <f aca="false">Deuda_Tributos!AF$26+Deuda_Tributos!AF$40</f>
        <v>14511.4098342245</v>
      </c>
      <c r="AG40" s="13" t="n">
        <f aca="false">Deuda_Tributos!AG$26+Deuda_Tributos!AG$40</f>
        <v>14147.293858521</v>
      </c>
      <c r="AH40" s="13" t="n">
        <f aca="false">Deuda_Tributos!AH$26+Deuda_Tributos!AH$40</f>
        <v>13780.4470129997</v>
      </c>
      <c r="AI40" s="13" t="n">
        <f aca="false">Deuda_Tributos!AI$26+Deuda_Tributos!AI$40</f>
        <v>13410.8488161371</v>
      </c>
      <c r="AJ40" s="13" t="n">
        <f aca="false">Deuda_Tributos!AJ$26+Deuda_Tributos!AJ$40</f>
        <v>13038.4786327979</v>
      </c>
      <c r="AK40" s="13" t="n">
        <f aca="false">Deuda_Tributos!AK$26+Deuda_Tributos!AK$40</f>
        <v>12663.3156730838</v>
      </c>
      <c r="AL40" s="13" t="n">
        <f aca="false">Deuda_Tributos!AL$26+Deuda_Tributos!AL$40</f>
        <v>12285.3389911717</v>
      </c>
      <c r="AM40" s="13" t="n">
        <f aca="false">Deuda_Tributos!AM$26+Deuda_Tributos!AM$40</f>
        <v>11904.5274841454</v>
      </c>
      <c r="AN40" s="13" t="n">
        <f aca="false">Deuda_Tributos!AN$26+Deuda_Tributos!AN$40</f>
        <v>11520.8598908163</v>
      </c>
      <c r="AO40" s="13" t="n">
        <f aca="false">Deuda_Tributos!AO$26+Deuda_Tributos!AO$40</f>
        <v>11134.3147905373</v>
      </c>
      <c r="AP40" s="13" t="n">
        <f aca="false">Deuda_Tributos!AP$26+Deuda_Tributos!AP$40</f>
        <v>10744.8706020061</v>
      </c>
      <c r="AQ40" s="13" t="n">
        <f aca="false">Deuda_Tributos!AQ$26+Deuda_Tributos!AQ$40</f>
        <v>10352.505582061</v>
      </c>
      <c r="AR40" s="13" t="n">
        <f aca="false">Deuda_Tributos!AR$26+Deuda_Tributos!AR$40</f>
        <v>9957.19782446632</v>
      </c>
      <c r="AS40" s="13" t="n">
        <f aca="false">Deuda_Tributos!AS$26+Deuda_Tributos!AS$40</f>
        <v>9558.92525868966</v>
      </c>
      <c r="AT40" s="13" t="n">
        <f aca="false">Deuda_Tributos!AT$26+Deuda_Tributos!AT$40</f>
        <v>9157.66564866968</v>
      </c>
      <c r="AU40" s="13" t="n">
        <f aca="false">Deuda_Tributos!AU$26+Deuda_Tributos!AU$40</f>
        <v>8753.39659157454</v>
      </c>
      <c r="AV40" s="13" t="n">
        <f aca="false">Deuda_Tributos!AV$26+Deuda_Tributos!AV$40</f>
        <v>8346.09551655119</v>
      </c>
      <c r="AW40" s="13" t="n">
        <f aca="false">Deuda_Tributos!AW$26+Deuda_Tributos!AW$40</f>
        <v>7935.73968346517</v>
      </c>
      <c r="AX40" s="13" t="n">
        <f aca="false">Deuda_Tributos!AX$26+Deuda_Tributos!AX$40</f>
        <v>7522.306181631</v>
      </c>
      <c r="AY40" s="13" t="n">
        <f aca="false">Deuda_Tributos!AY$26+Deuda_Tributos!AY$40</f>
        <v>7105.77192853307</v>
      </c>
      <c r="AZ40" s="13" t="n">
        <f aca="false">Deuda_Tributos!AZ$26+Deuda_Tributos!AZ$40</f>
        <v>6686.11366853691</v>
      </c>
      <c r="BA40" s="13" t="n">
        <f aca="false">Deuda_Tributos!BA$26+Deuda_Tributos!BA$40</f>
        <v>6263.30797159078</v>
      </c>
      <c r="BB40" s="13" t="n">
        <f aca="false">Deuda_Tributos!BB$26+Deuda_Tributos!BB$40</f>
        <v>5837.33123191755</v>
      </c>
      <c r="BC40" s="13" t="n">
        <f aca="false">Deuda_Tributos!BC$26+Deuda_Tributos!BC$40</f>
        <v>5408.15966669678</v>
      </c>
      <c r="BD40" s="13" t="n">
        <f aca="false">Deuda_Tributos!BD$26+Deuda_Tributos!BD$40</f>
        <v>4975.76931473684</v>
      </c>
      <c r="BE40" s="13" t="n">
        <f aca="false">Deuda_Tributos!BE$26+Deuda_Tributos!BE$40</f>
        <v>4540.13603513721</v>
      </c>
      <c r="BF40" s="13" t="n">
        <f aca="false">Deuda_Tributos!BF$26+Deuda_Tributos!BF$40</f>
        <v>4101.23550594058</v>
      </c>
      <c r="BG40" s="13" t="n">
        <f aca="false">Deuda_Tributos!BG$26+Deuda_Tributos!BG$40</f>
        <v>3659.04322277498</v>
      </c>
      <c r="BH40" s="13" t="n">
        <f aca="false">Deuda_Tributos!BH$26+Deuda_Tributos!BH$40</f>
        <v>3213.53449748563</v>
      </c>
      <c r="BI40" s="13" t="n">
        <f aca="false">Deuda_Tributos!BI$26+Deuda_Tributos!BI$40</f>
        <v>2764.68445675662</v>
      </c>
      <c r="BJ40" s="13" t="n">
        <f aca="false">Deuda_Tributos!BJ$26+Deuda_Tributos!BJ$40</f>
        <v>2312.46804072213</v>
      </c>
      <c r="BK40" s="13" t="n">
        <f aca="false">Deuda_Tributos!BK$26+Deuda_Tributos!BK$40</f>
        <v>1856.86000156739</v>
      </c>
      <c r="BL40" s="13" t="n">
        <f aca="false">Deuda_Tributos!BL$26+Deuda_Tributos!BL$40</f>
        <v>1397.83490211899</v>
      </c>
      <c r="BM40" s="13" t="n">
        <f aca="false">Deuda_Tributos!BM$26+Deuda_Tributos!BM$40</f>
        <v>935.367114424723</v>
      </c>
      <c r="BN40" s="13" t="n">
        <f aca="false">Deuda_Tributos!BN$26+Deuda_Tributos!BN$40</f>
        <v>469.43081832275</v>
      </c>
      <c r="BO40" s="13" t="n">
        <f aca="false">Deuda_Tributos!BO$26+Deuda_Tributos!BO$40</f>
        <v>0</v>
      </c>
      <c r="BP40" s="13" t="n">
        <f aca="false">Deuda_Tributos!BP$26+Deuda_Tributos!BP$40</f>
        <v>0</v>
      </c>
      <c r="BQ40" s="13" t="n">
        <f aca="false">Deuda_Tributos!BQ$26+Deuda_Tributos!BQ$40</f>
        <v>0</v>
      </c>
      <c r="BR40" s="13" t="n">
        <f aca="false">Deuda_Tributos!BR$26+Deuda_Tributos!BR$40</f>
        <v>0</v>
      </c>
      <c r="BS40" s="13" t="n">
        <f aca="false">Deuda_Tributos!BS$26+Deuda_Tributos!BS$40</f>
        <v>0</v>
      </c>
      <c r="BT40" s="13" t="n">
        <f aca="false">Deuda_Tributos!BT$26+Deuda_Tributos!BT$40</f>
        <v>0</v>
      </c>
      <c r="BU40" s="13" t="n">
        <f aca="false">Deuda_Tributos!BU$26+Deuda_Tributos!BU$40</f>
        <v>0</v>
      </c>
      <c r="BV40" s="13" t="n">
        <f aca="false">Deuda_Tributos!BV$26+Deuda_Tributos!BV$40</f>
        <v>0</v>
      </c>
      <c r="BW40" s="13" t="n">
        <f aca="false">Deuda_Tributos!BW$26+Deuda_Tributos!BW$40</f>
        <v>0</v>
      </c>
      <c r="BX40" s="13" t="n">
        <f aca="false">Deuda_Tributos!BX$26+Deuda_Tributos!BX$40</f>
        <v>0</v>
      </c>
      <c r="BY40" s="13" t="n">
        <f aca="false">Deuda_Tributos!BY$26+Deuda_Tributos!BY$40</f>
        <v>0</v>
      </c>
      <c r="BZ40" s="13" t="n">
        <f aca="false">Deuda_Tributos!BZ$26+Deuda_Tributos!BZ$40</f>
        <v>0</v>
      </c>
      <c r="CA40" s="13" t="n">
        <f aca="false">Deuda_Tributos!CA$26+Deuda_Tributos!CA$40</f>
        <v>0</v>
      </c>
      <c r="CB40" s="13" t="n">
        <f aca="false">Deuda_Tributos!CB$26+Deuda_Tributos!CB$40</f>
        <v>0</v>
      </c>
      <c r="CC40" s="13" t="n">
        <f aca="false">Deuda_Tributos!CC$26+Deuda_Tributos!CC$40</f>
        <v>0</v>
      </c>
      <c r="CD40" s="13" t="n">
        <f aca="false">Deuda_Tributos!CD$26+Deuda_Tributos!CD$40</f>
        <v>0</v>
      </c>
      <c r="CE40" s="13" t="n">
        <f aca="false">Deuda_Tributos!CE$26+Deuda_Tributos!CE$40</f>
        <v>0</v>
      </c>
      <c r="CF40" s="13" t="n">
        <f aca="false">Deuda_Tributos!CF$26+Deuda_Tributos!CF$40</f>
        <v>0</v>
      </c>
      <c r="CG40" s="13" t="n">
        <f aca="false">Deuda_Tributos!CG$26+Deuda_Tributos!CG$40</f>
        <v>0</v>
      </c>
      <c r="CH40" s="13" t="n">
        <f aca="false">Deuda_Tributos!CH$26+Deuda_Tributos!CH$40</f>
        <v>0</v>
      </c>
      <c r="CI40" s="13" t="n">
        <f aca="false">Deuda_Tributos!CI$26+Deuda_Tributos!CI$40</f>
        <v>0</v>
      </c>
      <c r="CJ40" s="13" t="n">
        <f aca="false">Deuda_Tributos!CJ$26+Deuda_Tributos!CJ$40</f>
        <v>0</v>
      </c>
      <c r="CK40" s="13" t="n">
        <f aca="false">Deuda_Tributos!CK$26+Deuda_Tributos!CK$40</f>
        <v>0</v>
      </c>
      <c r="CL40" s="13" t="n">
        <f aca="false">Deuda_Tributos!CL$26+Deuda_Tributos!CL$40</f>
        <v>0</v>
      </c>
      <c r="CM40" s="13" t="n">
        <f aca="false">Deuda_Tributos!CM$26+Deuda_Tributos!CM$40</f>
        <v>0</v>
      </c>
      <c r="CN40" s="13" t="n">
        <f aca="false">Deuda_Tributos!CN$26+Deuda_Tributos!CN$40</f>
        <v>0</v>
      </c>
      <c r="CO40" s="13" t="n">
        <f aca="false">Deuda_Tributos!CO$26+Deuda_Tributos!CO$40</f>
        <v>0</v>
      </c>
      <c r="CP40" s="13" t="n">
        <f aca="false">Deuda_Tributos!CP$26+Deuda_Tributos!CP$40</f>
        <v>0</v>
      </c>
      <c r="CQ40" s="13" t="n">
        <f aca="false">Deuda_Tributos!CQ$26+Deuda_Tributos!CQ$40</f>
        <v>0</v>
      </c>
      <c r="CR40" s="13" t="n">
        <f aca="false">Deuda_Tributos!CR$26+Deuda_Tributos!CR$40</f>
        <v>0</v>
      </c>
      <c r="CS40" s="13" t="n">
        <f aca="false">Deuda_Tributos!CS$26+Deuda_Tributos!CS$40</f>
        <v>0</v>
      </c>
      <c r="CT40" s="13" t="n">
        <f aca="false">Deuda_Tributos!CT$26+Deuda_Tributos!CT$40</f>
        <v>0</v>
      </c>
      <c r="CU40" s="13" t="n">
        <f aca="false">Deuda_Tributos!CU$26+Deuda_Tributos!CU$40</f>
        <v>0</v>
      </c>
      <c r="CV40" s="13" t="n">
        <f aca="false">Deuda_Tributos!CV$26+Deuda_Tributos!CV$40</f>
        <v>0</v>
      </c>
      <c r="CW40" s="13" t="n">
        <f aca="false">Deuda_Tributos!CW$26+Deuda_Tributos!CW$40</f>
        <v>0</v>
      </c>
      <c r="CX40" s="13" t="n">
        <f aca="false">Deuda_Tributos!CX$26+Deuda_Tributos!CX$40</f>
        <v>0</v>
      </c>
      <c r="CY40" s="13" t="n">
        <f aca="false">Deuda_Tributos!CY$26+Deuda_Tributos!CY$40</f>
        <v>0</v>
      </c>
      <c r="CZ40" s="13" t="n">
        <f aca="false">Deuda_Tributos!CZ$26+Deuda_Tributos!CZ$40</f>
        <v>0</v>
      </c>
      <c r="DA40" s="13" t="n">
        <f aca="false">Deuda_Tributos!DA$26+Deuda_Tributos!DA$40</f>
        <v>0</v>
      </c>
      <c r="DB40" s="13" t="n">
        <f aca="false">Deuda_Tributos!DB$26+Deuda_Tributos!DB$40</f>
        <v>0</v>
      </c>
      <c r="DC40" s="13" t="n">
        <f aca="false">Deuda_Tributos!DC$26+Deuda_Tributos!DC$40</f>
        <v>0</v>
      </c>
      <c r="DD40" s="13" t="n">
        <f aca="false">Deuda_Tributos!DD$26+Deuda_Tributos!DD$40</f>
        <v>0</v>
      </c>
      <c r="DE40" s="13" t="n">
        <f aca="false">Deuda_Tributos!DE$26+Deuda_Tributos!DE$40</f>
        <v>0</v>
      </c>
      <c r="DF40" s="13" t="n">
        <f aca="false">Deuda_Tributos!DF$26+Deuda_Tributos!DF$40</f>
        <v>0</v>
      </c>
      <c r="DG40" s="13" t="n">
        <f aca="false">Deuda_Tributos!DG$26+Deuda_Tributos!DG$40</f>
        <v>0</v>
      </c>
      <c r="DH40" s="13" t="n">
        <f aca="false">Deuda_Tributos!DH$26+Deuda_Tributos!DH$40</f>
        <v>0</v>
      </c>
      <c r="DI40" s="13" t="n">
        <f aca="false">Deuda_Tributos!DI$26+Deuda_Tributos!DI$40</f>
        <v>0</v>
      </c>
      <c r="DJ40" s="13" t="n">
        <f aca="false">Deuda_Tributos!DJ$26+Deuda_Tributos!DJ$40</f>
        <v>0</v>
      </c>
      <c r="DK40" s="13" t="n">
        <f aca="false">Deuda_Tributos!DK$26+Deuda_Tributos!DK$40</f>
        <v>0</v>
      </c>
      <c r="DL40" s="13" t="n">
        <f aca="false">Deuda_Tributos!DL$26+Deuda_Tributos!DL$40</f>
        <v>0</v>
      </c>
      <c r="DM40" s="13" t="n">
        <f aca="false">Deuda_Tributos!DM$26+Deuda_Tributos!DM$40</f>
        <v>0</v>
      </c>
      <c r="DN40" s="13" t="n">
        <f aca="false">Deuda_Tributos!DN$26+Deuda_Tributos!DN$40</f>
        <v>0</v>
      </c>
      <c r="DO40" s="13" t="n">
        <f aca="false">Deuda_Tributos!DO$26+Deuda_Tributos!DO$40</f>
        <v>0</v>
      </c>
      <c r="DP40" s="13" t="n">
        <f aca="false">Deuda_Tributos!DP$26+Deuda_Tributos!DP$40</f>
        <v>0</v>
      </c>
      <c r="DQ40" s="13" t="n">
        <f aca="false">Deuda_Tributos!DQ$26+Deuda_Tributos!DQ$40</f>
        <v>0</v>
      </c>
      <c r="DR40" s="13" t="n">
        <f aca="false">Deuda_Tributos!DR$26+Deuda_Tributos!DR$40</f>
        <v>0</v>
      </c>
      <c r="DS40" s="13" t="n">
        <f aca="false">Deuda_Tributos!DS$26+Deuda_Tributos!DS$40</f>
        <v>0</v>
      </c>
      <c r="DT40" s="13" t="n">
        <f aca="false">Deuda_Tributos!DT$26+Deuda_Tributos!DT$40</f>
        <v>0</v>
      </c>
      <c r="DU40" s="13" t="n">
        <f aca="false">Deuda_Tributos!DU$26+Deuda_Tributos!DU$40</f>
        <v>0</v>
      </c>
      <c r="DV40" s="13" t="n">
        <f aca="false">Deuda_Tributos!DV$26+Deuda_Tributos!DV$40</f>
        <v>0</v>
      </c>
      <c r="DW40" s="13" t="n">
        <f aca="false">Deuda_Tributos!DW$26+Deuda_Tributos!DW$40</f>
        <v>0</v>
      </c>
      <c r="DX40" s="13" t="n">
        <f aca="false">Deuda_Tributos!DX$26+Deuda_Tributos!DX$40</f>
        <v>0</v>
      </c>
      <c r="DY40" s="13" t="n">
        <f aca="false">Deuda_Tributos!DY$26+Deuda_Tributos!DY$40</f>
        <v>0</v>
      </c>
      <c r="DZ40" s="13" t="n">
        <f aca="false">Deuda_Tributos!DZ$26+Deuda_Tributos!DZ$40</f>
        <v>0</v>
      </c>
      <c r="EA40" s="13" t="n">
        <f aca="false">Deuda_Tributos!EA$26+Deuda_Tributos!EA$40</f>
        <v>0</v>
      </c>
      <c r="EB40" s="13" t="n">
        <f aca="false">Deuda_Tributos!EB$26+Deuda_Tributos!EB$40</f>
        <v>0</v>
      </c>
      <c r="EC40" s="13" t="n">
        <f aca="false">Deuda_Tributos!EC$26+Deuda_Tributos!EC$40</f>
        <v>0</v>
      </c>
      <c r="ED40" s="13" t="n">
        <f aca="false">Deuda_Tributos!ED$26+Deuda_Tributos!ED$40</f>
        <v>0</v>
      </c>
      <c r="EE40" s="13" t="n">
        <f aca="false">Deuda_Tributos!EE$26+Deuda_Tributos!EE$40</f>
        <v>0</v>
      </c>
      <c r="EF40" s="13" t="n">
        <f aca="false">Deuda_Tributos!EF$26+Deuda_Tributos!EF$40</f>
        <v>0</v>
      </c>
      <c r="EG40" s="13" t="n">
        <f aca="false">Deuda_Tributos!EG$26+Deuda_Tributos!EG$40</f>
        <v>0</v>
      </c>
      <c r="EH40" s="13" t="n">
        <f aca="false">Deuda_Tributos!EH$26+Deuda_Tributos!EH$40</f>
        <v>0</v>
      </c>
      <c r="EI40" s="13" t="n">
        <f aca="false">Deuda_Tributos!EI$26+Deuda_Tributos!EI$40</f>
        <v>0</v>
      </c>
      <c r="EJ40" s="13" t="n">
        <f aca="false">Deuda_Tributos!EJ$26+Deuda_Tributos!EJ$40</f>
        <v>0</v>
      </c>
      <c r="EK40" s="13" t="n">
        <f aca="false">Deuda_Tributos!EK$26+Deuda_Tributos!EK$40</f>
        <v>0</v>
      </c>
      <c r="EL40" s="13" t="n">
        <f aca="false">Deuda_Tributos!EL$26+Deuda_Tributos!EL$40</f>
        <v>0</v>
      </c>
      <c r="EM40" s="13" t="n">
        <f aca="false">Deuda_Tributos!EM$26+Deuda_Tributos!EM$40</f>
        <v>0</v>
      </c>
      <c r="EN40" s="13" t="n">
        <f aca="false">Deuda_Tributos!EN$26+Deuda_Tributos!EN$40</f>
        <v>0</v>
      </c>
      <c r="EO40" s="13" t="n">
        <f aca="false">Deuda_Tributos!EO$26+Deuda_Tributos!EO$40</f>
        <v>0</v>
      </c>
      <c r="EP40" s="13" t="n">
        <f aca="false">Deuda_Tributos!EP$26+Deuda_Tributos!EP$40</f>
        <v>0</v>
      </c>
      <c r="EQ40" s="13" t="n">
        <f aca="false">Deuda_Tributos!EQ$26+Deuda_Tributos!EQ$40</f>
        <v>0</v>
      </c>
      <c r="ER40" s="13" t="n">
        <f aca="false">Deuda_Tributos!ER$26+Deuda_Tributos!ER$40</f>
        <v>0</v>
      </c>
      <c r="ES40" s="13" t="n">
        <f aca="false">Deuda_Tributos!ES$26+Deuda_Tributos!ES$40</f>
        <v>0</v>
      </c>
      <c r="ET40" s="13" t="n">
        <f aca="false">Deuda_Tributos!ET$26+Deuda_Tributos!ET$40</f>
        <v>0</v>
      </c>
      <c r="EU40" s="13" t="n">
        <f aca="false">Deuda_Tributos!EU$26+Deuda_Tributos!EU$40</f>
        <v>0</v>
      </c>
      <c r="EV40" s="13" t="n">
        <f aca="false">Deuda_Tributos!EV$26+Deuda_Tributos!EV$40</f>
        <v>0</v>
      </c>
      <c r="EW40" s="13" t="n">
        <f aca="false">Deuda_Tributos!EW$26+Deuda_Tributos!EW$40</f>
        <v>0</v>
      </c>
      <c r="EX40" s="13" t="n">
        <f aca="false">Deuda_Tributos!EX$26+Deuda_Tributos!EX$40</f>
        <v>0</v>
      </c>
      <c r="EY40" s="13" t="n">
        <f aca="false">Deuda_Tributos!EY$26+Deuda_Tributos!EY$40</f>
        <v>0</v>
      </c>
      <c r="EZ40" s="13" t="n">
        <f aca="false">Deuda_Tributos!EZ$26+Deuda_Tributos!EZ$40</f>
        <v>0</v>
      </c>
      <c r="FA40" s="13" t="n">
        <f aca="false">Deuda_Tributos!FA$26+Deuda_Tributos!FA$40</f>
        <v>0</v>
      </c>
      <c r="FB40" s="13" t="n">
        <f aca="false">Deuda_Tributos!FB$26+Deuda_Tributos!FB$40</f>
        <v>0</v>
      </c>
      <c r="FC40" s="13" t="n">
        <f aca="false">Deuda_Tributos!FC$26+Deuda_Tributos!FC$40</f>
        <v>0</v>
      </c>
      <c r="FD40" s="13" t="n">
        <f aca="false">Deuda_Tributos!FD$26+Deuda_Tributos!FD$40</f>
        <v>0</v>
      </c>
      <c r="FE40" s="13" t="n">
        <f aca="false">Deuda_Tributos!FE$26+Deuda_Tributos!FE$40</f>
        <v>0</v>
      </c>
      <c r="FF40" s="13" t="n">
        <f aca="false">Deuda_Tributos!FF$26+Deuda_Tributos!FF$40</f>
        <v>0</v>
      </c>
    </row>
    <row r="41" customFormat="false" ht="15" hidden="false" customHeight="false" outlineLevel="0" collapsed="false">
      <c r="A41" s="2" t="s">
        <v>1499</v>
      </c>
      <c r="B41" s="8" t="s">
        <v>1500</v>
      </c>
      <c r="C41" s="8" t="s">
        <v>255</v>
      </c>
      <c r="E41" s="65" t="n">
        <f aca="false">SUM($F41:$FF41)</f>
        <v>0</v>
      </c>
      <c r="F41" s="13" t="n">
        <f aca="false">F$71</f>
        <v>0</v>
      </c>
      <c r="G41" s="13" t="n">
        <f aca="false">G$71</f>
        <v>0</v>
      </c>
      <c r="H41" s="13" t="n">
        <f aca="false">H$71</f>
        <v>0</v>
      </c>
      <c r="I41" s="13" t="n">
        <f aca="false">I$71</f>
        <v>0</v>
      </c>
      <c r="J41" s="13" t="n">
        <f aca="false">J$71</f>
        <v>0</v>
      </c>
      <c r="K41" s="13" t="n">
        <f aca="false">K$71</f>
        <v>0</v>
      </c>
      <c r="L41" s="13" t="n">
        <f aca="false">L$71</f>
        <v>0</v>
      </c>
      <c r="M41" s="13" t="n">
        <f aca="false">M$71</f>
        <v>0</v>
      </c>
      <c r="N41" s="13" t="n">
        <f aca="false">N$71</f>
        <v>0</v>
      </c>
      <c r="O41" s="13" t="n">
        <f aca="false">O$71</f>
        <v>0</v>
      </c>
      <c r="P41" s="13" t="n">
        <f aca="false">P$71</f>
        <v>0</v>
      </c>
      <c r="Q41" s="13" t="n">
        <f aca="false">Q$71</f>
        <v>0</v>
      </c>
      <c r="R41" s="13" t="n">
        <f aca="false">R$71</f>
        <v>0</v>
      </c>
      <c r="S41" s="13" t="n">
        <f aca="false">S$71</f>
        <v>0</v>
      </c>
      <c r="T41" s="13" t="n">
        <f aca="false">T$71</f>
        <v>0</v>
      </c>
      <c r="U41" s="13" t="n">
        <f aca="false">U$71</f>
        <v>0</v>
      </c>
      <c r="V41" s="13" t="n">
        <f aca="false">V$71</f>
        <v>0</v>
      </c>
      <c r="W41" s="13" t="n">
        <f aca="false">W$71</f>
        <v>0</v>
      </c>
      <c r="X41" s="13" t="n">
        <f aca="false">X$71</f>
        <v>0</v>
      </c>
      <c r="Y41" s="13" t="n">
        <f aca="false">Y$71</f>
        <v>0</v>
      </c>
      <c r="Z41" s="13" t="n">
        <f aca="false">Z$71</f>
        <v>0</v>
      </c>
      <c r="AA41" s="13" t="n">
        <f aca="false">AA$71</f>
        <v>0</v>
      </c>
      <c r="AB41" s="13" t="n">
        <f aca="false">AB$71</f>
        <v>0</v>
      </c>
      <c r="AC41" s="13" t="n">
        <f aca="false">AC$71</f>
        <v>0</v>
      </c>
      <c r="AD41" s="13" t="n">
        <f aca="false">AD$71</f>
        <v>0</v>
      </c>
      <c r="AE41" s="13" t="n">
        <f aca="false">AE$71</f>
        <v>0</v>
      </c>
      <c r="AF41" s="13" t="n">
        <f aca="false">AF$71</f>
        <v>0</v>
      </c>
      <c r="AG41" s="13" t="n">
        <f aca="false">AG$71</f>
        <v>0</v>
      </c>
      <c r="AH41" s="13" t="n">
        <f aca="false">AH$71</f>
        <v>0</v>
      </c>
      <c r="AI41" s="13" t="n">
        <f aca="false">AI$71</f>
        <v>0</v>
      </c>
      <c r="AJ41" s="13" t="n">
        <f aca="false">AJ$71</f>
        <v>0</v>
      </c>
      <c r="AK41" s="13" t="n">
        <f aca="false">AK$71</f>
        <v>0</v>
      </c>
      <c r="AL41" s="13" t="n">
        <f aca="false">AL$71</f>
        <v>0</v>
      </c>
      <c r="AM41" s="13" t="n">
        <f aca="false">AM$71</f>
        <v>0</v>
      </c>
      <c r="AN41" s="13" t="n">
        <f aca="false">AN$71</f>
        <v>0</v>
      </c>
      <c r="AO41" s="13" t="n">
        <f aca="false">AO$71</f>
        <v>0</v>
      </c>
      <c r="AP41" s="13" t="n">
        <f aca="false">AP$71</f>
        <v>0</v>
      </c>
      <c r="AQ41" s="13" t="n">
        <f aca="false">AQ$71</f>
        <v>0</v>
      </c>
      <c r="AR41" s="13" t="n">
        <f aca="false">AR$71</f>
        <v>0</v>
      </c>
      <c r="AS41" s="13" t="n">
        <f aca="false">AS$71</f>
        <v>0</v>
      </c>
      <c r="AT41" s="13" t="n">
        <f aca="false">AT$71</f>
        <v>0</v>
      </c>
      <c r="AU41" s="13" t="n">
        <f aca="false">AU$71</f>
        <v>0</v>
      </c>
      <c r="AV41" s="13" t="n">
        <f aca="false">AV$71</f>
        <v>0</v>
      </c>
      <c r="AW41" s="13" t="n">
        <f aca="false">AW$71</f>
        <v>0</v>
      </c>
      <c r="AX41" s="13" t="n">
        <f aca="false">AX$71</f>
        <v>0</v>
      </c>
      <c r="AY41" s="13" t="n">
        <f aca="false">AY$71</f>
        <v>0</v>
      </c>
      <c r="AZ41" s="13" t="n">
        <f aca="false">AZ$71</f>
        <v>0</v>
      </c>
      <c r="BA41" s="13" t="n">
        <f aca="false">BA$71</f>
        <v>0</v>
      </c>
      <c r="BB41" s="13" t="n">
        <f aca="false">BB$71</f>
        <v>0</v>
      </c>
      <c r="BC41" s="13" t="n">
        <f aca="false">BC$71</f>
        <v>0</v>
      </c>
      <c r="BD41" s="13" t="n">
        <f aca="false">BD$71</f>
        <v>0</v>
      </c>
      <c r="BE41" s="13" t="n">
        <f aca="false">BE$71</f>
        <v>0</v>
      </c>
      <c r="BF41" s="13" t="n">
        <f aca="false">BF$71</f>
        <v>0</v>
      </c>
      <c r="BG41" s="13" t="n">
        <f aca="false">BG$71</f>
        <v>0</v>
      </c>
      <c r="BH41" s="13" t="n">
        <f aca="false">BH$71</f>
        <v>0</v>
      </c>
      <c r="BI41" s="13" t="n">
        <f aca="false">BI$71</f>
        <v>0</v>
      </c>
      <c r="BJ41" s="13" t="n">
        <f aca="false">BJ$71</f>
        <v>0</v>
      </c>
      <c r="BK41" s="13" t="n">
        <f aca="false">BK$71</f>
        <v>0</v>
      </c>
      <c r="BL41" s="13" t="n">
        <f aca="false">BL$71</f>
        <v>0</v>
      </c>
      <c r="BM41" s="13" t="n">
        <f aca="false">BM$71</f>
        <v>0</v>
      </c>
      <c r="BN41" s="13" t="n">
        <f aca="false">BN$71</f>
        <v>0</v>
      </c>
      <c r="BO41" s="13" t="n">
        <f aca="false">BO$71</f>
        <v>0</v>
      </c>
      <c r="BP41" s="13" t="n">
        <f aca="false">BP$71</f>
        <v>0</v>
      </c>
      <c r="BQ41" s="13" t="n">
        <f aca="false">BQ$71</f>
        <v>0</v>
      </c>
      <c r="BR41" s="13" t="n">
        <f aca="false">BR$71</f>
        <v>0</v>
      </c>
      <c r="BS41" s="13" t="n">
        <f aca="false">BS$71</f>
        <v>0</v>
      </c>
      <c r="BT41" s="13" t="n">
        <f aca="false">BT$71</f>
        <v>0</v>
      </c>
      <c r="BU41" s="13" t="n">
        <f aca="false">BU$71</f>
        <v>0</v>
      </c>
      <c r="BV41" s="13" t="n">
        <f aca="false">BV$71</f>
        <v>0</v>
      </c>
      <c r="BW41" s="13" t="n">
        <f aca="false">BW$71</f>
        <v>0</v>
      </c>
      <c r="BX41" s="13" t="n">
        <f aca="false">BX$71</f>
        <v>0</v>
      </c>
      <c r="BY41" s="13" t="n">
        <f aca="false">BY$71</f>
        <v>0</v>
      </c>
      <c r="BZ41" s="13" t="n">
        <f aca="false">BZ$71</f>
        <v>0</v>
      </c>
      <c r="CA41" s="13" t="n">
        <f aca="false">CA$71</f>
        <v>0</v>
      </c>
      <c r="CB41" s="13" t="n">
        <f aca="false">CB$71</f>
        <v>0</v>
      </c>
      <c r="CC41" s="13" t="n">
        <f aca="false">CC$71</f>
        <v>0</v>
      </c>
      <c r="CD41" s="13" t="n">
        <f aca="false">CD$71</f>
        <v>0</v>
      </c>
      <c r="CE41" s="13" t="n">
        <f aca="false">CE$71</f>
        <v>0</v>
      </c>
      <c r="CF41" s="13" t="n">
        <f aca="false">CF$71</f>
        <v>0</v>
      </c>
      <c r="CG41" s="13" t="n">
        <f aca="false">CG$71</f>
        <v>0</v>
      </c>
      <c r="CH41" s="13" t="n">
        <f aca="false">CH$71</f>
        <v>0</v>
      </c>
      <c r="CI41" s="13" t="n">
        <f aca="false">CI$71</f>
        <v>0</v>
      </c>
      <c r="CJ41" s="13" t="n">
        <f aca="false">CJ$71</f>
        <v>0</v>
      </c>
      <c r="CK41" s="13" t="n">
        <f aca="false">CK$71</f>
        <v>0</v>
      </c>
      <c r="CL41" s="13" t="n">
        <f aca="false">CL$71</f>
        <v>0</v>
      </c>
      <c r="CM41" s="13" t="n">
        <f aca="false">CM$71</f>
        <v>0</v>
      </c>
      <c r="CN41" s="13" t="n">
        <f aca="false">CN$71</f>
        <v>0</v>
      </c>
      <c r="CO41" s="13" t="n">
        <f aca="false">CO$71</f>
        <v>0</v>
      </c>
      <c r="CP41" s="13" t="n">
        <f aca="false">CP$71</f>
        <v>0</v>
      </c>
      <c r="CQ41" s="13" t="n">
        <f aca="false">CQ$71</f>
        <v>0</v>
      </c>
      <c r="CR41" s="13" t="n">
        <f aca="false">CR$71</f>
        <v>0</v>
      </c>
      <c r="CS41" s="13" t="n">
        <f aca="false">CS$71</f>
        <v>0</v>
      </c>
      <c r="CT41" s="13" t="n">
        <f aca="false">CT$71</f>
        <v>0</v>
      </c>
      <c r="CU41" s="13" t="n">
        <f aca="false">CU$71</f>
        <v>0</v>
      </c>
      <c r="CV41" s="13" t="n">
        <f aca="false">CV$71</f>
        <v>0</v>
      </c>
      <c r="CW41" s="13" t="n">
        <f aca="false">CW$71</f>
        <v>0</v>
      </c>
      <c r="CX41" s="13" t="n">
        <f aca="false">CX$71</f>
        <v>0</v>
      </c>
      <c r="CY41" s="13" t="n">
        <f aca="false">CY$71</f>
        <v>0</v>
      </c>
      <c r="CZ41" s="13" t="n">
        <f aca="false">CZ$71</f>
        <v>0</v>
      </c>
      <c r="DA41" s="13" t="n">
        <f aca="false">DA$71</f>
        <v>0</v>
      </c>
      <c r="DB41" s="13" t="n">
        <f aca="false">DB$71</f>
        <v>0</v>
      </c>
      <c r="DC41" s="13" t="n">
        <f aca="false">DC$71</f>
        <v>0</v>
      </c>
      <c r="DD41" s="13" t="n">
        <f aca="false">DD$71</f>
        <v>0</v>
      </c>
      <c r="DE41" s="13" t="n">
        <f aca="false">DE$71</f>
        <v>0</v>
      </c>
      <c r="DF41" s="13" t="n">
        <f aca="false">DF$71</f>
        <v>0</v>
      </c>
      <c r="DG41" s="13" t="n">
        <f aca="false">DG$71</f>
        <v>0</v>
      </c>
      <c r="DH41" s="13" t="n">
        <f aca="false">DH$71</f>
        <v>0</v>
      </c>
      <c r="DI41" s="13" t="n">
        <f aca="false">DI$71</f>
        <v>0</v>
      </c>
      <c r="DJ41" s="13" t="n">
        <f aca="false">DJ$71</f>
        <v>0</v>
      </c>
      <c r="DK41" s="13" t="n">
        <f aca="false">DK$71</f>
        <v>0</v>
      </c>
      <c r="DL41" s="13" t="n">
        <f aca="false">DL$71</f>
        <v>0</v>
      </c>
      <c r="DM41" s="13" t="n">
        <f aca="false">DM$71</f>
        <v>0</v>
      </c>
      <c r="DN41" s="13" t="n">
        <f aca="false">DN$71</f>
        <v>0</v>
      </c>
      <c r="DO41" s="13" t="n">
        <f aca="false">DO$71</f>
        <v>0</v>
      </c>
      <c r="DP41" s="13" t="n">
        <f aca="false">DP$71</f>
        <v>0</v>
      </c>
      <c r="DQ41" s="13" t="n">
        <f aca="false">DQ$71</f>
        <v>0</v>
      </c>
      <c r="DR41" s="13" t="n">
        <f aca="false">DR$71</f>
        <v>0</v>
      </c>
      <c r="DS41" s="13" t="n">
        <f aca="false">DS$71</f>
        <v>0</v>
      </c>
      <c r="DT41" s="13" t="n">
        <f aca="false">DT$71</f>
        <v>0</v>
      </c>
      <c r="DU41" s="13" t="n">
        <f aca="false">DU$71</f>
        <v>0</v>
      </c>
      <c r="DV41" s="13" t="n">
        <f aca="false">DV$71</f>
        <v>0</v>
      </c>
      <c r="DW41" s="13" t="n">
        <f aca="false">DW$71</f>
        <v>0</v>
      </c>
      <c r="DX41" s="13" t="n">
        <f aca="false">DX$71</f>
        <v>0</v>
      </c>
      <c r="DY41" s="13" t="n">
        <f aca="false">DY$71</f>
        <v>0</v>
      </c>
      <c r="DZ41" s="13" t="n">
        <f aca="false">DZ$71</f>
        <v>0</v>
      </c>
      <c r="EA41" s="13" t="n">
        <f aca="false">EA$71</f>
        <v>0</v>
      </c>
      <c r="EB41" s="13" t="n">
        <f aca="false">EB$71</f>
        <v>0</v>
      </c>
      <c r="EC41" s="13" t="n">
        <f aca="false">EC$71</f>
        <v>0</v>
      </c>
      <c r="ED41" s="13" t="n">
        <f aca="false">ED$71</f>
        <v>0</v>
      </c>
      <c r="EE41" s="13" t="n">
        <f aca="false">EE$71</f>
        <v>0</v>
      </c>
      <c r="EF41" s="13" t="n">
        <f aca="false">EF$71</f>
        <v>0</v>
      </c>
      <c r="EG41" s="13" t="n">
        <f aca="false">EG$71</f>
        <v>0</v>
      </c>
      <c r="EH41" s="13" t="n">
        <f aca="false">EH$71</f>
        <v>0</v>
      </c>
      <c r="EI41" s="13" t="n">
        <f aca="false">EI$71</f>
        <v>0</v>
      </c>
      <c r="EJ41" s="13" t="n">
        <f aca="false">EJ$71</f>
        <v>0</v>
      </c>
      <c r="EK41" s="13" t="n">
        <f aca="false">EK$71</f>
        <v>0</v>
      </c>
      <c r="EL41" s="13" t="n">
        <f aca="false">EL$71</f>
        <v>0</v>
      </c>
      <c r="EM41" s="13" t="n">
        <f aca="false">EM$71</f>
        <v>0</v>
      </c>
      <c r="EN41" s="13" t="n">
        <f aca="false">EN$71</f>
        <v>0</v>
      </c>
      <c r="EO41" s="13" t="n">
        <f aca="false">EO$71</f>
        <v>0</v>
      </c>
      <c r="EP41" s="13" t="n">
        <f aca="false">EP$71</f>
        <v>0</v>
      </c>
      <c r="EQ41" s="13" t="n">
        <f aca="false">EQ$71</f>
        <v>0</v>
      </c>
      <c r="ER41" s="13" t="n">
        <f aca="false">ER$71</f>
        <v>0</v>
      </c>
      <c r="ES41" s="13" t="n">
        <f aca="false">ES$71</f>
        <v>0</v>
      </c>
      <c r="ET41" s="13" t="n">
        <f aca="false">ET$71</f>
        <v>0</v>
      </c>
      <c r="EU41" s="13" t="n">
        <f aca="false">EU$71</f>
        <v>0</v>
      </c>
      <c r="EV41" s="13" t="n">
        <f aca="false">EV$71</f>
        <v>0</v>
      </c>
      <c r="EW41" s="13" t="n">
        <f aca="false">EW$71</f>
        <v>0</v>
      </c>
      <c r="EX41" s="13" t="n">
        <f aca="false">EX$71</f>
        <v>0</v>
      </c>
      <c r="EY41" s="13" t="n">
        <f aca="false">EY$71</f>
        <v>0</v>
      </c>
      <c r="EZ41" s="13" t="n">
        <f aca="false">EZ$71</f>
        <v>0</v>
      </c>
      <c r="FA41" s="13" t="n">
        <f aca="false">FA$71</f>
        <v>0</v>
      </c>
      <c r="FB41" s="13" t="n">
        <f aca="false">FB$71</f>
        <v>0</v>
      </c>
      <c r="FC41" s="13" t="n">
        <f aca="false">FC$71</f>
        <v>0</v>
      </c>
      <c r="FD41" s="13" t="n">
        <f aca="false">FD$71</f>
        <v>0</v>
      </c>
      <c r="FE41" s="13" t="n">
        <f aca="false">FE$71</f>
        <v>0</v>
      </c>
      <c r="FF41" s="13" t="n">
        <f aca="false">FF$71</f>
        <v>0</v>
      </c>
    </row>
    <row r="42" customFormat="false" ht="15" hidden="false" customHeight="false" outlineLevel="0" collapsed="false">
      <c r="A42" s="2" t="s">
        <v>1501</v>
      </c>
      <c r="B42" s="8" t="s">
        <v>1502</v>
      </c>
      <c r="C42" s="8" t="s">
        <v>255</v>
      </c>
      <c r="E42" s="65" t="n">
        <f aca="false">SUM($F42:$FF42)</f>
        <v>73928.557111314</v>
      </c>
      <c r="F42" s="13" t="n">
        <f aca="false">Deuda_Tributos!F$28+Deuda_Tributos!F$42+F$72</f>
        <v>0</v>
      </c>
      <c r="G42" s="13" t="n">
        <f aca="false">Deuda_Tributos!G$28+Deuda_Tributos!G$42+G$72</f>
        <v>2093.69025</v>
      </c>
      <c r="H42" s="13" t="n">
        <f aca="false">Deuda_Tributos!H$28+Deuda_Tributos!H$42+H$72</f>
        <v>2093.69025</v>
      </c>
      <c r="I42" s="13" t="n">
        <f aca="false">Deuda_Tributos!I$28+Deuda_Tributos!I$42+I$72</f>
        <v>2093.69025</v>
      </c>
      <c r="J42" s="13" t="n">
        <f aca="false">Deuda_Tributos!J$28+Deuda_Tributos!J$42+J$72</f>
        <v>2093.69025</v>
      </c>
      <c r="K42" s="13" t="n">
        <f aca="false">Deuda_Tributos!K$28+Deuda_Tributos!K$42+K$72</f>
        <v>2093.69025</v>
      </c>
      <c r="L42" s="13" t="n">
        <f aca="false">Deuda_Tributos!L$28+Deuda_Tributos!L$42+L$72</f>
        <v>2093.69025</v>
      </c>
      <c r="M42" s="13" t="n">
        <f aca="false">Deuda_Tributos!M$28+Deuda_Tributos!M$42+M$72</f>
        <v>2093.69025</v>
      </c>
      <c r="N42" s="13" t="n">
        <f aca="false">Deuda_Tributos!N$28+Deuda_Tributos!N$42+N$72</f>
        <v>2062.09777192898</v>
      </c>
      <c r="O42" s="13" t="n">
        <f aca="false">Deuda_Tributos!O$28+Deuda_Tributos!O$42+O$72</f>
        <v>2030.26835027244</v>
      </c>
      <c r="P42" s="13" t="n">
        <f aca="false">Deuda_Tributos!P$28+Deuda_Tributos!P$42+P$72</f>
        <v>1998.20020795346</v>
      </c>
      <c r="Q42" s="13" t="n">
        <f aca="false">Deuda_Tributos!Q$28+Deuda_Tributos!Q$42+Q$72</f>
        <v>1965.8915545671</v>
      </c>
      <c r="R42" s="13" t="n">
        <f aca="false">Deuda_Tributos!R$28+Deuda_Tributos!R$42+R$72</f>
        <v>1933.34058628034</v>
      </c>
      <c r="S42" s="13" t="n">
        <f aca="false">Deuda_Tributos!S$28+Deuda_Tributos!S$42+S$72</f>
        <v>1900.54548573142</v>
      </c>
      <c r="T42" s="13" t="n">
        <f aca="false">Deuda_Tributos!T$28+Deuda_Tributos!T$42+T$72</f>
        <v>1867.50442192839</v>
      </c>
      <c r="U42" s="13" t="n">
        <f aca="false">Deuda_Tributos!U$28+Deuda_Tributos!U$42+U$72</f>
        <v>1834.21555014684</v>
      </c>
      <c r="V42" s="13" t="n">
        <f aca="false">Deuda_Tributos!V$28+Deuda_Tributos!V$42+V$72</f>
        <v>1800.67701182693</v>
      </c>
      <c r="W42" s="13" t="n">
        <f aca="false">Deuda_Tributos!W$28+Deuda_Tributos!W$42+W$72</f>
        <v>1766.88693446961</v>
      </c>
      <c r="X42" s="13" t="n">
        <f aca="false">Deuda_Tributos!X$28+Deuda_Tributos!X$42+X$72</f>
        <v>1732.84343153212</v>
      </c>
      <c r="Y42" s="13" t="n">
        <f aca="false">Deuda_Tributos!Y$28+Deuda_Tributos!Y$42+Y$72</f>
        <v>1698.54460232259</v>
      </c>
      <c r="Z42" s="13" t="n">
        <f aca="false">Deuda_Tributos!Z$28+Deuda_Tributos!Z$42+Z$72</f>
        <v>1663.988531894</v>
      </c>
      <c r="AA42" s="13" t="n">
        <f aca="false">Deuda_Tributos!AA$28+Deuda_Tributos!AA$42+AA$72</f>
        <v>1629.17329093719</v>
      </c>
      <c r="AB42" s="13" t="n">
        <f aca="false">Deuda_Tributos!AB$28+Deuda_Tributos!AB$42+AB$72</f>
        <v>1594.0969356732</v>
      </c>
      <c r="AC42" s="13" t="n">
        <f aca="false">Deuda_Tributos!AC$28+Deuda_Tributos!AC$42+AC$72</f>
        <v>1558.75750774473</v>
      </c>
      <c r="AD42" s="13" t="n">
        <f aca="false">Deuda_Tributos!AD$28+Deuda_Tributos!AD$42+AD$72</f>
        <v>1523.1530341068</v>
      </c>
      <c r="AE42" s="13" t="n">
        <f aca="false">Deuda_Tributos!AE$28+Deuda_Tributos!AE$42+AE$72</f>
        <v>1487.28152691659</v>
      </c>
      <c r="AF42" s="13" t="n">
        <f aca="false">Deuda_Tributos!AF$28+Deuda_Tributos!AF$42+AF$72</f>
        <v>1451.14098342245</v>
      </c>
      <c r="AG42" s="13" t="n">
        <f aca="false">Deuda_Tributos!AG$28+Deuda_Tributos!AG$42+AG$72</f>
        <v>1414.7293858521</v>
      </c>
      <c r="AH42" s="13" t="n">
        <f aca="false">Deuda_Tributos!AH$28+Deuda_Tributos!AH$42+AH$72</f>
        <v>1378.04470129997</v>
      </c>
      <c r="AI42" s="13" t="n">
        <f aca="false">Deuda_Tributos!AI$28+Deuda_Tributos!AI$42+AI$72</f>
        <v>1341.08488161371</v>
      </c>
      <c r="AJ42" s="13" t="n">
        <f aca="false">Deuda_Tributos!AJ$28+Deuda_Tributos!AJ$42+AJ$72</f>
        <v>1303.84786327979</v>
      </c>
      <c r="AK42" s="13" t="n">
        <f aca="false">Deuda_Tributos!AK$28+Deuda_Tributos!AK$42+AK$72</f>
        <v>1266.33156730838</v>
      </c>
      <c r="AL42" s="13" t="n">
        <f aca="false">Deuda_Tributos!AL$28+Deuda_Tributos!AL$42+AL$72</f>
        <v>1228.53389911717</v>
      </c>
      <c r="AM42" s="13" t="n">
        <f aca="false">Deuda_Tributos!AM$28+Deuda_Tributos!AM$42+AM$72</f>
        <v>1190.45274841454</v>
      </c>
      <c r="AN42" s="13" t="n">
        <f aca="false">Deuda_Tributos!AN$28+Deuda_Tributos!AN$42+AN$72</f>
        <v>1152.08598908163</v>
      </c>
      <c r="AO42" s="13" t="n">
        <f aca="false">Deuda_Tributos!AO$28+Deuda_Tributos!AO$42+AO$72</f>
        <v>1113.43147905373</v>
      </c>
      <c r="AP42" s="13" t="n">
        <f aca="false">Deuda_Tributos!AP$28+Deuda_Tributos!AP$42+AP$72</f>
        <v>1074.48706020061</v>
      </c>
      <c r="AQ42" s="13" t="n">
        <f aca="false">Deuda_Tributos!AQ$28+Deuda_Tributos!AQ$42+AQ$72</f>
        <v>1035.2505582061</v>
      </c>
      <c r="AR42" s="13" t="n">
        <f aca="false">Deuda_Tributos!AR$28+Deuda_Tributos!AR$42+AR$72</f>
        <v>995.719782446632</v>
      </c>
      <c r="AS42" s="13" t="n">
        <f aca="false">Deuda_Tributos!AS$28+Deuda_Tributos!AS$42+AS$72</f>
        <v>955.892525868966</v>
      </c>
      <c r="AT42" s="13" t="n">
        <f aca="false">Deuda_Tributos!AT$28+Deuda_Tributos!AT$42+AT$72</f>
        <v>915.766564866968</v>
      </c>
      <c r="AU42" s="13" t="n">
        <f aca="false">Deuda_Tributos!AU$28+Deuda_Tributos!AU$42+AU$72</f>
        <v>875.339659157454</v>
      </c>
      <c r="AV42" s="13" t="n">
        <f aca="false">Deuda_Tributos!AV$28+Deuda_Tributos!AV$42+AV$72</f>
        <v>834.609551655119</v>
      </c>
      <c r="AW42" s="13" t="n">
        <f aca="false">Deuda_Tributos!AW$28+Deuda_Tributos!AW$42+AW$72</f>
        <v>793.573968346517</v>
      </c>
      <c r="AX42" s="13" t="n">
        <f aca="false">Deuda_Tributos!AX$28+Deuda_Tributos!AX$42+AX$72</f>
        <v>752.2306181631</v>
      </c>
      <c r="AY42" s="13" t="n">
        <f aca="false">Deuda_Tributos!AY$28+Deuda_Tributos!AY$42+AY$72</f>
        <v>710.577192853307</v>
      </c>
      <c r="AZ42" s="13" t="n">
        <f aca="false">Deuda_Tributos!AZ$28+Deuda_Tributos!AZ$42+AZ$72</f>
        <v>668.611366853691</v>
      </c>
      <c r="BA42" s="13" t="n">
        <f aca="false">Deuda_Tributos!BA$28+Deuda_Tributos!BA$42+BA$72</f>
        <v>626.330797159078</v>
      </c>
      <c r="BB42" s="13" t="n">
        <f aca="false">Deuda_Tributos!BB$28+Deuda_Tributos!BB$42+BB$72</f>
        <v>583.733123191755</v>
      </c>
      <c r="BC42" s="13" t="n">
        <f aca="false">Deuda_Tributos!BC$28+Deuda_Tributos!BC$42+BC$72</f>
        <v>540.815966669678</v>
      </c>
      <c r="BD42" s="13" t="n">
        <f aca="false">Deuda_Tributos!BD$28+Deuda_Tributos!BD$42+BD$72</f>
        <v>497.576931473684</v>
      </c>
      <c r="BE42" s="13" t="n">
        <f aca="false">Deuda_Tributos!BE$28+Deuda_Tributos!BE$42+BE$72</f>
        <v>454.013603513721</v>
      </c>
      <c r="BF42" s="13" t="n">
        <f aca="false">Deuda_Tributos!BF$28+Deuda_Tributos!BF$42+BF$72</f>
        <v>410.123550594058</v>
      </c>
      <c r="BG42" s="13" t="n">
        <f aca="false">Deuda_Tributos!BG$28+Deuda_Tributos!BG$42+BG$72</f>
        <v>365.904322277498</v>
      </c>
      <c r="BH42" s="13" t="n">
        <f aca="false">Deuda_Tributos!BH$28+Deuda_Tributos!BH$42+BH$72</f>
        <v>321.353449748563</v>
      </c>
      <c r="BI42" s="13" t="n">
        <f aca="false">Deuda_Tributos!BI$28+Deuda_Tributos!BI$42+BI$72</f>
        <v>276.468445675662</v>
      </c>
      <c r="BJ42" s="13" t="n">
        <f aca="false">Deuda_Tributos!BJ$28+Deuda_Tributos!BJ$42+BJ$72</f>
        <v>231.246804072213</v>
      </c>
      <c r="BK42" s="13" t="n">
        <f aca="false">Deuda_Tributos!BK$28+Deuda_Tributos!BK$42+BK$72</f>
        <v>185.686000156739</v>
      </c>
      <c r="BL42" s="13" t="n">
        <f aca="false">Deuda_Tributos!BL$28+Deuda_Tributos!BL$42+BL$72</f>
        <v>139.783490211899</v>
      </c>
      <c r="BM42" s="13" t="n">
        <f aca="false">Deuda_Tributos!BM$28+Deuda_Tributos!BM$42+BM$72</f>
        <v>93.5367114424723</v>
      </c>
      <c r="BN42" s="13" t="n">
        <f aca="false">Deuda_Tributos!BN$28+Deuda_Tributos!BN$42+BN$72</f>
        <v>46.943081832275</v>
      </c>
      <c r="BO42" s="13" t="n">
        <f aca="false">Deuda_Tributos!BO$28+Deuda_Tributos!BO$42+BO$72</f>
        <v>0</v>
      </c>
      <c r="BP42" s="13" t="n">
        <f aca="false">Deuda_Tributos!BP$28+Deuda_Tributos!BP$42+BP$72</f>
        <v>0</v>
      </c>
      <c r="BQ42" s="13" t="n">
        <f aca="false">Deuda_Tributos!BQ$28+Deuda_Tributos!BQ$42+BQ$72</f>
        <v>0</v>
      </c>
      <c r="BR42" s="13" t="n">
        <f aca="false">Deuda_Tributos!BR$28+Deuda_Tributos!BR$42+BR$72</f>
        <v>0</v>
      </c>
      <c r="BS42" s="13" t="n">
        <f aca="false">Deuda_Tributos!BS$28+Deuda_Tributos!BS$42+BS$72</f>
        <v>0</v>
      </c>
      <c r="BT42" s="13" t="n">
        <f aca="false">Deuda_Tributos!BT$28+Deuda_Tributos!BT$42+BT$72</f>
        <v>0</v>
      </c>
      <c r="BU42" s="13" t="n">
        <f aca="false">Deuda_Tributos!BU$28+Deuda_Tributos!BU$42+BU$72</f>
        <v>0</v>
      </c>
      <c r="BV42" s="13" t="n">
        <f aca="false">Deuda_Tributos!BV$28+Deuda_Tributos!BV$42+BV$72</f>
        <v>0</v>
      </c>
      <c r="BW42" s="13" t="n">
        <f aca="false">Deuda_Tributos!BW$28+Deuda_Tributos!BW$42+BW$72</f>
        <v>0</v>
      </c>
      <c r="BX42" s="13" t="n">
        <f aca="false">Deuda_Tributos!BX$28+Deuda_Tributos!BX$42+BX$72</f>
        <v>0</v>
      </c>
      <c r="BY42" s="13" t="n">
        <f aca="false">Deuda_Tributos!BY$28+Deuda_Tributos!BY$42+BY$72</f>
        <v>0</v>
      </c>
      <c r="BZ42" s="13" t="n">
        <f aca="false">Deuda_Tributos!BZ$28+Deuda_Tributos!BZ$42+BZ$72</f>
        <v>0</v>
      </c>
      <c r="CA42" s="13" t="n">
        <f aca="false">Deuda_Tributos!CA$28+Deuda_Tributos!CA$42+CA$72</f>
        <v>0</v>
      </c>
      <c r="CB42" s="13" t="n">
        <f aca="false">Deuda_Tributos!CB$28+Deuda_Tributos!CB$42+CB$72</f>
        <v>0</v>
      </c>
      <c r="CC42" s="13" t="n">
        <f aca="false">Deuda_Tributos!CC$28+Deuda_Tributos!CC$42+CC$72</f>
        <v>0</v>
      </c>
      <c r="CD42" s="13" t="n">
        <f aca="false">Deuda_Tributos!CD$28+Deuda_Tributos!CD$42+CD$72</f>
        <v>0</v>
      </c>
      <c r="CE42" s="13" t="n">
        <f aca="false">Deuda_Tributos!CE$28+Deuda_Tributos!CE$42+CE$72</f>
        <v>0</v>
      </c>
      <c r="CF42" s="13" t="n">
        <f aca="false">Deuda_Tributos!CF$28+Deuda_Tributos!CF$42+CF$72</f>
        <v>0</v>
      </c>
      <c r="CG42" s="13" t="n">
        <f aca="false">Deuda_Tributos!CG$28+Deuda_Tributos!CG$42+CG$72</f>
        <v>0</v>
      </c>
      <c r="CH42" s="13" t="n">
        <f aca="false">Deuda_Tributos!CH$28+Deuda_Tributos!CH$42+CH$72</f>
        <v>0</v>
      </c>
      <c r="CI42" s="13" t="n">
        <f aca="false">Deuda_Tributos!CI$28+Deuda_Tributos!CI$42+CI$72</f>
        <v>0</v>
      </c>
      <c r="CJ42" s="13" t="n">
        <f aca="false">Deuda_Tributos!CJ$28+Deuda_Tributos!CJ$42+CJ$72</f>
        <v>0</v>
      </c>
      <c r="CK42" s="13" t="n">
        <f aca="false">Deuda_Tributos!CK$28+Deuda_Tributos!CK$42+CK$72</f>
        <v>0</v>
      </c>
      <c r="CL42" s="13" t="n">
        <f aca="false">Deuda_Tributos!CL$28+Deuda_Tributos!CL$42+CL$72</f>
        <v>0</v>
      </c>
      <c r="CM42" s="13" t="n">
        <f aca="false">Deuda_Tributos!CM$28+Deuda_Tributos!CM$42+CM$72</f>
        <v>0</v>
      </c>
      <c r="CN42" s="13" t="n">
        <f aca="false">Deuda_Tributos!CN$28+Deuda_Tributos!CN$42+CN$72</f>
        <v>0</v>
      </c>
      <c r="CO42" s="13" t="n">
        <f aca="false">Deuda_Tributos!CO$28+Deuda_Tributos!CO$42+CO$72</f>
        <v>0</v>
      </c>
      <c r="CP42" s="13" t="n">
        <f aca="false">Deuda_Tributos!CP$28+Deuda_Tributos!CP$42+CP$72</f>
        <v>0</v>
      </c>
      <c r="CQ42" s="13" t="n">
        <f aca="false">Deuda_Tributos!CQ$28+Deuda_Tributos!CQ$42+CQ$72</f>
        <v>0</v>
      </c>
      <c r="CR42" s="13" t="n">
        <f aca="false">Deuda_Tributos!CR$28+Deuda_Tributos!CR$42+CR$72</f>
        <v>0</v>
      </c>
      <c r="CS42" s="13" t="n">
        <f aca="false">Deuda_Tributos!CS$28+Deuda_Tributos!CS$42+CS$72</f>
        <v>0</v>
      </c>
      <c r="CT42" s="13" t="n">
        <f aca="false">Deuda_Tributos!CT$28+Deuda_Tributos!CT$42+CT$72</f>
        <v>0</v>
      </c>
      <c r="CU42" s="13" t="n">
        <f aca="false">Deuda_Tributos!CU$28+Deuda_Tributos!CU$42+CU$72</f>
        <v>0</v>
      </c>
      <c r="CV42" s="13" t="n">
        <f aca="false">Deuda_Tributos!CV$28+Deuda_Tributos!CV$42+CV$72</f>
        <v>0</v>
      </c>
      <c r="CW42" s="13" t="n">
        <f aca="false">Deuda_Tributos!CW$28+Deuda_Tributos!CW$42+CW$72</f>
        <v>0</v>
      </c>
      <c r="CX42" s="13" t="n">
        <f aca="false">Deuda_Tributos!CX$28+Deuda_Tributos!CX$42+CX$72</f>
        <v>0</v>
      </c>
      <c r="CY42" s="13" t="n">
        <f aca="false">Deuda_Tributos!CY$28+Deuda_Tributos!CY$42+CY$72</f>
        <v>0</v>
      </c>
      <c r="CZ42" s="13" t="n">
        <f aca="false">Deuda_Tributos!CZ$28+Deuda_Tributos!CZ$42+CZ$72</f>
        <v>0</v>
      </c>
      <c r="DA42" s="13" t="n">
        <f aca="false">Deuda_Tributos!DA$28+Deuda_Tributos!DA$42+DA$72</f>
        <v>0</v>
      </c>
      <c r="DB42" s="13" t="n">
        <f aca="false">Deuda_Tributos!DB$28+Deuda_Tributos!DB$42+DB$72</f>
        <v>0</v>
      </c>
      <c r="DC42" s="13" t="n">
        <f aca="false">Deuda_Tributos!DC$28+Deuda_Tributos!DC$42+DC$72</f>
        <v>0</v>
      </c>
      <c r="DD42" s="13" t="n">
        <f aca="false">Deuda_Tributos!DD$28+Deuda_Tributos!DD$42+DD$72</f>
        <v>0</v>
      </c>
      <c r="DE42" s="13" t="n">
        <f aca="false">Deuda_Tributos!DE$28+Deuda_Tributos!DE$42+DE$72</f>
        <v>0</v>
      </c>
      <c r="DF42" s="13" t="n">
        <f aca="false">Deuda_Tributos!DF$28+Deuda_Tributos!DF$42+DF$72</f>
        <v>0</v>
      </c>
      <c r="DG42" s="13" t="n">
        <f aca="false">Deuda_Tributos!DG$28+Deuda_Tributos!DG$42+DG$72</f>
        <v>0</v>
      </c>
      <c r="DH42" s="13" t="n">
        <f aca="false">Deuda_Tributos!DH$28+Deuda_Tributos!DH$42+DH$72</f>
        <v>0</v>
      </c>
      <c r="DI42" s="13" t="n">
        <f aca="false">Deuda_Tributos!DI$28+Deuda_Tributos!DI$42+DI$72</f>
        <v>0</v>
      </c>
      <c r="DJ42" s="13" t="n">
        <f aca="false">Deuda_Tributos!DJ$28+Deuda_Tributos!DJ$42+DJ$72</f>
        <v>0</v>
      </c>
      <c r="DK42" s="13" t="n">
        <f aca="false">Deuda_Tributos!DK$28+Deuda_Tributos!DK$42+DK$72</f>
        <v>0</v>
      </c>
      <c r="DL42" s="13" t="n">
        <f aca="false">Deuda_Tributos!DL$28+Deuda_Tributos!DL$42+DL$72</f>
        <v>0</v>
      </c>
      <c r="DM42" s="13" t="n">
        <f aca="false">Deuda_Tributos!DM$28+Deuda_Tributos!DM$42+DM$72</f>
        <v>0</v>
      </c>
      <c r="DN42" s="13" t="n">
        <f aca="false">Deuda_Tributos!DN$28+Deuda_Tributos!DN$42+DN$72</f>
        <v>0</v>
      </c>
      <c r="DO42" s="13" t="n">
        <f aca="false">Deuda_Tributos!DO$28+Deuda_Tributos!DO$42+DO$72</f>
        <v>0</v>
      </c>
      <c r="DP42" s="13" t="n">
        <f aca="false">Deuda_Tributos!DP$28+Deuda_Tributos!DP$42+DP$72</f>
        <v>0</v>
      </c>
      <c r="DQ42" s="13" t="n">
        <f aca="false">Deuda_Tributos!DQ$28+Deuda_Tributos!DQ$42+DQ$72</f>
        <v>0</v>
      </c>
      <c r="DR42" s="13" t="n">
        <f aca="false">Deuda_Tributos!DR$28+Deuda_Tributos!DR$42+DR$72</f>
        <v>0</v>
      </c>
      <c r="DS42" s="13" t="n">
        <f aca="false">Deuda_Tributos!DS$28+Deuda_Tributos!DS$42+DS$72</f>
        <v>0</v>
      </c>
      <c r="DT42" s="13" t="n">
        <f aca="false">Deuda_Tributos!DT$28+Deuda_Tributos!DT$42+DT$72</f>
        <v>0</v>
      </c>
      <c r="DU42" s="13" t="n">
        <f aca="false">Deuda_Tributos!DU$28+Deuda_Tributos!DU$42+DU$72</f>
        <v>0</v>
      </c>
      <c r="DV42" s="13" t="n">
        <f aca="false">Deuda_Tributos!DV$28+Deuda_Tributos!DV$42+DV$72</f>
        <v>0</v>
      </c>
      <c r="DW42" s="13" t="n">
        <f aca="false">Deuda_Tributos!DW$28+Deuda_Tributos!DW$42+DW$72</f>
        <v>0</v>
      </c>
      <c r="DX42" s="13" t="n">
        <f aca="false">Deuda_Tributos!DX$28+Deuda_Tributos!DX$42+DX$72</f>
        <v>0</v>
      </c>
      <c r="DY42" s="13" t="n">
        <f aca="false">Deuda_Tributos!DY$28+Deuda_Tributos!DY$42+DY$72</f>
        <v>0</v>
      </c>
      <c r="DZ42" s="13" t="n">
        <f aca="false">Deuda_Tributos!DZ$28+Deuda_Tributos!DZ$42+DZ$72</f>
        <v>0</v>
      </c>
      <c r="EA42" s="13" t="n">
        <f aca="false">Deuda_Tributos!EA$28+Deuda_Tributos!EA$42+EA$72</f>
        <v>0</v>
      </c>
      <c r="EB42" s="13" t="n">
        <f aca="false">Deuda_Tributos!EB$28+Deuda_Tributos!EB$42+EB$72</f>
        <v>0</v>
      </c>
      <c r="EC42" s="13" t="n">
        <f aca="false">Deuda_Tributos!EC$28+Deuda_Tributos!EC$42+EC$72</f>
        <v>0</v>
      </c>
      <c r="ED42" s="13" t="n">
        <f aca="false">Deuda_Tributos!ED$28+Deuda_Tributos!ED$42+ED$72</f>
        <v>0</v>
      </c>
      <c r="EE42" s="13" t="n">
        <f aca="false">Deuda_Tributos!EE$28+Deuda_Tributos!EE$42+EE$72</f>
        <v>0</v>
      </c>
      <c r="EF42" s="13" t="n">
        <f aca="false">Deuda_Tributos!EF$28+Deuda_Tributos!EF$42+EF$72</f>
        <v>0</v>
      </c>
      <c r="EG42" s="13" t="n">
        <f aca="false">Deuda_Tributos!EG$28+Deuda_Tributos!EG$42+EG$72</f>
        <v>0</v>
      </c>
      <c r="EH42" s="13" t="n">
        <f aca="false">Deuda_Tributos!EH$28+Deuda_Tributos!EH$42+EH$72</f>
        <v>0</v>
      </c>
      <c r="EI42" s="13" t="n">
        <f aca="false">Deuda_Tributos!EI$28+Deuda_Tributos!EI$42+EI$72</f>
        <v>0</v>
      </c>
      <c r="EJ42" s="13" t="n">
        <f aca="false">Deuda_Tributos!EJ$28+Deuda_Tributos!EJ$42+EJ$72</f>
        <v>0</v>
      </c>
      <c r="EK42" s="13" t="n">
        <f aca="false">Deuda_Tributos!EK$28+Deuda_Tributos!EK$42+EK$72</f>
        <v>0</v>
      </c>
      <c r="EL42" s="13" t="n">
        <f aca="false">Deuda_Tributos!EL$28+Deuda_Tributos!EL$42+EL$72</f>
        <v>0</v>
      </c>
      <c r="EM42" s="13" t="n">
        <f aca="false">Deuda_Tributos!EM$28+Deuda_Tributos!EM$42+EM$72</f>
        <v>0</v>
      </c>
      <c r="EN42" s="13" t="n">
        <f aca="false">Deuda_Tributos!EN$28+Deuda_Tributos!EN$42+EN$72</f>
        <v>0</v>
      </c>
      <c r="EO42" s="13" t="n">
        <f aca="false">Deuda_Tributos!EO$28+Deuda_Tributos!EO$42+EO$72</f>
        <v>0</v>
      </c>
      <c r="EP42" s="13" t="n">
        <f aca="false">Deuda_Tributos!EP$28+Deuda_Tributos!EP$42+EP$72</f>
        <v>0</v>
      </c>
      <c r="EQ42" s="13" t="n">
        <f aca="false">Deuda_Tributos!EQ$28+Deuda_Tributos!EQ$42+EQ$72</f>
        <v>0</v>
      </c>
      <c r="ER42" s="13" t="n">
        <f aca="false">Deuda_Tributos!ER$28+Deuda_Tributos!ER$42+ER$72</f>
        <v>0</v>
      </c>
      <c r="ES42" s="13" t="n">
        <f aca="false">Deuda_Tributos!ES$28+Deuda_Tributos!ES$42+ES$72</f>
        <v>0</v>
      </c>
      <c r="ET42" s="13" t="n">
        <f aca="false">Deuda_Tributos!ET$28+Deuda_Tributos!ET$42+ET$72</f>
        <v>0</v>
      </c>
      <c r="EU42" s="13" t="n">
        <f aca="false">Deuda_Tributos!EU$28+Deuda_Tributos!EU$42+EU$72</f>
        <v>0</v>
      </c>
      <c r="EV42" s="13" t="n">
        <f aca="false">Deuda_Tributos!EV$28+Deuda_Tributos!EV$42+EV$72</f>
        <v>0</v>
      </c>
      <c r="EW42" s="13" t="n">
        <f aca="false">Deuda_Tributos!EW$28+Deuda_Tributos!EW$42+EW$72</f>
        <v>0</v>
      </c>
      <c r="EX42" s="13" t="n">
        <f aca="false">Deuda_Tributos!EX$28+Deuda_Tributos!EX$42+EX$72</f>
        <v>0</v>
      </c>
      <c r="EY42" s="13" t="n">
        <f aca="false">Deuda_Tributos!EY$28+Deuda_Tributos!EY$42+EY$72</f>
        <v>0</v>
      </c>
      <c r="EZ42" s="13" t="n">
        <f aca="false">Deuda_Tributos!EZ$28+Deuda_Tributos!EZ$42+EZ$72</f>
        <v>0</v>
      </c>
      <c r="FA42" s="13" t="n">
        <f aca="false">Deuda_Tributos!FA$28+Deuda_Tributos!FA$42+FA$72</f>
        <v>0</v>
      </c>
      <c r="FB42" s="13" t="n">
        <f aca="false">Deuda_Tributos!FB$28+Deuda_Tributos!FB$42+FB$72</f>
        <v>0</v>
      </c>
      <c r="FC42" s="13" t="n">
        <f aca="false">Deuda_Tributos!FC$28+Deuda_Tributos!FC$42+FC$72</f>
        <v>0</v>
      </c>
      <c r="FD42" s="13" t="n">
        <f aca="false">Deuda_Tributos!FD$28+Deuda_Tributos!FD$42+FD$72</f>
        <v>0</v>
      </c>
      <c r="FE42" s="13" t="n">
        <f aca="false">Deuda_Tributos!FE$28+Deuda_Tributos!FE$42+FE$72</f>
        <v>0</v>
      </c>
      <c r="FF42" s="13" t="n">
        <f aca="false">Deuda_Tributos!FF$28+Deuda_Tributos!FF$42+FF$72</f>
        <v>0</v>
      </c>
    </row>
    <row r="43" customFormat="false" ht="15" hidden="false" customHeight="false" outlineLevel="0" collapsed="false">
      <c r="A43" s="2" t="s">
        <v>1503</v>
      </c>
      <c r="B43" s="8" t="s">
        <v>1504</v>
      </c>
      <c r="C43" s="8" t="s">
        <v>255</v>
      </c>
      <c r="E43" s="65" t="n">
        <f aca="false">SUM($F43:$FF43)</f>
        <v>0</v>
      </c>
      <c r="F43" s="13" t="n">
        <f aca="false">Deuda_Tributos!F$29+Deuda_Tributos!F$43</f>
        <v>0</v>
      </c>
      <c r="G43" s="13" t="n">
        <f aca="false">Deuda_Tributos!G$29+Deuda_Tributos!G$43</f>
        <v>0</v>
      </c>
      <c r="H43" s="13" t="n">
        <f aca="false">Deuda_Tributos!H$29+Deuda_Tributos!H$43</f>
        <v>0</v>
      </c>
      <c r="I43" s="13" t="n">
        <f aca="false">Deuda_Tributos!I$29+Deuda_Tributos!I$43</f>
        <v>0</v>
      </c>
      <c r="J43" s="13" t="n">
        <f aca="false">Deuda_Tributos!J$29+Deuda_Tributos!J$43</f>
        <v>0</v>
      </c>
      <c r="K43" s="13" t="n">
        <f aca="false">Deuda_Tributos!K$29+Deuda_Tributos!K$43</f>
        <v>0</v>
      </c>
      <c r="L43" s="13" t="n">
        <f aca="false">Deuda_Tributos!L$29+Deuda_Tributos!L$43</f>
        <v>0</v>
      </c>
      <c r="M43" s="13" t="n">
        <f aca="false">Deuda_Tributos!M$29+Deuda_Tributos!M$43</f>
        <v>0</v>
      </c>
      <c r="N43" s="13" t="n">
        <f aca="false">Deuda_Tributos!N$29+Deuda_Tributos!N$43</f>
        <v>0</v>
      </c>
      <c r="O43" s="13" t="n">
        <f aca="false">Deuda_Tributos!O$29+Deuda_Tributos!O$43</f>
        <v>0</v>
      </c>
      <c r="P43" s="13" t="n">
        <f aca="false">Deuda_Tributos!P$29+Deuda_Tributos!P$43</f>
        <v>0</v>
      </c>
      <c r="Q43" s="13" t="n">
        <f aca="false">Deuda_Tributos!Q$29+Deuda_Tributos!Q$43</f>
        <v>0</v>
      </c>
      <c r="R43" s="13" t="n">
        <f aca="false">Deuda_Tributos!R$29+Deuda_Tributos!R$43</f>
        <v>0</v>
      </c>
      <c r="S43" s="13" t="n">
        <f aca="false">Deuda_Tributos!S$29+Deuda_Tributos!S$43</f>
        <v>0</v>
      </c>
      <c r="T43" s="13" t="n">
        <f aca="false">Deuda_Tributos!T$29+Deuda_Tributos!T$43</f>
        <v>0</v>
      </c>
      <c r="U43" s="13" t="n">
        <f aca="false">Deuda_Tributos!U$29+Deuda_Tributos!U$43</f>
        <v>0</v>
      </c>
      <c r="V43" s="13" t="n">
        <f aca="false">Deuda_Tributos!V$29+Deuda_Tributos!V$43</f>
        <v>0</v>
      </c>
      <c r="W43" s="13" t="n">
        <f aca="false">Deuda_Tributos!W$29+Deuda_Tributos!W$43</f>
        <v>0</v>
      </c>
      <c r="X43" s="13" t="n">
        <f aca="false">Deuda_Tributos!X$29+Deuda_Tributos!X$43</f>
        <v>0</v>
      </c>
      <c r="Y43" s="13" t="n">
        <f aca="false">Deuda_Tributos!Y$29+Deuda_Tributos!Y$43</f>
        <v>0</v>
      </c>
      <c r="Z43" s="13" t="n">
        <f aca="false">Deuda_Tributos!Z$29+Deuda_Tributos!Z$43</f>
        <v>0</v>
      </c>
      <c r="AA43" s="13" t="n">
        <f aca="false">Deuda_Tributos!AA$29+Deuda_Tributos!AA$43</f>
        <v>0</v>
      </c>
      <c r="AB43" s="13" t="n">
        <f aca="false">Deuda_Tributos!AB$29+Deuda_Tributos!AB$43</f>
        <v>0</v>
      </c>
      <c r="AC43" s="13" t="n">
        <f aca="false">Deuda_Tributos!AC$29+Deuda_Tributos!AC$43</f>
        <v>0</v>
      </c>
      <c r="AD43" s="13" t="n">
        <f aca="false">Deuda_Tributos!AD$29+Deuda_Tributos!AD$43</f>
        <v>0</v>
      </c>
      <c r="AE43" s="13" t="n">
        <f aca="false">Deuda_Tributos!AE$29+Deuda_Tributos!AE$43</f>
        <v>0</v>
      </c>
      <c r="AF43" s="13" t="n">
        <f aca="false">Deuda_Tributos!AF$29+Deuda_Tributos!AF$43</f>
        <v>0</v>
      </c>
      <c r="AG43" s="13" t="n">
        <f aca="false">Deuda_Tributos!AG$29+Deuda_Tributos!AG$43</f>
        <v>0</v>
      </c>
      <c r="AH43" s="13" t="n">
        <f aca="false">Deuda_Tributos!AH$29+Deuda_Tributos!AH$43</f>
        <v>0</v>
      </c>
      <c r="AI43" s="13" t="n">
        <f aca="false">Deuda_Tributos!AI$29+Deuda_Tributos!AI$43</f>
        <v>0</v>
      </c>
      <c r="AJ43" s="13" t="n">
        <f aca="false">Deuda_Tributos!AJ$29+Deuda_Tributos!AJ$43</f>
        <v>0</v>
      </c>
      <c r="AK43" s="13" t="n">
        <f aca="false">Deuda_Tributos!AK$29+Deuda_Tributos!AK$43</f>
        <v>0</v>
      </c>
      <c r="AL43" s="13" t="n">
        <f aca="false">Deuda_Tributos!AL$29+Deuda_Tributos!AL$43</f>
        <v>0</v>
      </c>
      <c r="AM43" s="13" t="n">
        <f aca="false">Deuda_Tributos!AM$29+Deuda_Tributos!AM$43</f>
        <v>0</v>
      </c>
      <c r="AN43" s="13" t="n">
        <f aca="false">Deuda_Tributos!AN$29+Deuda_Tributos!AN$43</f>
        <v>0</v>
      </c>
      <c r="AO43" s="13" t="n">
        <f aca="false">Deuda_Tributos!AO$29+Deuda_Tributos!AO$43</f>
        <v>0</v>
      </c>
      <c r="AP43" s="13" t="n">
        <f aca="false">Deuda_Tributos!AP$29+Deuda_Tributos!AP$43</f>
        <v>0</v>
      </c>
      <c r="AQ43" s="13" t="n">
        <f aca="false">Deuda_Tributos!AQ$29+Deuda_Tributos!AQ$43</f>
        <v>0</v>
      </c>
      <c r="AR43" s="13" t="n">
        <f aca="false">Deuda_Tributos!AR$29+Deuda_Tributos!AR$43</f>
        <v>0</v>
      </c>
      <c r="AS43" s="13" t="n">
        <f aca="false">Deuda_Tributos!AS$29+Deuda_Tributos!AS$43</f>
        <v>0</v>
      </c>
      <c r="AT43" s="13" t="n">
        <f aca="false">Deuda_Tributos!AT$29+Deuda_Tributos!AT$43</f>
        <v>0</v>
      </c>
      <c r="AU43" s="13" t="n">
        <f aca="false">Deuda_Tributos!AU$29+Deuda_Tributos!AU$43</f>
        <v>0</v>
      </c>
      <c r="AV43" s="13" t="n">
        <f aca="false">Deuda_Tributos!AV$29+Deuda_Tributos!AV$43</f>
        <v>0</v>
      </c>
      <c r="AW43" s="13" t="n">
        <f aca="false">Deuda_Tributos!AW$29+Deuda_Tributos!AW$43</f>
        <v>0</v>
      </c>
      <c r="AX43" s="13" t="n">
        <f aca="false">Deuda_Tributos!AX$29+Deuda_Tributos!AX$43</f>
        <v>0</v>
      </c>
      <c r="AY43" s="13" t="n">
        <f aca="false">Deuda_Tributos!AY$29+Deuda_Tributos!AY$43</f>
        <v>0</v>
      </c>
      <c r="AZ43" s="13" t="n">
        <f aca="false">Deuda_Tributos!AZ$29+Deuda_Tributos!AZ$43</f>
        <v>0</v>
      </c>
      <c r="BA43" s="13" t="n">
        <f aca="false">Deuda_Tributos!BA$29+Deuda_Tributos!BA$43</f>
        <v>0</v>
      </c>
      <c r="BB43" s="13" t="n">
        <f aca="false">Deuda_Tributos!BB$29+Deuda_Tributos!BB$43</f>
        <v>0</v>
      </c>
      <c r="BC43" s="13" t="n">
        <f aca="false">Deuda_Tributos!BC$29+Deuda_Tributos!BC$43</f>
        <v>0</v>
      </c>
      <c r="BD43" s="13" t="n">
        <f aca="false">Deuda_Tributos!BD$29+Deuda_Tributos!BD$43</f>
        <v>0</v>
      </c>
      <c r="BE43" s="13" t="n">
        <f aca="false">Deuda_Tributos!BE$29+Deuda_Tributos!BE$43</f>
        <v>0</v>
      </c>
      <c r="BF43" s="13" t="n">
        <f aca="false">Deuda_Tributos!BF$29+Deuda_Tributos!BF$43</f>
        <v>0</v>
      </c>
      <c r="BG43" s="13" t="n">
        <f aca="false">Deuda_Tributos!BG$29+Deuda_Tributos!BG$43</f>
        <v>0</v>
      </c>
      <c r="BH43" s="13" t="n">
        <f aca="false">Deuda_Tributos!BH$29+Deuda_Tributos!BH$43</f>
        <v>0</v>
      </c>
      <c r="BI43" s="13" t="n">
        <f aca="false">Deuda_Tributos!BI$29+Deuda_Tributos!BI$43</f>
        <v>0</v>
      </c>
      <c r="BJ43" s="13" t="n">
        <f aca="false">Deuda_Tributos!BJ$29+Deuda_Tributos!BJ$43</f>
        <v>0</v>
      </c>
      <c r="BK43" s="13" t="n">
        <f aca="false">Deuda_Tributos!BK$29+Deuda_Tributos!BK$43</f>
        <v>0</v>
      </c>
      <c r="BL43" s="13" t="n">
        <f aca="false">Deuda_Tributos!BL$29+Deuda_Tributos!BL$43</f>
        <v>0</v>
      </c>
      <c r="BM43" s="13" t="n">
        <f aca="false">Deuda_Tributos!BM$29+Deuda_Tributos!BM$43</f>
        <v>0</v>
      </c>
      <c r="BN43" s="13" t="n">
        <f aca="false">Deuda_Tributos!BN$29+Deuda_Tributos!BN$43</f>
        <v>0</v>
      </c>
      <c r="BO43" s="13" t="n">
        <f aca="false">Deuda_Tributos!BO$29+Deuda_Tributos!BO$43</f>
        <v>0</v>
      </c>
      <c r="BP43" s="13" t="n">
        <f aca="false">Deuda_Tributos!BP$29+Deuda_Tributos!BP$43</f>
        <v>0</v>
      </c>
      <c r="BQ43" s="13" t="n">
        <f aca="false">Deuda_Tributos!BQ$29+Deuda_Tributos!BQ$43</f>
        <v>0</v>
      </c>
      <c r="BR43" s="13" t="n">
        <f aca="false">Deuda_Tributos!BR$29+Deuda_Tributos!BR$43</f>
        <v>0</v>
      </c>
      <c r="BS43" s="13" t="n">
        <f aca="false">Deuda_Tributos!BS$29+Deuda_Tributos!BS$43</f>
        <v>0</v>
      </c>
      <c r="BT43" s="13" t="n">
        <f aca="false">Deuda_Tributos!BT$29+Deuda_Tributos!BT$43</f>
        <v>0</v>
      </c>
      <c r="BU43" s="13" t="n">
        <f aca="false">Deuda_Tributos!BU$29+Deuda_Tributos!BU$43</f>
        <v>0</v>
      </c>
      <c r="BV43" s="13" t="n">
        <f aca="false">Deuda_Tributos!BV$29+Deuda_Tributos!BV$43</f>
        <v>0</v>
      </c>
      <c r="BW43" s="13" t="n">
        <f aca="false">Deuda_Tributos!BW$29+Deuda_Tributos!BW$43</f>
        <v>0</v>
      </c>
      <c r="BX43" s="13" t="n">
        <f aca="false">Deuda_Tributos!BX$29+Deuda_Tributos!BX$43</f>
        <v>0</v>
      </c>
      <c r="BY43" s="13" t="n">
        <f aca="false">Deuda_Tributos!BY$29+Deuda_Tributos!BY$43</f>
        <v>0</v>
      </c>
      <c r="BZ43" s="13" t="n">
        <f aca="false">Deuda_Tributos!BZ$29+Deuda_Tributos!BZ$43</f>
        <v>0</v>
      </c>
      <c r="CA43" s="13" t="n">
        <f aca="false">Deuda_Tributos!CA$29+Deuda_Tributos!CA$43</f>
        <v>0</v>
      </c>
      <c r="CB43" s="13" t="n">
        <f aca="false">Deuda_Tributos!CB$29+Deuda_Tributos!CB$43</f>
        <v>0</v>
      </c>
      <c r="CC43" s="13" t="n">
        <f aca="false">Deuda_Tributos!CC$29+Deuda_Tributos!CC$43</f>
        <v>0</v>
      </c>
      <c r="CD43" s="13" t="n">
        <f aca="false">Deuda_Tributos!CD$29+Deuda_Tributos!CD$43</f>
        <v>0</v>
      </c>
      <c r="CE43" s="13" t="n">
        <f aca="false">Deuda_Tributos!CE$29+Deuda_Tributos!CE$43</f>
        <v>0</v>
      </c>
      <c r="CF43" s="13" t="n">
        <f aca="false">Deuda_Tributos!CF$29+Deuda_Tributos!CF$43</f>
        <v>0</v>
      </c>
      <c r="CG43" s="13" t="n">
        <f aca="false">Deuda_Tributos!CG$29+Deuda_Tributos!CG$43</f>
        <v>0</v>
      </c>
      <c r="CH43" s="13" t="n">
        <f aca="false">Deuda_Tributos!CH$29+Deuda_Tributos!CH$43</f>
        <v>0</v>
      </c>
      <c r="CI43" s="13" t="n">
        <f aca="false">Deuda_Tributos!CI$29+Deuda_Tributos!CI$43</f>
        <v>0</v>
      </c>
      <c r="CJ43" s="13" t="n">
        <f aca="false">Deuda_Tributos!CJ$29+Deuda_Tributos!CJ$43</f>
        <v>0</v>
      </c>
      <c r="CK43" s="13" t="n">
        <f aca="false">Deuda_Tributos!CK$29+Deuda_Tributos!CK$43</f>
        <v>0</v>
      </c>
      <c r="CL43" s="13" t="n">
        <f aca="false">Deuda_Tributos!CL$29+Deuda_Tributos!CL$43</f>
        <v>0</v>
      </c>
      <c r="CM43" s="13" t="n">
        <f aca="false">Deuda_Tributos!CM$29+Deuda_Tributos!CM$43</f>
        <v>0</v>
      </c>
      <c r="CN43" s="13" t="n">
        <f aca="false">Deuda_Tributos!CN$29+Deuda_Tributos!CN$43</f>
        <v>0</v>
      </c>
      <c r="CO43" s="13" t="n">
        <f aca="false">Deuda_Tributos!CO$29+Deuda_Tributos!CO$43</f>
        <v>0</v>
      </c>
      <c r="CP43" s="13" t="n">
        <f aca="false">Deuda_Tributos!CP$29+Deuda_Tributos!CP$43</f>
        <v>0</v>
      </c>
      <c r="CQ43" s="13" t="n">
        <f aca="false">Deuda_Tributos!CQ$29+Deuda_Tributos!CQ$43</f>
        <v>0</v>
      </c>
      <c r="CR43" s="13" t="n">
        <f aca="false">Deuda_Tributos!CR$29+Deuda_Tributos!CR$43</f>
        <v>0</v>
      </c>
      <c r="CS43" s="13" t="n">
        <f aca="false">Deuda_Tributos!CS$29+Deuda_Tributos!CS$43</f>
        <v>0</v>
      </c>
      <c r="CT43" s="13" t="n">
        <f aca="false">Deuda_Tributos!CT$29+Deuda_Tributos!CT$43</f>
        <v>0</v>
      </c>
      <c r="CU43" s="13" t="n">
        <f aca="false">Deuda_Tributos!CU$29+Deuda_Tributos!CU$43</f>
        <v>0</v>
      </c>
      <c r="CV43" s="13" t="n">
        <f aca="false">Deuda_Tributos!CV$29+Deuda_Tributos!CV$43</f>
        <v>0</v>
      </c>
      <c r="CW43" s="13" t="n">
        <f aca="false">Deuda_Tributos!CW$29+Deuda_Tributos!CW$43</f>
        <v>0</v>
      </c>
      <c r="CX43" s="13" t="n">
        <f aca="false">Deuda_Tributos!CX$29+Deuda_Tributos!CX$43</f>
        <v>0</v>
      </c>
      <c r="CY43" s="13" t="n">
        <f aca="false">Deuda_Tributos!CY$29+Deuda_Tributos!CY$43</f>
        <v>0</v>
      </c>
      <c r="CZ43" s="13" t="n">
        <f aca="false">Deuda_Tributos!CZ$29+Deuda_Tributos!CZ$43</f>
        <v>0</v>
      </c>
      <c r="DA43" s="13" t="n">
        <f aca="false">Deuda_Tributos!DA$29+Deuda_Tributos!DA$43</f>
        <v>0</v>
      </c>
      <c r="DB43" s="13" t="n">
        <f aca="false">Deuda_Tributos!DB$29+Deuda_Tributos!DB$43</f>
        <v>0</v>
      </c>
      <c r="DC43" s="13" t="n">
        <f aca="false">Deuda_Tributos!DC$29+Deuda_Tributos!DC$43</f>
        <v>0</v>
      </c>
      <c r="DD43" s="13" t="n">
        <f aca="false">Deuda_Tributos!DD$29+Deuda_Tributos!DD$43</f>
        <v>0</v>
      </c>
      <c r="DE43" s="13" t="n">
        <f aca="false">Deuda_Tributos!DE$29+Deuda_Tributos!DE$43</f>
        <v>0</v>
      </c>
      <c r="DF43" s="13" t="n">
        <f aca="false">Deuda_Tributos!DF$29+Deuda_Tributos!DF$43</f>
        <v>0</v>
      </c>
      <c r="DG43" s="13" t="n">
        <f aca="false">Deuda_Tributos!DG$29+Deuda_Tributos!DG$43</f>
        <v>0</v>
      </c>
      <c r="DH43" s="13" t="n">
        <f aca="false">Deuda_Tributos!DH$29+Deuda_Tributos!DH$43</f>
        <v>0</v>
      </c>
      <c r="DI43" s="13" t="n">
        <f aca="false">Deuda_Tributos!DI$29+Deuda_Tributos!DI$43</f>
        <v>0</v>
      </c>
      <c r="DJ43" s="13" t="n">
        <f aca="false">Deuda_Tributos!DJ$29+Deuda_Tributos!DJ$43</f>
        <v>0</v>
      </c>
      <c r="DK43" s="13" t="n">
        <f aca="false">Deuda_Tributos!DK$29+Deuda_Tributos!DK$43</f>
        <v>0</v>
      </c>
      <c r="DL43" s="13" t="n">
        <f aca="false">Deuda_Tributos!DL$29+Deuda_Tributos!DL$43</f>
        <v>0</v>
      </c>
      <c r="DM43" s="13" t="n">
        <f aca="false">Deuda_Tributos!DM$29+Deuda_Tributos!DM$43</f>
        <v>0</v>
      </c>
      <c r="DN43" s="13" t="n">
        <f aca="false">Deuda_Tributos!DN$29+Deuda_Tributos!DN$43</f>
        <v>0</v>
      </c>
      <c r="DO43" s="13" t="n">
        <f aca="false">Deuda_Tributos!DO$29+Deuda_Tributos!DO$43</f>
        <v>0</v>
      </c>
      <c r="DP43" s="13" t="n">
        <f aca="false">Deuda_Tributos!DP$29+Deuda_Tributos!DP$43</f>
        <v>0</v>
      </c>
      <c r="DQ43" s="13" t="n">
        <f aca="false">Deuda_Tributos!DQ$29+Deuda_Tributos!DQ$43</f>
        <v>0</v>
      </c>
      <c r="DR43" s="13" t="n">
        <f aca="false">Deuda_Tributos!DR$29+Deuda_Tributos!DR$43</f>
        <v>0</v>
      </c>
      <c r="DS43" s="13" t="n">
        <f aca="false">Deuda_Tributos!DS$29+Deuda_Tributos!DS$43</f>
        <v>0</v>
      </c>
      <c r="DT43" s="13" t="n">
        <f aca="false">Deuda_Tributos!DT$29+Deuda_Tributos!DT$43</f>
        <v>0</v>
      </c>
      <c r="DU43" s="13" t="n">
        <f aca="false">Deuda_Tributos!DU$29+Deuda_Tributos!DU$43</f>
        <v>0</v>
      </c>
      <c r="DV43" s="13" t="n">
        <f aca="false">Deuda_Tributos!DV$29+Deuda_Tributos!DV$43</f>
        <v>0</v>
      </c>
      <c r="DW43" s="13" t="n">
        <f aca="false">Deuda_Tributos!DW$29+Deuda_Tributos!DW$43</f>
        <v>0</v>
      </c>
      <c r="DX43" s="13" t="n">
        <f aca="false">Deuda_Tributos!DX$29+Deuda_Tributos!DX$43</f>
        <v>0</v>
      </c>
      <c r="DY43" s="13" t="n">
        <f aca="false">Deuda_Tributos!DY$29+Deuda_Tributos!DY$43</f>
        <v>0</v>
      </c>
      <c r="DZ43" s="13" t="n">
        <f aca="false">Deuda_Tributos!DZ$29+Deuda_Tributos!DZ$43</f>
        <v>0</v>
      </c>
      <c r="EA43" s="13" t="n">
        <f aca="false">Deuda_Tributos!EA$29+Deuda_Tributos!EA$43</f>
        <v>0</v>
      </c>
      <c r="EB43" s="13" t="n">
        <f aca="false">Deuda_Tributos!EB$29+Deuda_Tributos!EB$43</f>
        <v>0</v>
      </c>
      <c r="EC43" s="13" t="n">
        <f aca="false">Deuda_Tributos!EC$29+Deuda_Tributos!EC$43</f>
        <v>0</v>
      </c>
      <c r="ED43" s="13" t="n">
        <f aca="false">Deuda_Tributos!ED$29+Deuda_Tributos!ED$43</f>
        <v>0</v>
      </c>
      <c r="EE43" s="13" t="n">
        <f aca="false">Deuda_Tributos!EE$29+Deuda_Tributos!EE$43</f>
        <v>0</v>
      </c>
      <c r="EF43" s="13" t="n">
        <f aca="false">Deuda_Tributos!EF$29+Deuda_Tributos!EF$43</f>
        <v>0</v>
      </c>
      <c r="EG43" s="13" t="n">
        <f aca="false">Deuda_Tributos!EG$29+Deuda_Tributos!EG$43</f>
        <v>0</v>
      </c>
      <c r="EH43" s="13" t="n">
        <f aca="false">Deuda_Tributos!EH$29+Deuda_Tributos!EH$43</f>
        <v>0</v>
      </c>
      <c r="EI43" s="13" t="n">
        <f aca="false">Deuda_Tributos!EI$29+Deuda_Tributos!EI$43</f>
        <v>0</v>
      </c>
      <c r="EJ43" s="13" t="n">
        <f aca="false">Deuda_Tributos!EJ$29+Deuda_Tributos!EJ$43</f>
        <v>0</v>
      </c>
      <c r="EK43" s="13" t="n">
        <f aca="false">Deuda_Tributos!EK$29+Deuda_Tributos!EK$43</f>
        <v>0</v>
      </c>
      <c r="EL43" s="13" t="n">
        <f aca="false">Deuda_Tributos!EL$29+Deuda_Tributos!EL$43</f>
        <v>0</v>
      </c>
      <c r="EM43" s="13" t="n">
        <f aca="false">Deuda_Tributos!EM$29+Deuda_Tributos!EM$43</f>
        <v>0</v>
      </c>
      <c r="EN43" s="13" t="n">
        <f aca="false">Deuda_Tributos!EN$29+Deuda_Tributos!EN$43</f>
        <v>0</v>
      </c>
      <c r="EO43" s="13" t="n">
        <f aca="false">Deuda_Tributos!EO$29+Deuda_Tributos!EO$43</f>
        <v>0</v>
      </c>
      <c r="EP43" s="13" t="n">
        <f aca="false">Deuda_Tributos!EP$29+Deuda_Tributos!EP$43</f>
        <v>0</v>
      </c>
      <c r="EQ43" s="13" t="n">
        <f aca="false">Deuda_Tributos!EQ$29+Deuda_Tributos!EQ$43</f>
        <v>0</v>
      </c>
      <c r="ER43" s="13" t="n">
        <f aca="false">Deuda_Tributos!ER$29+Deuda_Tributos!ER$43</f>
        <v>0</v>
      </c>
      <c r="ES43" s="13" t="n">
        <f aca="false">Deuda_Tributos!ES$29+Deuda_Tributos!ES$43</f>
        <v>0</v>
      </c>
      <c r="ET43" s="13" t="n">
        <f aca="false">Deuda_Tributos!ET$29+Deuda_Tributos!ET$43</f>
        <v>0</v>
      </c>
      <c r="EU43" s="13" t="n">
        <f aca="false">Deuda_Tributos!EU$29+Deuda_Tributos!EU$43</f>
        <v>0</v>
      </c>
      <c r="EV43" s="13" t="n">
        <f aca="false">Deuda_Tributos!EV$29+Deuda_Tributos!EV$43</f>
        <v>0</v>
      </c>
      <c r="EW43" s="13" t="n">
        <f aca="false">Deuda_Tributos!EW$29+Deuda_Tributos!EW$43</f>
        <v>0</v>
      </c>
      <c r="EX43" s="13" t="n">
        <f aca="false">Deuda_Tributos!EX$29+Deuda_Tributos!EX$43</f>
        <v>0</v>
      </c>
      <c r="EY43" s="13" t="n">
        <f aca="false">Deuda_Tributos!EY$29+Deuda_Tributos!EY$43</f>
        <v>0</v>
      </c>
      <c r="EZ43" s="13" t="n">
        <f aca="false">Deuda_Tributos!EZ$29+Deuda_Tributos!EZ$43</f>
        <v>0</v>
      </c>
      <c r="FA43" s="13" t="n">
        <f aca="false">Deuda_Tributos!FA$29+Deuda_Tributos!FA$43</f>
        <v>0</v>
      </c>
      <c r="FB43" s="13" t="n">
        <f aca="false">Deuda_Tributos!FB$29+Deuda_Tributos!FB$43</f>
        <v>0</v>
      </c>
      <c r="FC43" s="13" t="n">
        <f aca="false">Deuda_Tributos!FC$29+Deuda_Tributos!FC$43</f>
        <v>0</v>
      </c>
      <c r="FD43" s="13" t="n">
        <f aca="false">Deuda_Tributos!FD$29+Deuda_Tributos!FD$43</f>
        <v>0</v>
      </c>
      <c r="FE43" s="13" t="n">
        <f aca="false">Deuda_Tributos!FE$29+Deuda_Tributos!FE$43</f>
        <v>0</v>
      </c>
      <c r="FF43" s="13" t="n">
        <f aca="false">Deuda_Tributos!FF$29+Deuda_Tributos!FF$43</f>
        <v>0</v>
      </c>
    </row>
    <row r="44" customFormat="false" ht="15" hidden="false" customHeight="false" outlineLevel="0" collapsed="false">
      <c r="A44" s="2" t="s">
        <v>1505</v>
      </c>
      <c r="B44" s="66" t="s">
        <v>1506</v>
      </c>
      <c r="C44" s="8" t="s">
        <v>255</v>
      </c>
      <c r="E44" s="67" t="n">
        <f aca="false">SUM($F44:$FF44)</f>
        <v>813214.128224454</v>
      </c>
      <c r="F44" s="12" t="n">
        <f aca="false">F$40+F$41+F$42+F$43</f>
        <v>0</v>
      </c>
      <c r="G44" s="12" t="n">
        <f aca="false">G$40+G$41+G$42+G$43</f>
        <v>23030.59275</v>
      </c>
      <c r="H44" s="12" t="n">
        <f aca="false">H$40+H$41+H$42+H$43</f>
        <v>23030.59275</v>
      </c>
      <c r="I44" s="12" t="n">
        <f aca="false">I$40+I$41+I$42+I$43</f>
        <v>23030.59275</v>
      </c>
      <c r="J44" s="12" t="n">
        <f aca="false">J$40+J$41+J$42+J$43</f>
        <v>23030.59275</v>
      </c>
      <c r="K44" s="12" t="n">
        <f aca="false">K$40+K$41+K$42+K$43</f>
        <v>23030.59275</v>
      </c>
      <c r="L44" s="12" t="n">
        <f aca="false">L$40+L$41+L$42+L$43</f>
        <v>23030.59275</v>
      </c>
      <c r="M44" s="12" t="n">
        <f aca="false">M$40+M$41+M$42+M$43</f>
        <v>23030.59275</v>
      </c>
      <c r="N44" s="12" t="n">
        <f aca="false">N$40+N$41+N$42+N$43</f>
        <v>22683.0754912188</v>
      </c>
      <c r="O44" s="12" t="n">
        <f aca="false">O$40+O$41+O$42+O$43</f>
        <v>22332.9518529968</v>
      </c>
      <c r="P44" s="12" t="n">
        <f aca="false">P$40+P$41+P$42+P$43</f>
        <v>21980.2022874881</v>
      </c>
      <c r="Q44" s="12" t="n">
        <f aca="false">Q$40+Q$41+Q$42+Q$43</f>
        <v>21624.8071002381</v>
      </c>
      <c r="R44" s="12" t="n">
        <f aca="false">R$40+R$41+R$42+R$43</f>
        <v>21266.7464490837</v>
      </c>
      <c r="S44" s="12" t="n">
        <f aca="false">S$40+S$41+S$42+S$43</f>
        <v>20906.0003430457</v>
      </c>
      <c r="T44" s="12" t="n">
        <f aca="false">T$40+T$41+T$42+T$43</f>
        <v>20542.5486412123</v>
      </c>
      <c r="U44" s="12" t="n">
        <f aca="false">U$40+U$41+U$42+U$43</f>
        <v>20176.3710516152</v>
      </c>
      <c r="V44" s="12" t="n">
        <f aca="false">V$40+V$41+V$42+V$43</f>
        <v>19807.4471300962</v>
      </c>
      <c r="W44" s="12" t="n">
        <f aca="false">W$40+W$41+W$42+W$43</f>
        <v>19435.7562791657</v>
      </c>
      <c r="X44" s="12" t="n">
        <f aca="false">X$40+X$41+X$42+X$43</f>
        <v>19061.2777468533</v>
      </c>
      <c r="Y44" s="12" t="n">
        <f aca="false">Y$40+Y$41+Y$42+Y$43</f>
        <v>18683.9906255485</v>
      </c>
      <c r="Z44" s="12" t="n">
        <f aca="false">Z$40+Z$41+Z$42+Z$43</f>
        <v>18303.873850834</v>
      </c>
      <c r="AA44" s="12" t="n">
        <f aca="false">AA$40+AA$41+AA$42+AA$43</f>
        <v>17920.906200309</v>
      </c>
      <c r="AB44" s="12" t="n">
        <f aca="false">AB$40+AB$41+AB$42+AB$43</f>
        <v>17535.0662924052</v>
      </c>
      <c r="AC44" s="12" t="n">
        <f aca="false">AC$40+AC$41+AC$42+AC$43</f>
        <v>17146.3325851921</v>
      </c>
      <c r="AD44" s="12" t="n">
        <f aca="false">AD$40+AD$41+AD$42+AD$43</f>
        <v>16754.6833751748</v>
      </c>
      <c r="AE44" s="12" t="n">
        <f aca="false">AE$40+AE$41+AE$42+AE$43</f>
        <v>16360.0967960825</v>
      </c>
      <c r="AF44" s="12" t="n">
        <f aca="false">AF$40+AF$41+AF$42+AF$43</f>
        <v>15962.5508176469</v>
      </c>
      <c r="AG44" s="12" t="n">
        <f aca="false">AG$40+AG$41+AG$42+AG$43</f>
        <v>15562.0232443731</v>
      </c>
      <c r="AH44" s="12" t="n">
        <f aca="false">AH$40+AH$41+AH$42+AH$43</f>
        <v>15158.4917142997</v>
      </c>
      <c r="AI44" s="12" t="n">
        <f aca="false">AI$40+AI$41+AI$42+AI$43</f>
        <v>14751.9336977508</v>
      </c>
      <c r="AJ44" s="12" t="n">
        <f aca="false">AJ$40+AJ$41+AJ$42+AJ$43</f>
        <v>14342.3264960777</v>
      </c>
      <c r="AK44" s="12" t="n">
        <f aca="false">AK$40+AK$41+AK$42+AK$43</f>
        <v>13929.6472403921</v>
      </c>
      <c r="AL44" s="12" t="n">
        <f aca="false">AL$40+AL$41+AL$42+AL$43</f>
        <v>13513.8728902889</v>
      </c>
      <c r="AM44" s="12" t="n">
        <f aca="false">AM$40+AM$41+AM$42+AM$43</f>
        <v>13094.9802325599</v>
      </c>
      <c r="AN44" s="12" t="n">
        <f aca="false">AN$40+AN$41+AN$42+AN$43</f>
        <v>12672.9458798979</v>
      </c>
      <c r="AO44" s="12" t="n">
        <f aca="false">AO$40+AO$41+AO$42+AO$43</f>
        <v>12247.746269591</v>
      </c>
      <c r="AP44" s="12" t="n">
        <f aca="false">AP$40+AP$41+AP$42+AP$43</f>
        <v>11819.3576622067</v>
      </c>
      <c r="AQ44" s="12" t="n">
        <f aca="false">AQ$40+AQ$41+AQ$42+AQ$43</f>
        <v>11387.7561402671</v>
      </c>
      <c r="AR44" s="12" t="n">
        <f aca="false">AR$40+AR$41+AR$42+AR$43</f>
        <v>10952.917606913</v>
      </c>
      <c r="AS44" s="12" t="n">
        <f aca="false">AS$40+AS$41+AS$42+AS$43</f>
        <v>10514.8177845586</v>
      </c>
      <c r="AT44" s="12" t="n">
        <f aca="false">AT$40+AT$41+AT$42+AT$43</f>
        <v>10073.4322135366</v>
      </c>
      <c r="AU44" s="12" t="n">
        <f aca="false">AU$40+AU$41+AU$42+AU$43</f>
        <v>9628.736250732</v>
      </c>
      <c r="AV44" s="12" t="n">
        <f aca="false">AV$40+AV$41+AV$42+AV$43</f>
        <v>9180.70506820631</v>
      </c>
      <c r="AW44" s="12" t="n">
        <f aca="false">AW$40+AW$41+AW$42+AW$43</f>
        <v>8729.31365181168</v>
      </c>
      <c r="AX44" s="12" t="n">
        <f aca="false">AX$40+AX$41+AX$42+AX$43</f>
        <v>8274.5367997941</v>
      </c>
      <c r="AY44" s="12" t="n">
        <f aca="false">AY$40+AY$41+AY$42+AY$43</f>
        <v>7816.34912138638</v>
      </c>
      <c r="AZ44" s="12" t="n">
        <f aca="false">AZ$40+AZ$41+AZ$42+AZ$43</f>
        <v>7354.7250353906</v>
      </c>
      <c r="BA44" s="12" t="n">
        <f aca="false">BA$40+BA$41+BA$42+BA$43</f>
        <v>6889.63876874986</v>
      </c>
      <c r="BB44" s="12" t="n">
        <f aca="false">BB$40+BB$41+BB$42+BB$43</f>
        <v>6421.06435510931</v>
      </c>
      <c r="BC44" s="12" t="n">
        <f aca="false">BC$40+BC$41+BC$42+BC$43</f>
        <v>5948.97563336645</v>
      </c>
      <c r="BD44" s="12" t="n">
        <f aca="false">BD$40+BD$41+BD$42+BD$43</f>
        <v>5473.34624621053</v>
      </c>
      <c r="BE44" s="12" t="n">
        <f aca="false">BE$40+BE$41+BE$42+BE$43</f>
        <v>4994.14963865093</v>
      </c>
      <c r="BF44" s="12" t="n">
        <f aca="false">BF$40+BF$41+BF$42+BF$43</f>
        <v>4511.35905653464</v>
      </c>
      <c r="BG44" s="12" t="n">
        <f aca="false">BG$40+BG$41+BG$42+BG$43</f>
        <v>4024.94754505248</v>
      </c>
      <c r="BH44" s="12" t="n">
        <f aca="false">BH$40+BH$41+BH$42+BH$43</f>
        <v>3534.8879472342</v>
      </c>
      <c r="BI44" s="12" t="n">
        <f aca="false">BI$40+BI$41+BI$42+BI$43</f>
        <v>3041.15290243228</v>
      </c>
      <c r="BJ44" s="12" t="n">
        <f aca="false">BJ$40+BJ$41+BJ$42+BJ$43</f>
        <v>2543.71484479435</v>
      </c>
      <c r="BK44" s="12" t="n">
        <f aca="false">BK$40+BK$41+BK$42+BK$43</f>
        <v>2042.54600172413</v>
      </c>
      <c r="BL44" s="12" t="n">
        <f aca="false">BL$40+BL$41+BL$42+BL$43</f>
        <v>1537.61839233089</v>
      </c>
      <c r="BM44" s="12" t="n">
        <f aca="false">BM$40+BM$41+BM$42+BM$43</f>
        <v>1028.9038258672</v>
      </c>
      <c r="BN44" s="12" t="n">
        <f aca="false">BN$40+BN$41+BN$42+BN$43</f>
        <v>516.373900155025</v>
      </c>
      <c r="BO44" s="12" t="n">
        <f aca="false">BO$40+BO$41+BO$42+BO$43</f>
        <v>0</v>
      </c>
      <c r="BP44" s="12" t="n">
        <f aca="false">BP$40+BP$41+BP$42+BP$43</f>
        <v>0</v>
      </c>
      <c r="BQ44" s="12" t="n">
        <f aca="false">BQ$40+BQ$41+BQ$42+BQ$43</f>
        <v>0</v>
      </c>
      <c r="BR44" s="12" t="n">
        <f aca="false">BR$40+BR$41+BR$42+BR$43</f>
        <v>0</v>
      </c>
      <c r="BS44" s="12" t="n">
        <f aca="false">BS$40+BS$41+BS$42+BS$43</f>
        <v>0</v>
      </c>
      <c r="BT44" s="12" t="n">
        <f aca="false">BT$40+BT$41+BT$42+BT$43</f>
        <v>0</v>
      </c>
      <c r="BU44" s="12" t="n">
        <f aca="false">BU$40+BU$41+BU$42+BU$43</f>
        <v>0</v>
      </c>
      <c r="BV44" s="12" t="n">
        <f aca="false">BV$40+BV$41+BV$42+BV$43</f>
        <v>0</v>
      </c>
      <c r="BW44" s="12" t="n">
        <f aca="false">BW$40+BW$41+BW$42+BW$43</f>
        <v>0</v>
      </c>
      <c r="BX44" s="12" t="n">
        <f aca="false">BX$40+BX$41+BX$42+BX$43</f>
        <v>0</v>
      </c>
      <c r="BY44" s="12" t="n">
        <f aca="false">BY$40+BY$41+BY$42+BY$43</f>
        <v>0</v>
      </c>
      <c r="BZ44" s="12" t="n">
        <f aca="false">BZ$40+BZ$41+BZ$42+BZ$43</f>
        <v>0</v>
      </c>
      <c r="CA44" s="12" t="n">
        <f aca="false">CA$40+CA$41+CA$42+CA$43</f>
        <v>0</v>
      </c>
      <c r="CB44" s="12" t="n">
        <f aca="false">CB$40+CB$41+CB$42+CB$43</f>
        <v>0</v>
      </c>
      <c r="CC44" s="12" t="n">
        <f aca="false">CC$40+CC$41+CC$42+CC$43</f>
        <v>0</v>
      </c>
      <c r="CD44" s="12" t="n">
        <f aca="false">CD$40+CD$41+CD$42+CD$43</f>
        <v>0</v>
      </c>
      <c r="CE44" s="12" t="n">
        <f aca="false">CE$40+CE$41+CE$42+CE$43</f>
        <v>0</v>
      </c>
      <c r="CF44" s="12" t="n">
        <f aca="false">CF$40+CF$41+CF$42+CF$43</f>
        <v>0</v>
      </c>
      <c r="CG44" s="12" t="n">
        <f aca="false">CG$40+CG$41+CG$42+CG$43</f>
        <v>0</v>
      </c>
      <c r="CH44" s="12" t="n">
        <f aca="false">CH$40+CH$41+CH$42+CH$43</f>
        <v>0</v>
      </c>
      <c r="CI44" s="12" t="n">
        <f aca="false">CI$40+CI$41+CI$42+CI$43</f>
        <v>0</v>
      </c>
      <c r="CJ44" s="12" t="n">
        <f aca="false">CJ$40+CJ$41+CJ$42+CJ$43</f>
        <v>0</v>
      </c>
      <c r="CK44" s="12" t="n">
        <f aca="false">CK$40+CK$41+CK$42+CK$43</f>
        <v>0</v>
      </c>
      <c r="CL44" s="12" t="n">
        <f aca="false">CL$40+CL$41+CL$42+CL$43</f>
        <v>0</v>
      </c>
      <c r="CM44" s="12" t="n">
        <f aca="false">CM$40+CM$41+CM$42+CM$43</f>
        <v>0</v>
      </c>
      <c r="CN44" s="12" t="n">
        <f aca="false">CN$40+CN$41+CN$42+CN$43</f>
        <v>0</v>
      </c>
      <c r="CO44" s="12" t="n">
        <f aca="false">CO$40+CO$41+CO$42+CO$43</f>
        <v>0</v>
      </c>
      <c r="CP44" s="12" t="n">
        <f aca="false">CP$40+CP$41+CP$42+CP$43</f>
        <v>0</v>
      </c>
      <c r="CQ44" s="12" t="n">
        <f aca="false">CQ$40+CQ$41+CQ$42+CQ$43</f>
        <v>0</v>
      </c>
      <c r="CR44" s="12" t="n">
        <f aca="false">CR$40+CR$41+CR$42+CR$43</f>
        <v>0</v>
      </c>
      <c r="CS44" s="12" t="n">
        <f aca="false">CS$40+CS$41+CS$42+CS$43</f>
        <v>0</v>
      </c>
      <c r="CT44" s="12" t="n">
        <f aca="false">CT$40+CT$41+CT$42+CT$43</f>
        <v>0</v>
      </c>
      <c r="CU44" s="12" t="n">
        <f aca="false">CU$40+CU$41+CU$42+CU$43</f>
        <v>0</v>
      </c>
      <c r="CV44" s="12" t="n">
        <f aca="false">CV$40+CV$41+CV$42+CV$43</f>
        <v>0</v>
      </c>
      <c r="CW44" s="12" t="n">
        <f aca="false">CW$40+CW$41+CW$42+CW$43</f>
        <v>0</v>
      </c>
      <c r="CX44" s="12" t="n">
        <f aca="false">CX$40+CX$41+CX$42+CX$43</f>
        <v>0</v>
      </c>
      <c r="CY44" s="12" t="n">
        <f aca="false">CY$40+CY$41+CY$42+CY$43</f>
        <v>0</v>
      </c>
      <c r="CZ44" s="12" t="n">
        <f aca="false">CZ$40+CZ$41+CZ$42+CZ$43</f>
        <v>0</v>
      </c>
      <c r="DA44" s="12" t="n">
        <f aca="false">DA$40+DA$41+DA$42+DA$43</f>
        <v>0</v>
      </c>
      <c r="DB44" s="12" t="n">
        <f aca="false">DB$40+DB$41+DB$42+DB$43</f>
        <v>0</v>
      </c>
      <c r="DC44" s="12" t="n">
        <f aca="false">DC$40+DC$41+DC$42+DC$43</f>
        <v>0</v>
      </c>
      <c r="DD44" s="12" t="n">
        <f aca="false">DD$40+DD$41+DD$42+DD$43</f>
        <v>0</v>
      </c>
      <c r="DE44" s="12" t="n">
        <f aca="false">DE$40+DE$41+DE$42+DE$43</f>
        <v>0</v>
      </c>
      <c r="DF44" s="12" t="n">
        <f aca="false">DF$40+DF$41+DF$42+DF$43</f>
        <v>0</v>
      </c>
      <c r="DG44" s="12" t="n">
        <f aca="false">DG$40+DG$41+DG$42+DG$43</f>
        <v>0</v>
      </c>
      <c r="DH44" s="12" t="n">
        <f aca="false">DH$40+DH$41+DH$42+DH$43</f>
        <v>0</v>
      </c>
      <c r="DI44" s="12" t="n">
        <f aca="false">DI$40+DI$41+DI$42+DI$43</f>
        <v>0</v>
      </c>
      <c r="DJ44" s="12" t="n">
        <f aca="false">DJ$40+DJ$41+DJ$42+DJ$43</f>
        <v>0</v>
      </c>
      <c r="DK44" s="12" t="n">
        <f aca="false">DK$40+DK$41+DK$42+DK$43</f>
        <v>0</v>
      </c>
      <c r="DL44" s="12" t="n">
        <f aca="false">DL$40+DL$41+DL$42+DL$43</f>
        <v>0</v>
      </c>
      <c r="DM44" s="12" t="n">
        <f aca="false">DM$40+DM$41+DM$42+DM$43</f>
        <v>0</v>
      </c>
      <c r="DN44" s="12" t="n">
        <f aca="false">DN$40+DN$41+DN$42+DN$43</f>
        <v>0</v>
      </c>
      <c r="DO44" s="12" t="n">
        <f aca="false">DO$40+DO$41+DO$42+DO$43</f>
        <v>0</v>
      </c>
      <c r="DP44" s="12" t="n">
        <f aca="false">DP$40+DP$41+DP$42+DP$43</f>
        <v>0</v>
      </c>
      <c r="DQ44" s="12" t="n">
        <f aca="false">DQ$40+DQ$41+DQ$42+DQ$43</f>
        <v>0</v>
      </c>
      <c r="DR44" s="12" t="n">
        <f aca="false">DR$40+DR$41+DR$42+DR$43</f>
        <v>0</v>
      </c>
      <c r="DS44" s="12" t="n">
        <f aca="false">DS$40+DS$41+DS$42+DS$43</f>
        <v>0</v>
      </c>
      <c r="DT44" s="12" t="n">
        <f aca="false">DT$40+DT$41+DT$42+DT$43</f>
        <v>0</v>
      </c>
      <c r="DU44" s="12" t="n">
        <f aca="false">DU$40+DU$41+DU$42+DU$43</f>
        <v>0</v>
      </c>
      <c r="DV44" s="12" t="n">
        <f aca="false">DV$40+DV$41+DV$42+DV$43</f>
        <v>0</v>
      </c>
      <c r="DW44" s="12" t="n">
        <f aca="false">DW$40+DW$41+DW$42+DW$43</f>
        <v>0</v>
      </c>
      <c r="DX44" s="12" t="n">
        <f aca="false">DX$40+DX$41+DX$42+DX$43</f>
        <v>0</v>
      </c>
      <c r="DY44" s="12" t="n">
        <f aca="false">DY$40+DY$41+DY$42+DY$43</f>
        <v>0</v>
      </c>
      <c r="DZ44" s="12" t="n">
        <f aca="false">DZ$40+DZ$41+DZ$42+DZ$43</f>
        <v>0</v>
      </c>
      <c r="EA44" s="12" t="n">
        <f aca="false">EA$40+EA$41+EA$42+EA$43</f>
        <v>0</v>
      </c>
      <c r="EB44" s="12" t="n">
        <f aca="false">EB$40+EB$41+EB$42+EB$43</f>
        <v>0</v>
      </c>
      <c r="EC44" s="12" t="n">
        <f aca="false">EC$40+EC$41+EC$42+EC$43</f>
        <v>0</v>
      </c>
      <c r="ED44" s="12" t="n">
        <f aca="false">ED$40+ED$41+ED$42+ED$43</f>
        <v>0</v>
      </c>
      <c r="EE44" s="12" t="n">
        <f aca="false">EE$40+EE$41+EE$42+EE$43</f>
        <v>0</v>
      </c>
      <c r="EF44" s="12" t="n">
        <f aca="false">EF$40+EF$41+EF$42+EF$43</f>
        <v>0</v>
      </c>
      <c r="EG44" s="12" t="n">
        <f aca="false">EG$40+EG$41+EG$42+EG$43</f>
        <v>0</v>
      </c>
      <c r="EH44" s="12" t="n">
        <f aca="false">EH$40+EH$41+EH$42+EH$43</f>
        <v>0</v>
      </c>
      <c r="EI44" s="12" t="n">
        <f aca="false">EI$40+EI$41+EI$42+EI$43</f>
        <v>0</v>
      </c>
      <c r="EJ44" s="12" t="n">
        <f aca="false">EJ$40+EJ$41+EJ$42+EJ$43</f>
        <v>0</v>
      </c>
      <c r="EK44" s="12" t="n">
        <f aca="false">EK$40+EK$41+EK$42+EK$43</f>
        <v>0</v>
      </c>
      <c r="EL44" s="12" t="n">
        <f aca="false">EL$40+EL$41+EL$42+EL$43</f>
        <v>0</v>
      </c>
      <c r="EM44" s="12" t="n">
        <f aca="false">EM$40+EM$41+EM$42+EM$43</f>
        <v>0</v>
      </c>
      <c r="EN44" s="12" t="n">
        <f aca="false">EN$40+EN$41+EN$42+EN$43</f>
        <v>0</v>
      </c>
      <c r="EO44" s="12" t="n">
        <f aca="false">EO$40+EO$41+EO$42+EO$43</f>
        <v>0</v>
      </c>
      <c r="EP44" s="12" t="n">
        <f aca="false">EP$40+EP$41+EP$42+EP$43</f>
        <v>0</v>
      </c>
      <c r="EQ44" s="12" t="n">
        <f aca="false">EQ$40+EQ$41+EQ$42+EQ$43</f>
        <v>0</v>
      </c>
      <c r="ER44" s="12" t="n">
        <f aca="false">ER$40+ER$41+ER$42+ER$43</f>
        <v>0</v>
      </c>
      <c r="ES44" s="12" t="n">
        <f aca="false">ES$40+ES$41+ES$42+ES$43</f>
        <v>0</v>
      </c>
      <c r="ET44" s="12" t="n">
        <f aca="false">ET$40+ET$41+ET$42+ET$43</f>
        <v>0</v>
      </c>
      <c r="EU44" s="12" t="n">
        <f aca="false">EU$40+EU$41+EU$42+EU$43</f>
        <v>0</v>
      </c>
      <c r="EV44" s="12" t="n">
        <f aca="false">EV$40+EV$41+EV$42+EV$43</f>
        <v>0</v>
      </c>
      <c r="EW44" s="12" t="n">
        <f aca="false">EW$40+EW$41+EW$42+EW$43</f>
        <v>0</v>
      </c>
      <c r="EX44" s="12" t="n">
        <f aca="false">EX$40+EX$41+EX$42+EX$43</f>
        <v>0</v>
      </c>
      <c r="EY44" s="12" t="n">
        <f aca="false">EY$40+EY$41+EY$42+EY$43</f>
        <v>0</v>
      </c>
      <c r="EZ44" s="12" t="n">
        <f aca="false">EZ$40+EZ$41+EZ$42+EZ$43</f>
        <v>0</v>
      </c>
      <c r="FA44" s="12" t="n">
        <f aca="false">FA$40+FA$41+FA$42+FA$43</f>
        <v>0</v>
      </c>
      <c r="FB44" s="12" t="n">
        <f aca="false">FB$40+FB$41+FB$42+FB$43</f>
        <v>0</v>
      </c>
      <c r="FC44" s="12" t="n">
        <f aca="false">FC$40+FC$41+FC$42+FC$43</f>
        <v>0</v>
      </c>
      <c r="FD44" s="12" t="n">
        <f aca="false">FD$40+FD$41+FD$42+FD$43</f>
        <v>0</v>
      </c>
      <c r="FE44" s="12" t="n">
        <f aca="false">FE$40+FE$41+FE$42+FE$43</f>
        <v>0</v>
      </c>
      <c r="FF44" s="12" t="n">
        <f aca="false">FF$40+FF$41+FF$42+FF$43</f>
        <v>0</v>
      </c>
    </row>
    <row r="45" customFormat="false" ht="15" hidden="false" customHeight="false" outlineLevel="0" collapsed="false">
      <c r="A45" s="2" t="s">
        <v>1507</v>
      </c>
      <c r="B45" s="8" t="s">
        <v>1508</v>
      </c>
      <c r="C45" s="8" t="s">
        <v>255</v>
      </c>
      <c r="E45" s="65" t="n">
        <f aca="false">SUM($F45:$FF45)</f>
        <v>14759841.6312133</v>
      </c>
      <c r="F45" s="13" t="n">
        <f aca="false">F$39-F$44</f>
        <v>0</v>
      </c>
      <c r="G45" s="13" t="n">
        <f aca="false">G$39-G$44</f>
        <v>23662.7899809864</v>
      </c>
      <c r="H45" s="13" t="n">
        <f aca="false">H$39-H$44</f>
        <v>18200.5177516707</v>
      </c>
      <c r="I45" s="13" t="n">
        <f aca="false">I$39-I$44</f>
        <v>13500.889920035</v>
      </c>
      <c r="J45" s="13" t="n">
        <f aca="false">J$39-J$44</f>
        <v>13500.889920035</v>
      </c>
      <c r="K45" s="13" t="n">
        <f aca="false">K$39-K$44</f>
        <v>13500.889920035</v>
      </c>
      <c r="L45" s="13" t="n">
        <f aca="false">L$39-L$44</f>
        <v>13500.889920035</v>
      </c>
      <c r="M45" s="13" t="n">
        <f aca="false">M$39-M$44</f>
        <v>13500.889920035</v>
      </c>
      <c r="N45" s="13" t="n">
        <f aca="false">N$39-N$44</f>
        <v>13848.4071788162</v>
      </c>
      <c r="O45" s="13" t="n">
        <f aca="false">O$39-O$44</f>
        <v>14198.5308170382</v>
      </c>
      <c r="P45" s="13" t="n">
        <f aca="false">P$39-P$44</f>
        <v>14551.2803825469</v>
      </c>
      <c r="Q45" s="13" t="n">
        <f aca="false">Q$39-Q$44</f>
        <v>14906.6755697969</v>
      </c>
      <c r="R45" s="13" t="n">
        <f aca="false">R$39-R$44</f>
        <v>17251.6295768415</v>
      </c>
      <c r="S45" s="13" t="n">
        <f aca="false">S$39-S$44</f>
        <v>50277.3887131083</v>
      </c>
      <c r="T45" s="13" t="n">
        <f aca="false">T$39-T$44</f>
        <v>53154.5031954894</v>
      </c>
      <c r="U45" s="13" t="n">
        <f aca="false">U$39-U$44</f>
        <v>53520.6807850865</v>
      </c>
      <c r="V45" s="13" t="n">
        <f aca="false">V$39-V$44</f>
        <v>53889.6047066056</v>
      </c>
      <c r="W45" s="13" t="n">
        <f aca="false">W$39-W$44</f>
        <v>54261.295557536</v>
      </c>
      <c r="X45" s="13" t="n">
        <f aca="false">X$39-X$44</f>
        <v>54635.7740898484</v>
      </c>
      <c r="Y45" s="13" t="n">
        <f aca="false">Y$39-Y$44</f>
        <v>55013.0612111532</v>
      </c>
      <c r="Z45" s="13" t="n">
        <f aca="false">Z$39-Z$44</f>
        <v>55393.1779858678</v>
      </c>
      <c r="AA45" s="13" t="n">
        <f aca="false">AA$39-AA$44</f>
        <v>55776.1456363927</v>
      </c>
      <c r="AB45" s="13" t="n">
        <f aca="false">AB$39-AB$44</f>
        <v>56161.9855442965</v>
      </c>
      <c r="AC45" s="13" t="n">
        <f aca="false">AC$39-AC$44</f>
        <v>56550.7192515097</v>
      </c>
      <c r="AD45" s="13" t="n">
        <f aca="false">AD$39-AD$44</f>
        <v>58328.7642481167</v>
      </c>
      <c r="AE45" s="13" t="n">
        <f aca="false">AE$39-AE$44</f>
        <v>93005.6743804461</v>
      </c>
      <c r="AF45" s="13" t="n">
        <f aca="false">AF$39-AF$44</f>
        <v>94324.1686532397</v>
      </c>
      <c r="AG45" s="13" t="n">
        <f aca="false">AG$39-AG$44</f>
        <v>94724.6962265135</v>
      </c>
      <c r="AH45" s="13" t="n">
        <f aca="false">AH$39-AH$44</f>
        <v>95128.2277565869</v>
      </c>
      <c r="AI45" s="13" t="n">
        <f aca="false">AI$39-AI$44</f>
        <v>95534.7857731358</v>
      </c>
      <c r="AJ45" s="13" t="n">
        <f aca="false">AJ$39-AJ$44</f>
        <v>95944.3929748088</v>
      </c>
      <c r="AK45" s="13" t="n">
        <f aca="false">AK$39-AK$44</f>
        <v>96357.0722304944</v>
      </c>
      <c r="AL45" s="13" t="n">
        <f aca="false">AL$39-AL$44</f>
        <v>96772.8465805976</v>
      </c>
      <c r="AM45" s="13" t="n">
        <f aca="false">AM$39-AM$44</f>
        <v>97191.7392383267</v>
      </c>
      <c r="AN45" s="13" t="n">
        <f aca="false">AN$39-AN$44</f>
        <v>97613.7735909886</v>
      </c>
      <c r="AO45" s="13" t="n">
        <f aca="false">AO$39-AO$44</f>
        <v>98038.9732012956</v>
      </c>
      <c r="AP45" s="13" t="n">
        <f aca="false">AP$39-AP$44</f>
        <v>99383.6923462099</v>
      </c>
      <c r="AQ45" s="13" t="n">
        <f aca="false">AQ$39-AQ$44</f>
        <v>131392.824398158</v>
      </c>
      <c r="AR45" s="13" t="n">
        <f aca="false">AR$39-AR$44</f>
        <v>132144.45121876</v>
      </c>
      <c r="AS45" s="13" t="n">
        <f aca="false">AS$39-AS$44</f>
        <v>132582.551041115</v>
      </c>
      <c r="AT45" s="13" t="n">
        <f aca="false">AT$39-AT$44</f>
        <v>133023.936612137</v>
      </c>
      <c r="AU45" s="13" t="n">
        <f aca="false">AU$39-AU$44</f>
        <v>133468.632574941</v>
      </c>
      <c r="AV45" s="13" t="n">
        <f aca="false">AV$39-AV$44</f>
        <v>133916.663757467</v>
      </c>
      <c r="AW45" s="13" t="n">
        <f aca="false">AW$39-AW$44</f>
        <v>134368.055173862</v>
      </c>
      <c r="AX45" s="13" t="n">
        <f aca="false">AX$39-AX$44</f>
        <v>134822.832025879</v>
      </c>
      <c r="AY45" s="13" t="n">
        <f aca="false">AY$39-AY$44</f>
        <v>135281.019704287</v>
      </c>
      <c r="AZ45" s="13" t="n">
        <f aca="false">AZ$39-AZ$44</f>
        <v>135742.643790283</v>
      </c>
      <c r="BA45" s="13" t="n">
        <f aca="false">BA$39-BA$44</f>
        <v>136207.730056924</v>
      </c>
      <c r="BB45" s="13" t="n">
        <f aca="false">BB$39-BB$44</f>
        <v>136676.304470564</v>
      </c>
      <c r="BC45" s="13" t="n">
        <f aca="false">BC$39-BC$44</f>
        <v>140115.713394781</v>
      </c>
      <c r="BD45" s="13" t="n">
        <f aca="false">BD$39-BD$44</f>
        <v>138946.789792975</v>
      </c>
      <c r="BE45" s="13" t="n">
        <f aca="false">BE$39-BE$44</f>
        <v>139425.986400534</v>
      </c>
      <c r="BF45" s="13" t="n">
        <f aca="false">BF$39-BF$44</f>
        <v>139908.776982651</v>
      </c>
      <c r="BG45" s="13" t="n">
        <f aca="false">BG$39-BG$44</f>
        <v>140395.188494133</v>
      </c>
      <c r="BH45" s="13" t="n">
        <f aca="false">BH$39-BH$44</f>
        <v>140885.248091951</v>
      </c>
      <c r="BI45" s="13" t="n">
        <f aca="false">BI$39-BI$44</f>
        <v>141378.983136753</v>
      </c>
      <c r="BJ45" s="13" t="n">
        <f aca="false">BJ$39-BJ$44</f>
        <v>141876.421194391</v>
      </c>
      <c r="BK45" s="13" t="n">
        <f aca="false">BK$39-BK$44</f>
        <v>142377.590037461</v>
      </c>
      <c r="BL45" s="13" t="n">
        <f aca="false">BL$39-BL$44</f>
        <v>142882.517646854</v>
      </c>
      <c r="BM45" s="13" t="n">
        <f aca="false">BM$39-BM$44</f>
        <v>143391.232213318</v>
      </c>
      <c r="BN45" s="13" t="n">
        <f aca="false">BN$39-BN$44</f>
        <v>143903.76213903</v>
      </c>
      <c r="BO45" s="13" t="n">
        <f aca="false">BO$39-BO$44</f>
        <v>150320.880596424</v>
      </c>
      <c r="BP45" s="13" t="n">
        <f aca="false">BP$39-BP$44</f>
        <v>149526.331935307</v>
      </c>
      <c r="BQ45" s="13" t="n">
        <f aca="false">BQ$39-BQ$44</f>
        <v>149526.331935307</v>
      </c>
      <c r="BR45" s="13" t="n">
        <f aca="false">BR$39-BR$44</f>
        <v>149526.331935307</v>
      </c>
      <c r="BS45" s="13" t="n">
        <f aca="false">BS$39-BS$44</f>
        <v>149526.331935307</v>
      </c>
      <c r="BT45" s="13" t="n">
        <f aca="false">BT$39-BT$44</f>
        <v>149526.331935307</v>
      </c>
      <c r="BU45" s="13" t="n">
        <f aca="false">BU$39-BU$44</f>
        <v>149526.331935307</v>
      </c>
      <c r="BV45" s="13" t="n">
        <f aca="false">BV$39-BV$44</f>
        <v>149526.331935307</v>
      </c>
      <c r="BW45" s="13" t="n">
        <f aca="false">BW$39-BW$44</f>
        <v>149526.331935307</v>
      </c>
      <c r="BX45" s="13" t="n">
        <f aca="false">BX$39-BX$44</f>
        <v>149526.331935307</v>
      </c>
      <c r="BY45" s="13" t="n">
        <f aca="false">BY$39-BY$44</f>
        <v>149526.331935307</v>
      </c>
      <c r="BZ45" s="13" t="n">
        <f aca="false">BZ$39-BZ$44</f>
        <v>149526.331935307</v>
      </c>
      <c r="CA45" s="13" t="n">
        <f aca="false">CA$39-CA$44</f>
        <v>154449.65512521</v>
      </c>
      <c r="CB45" s="13" t="n">
        <f aca="false">CB$39-CB$44</f>
        <v>153647.323761044</v>
      </c>
      <c r="CC45" s="13" t="n">
        <f aca="false">CC$39-CC$44</f>
        <v>153647.323761044</v>
      </c>
      <c r="CD45" s="13" t="n">
        <f aca="false">CD$39-CD$44</f>
        <v>153647.323761044</v>
      </c>
      <c r="CE45" s="13" t="n">
        <f aca="false">CE$39-CE$44</f>
        <v>153647.323761044</v>
      </c>
      <c r="CF45" s="13" t="n">
        <f aca="false">CF$39-CF$44</f>
        <v>153647.323761044</v>
      </c>
      <c r="CG45" s="13" t="n">
        <f aca="false">CG$39-CG$44</f>
        <v>153647.323761044</v>
      </c>
      <c r="CH45" s="13" t="n">
        <f aca="false">CH$39-CH$44</f>
        <v>153647.323761044</v>
      </c>
      <c r="CI45" s="13" t="n">
        <f aca="false">CI$39-CI$44</f>
        <v>153647.323761044</v>
      </c>
      <c r="CJ45" s="13" t="n">
        <f aca="false">CJ$39-CJ$44</f>
        <v>153647.323761044</v>
      </c>
      <c r="CK45" s="13" t="n">
        <f aca="false">CK$39-CK$44</f>
        <v>153647.323761044</v>
      </c>
      <c r="CL45" s="13" t="n">
        <f aca="false">CL$39-CL$44</f>
        <v>153647.323761044</v>
      </c>
      <c r="CM45" s="13" t="n">
        <f aca="false">CM$39-CM$44</f>
        <v>158607.870849024</v>
      </c>
      <c r="CN45" s="13" t="n">
        <f aca="false">CN$39-CN$44</f>
        <v>157797.678954778</v>
      </c>
      <c r="CO45" s="13" t="n">
        <f aca="false">CO$39-CO$44</f>
        <v>157797.678954778</v>
      </c>
      <c r="CP45" s="13" t="n">
        <f aca="false">CP$39-CP$44</f>
        <v>157797.678954778</v>
      </c>
      <c r="CQ45" s="13" t="n">
        <f aca="false">CQ$39-CQ$44</f>
        <v>157797.678954778</v>
      </c>
      <c r="CR45" s="13" t="n">
        <f aca="false">CR$39-CR$44</f>
        <v>157797.678954778</v>
      </c>
      <c r="CS45" s="13" t="n">
        <f aca="false">CS$39-CS$44</f>
        <v>157797.678954778</v>
      </c>
      <c r="CT45" s="13" t="n">
        <f aca="false">CT$39-CT$44</f>
        <v>157797.678954778</v>
      </c>
      <c r="CU45" s="13" t="n">
        <f aca="false">CU$39-CU$44</f>
        <v>157797.678954778</v>
      </c>
      <c r="CV45" s="13" t="n">
        <f aca="false">CV$39-CV$44</f>
        <v>157797.678954778</v>
      </c>
      <c r="CW45" s="13" t="n">
        <f aca="false">CW$39-CW$44</f>
        <v>157797.678954778</v>
      </c>
      <c r="CX45" s="13" t="n">
        <f aca="false">CX$39-CX$44</f>
        <v>157797.678954778</v>
      </c>
      <c r="CY45" s="13" t="n">
        <f aca="false">CY$39-CY$44</f>
        <v>162795.451186609</v>
      </c>
      <c r="CZ45" s="13" t="n">
        <f aca="false">CZ$39-CZ$44</f>
        <v>161977.320156982</v>
      </c>
      <c r="DA45" s="13" t="n">
        <f aca="false">DA$39-DA$44</f>
        <v>161977.320156982</v>
      </c>
      <c r="DB45" s="13" t="n">
        <f aca="false">DB$39-DB$44</f>
        <v>161977.320156982</v>
      </c>
      <c r="DC45" s="13" t="n">
        <f aca="false">DC$39-DC$44</f>
        <v>161977.320156982</v>
      </c>
      <c r="DD45" s="13" t="n">
        <f aca="false">DD$39-DD$44</f>
        <v>161977.320156982</v>
      </c>
      <c r="DE45" s="13" t="n">
        <f aca="false">DE$39-DE$44</f>
        <v>161977.320156982</v>
      </c>
      <c r="DF45" s="13" t="n">
        <f aca="false">DF$39-DF$44</f>
        <v>161977.320156982</v>
      </c>
      <c r="DG45" s="13" t="n">
        <f aca="false">DG$39-DG$44</f>
        <v>161977.320156982</v>
      </c>
      <c r="DH45" s="13" t="n">
        <f aca="false">DH$39-DH$44</f>
        <v>161977.320156982</v>
      </c>
      <c r="DI45" s="13" t="n">
        <f aca="false">DI$39-DI$44</f>
        <v>161977.320156982</v>
      </c>
      <c r="DJ45" s="13" t="n">
        <f aca="false">DJ$39-DJ$44</f>
        <v>161977.320156982</v>
      </c>
      <c r="DK45" s="13" t="n">
        <f aca="false">DK$39-DK$44</f>
        <v>167012.307661097</v>
      </c>
      <c r="DL45" s="13" t="n">
        <f aca="false">DL$39-DL$44</f>
        <v>166186.158104736</v>
      </c>
      <c r="DM45" s="13" t="n">
        <f aca="false">DM$39-DM$44</f>
        <v>166186.158104736</v>
      </c>
      <c r="DN45" s="13" t="n">
        <f aca="false">DN$39-DN$44</f>
        <v>166186.158104736</v>
      </c>
      <c r="DO45" s="13" t="n">
        <f aca="false">DO$39-DO$44</f>
        <v>166186.158104736</v>
      </c>
      <c r="DP45" s="13" t="n">
        <f aca="false">DP$39-DP$44</f>
        <v>166186.158104736</v>
      </c>
      <c r="DQ45" s="13" t="n">
        <f aca="false">DQ$39-DQ$44</f>
        <v>166186.158104736</v>
      </c>
      <c r="DR45" s="13" t="n">
        <f aca="false">DR$39-DR$44</f>
        <v>166186.158104736</v>
      </c>
      <c r="DS45" s="13" t="n">
        <f aca="false">DS$39-DS$44</f>
        <v>166186.158104736</v>
      </c>
      <c r="DT45" s="13" t="n">
        <f aca="false">DT$39-DT$44</f>
        <v>166186.158104736</v>
      </c>
      <c r="DU45" s="13" t="n">
        <f aca="false">DU$39-DU$44</f>
        <v>166186.158104736</v>
      </c>
      <c r="DV45" s="13" t="n">
        <f aca="false">DV$39-DV$44</f>
        <v>152135.402773569</v>
      </c>
      <c r="DW45" s="13" t="n">
        <f aca="false">DW$39-DW$44</f>
        <v>0</v>
      </c>
      <c r="DX45" s="13" t="n">
        <f aca="false">DX$39-DX$44</f>
        <v>0</v>
      </c>
      <c r="DY45" s="13" t="n">
        <f aca="false">DY$39-DY$44</f>
        <v>0</v>
      </c>
      <c r="DZ45" s="13" t="n">
        <f aca="false">DZ$39-DZ$44</f>
        <v>0</v>
      </c>
      <c r="EA45" s="13" t="n">
        <f aca="false">EA$39-EA$44</f>
        <v>0</v>
      </c>
      <c r="EB45" s="13" t="n">
        <f aca="false">EB$39-EB$44</f>
        <v>0</v>
      </c>
      <c r="EC45" s="13" t="n">
        <f aca="false">EC$39-EC$44</f>
        <v>0</v>
      </c>
      <c r="ED45" s="13" t="n">
        <f aca="false">ED$39-ED$44</f>
        <v>0</v>
      </c>
      <c r="EE45" s="13" t="n">
        <f aca="false">EE$39-EE$44</f>
        <v>0</v>
      </c>
      <c r="EF45" s="13" t="n">
        <f aca="false">EF$39-EF$44</f>
        <v>0</v>
      </c>
      <c r="EG45" s="13" t="n">
        <f aca="false">EG$39-EG$44</f>
        <v>0</v>
      </c>
      <c r="EH45" s="13" t="n">
        <f aca="false">EH$39-EH$44</f>
        <v>0</v>
      </c>
      <c r="EI45" s="13" t="n">
        <f aca="false">EI$39-EI$44</f>
        <v>0</v>
      </c>
      <c r="EJ45" s="13" t="n">
        <f aca="false">EJ$39-EJ$44</f>
        <v>0</v>
      </c>
      <c r="EK45" s="13" t="n">
        <f aca="false">EK$39-EK$44</f>
        <v>0</v>
      </c>
      <c r="EL45" s="13" t="n">
        <f aca="false">EL$39-EL$44</f>
        <v>0</v>
      </c>
      <c r="EM45" s="13" t="n">
        <f aca="false">EM$39-EM$44</f>
        <v>0</v>
      </c>
      <c r="EN45" s="13" t="n">
        <f aca="false">EN$39-EN$44</f>
        <v>0</v>
      </c>
      <c r="EO45" s="13" t="n">
        <f aca="false">EO$39-EO$44</f>
        <v>0</v>
      </c>
      <c r="EP45" s="13" t="n">
        <f aca="false">EP$39-EP$44</f>
        <v>0</v>
      </c>
      <c r="EQ45" s="13" t="n">
        <f aca="false">EQ$39-EQ$44</f>
        <v>0</v>
      </c>
      <c r="ER45" s="13" t="n">
        <f aca="false">ER$39-ER$44</f>
        <v>0</v>
      </c>
      <c r="ES45" s="13" t="n">
        <f aca="false">ES$39-ES$44</f>
        <v>0</v>
      </c>
      <c r="ET45" s="13" t="n">
        <f aca="false">ET$39-ET$44</f>
        <v>0</v>
      </c>
      <c r="EU45" s="13" t="n">
        <f aca="false">EU$39-EU$44</f>
        <v>0</v>
      </c>
      <c r="EV45" s="13" t="n">
        <f aca="false">EV$39-EV$44</f>
        <v>0</v>
      </c>
      <c r="EW45" s="13" t="n">
        <f aca="false">EW$39-EW$44</f>
        <v>0</v>
      </c>
      <c r="EX45" s="13" t="n">
        <f aca="false">EX$39-EX$44</f>
        <v>0</v>
      </c>
      <c r="EY45" s="13" t="n">
        <f aca="false">EY$39-EY$44</f>
        <v>0</v>
      </c>
      <c r="EZ45" s="13" t="n">
        <f aca="false">EZ$39-EZ$44</f>
        <v>0</v>
      </c>
      <c r="FA45" s="13" t="n">
        <f aca="false">FA$39-FA$44</f>
        <v>0</v>
      </c>
      <c r="FB45" s="13" t="n">
        <f aca="false">FB$39-FB$44</f>
        <v>0</v>
      </c>
      <c r="FC45" s="13" t="n">
        <f aca="false">FC$39-FC$44</f>
        <v>0</v>
      </c>
      <c r="FD45" s="13" t="n">
        <f aca="false">FD$39-FD$44</f>
        <v>0</v>
      </c>
      <c r="FE45" s="13" t="n">
        <f aca="false">FE$39-FE$44</f>
        <v>0</v>
      </c>
      <c r="FF45" s="13" t="n">
        <f aca="false">FF$39-FF$44</f>
        <v>0</v>
      </c>
    </row>
    <row r="46" customFormat="false" ht="15" hidden="false" customHeight="false" outlineLevel="0" collapsed="false">
      <c r="A46" s="2" t="s">
        <v>1509</v>
      </c>
      <c r="B46" s="8" t="s">
        <v>1510</v>
      </c>
      <c r="C46" s="8" t="s">
        <v>255</v>
      </c>
      <c r="E46" s="65" t="n">
        <f aca="false">SUM($F46:$FF46)</f>
        <v>0</v>
      </c>
      <c r="F46" s="13" t="n">
        <f aca="false">p_IRE*F$45</f>
        <v>0</v>
      </c>
      <c r="G46" s="13" t="n">
        <f aca="false">p_IRE*G$45</f>
        <v>0</v>
      </c>
      <c r="H46" s="13" t="n">
        <f aca="false">p_IRE*H$45</f>
        <v>0</v>
      </c>
      <c r="I46" s="13" t="n">
        <f aca="false">p_IRE*I$45</f>
        <v>0</v>
      </c>
      <c r="J46" s="13" t="n">
        <f aca="false">p_IRE*J$45</f>
        <v>0</v>
      </c>
      <c r="K46" s="13" t="n">
        <f aca="false">p_IRE*K$45</f>
        <v>0</v>
      </c>
      <c r="L46" s="13" t="n">
        <f aca="false">p_IRE*L$45</f>
        <v>0</v>
      </c>
      <c r="M46" s="13" t="n">
        <f aca="false">p_IRE*M$45</f>
        <v>0</v>
      </c>
      <c r="N46" s="13" t="n">
        <f aca="false">p_IRE*N$45</f>
        <v>0</v>
      </c>
      <c r="O46" s="13" t="n">
        <f aca="false">p_IRE*O$45</f>
        <v>0</v>
      </c>
      <c r="P46" s="13" t="n">
        <f aca="false">p_IRE*P$45</f>
        <v>0</v>
      </c>
      <c r="Q46" s="13" t="n">
        <f aca="false">p_IRE*Q$45</f>
        <v>0</v>
      </c>
      <c r="R46" s="13" t="n">
        <f aca="false">p_IRE*R$45</f>
        <v>0</v>
      </c>
      <c r="S46" s="13" t="n">
        <f aca="false">p_IRE*S$45</f>
        <v>0</v>
      </c>
      <c r="T46" s="13" t="n">
        <f aca="false">p_IRE*T$45</f>
        <v>0</v>
      </c>
      <c r="U46" s="13" t="n">
        <f aca="false">p_IRE*U$45</f>
        <v>0</v>
      </c>
      <c r="V46" s="13" t="n">
        <f aca="false">p_IRE*V$45</f>
        <v>0</v>
      </c>
      <c r="W46" s="13" t="n">
        <f aca="false">p_IRE*W$45</f>
        <v>0</v>
      </c>
      <c r="X46" s="13" t="n">
        <f aca="false">p_IRE*X$45</f>
        <v>0</v>
      </c>
      <c r="Y46" s="13" t="n">
        <f aca="false">p_IRE*Y$45</f>
        <v>0</v>
      </c>
      <c r="Z46" s="13" t="n">
        <f aca="false">p_IRE*Z$45</f>
        <v>0</v>
      </c>
      <c r="AA46" s="13" t="n">
        <f aca="false">p_IRE*AA$45</f>
        <v>0</v>
      </c>
      <c r="AB46" s="13" t="n">
        <f aca="false">p_IRE*AB$45</f>
        <v>0</v>
      </c>
      <c r="AC46" s="13" t="n">
        <f aca="false">p_IRE*AC$45</f>
        <v>0</v>
      </c>
      <c r="AD46" s="13" t="n">
        <f aca="false">p_IRE*AD$45</f>
        <v>0</v>
      </c>
      <c r="AE46" s="13" t="n">
        <f aca="false">p_IRE*AE$45</f>
        <v>0</v>
      </c>
      <c r="AF46" s="13" t="n">
        <f aca="false">p_IRE*AF$45</f>
        <v>0</v>
      </c>
      <c r="AG46" s="13" t="n">
        <f aca="false">p_IRE*AG$45</f>
        <v>0</v>
      </c>
      <c r="AH46" s="13" t="n">
        <f aca="false">p_IRE*AH$45</f>
        <v>0</v>
      </c>
      <c r="AI46" s="13" t="n">
        <f aca="false">p_IRE*AI$45</f>
        <v>0</v>
      </c>
      <c r="AJ46" s="13" t="n">
        <f aca="false">p_IRE*AJ$45</f>
        <v>0</v>
      </c>
      <c r="AK46" s="13" t="n">
        <f aca="false">p_IRE*AK$45</f>
        <v>0</v>
      </c>
      <c r="AL46" s="13" t="n">
        <f aca="false">p_IRE*AL$45</f>
        <v>0</v>
      </c>
      <c r="AM46" s="13" t="n">
        <f aca="false">p_IRE*AM$45</f>
        <v>0</v>
      </c>
      <c r="AN46" s="13" t="n">
        <f aca="false">p_IRE*AN$45</f>
        <v>0</v>
      </c>
      <c r="AO46" s="13" t="n">
        <f aca="false">p_IRE*AO$45</f>
        <v>0</v>
      </c>
      <c r="AP46" s="13" t="n">
        <f aca="false">p_IRE*AP$45</f>
        <v>0</v>
      </c>
      <c r="AQ46" s="13" t="n">
        <f aca="false">p_IRE*AQ$45</f>
        <v>0</v>
      </c>
      <c r="AR46" s="13" t="n">
        <f aca="false">p_IRE*AR$45</f>
        <v>0</v>
      </c>
      <c r="AS46" s="13" t="n">
        <f aca="false">p_IRE*AS$45</f>
        <v>0</v>
      </c>
      <c r="AT46" s="13" t="n">
        <f aca="false">p_IRE*AT$45</f>
        <v>0</v>
      </c>
      <c r="AU46" s="13" t="n">
        <f aca="false">p_IRE*AU$45</f>
        <v>0</v>
      </c>
      <c r="AV46" s="13" t="n">
        <f aca="false">p_IRE*AV$45</f>
        <v>0</v>
      </c>
      <c r="AW46" s="13" t="n">
        <f aca="false">p_IRE*AW$45</f>
        <v>0</v>
      </c>
      <c r="AX46" s="13" t="n">
        <f aca="false">p_IRE*AX$45</f>
        <v>0</v>
      </c>
      <c r="AY46" s="13" t="n">
        <f aca="false">p_IRE*AY$45</f>
        <v>0</v>
      </c>
      <c r="AZ46" s="13" t="n">
        <f aca="false">p_IRE*AZ$45</f>
        <v>0</v>
      </c>
      <c r="BA46" s="13" t="n">
        <f aca="false">p_IRE*BA$45</f>
        <v>0</v>
      </c>
      <c r="BB46" s="13" t="n">
        <f aca="false">p_IRE*BB$45</f>
        <v>0</v>
      </c>
      <c r="BC46" s="13" t="n">
        <f aca="false">p_IRE*BC$45</f>
        <v>0</v>
      </c>
      <c r="BD46" s="13" t="n">
        <f aca="false">p_IRE*BD$45</f>
        <v>0</v>
      </c>
      <c r="BE46" s="13" t="n">
        <f aca="false">p_IRE*BE$45</f>
        <v>0</v>
      </c>
      <c r="BF46" s="13" t="n">
        <f aca="false">p_IRE*BF$45</f>
        <v>0</v>
      </c>
      <c r="BG46" s="13" t="n">
        <f aca="false">p_IRE*BG$45</f>
        <v>0</v>
      </c>
      <c r="BH46" s="13" t="n">
        <f aca="false">p_IRE*BH$45</f>
        <v>0</v>
      </c>
      <c r="BI46" s="13" t="n">
        <f aca="false">p_IRE*BI$45</f>
        <v>0</v>
      </c>
      <c r="BJ46" s="13" t="n">
        <f aca="false">p_IRE*BJ$45</f>
        <v>0</v>
      </c>
      <c r="BK46" s="13" t="n">
        <f aca="false">p_IRE*BK$45</f>
        <v>0</v>
      </c>
      <c r="BL46" s="13" t="n">
        <f aca="false">p_IRE*BL$45</f>
        <v>0</v>
      </c>
      <c r="BM46" s="13" t="n">
        <f aca="false">p_IRE*BM$45</f>
        <v>0</v>
      </c>
      <c r="BN46" s="13" t="n">
        <f aca="false">p_IRE*BN$45</f>
        <v>0</v>
      </c>
      <c r="BO46" s="13" t="n">
        <f aca="false">p_IRE*BO$45</f>
        <v>0</v>
      </c>
      <c r="BP46" s="13" t="n">
        <f aca="false">p_IRE*BP$45</f>
        <v>0</v>
      </c>
      <c r="BQ46" s="13" t="n">
        <f aca="false">p_IRE*BQ$45</f>
        <v>0</v>
      </c>
      <c r="BR46" s="13" t="n">
        <f aca="false">p_IRE*BR$45</f>
        <v>0</v>
      </c>
      <c r="BS46" s="13" t="n">
        <f aca="false">p_IRE*BS$45</f>
        <v>0</v>
      </c>
      <c r="BT46" s="13" t="n">
        <f aca="false">p_IRE*BT$45</f>
        <v>0</v>
      </c>
      <c r="BU46" s="13" t="n">
        <f aca="false">p_IRE*BU$45</f>
        <v>0</v>
      </c>
      <c r="BV46" s="13" t="n">
        <f aca="false">p_IRE*BV$45</f>
        <v>0</v>
      </c>
      <c r="BW46" s="13" t="n">
        <f aca="false">p_IRE*BW$45</f>
        <v>0</v>
      </c>
      <c r="BX46" s="13" t="n">
        <f aca="false">p_IRE*BX$45</f>
        <v>0</v>
      </c>
      <c r="BY46" s="13" t="n">
        <f aca="false">p_IRE*BY$45</f>
        <v>0</v>
      </c>
      <c r="BZ46" s="13" t="n">
        <f aca="false">p_IRE*BZ$45</f>
        <v>0</v>
      </c>
      <c r="CA46" s="13" t="n">
        <f aca="false">p_IRE*CA$45</f>
        <v>0</v>
      </c>
      <c r="CB46" s="13" t="n">
        <f aca="false">p_IRE*CB$45</f>
        <v>0</v>
      </c>
      <c r="CC46" s="13" t="n">
        <f aca="false">p_IRE*CC$45</f>
        <v>0</v>
      </c>
      <c r="CD46" s="13" t="n">
        <f aca="false">p_IRE*CD$45</f>
        <v>0</v>
      </c>
      <c r="CE46" s="13" t="n">
        <f aca="false">p_IRE*CE$45</f>
        <v>0</v>
      </c>
      <c r="CF46" s="13" t="n">
        <f aca="false">p_IRE*CF$45</f>
        <v>0</v>
      </c>
      <c r="CG46" s="13" t="n">
        <f aca="false">p_IRE*CG$45</f>
        <v>0</v>
      </c>
      <c r="CH46" s="13" t="n">
        <f aca="false">p_IRE*CH$45</f>
        <v>0</v>
      </c>
      <c r="CI46" s="13" t="n">
        <f aca="false">p_IRE*CI$45</f>
        <v>0</v>
      </c>
      <c r="CJ46" s="13" t="n">
        <f aca="false">p_IRE*CJ$45</f>
        <v>0</v>
      </c>
      <c r="CK46" s="13" t="n">
        <f aca="false">p_IRE*CK$45</f>
        <v>0</v>
      </c>
      <c r="CL46" s="13" t="n">
        <f aca="false">p_IRE*CL$45</f>
        <v>0</v>
      </c>
      <c r="CM46" s="13" t="n">
        <f aca="false">p_IRE*CM$45</f>
        <v>0</v>
      </c>
      <c r="CN46" s="13" t="n">
        <f aca="false">p_IRE*CN$45</f>
        <v>0</v>
      </c>
      <c r="CO46" s="13" t="n">
        <f aca="false">p_IRE*CO$45</f>
        <v>0</v>
      </c>
      <c r="CP46" s="13" t="n">
        <f aca="false">p_IRE*CP$45</f>
        <v>0</v>
      </c>
      <c r="CQ46" s="13" t="n">
        <f aca="false">p_IRE*CQ$45</f>
        <v>0</v>
      </c>
      <c r="CR46" s="13" t="n">
        <f aca="false">p_IRE*CR$45</f>
        <v>0</v>
      </c>
      <c r="CS46" s="13" t="n">
        <f aca="false">p_IRE*CS$45</f>
        <v>0</v>
      </c>
      <c r="CT46" s="13" t="n">
        <f aca="false">p_IRE*CT$45</f>
        <v>0</v>
      </c>
      <c r="CU46" s="13" t="n">
        <f aca="false">p_IRE*CU$45</f>
        <v>0</v>
      </c>
      <c r="CV46" s="13" t="n">
        <f aca="false">p_IRE*CV$45</f>
        <v>0</v>
      </c>
      <c r="CW46" s="13" t="n">
        <f aca="false">p_IRE*CW$45</f>
        <v>0</v>
      </c>
      <c r="CX46" s="13" t="n">
        <f aca="false">p_IRE*CX$45</f>
        <v>0</v>
      </c>
      <c r="CY46" s="13" t="n">
        <f aca="false">p_IRE*CY$45</f>
        <v>0</v>
      </c>
      <c r="CZ46" s="13" t="n">
        <f aca="false">p_IRE*CZ$45</f>
        <v>0</v>
      </c>
      <c r="DA46" s="13" t="n">
        <f aca="false">p_IRE*DA$45</f>
        <v>0</v>
      </c>
      <c r="DB46" s="13" t="n">
        <f aca="false">p_IRE*DB$45</f>
        <v>0</v>
      </c>
      <c r="DC46" s="13" t="n">
        <f aca="false">p_IRE*DC$45</f>
        <v>0</v>
      </c>
      <c r="DD46" s="13" t="n">
        <f aca="false">p_IRE*DD$45</f>
        <v>0</v>
      </c>
      <c r="DE46" s="13" t="n">
        <f aca="false">p_IRE*DE$45</f>
        <v>0</v>
      </c>
      <c r="DF46" s="13" t="n">
        <f aca="false">p_IRE*DF$45</f>
        <v>0</v>
      </c>
      <c r="DG46" s="13" t="n">
        <f aca="false">p_IRE*DG$45</f>
        <v>0</v>
      </c>
      <c r="DH46" s="13" t="n">
        <f aca="false">p_IRE*DH$45</f>
        <v>0</v>
      </c>
      <c r="DI46" s="13" t="n">
        <f aca="false">p_IRE*DI$45</f>
        <v>0</v>
      </c>
      <c r="DJ46" s="13" t="n">
        <f aca="false">p_IRE*DJ$45</f>
        <v>0</v>
      </c>
      <c r="DK46" s="13" t="n">
        <f aca="false">p_IRE*DK$45</f>
        <v>0</v>
      </c>
      <c r="DL46" s="13" t="n">
        <f aca="false">p_IRE*DL$45</f>
        <v>0</v>
      </c>
      <c r="DM46" s="13" t="n">
        <f aca="false">p_IRE*DM$45</f>
        <v>0</v>
      </c>
      <c r="DN46" s="13" t="n">
        <f aca="false">p_IRE*DN$45</f>
        <v>0</v>
      </c>
      <c r="DO46" s="13" t="n">
        <f aca="false">p_IRE*DO$45</f>
        <v>0</v>
      </c>
      <c r="DP46" s="13" t="n">
        <f aca="false">p_IRE*DP$45</f>
        <v>0</v>
      </c>
      <c r="DQ46" s="13" t="n">
        <f aca="false">p_IRE*DQ$45</f>
        <v>0</v>
      </c>
      <c r="DR46" s="13" t="n">
        <f aca="false">p_IRE*DR$45</f>
        <v>0</v>
      </c>
      <c r="DS46" s="13" t="n">
        <f aca="false">p_IRE*DS$45</f>
        <v>0</v>
      </c>
      <c r="DT46" s="13" t="n">
        <f aca="false">p_IRE*DT$45</f>
        <v>0</v>
      </c>
      <c r="DU46" s="13" t="n">
        <f aca="false">p_IRE*DU$45</f>
        <v>0</v>
      </c>
      <c r="DV46" s="13" t="n">
        <f aca="false">p_IRE*DV$45</f>
        <v>0</v>
      </c>
      <c r="DW46" s="13" t="n">
        <f aca="false">p_IRE*DW$45</f>
        <v>0</v>
      </c>
      <c r="DX46" s="13" t="n">
        <f aca="false">p_IRE*DX$45</f>
        <v>0</v>
      </c>
      <c r="DY46" s="13" t="n">
        <f aca="false">p_IRE*DY$45</f>
        <v>0</v>
      </c>
      <c r="DZ46" s="13" t="n">
        <f aca="false">p_IRE*DZ$45</f>
        <v>0</v>
      </c>
      <c r="EA46" s="13" t="n">
        <f aca="false">p_IRE*EA$45</f>
        <v>0</v>
      </c>
      <c r="EB46" s="13" t="n">
        <f aca="false">p_IRE*EB$45</f>
        <v>0</v>
      </c>
      <c r="EC46" s="13" t="n">
        <f aca="false">p_IRE*EC$45</f>
        <v>0</v>
      </c>
      <c r="ED46" s="13" t="n">
        <f aca="false">p_IRE*ED$45</f>
        <v>0</v>
      </c>
      <c r="EE46" s="13" t="n">
        <f aca="false">p_IRE*EE$45</f>
        <v>0</v>
      </c>
      <c r="EF46" s="13" t="n">
        <f aca="false">p_IRE*EF$45</f>
        <v>0</v>
      </c>
      <c r="EG46" s="13" t="n">
        <f aca="false">p_IRE*EG$45</f>
        <v>0</v>
      </c>
      <c r="EH46" s="13" t="n">
        <f aca="false">p_IRE*EH$45</f>
        <v>0</v>
      </c>
      <c r="EI46" s="13" t="n">
        <f aca="false">p_IRE*EI$45</f>
        <v>0</v>
      </c>
      <c r="EJ46" s="13" t="n">
        <f aca="false">p_IRE*EJ$45</f>
        <v>0</v>
      </c>
      <c r="EK46" s="13" t="n">
        <f aca="false">p_IRE*EK$45</f>
        <v>0</v>
      </c>
      <c r="EL46" s="13" t="n">
        <f aca="false">p_IRE*EL$45</f>
        <v>0</v>
      </c>
      <c r="EM46" s="13" t="n">
        <f aca="false">p_IRE*EM$45</f>
        <v>0</v>
      </c>
      <c r="EN46" s="13" t="n">
        <f aca="false">p_IRE*EN$45</f>
        <v>0</v>
      </c>
      <c r="EO46" s="13" t="n">
        <f aca="false">p_IRE*EO$45</f>
        <v>0</v>
      </c>
      <c r="EP46" s="13" t="n">
        <f aca="false">p_IRE*EP$45</f>
        <v>0</v>
      </c>
      <c r="EQ46" s="13" t="n">
        <f aca="false">p_IRE*EQ$45</f>
        <v>0</v>
      </c>
      <c r="ER46" s="13" t="n">
        <f aca="false">p_IRE*ER$45</f>
        <v>0</v>
      </c>
      <c r="ES46" s="13" t="n">
        <f aca="false">p_IRE*ES$45</f>
        <v>0</v>
      </c>
      <c r="ET46" s="13" t="n">
        <f aca="false">p_IRE*ET$45</f>
        <v>0</v>
      </c>
      <c r="EU46" s="13" t="n">
        <f aca="false">p_IRE*EU$45</f>
        <v>0</v>
      </c>
      <c r="EV46" s="13" t="n">
        <f aca="false">p_IRE*EV$45</f>
        <v>0</v>
      </c>
      <c r="EW46" s="13" t="n">
        <f aca="false">p_IRE*EW$45</f>
        <v>0</v>
      </c>
      <c r="EX46" s="13" t="n">
        <f aca="false">p_IRE*EX$45</f>
        <v>0</v>
      </c>
      <c r="EY46" s="13" t="n">
        <f aca="false">p_IRE*EY$45</f>
        <v>0</v>
      </c>
      <c r="EZ46" s="13" t="n">
        <f aca="false">p_IRE*EZ$45</f>
        <v>0</v>
      </c>
      <c r="FA46" s="13" t="n">
        <f aca="false">p_IRE*FA$45</f>
        <v>0</v>
      </c>
      <c r="FB46" s="13" t="n">
        <f aca="false">p_IRE*FB$45</f>
        <v>0</v>
      </c>
      <c r="FC46" s="13" t="n">
        <f aca="false">p_IRE*FC$45</f>
        <v>0</v>
      </c>
      <c r="FD46" s="13" t="n">
        <f aca="false">p_IRE*FD$45</f>
        <v>0</v>
      </c>
      <c r="FE46" s="13" t="n">
        <f aca="false">p_IRE*FE$45</f>
        <v>0</v>
      </c>
      <c r="FF46" s="13" t="n">
        <f aca="false">p_IRE*FF$45</f>
        <v>0</v>
      </c>
    </row>
    <row r="47" customFormat="false" ht="15" hidden="false" customHeight="false" outlineLevel="0" collapsed="false">
      <c r="A47" s="2" t="s">
        <v>1511</v>
      </c>
      <c r="B47" s="66" t="s">
        <v>1512</v>
      </c>
      <c r="C47" s="8" t="s">
        <v>255</v>
      </c>
      <c r="E47" s="67" t="n">
        <f aca="false">SUM($F47:$FF47)</f>
        <v>14759841.6312133</v>
      </c>
      <c r="F47" s="12" t="n">
        <f aca="false">F$45-F$46</f>
        <v>0</v>
      </c>
      <c r="G47" s="12" t="n">
        <f aca="false">G$45-G$46</f>
        <v>23662.7899809864</v>
      </c>
      <c r="H47" s="12" t="n">
        <f aca="false">H$45-H$46</f>
        <v>18200.5177516707</v>
      </c>
      <c r="I47" s="12" t="n">
        <f aca="false">I$45-I$46</f>
        <v>13500.889920035</v>
      </c>
      <c r="J47" s="12" t="n">
        <f aca="false">J$45-J$46</f>
        <v>13500.889920035</v>
      </c>
      <c r="K47" s="12" t="n">
        <f aca="false">K$45-K$46</f>
        <v>13500.889920035</v>
      </c>
      <c r="L47" s="12" t="n">
        <f aca="false">L$45-L$46</f>
        <v>13500.889920035</v>
      </c>
      <c r="M47" s="12" t="n">
        <f aca="false">M$45-M$46</f>
        <v>13500.889920035</v>
      </c>
      <c r="N47" s="12" t="n">
        <f aca="false">N$45-N$46</f>
        <v>13848.4071788162</v>
      </c>
      <c r="O47" s="12" t="n">
        <f aca="false">O$45-O$46</f>
        <v>14198.5308170382</v>
      </c>
      <c r="P47" s="12" t="n">
        <f aca="false">P$45-P$46</f>
        <v>14551.2803825469</v>
      </c>
      <c r="Q47" s="12" t="n">
        <f aca="false">Q$45-Q$46</f>
        <v>14906.6755697969</v>
      </c>
      <c r="R47" s="12" t="n">
        <f aca="false">R$45-R$46</f>
        <v>17251.6295768415</v>
      </c>
      <c r="S47" s="12" t="n">
        <f aca="false">S$45-S$46</f>
        <v>50277.3887131083</v>
      </c>
      <c r="T47" s="12" t="n">
        <f aca="false">T$45-T$46</f>
        <v>53154.5031954894</v>
      </c>
      <c r="U47" s="12" t="n">
        <f aca="false">U$45-U$46</f>
        <v>53520.6807850865</v>
      </c>
      <c r="V47" s="12" t="n">
        <f aca="false">V$45-V$46</f>
        <v>53889.6047066056</v>
      </c>
      <c r="W47" s="12" t="n">
        <f aca="false">W$45-W$46</f>
        <v>54261.295557536</v>
      </c>
      <c r="X47" s="12" t="n">
        <f aca="false">X$45-X$46</f>
        <v>54635.7740898484</v>
      </c>
      <c r="Y47" s="12" t="n">
        <f aca="false">Y$45-Y$46</f>
        <v>55013.0612111532</v>
      </c>
      <c r="Z47" s="12" t="n">
        <f aca="false">Z$45-Z$46</f>
        <v>55393.1779858678</v>
      </c>
      <c r="AA47" s="12" t="n">
        <f aca="false">AA$45-AA$46</f>
        <v>55776.1456363927</v>
      </c>
      <c r="AB47" s="12" t="n">
        <f aca="false">AB$45-AB$46</f>
        <v>56161.9855442965</v>
      </c>
      <c r="AC47" s="12" t="n">
        <f aca="false">AC$45-AC$46</f>
        <v>56550.7192515097</v>
      </c>
      <c r="AD47" s="12" t="n">
        <f aca="false">AD$45-AD$46</f>
        <v>58328.7642481167</v>
      </c>
      <c r="AE47" s="12" t="n">
        <f aca="false">AE$45-AE$46</f>
        <v>93005.6743804461</v>
      </c>
      <c r="AF47" s="12" t="n">
        <f aca="false">AF$45-AF$46</f>
        <v>94324.1686532397</v>
      </c>
      <c r="AG47" s="12" t="n">
        <f aca="false">AG$45-AG$46</f>
        <v>94724.6962265135</v>
      </c>
      <c r="AH47" s="12" t="n">
        <f aca="false">AH$45-AH$46</f>
        <v>95128.2277565869</v>
      </c>
      <c r="AI47" s="12" t="n">
        <f aca="false">AI$45-AI$46</f>
        <v>95534.7857731358</v>
      </c>
      <c r="AJ47" s="12" t="n">
        <f aca="false">AJ$45-AJ$46</f>
        <v>95944.3929748088</v>
      </c>
      <c r="AK47" s="12" t="n">
        <f aca="false">AK$45-AK$46</f>
        <v>96357.0722304944</v>
      </c>
      <c r="AL47" s="12" t="n">
        <f aca="false">AL$45-AL$46</f>
        <v>96772.8465805976</v>
      </c>
      <c r="AM47" s="12" t="n">
        <f aca="false">AM$45-AM$46</f>
        <v>97191.7392383267</v>
      </c>
      <c r="AN47" s="12" t="n">
        <f aca="false">AN$45-AN$46</f>
        <v>97613.7735909886</v>
      </c>
      <c r="AO47" s="12" t="n">
        <f aca="false">AO$45-AO$46</f>
        <v>98038.9732012956</v>
      </c>
      <c r="AP47" s="12" t="n">
        <f aca="false">AP$45-AP$46</f>
        <v>99383.6923462099</v>
      </c>
      <c r="AQ47" s="12" t="n">
        <f aca="false">AQ$45-AQ$46</f>
        <v>131392.824398158</v>
      </c>
      <c r="AR47" s="12" t="n">
        <f aca="false">AR$45-AR$46</f>
        <v>132144.45121876</v>
      </c>
      <c r="AS47" s="12" t="n">
        <f aca="false">AS$45-AS$46</f>
        <v>132582.551041115</v>
      </c>
      <c r="AT47" s="12" t="n">
        <f aca="false">AT$45-AT$46</f>
        <v>133023.936612137</v>
      </c>
      <c r="AU47" s="12" t="n">
        <f aca="false">AU$45-AU$46</f>
        <v>133468.632574941</v>
      </c>
      <c r="AV47" s="12" t="n">
        <f aca="false">AV$45-AV$46</f>
        <v>133916.663757467</v>
      </c>
      <c r="AW47" s="12" t="n">
        <f aca="false">AW$45-AW$46</f>
        <v>134368.055173862</v>
      </c>
      <c r="AX47" s="12" t="n">
        <f aca="false">AX$45-AX$46</f>
        <v>134822.832025879</v>
      </c>
      <c r="AY47" s="12" t="n">
        <f aca="false">AY$45-AY$46</f>
        <v>135281.019704287</v>
      </c>
      <c r="AZ47" s="12" t="n">
        <f aca="false">AZ$45-AZ$46</f>
        <v>135742.643790283</v>
      </c>
      <c r="BA47" s="12" t="n">
        <f aca="false">BA$45-BA$46</f>
        <v>136207.730056924</v>
      </c>
      <c r="BB47" s="12" t="n">
        <f aca="false">BB$45-BB$46</f>
        <v>136676.304470564</v>
      </c>
      <c r="BC47" s="12" t="n">
        <f aca="false">BC$45-BC$46</f>
        <v>140115.713394781</v>
      </c>
      <c r="BD47" s="12" t="n">
        <f aca="false">BD$45-BD$46</f>
        <v>138946.789792975</v>
      </c>
      <c r="BE47" s="12" t="n">
        <f aca="false">BE$45-BE$46</f>
        <v>139425.986400534</v>
      </c>
      <c r="BF47" s="12" t="n">
        <f aca="false">BF$45-BF$46</f>
        <v>139908.776982651</v>
      </c>
      <c r="BG47" s="12" t="n">
        <f aca="false">BG$45-BG$46</f>
        <v>140395.188494133</v>
      </c>
      <c r="BH47" s="12" t="n">
        <f aca="false">BH$45-BH$46</f>
        <v>140885.248091951</v>
      </c>
      <c r="BI47" s="12" t="n">
        <f aca="false">BI$45-BI$46</f>
        <v>141378.983136753</v>
      </c>
      <c r="BJ47" s="12" t="n">
        <f aca="false">BJ$45-BJ$46</f>
        <v>141876.421194391</v>
      </c>
      <c r="BK47" s="12" t="n">
        <f aca="false">BK$45-BK$46</f>
        <v>142377.590037461</v>
      </c>
      <c r="BL47" s="12" t="n">
        <f aca="false">BL$45-BL$46</f>
        <v>142882.517646854</v>
      </c>
      <c r="BM47" s="12" t="n">
        <f aca="false">BM$45-BM$46</f>
        <v>143391.232213318</v>
      </c>
      <c r="BN47" s="12" t="n">
        <f aca="false">BN$45-BN$46</f>
        <v>143903.76213903</v>
      </c>
      <c r="BO47" s="12" t="n">
        <f aca="false">BO$45-BO$46</f>
        <v>150320.880596424</v>
      </c>
      <c r="BP47" s="12" t="n">
        <f aca="false">BP$45-BP$46</f>
        <v>149526.331935307</v>
      </c>
      <c r="BQ47" s="12" t="n">
        <f aca="false">BQ$45-BQ$46</f>
        <v>149526.331935307</v>
      </c>
      <c r="BR47" s="12" t="n">
        <f aca="false">BR$45-BR$46</f>
        <v>149526.331935307</v>
      </c>
      <c r="BS47" s="12" t="n">
        <f aca="false">BS$45-BS$46</f>
        <v>149526.331935307</v>
      </c>
      <c r="BT47" s="12" t="n">
        <f aca="false">BT$45-BT$46</f>
        <v>149526.331935307</v>
      </c>
      <c r="BU47" s="12" t="n">
        <f aca="false">BU$45-BU$46</f>
        <v>149526.331935307</v>
      </c>
      <c r="BV47" s="12" t="n">
        <f aca="false">BV$45-BV$46</f>
        <v>149526.331935307</v>
      </c>
      <c r="BW47" s="12" t="n">
        <f aca="false">BW$45-BW$46</f>
        <v>149526.331935307</v>
      </c>
      <c r="BX47" s="12" t="n">
        <f aca="false">BX$45-BX$46</f>
        <v>149526.331935307</v>
      </c>
      <c r="BY47" s="12" t="n">
        <f aca="false">BY$45-BY$46</f>
        <v>149526.331935307</v>
      </c>
      <c r="BZ47" s="12" t="n">
        <f aca="false">BZ$45-BZ$46</f>
        <v>149526.331935307</v>
      </c>
      <c r="CA47" s="12" t="n">
        <f aca="false">CA$45-CA$46</f>
        <v>154449.65512521</v>
      </c>
      <c r="CB47" s="12" t="n">
        <f aca="false">CB$45-CB$46</f>
        <v>153647.323761044</v>
      </c>
      <c r="CC47" s="12" t="n">
        <f aca="false">CC$45-CC$46</f>
        <v>153647.323761044</v>
      </c>
      <c r="CD47" s="12" t="n">
        <f aca="false">CD$45-CD$46</f>
        <v>153647.323761044</v>
      </c>
      <c r="CE47" s="12" t="n">
        <f aca="false">CE$45-CE$46</f>
        <v>153647.323761044</v>
      </c>
      <c r="CF47" s="12" t="n">
        <f aca="false">CF$45-CF$46</f>
        <v>153647.323761044</v>
      </c>
      <c r="CG47" s="12" t="n">
        <f aca="false">CG$45-CG$46</f>
        <v>153647.323761044</v>
      </c>
      <c r="CH47" s="12" t="n">
        <f aca="false">CH$45-CH$46</f>
        <v>153647.323761044</v>
      </c>
      <c r="CI47" s="12" t="n">
        <f aca="false">CI$45-CI$46</f>
        <v>153647.323761044</v>
      </c>
      <c r="CJ47" s="12" t="n">
        <f aca="false">CJ$45-CJ$46</f>
        <v>153647.323761044</v>
      </c>
      <c r="CK47" s="12" t="n">
        <f aca="false">CK$45-CK$46</f>
        <v>153647.323761044</v>
      </c>
      <c r="CL47" s="12" t="n">
        <f aca="false">CL$45-CL$46</f>
        <v>153647.323761044</v>
      </c>
      <c r="CM47" s="12" t="n">
        <f aca="false">CM$45-CM$46</f>
        <v>158607.870849024</v>
      </c>
      <c r="CN47" s="12" t="n">
        <f aca="false">CN$45-CN$46</f>
        <v>157797.678954778</v>
      </c>
      <c r="CO47" s="12" t="n">
        <f aca="false">CO$45-CO$46</f>
        <v>157797.678954778</v>
      </c>
      <c r="CP47" s="12" t="n">
        <f aca="false">CP$45-CP$46</f>
        <v>157797.678954778</v>
      </c>
      <c r="CQ47" s="12" t="n">
        <f aca="false">CQ$45-CQ$46</f>
        <v>157797.678954778</v>
      </c>
      <c r="CR47" s="12" t="n">
        <f aca="false">CR$45-CR$46</f>
        <v>157797.678954778</v>
      </c>
      <c r="CS47" s="12" t="n">
        <f aca="false">CS$45-CS$46</f>
        <v>157797.678954778</v>
      </c>
      <c r="CT47" s="12" t="n">
        <f aca="false">CT$45-CT$46</f>
        <v>157797.678954778</v>
      </c>
      <c r="CU47" s="12" t="n">
        <f aca="false">CU$45-CU$46</f>
        <v>157797.678954778</v>
      </c>
      <c r="CV47" s="12" t="n">
        <f aca="false">CV$45-CV$46</f>
        <v>157797.678954778</v>
      </c>
      <c r="CW47" s="12" t="n">
        <f aca="false">CW$45-CW$46</f>
        <v>157797.678954778</v>
      </c>
      <c r="CX47" s="12" t="n">
        <f aca="false">CX$45-CX$46</f>
        <v>157797.678954778</v>
      </c>
      <c r="CY47" s="12" t="n">
        <f aca="false">CY$45-CY$46</f>
        <v>162795.451186609</v>
      </c>
      <c r="CZ47" s="12" t="n">
        <f aca="false">CZ$45-CZ$46</f>
        <v>161977.320156982</v>
      </c>
      <c r="DA47" s="12" t="n">
        <f aca="false">DA$45-DA$46</f>
        <v>161977.320156982</v>
      </c>
      <c r="DB47" s="12" t="n">
        <f aca="false">DB$45-DB$46</f>
        <v>161977.320156982</v>
      </c>
      <c r="DC47" s="12" t="n">
        <f aca="false">DC$45-DC$46</f>
        <v>161977.320156982</v>
      </c>
      <c r="DD47" s="12" t="n">
        <f aca="false">DD$45-DD$46</f>
        <v>161977.320156982</v>
      </c>
      <c r="DE47" s="12" t="n">
        <f aca="false">DE$45-DE$46</f>
        <v>161977.320156982</v>
      </c>
      <c r="DF47" s="12" t="n">
        <f aca="false">DF$45-DF$46</f>
        <v>161977.320156982</v>
      </c>
      <c r="DG47" s="12" t="n">
        <f aca="false">DG$45-DG$46</f>
        <v>161977.320156982</v>
      </c>
      <c r="DH47" s="12" t="n">
        <f aca="false">DH$45-DH$46</f>
        <v>161977.320156982</v>
      </c>
      <c r="DI47" s="12" t="n">
        <f aca="false">DI$45-DI$46</f>
        <v>161977.320156982</v>
      </c>
      <c r="DJ47" s="12" t="n">
        <f aca="false">DJ$45-DJ$46</f>
        <v>161977.320156982</v>
      </c>
      <c r="DK47" s="12" t="n">
        <f aca="false">DK$45-DK$46</f>
        <v>167012.307661097</v>
      </c>
      <c r="DL47" s="12" t="n">
        <f aca="false">DL$45-DL$46</f>
        <v>166186.158104736</v>
      </c>
      <c r="DM47" s="12" t="n">
        <f aca="false">DM$45-DM$46</f>
        <v>166186.158104736</v>
      </c>
      <c r="DN47" s="12" t="n">
        <f aca="false">DN$45-DN$46</f>
        <v>166186.158104736</v>
      </c>
      <c r="DO47" s="12" t="n">
        <f aca="false">DO$45-DO$46</f>
        <v>166186.158104736</v>
      </c>
      <c r="DP47" s="12" t="n">
        <f aca="false">DP$45-DP$46</f>
        <v>166186.158104736</v>
      </c>
      <c r="DQ47" s="12" t="n">
        <f aca="false">DQ$45-DQ$46</f>
        <v>166186.158104736</v>
      </c>
      <c r="DR47" s="12" t="n">
        <f aca="false">DR$45-DR$46</f>
        <v>166186.158104736</v>
      </c>
      <c r="DS47" s="12" t="n">
        <f aca="false">DS$45-DS$46</f>
        <v>166186.158104736</v>
      </c>
      <c r="DT47" s="12" t="n">
        <f aca="false">DT$45-DT$46</f>
        <v>166186.158104736</v>
      </c>
      <c r="DU47" s="12" t="n">
        <f aca="false">DU$45-DU$46</f>
        <v>166186.158104736</v>
      </c>
      <c r="DV47" s="12" t="n">
        <f aca="false">DV$45-DV$46</f>
        <v>152135.402773569</v>
      </c>
      <c r="DW47" s="12" t="n">
        <f aca="false">DW$45-DW$46</f>
        <v>0</v>
      </c>
      <c r="DX47" s="12" t="n">
        <f aca="false">DX$45-DX$46</f>
        <v>0</v>
      </c>
      <c r="DY47" s="12" t="n">
        <f aca="false">DY$45-DY$46</f>
        <v>0</v>
      </c>
      <c r="DZ47" s="12" t="n">
        <f aca="false">DZ$45-DZ$46</f>
        <v>0</v>
      </c>
      <c r="EA47" s="12" t="n">
        <f aca="false">EA$45-EA$46</f>
        <v>0</v>
      </c>
      <c r="EB47" s="12" t="n">
        <f aca="false">EB$45-EB$46</f>
        <v>0</v>
      </c>
      <c r="EC47" s="12" t="n">
        <f aca="false">EC$45-EC$46</f>
        <v>0</v>
      </c>
      <c r="ED47" s="12" t="n">
        <f aca="false">ED$45-ED$46</f>
        <v>0</v>
      </c>
      <c r="EE47" s="12" t="n">
        <f aca="false">EE$45-EE$46</f>
        <v>0</v>
      </c>
      <c r="EF47" s="12" t="n">
        <f aca="false">EF$45-EF$46</f>
        <v>0</v>
      </c>
      <c r="EG47" s="12" t="n">
        <f aca="false">EG$45-EG$46</f>
        <v>0</v>
      </c>
      <c r="EH47" s="12" t="n">
        <f aca="false">EH$45-EH$46</f>
        <v>0</v>
      </c>
      <c r="EI47" s="12" t="n">
        <f aca="false">EI$45-EI$46</f>
        <v>0</v>
      </c>
      <c r="EJ47" s="12" t="n">
        <f aca="false">EJ$45-EJ$46</f>
        <v>0</v>
      </c>
      <c r="EK47" s="12" t="n">
        <f aca="false">EK$45-EK$46</f>
        <v>0</v>
      </c>
      <c r="EL47" s="12" t="n">
        <f aca="false">EL$45-EL$46</f>
        <v>0</v>
      </c>
      <c r="EM47" s="12" t="n">
        <f aca="false">EM$45-EM$46</f>
        <v>0</v>
      </c>
      <c r="EN47" s="12" t="n">
        <f aca="false">EN$45-EN$46</f>
        <v>0</v>
      </c>
      <c r="EO47" s="12" t="n">
        <f aca="false">EO$45-EO$46</f>
        <v>0</v>
      </c>
      <c r="EP47" s="12" t="n">
        <f aca="false">EP$45-EP$46</f>
        <v>0</v>
      </c>
      <c r="EQ47" s="12" t="n">
        <f aca="false">EQ$45-EQ$46</f>
        <v>0</v>
      </c>
      <c r="ER47" s="12" t="n">
        <f aca="false">ER$45-ER$46</f>
        <v>0</v>
      </c>
      <c r="ES47" s="12" t="n">
        <f aca="false">ES$45-ES$46</f>
        <v>0</v>
      </c>
      <c r="ET47" s="12" t="n">
        <f aca="false">ET$45-ET$46</f>
        <v>0</v>
      </c>
      <c r="EU47" s="12" t="n">
        <f aca="false">EU$45-EU$46</f>
        <v>0</v>
      </c>
      <c r="EV47" s="12" t="n">
        <f aca="false">EV$45-EV$46</f>
        <v>0</v>
      </c>
      <c r="EW47" s="12" t="n">
        <f aca="false">EW$45-EW$46</f>
        <v>0</v>
      </c>
      <c r="EX47" s="12" t="n">
        <f aca="false">EX$45-EX$46</f>
        <v>0</v>
      </c>
      <c r="EY47" s="12" t="n">
        <f aca="false">EY$45-EY$46</f>
        <v>0</v>
      </c>
      <c r="EZ47" s="12" t="n">
        <f aca="false">EZ$45-EZ$46</f>
        <v>0</v>
      </c>
      <c r="FA47" s="12" t="n">
        <f aca="false">FA$45-FA$46</f>
        <v>0</v>
      </c>
      <c r="FB47" s="12" t="n">
        <f aca="false">FB$45-FB$46</f>
        <v>0</v>
      </c>
      <c r="FC47" s="12" t="n">
        <f aca="false">FC$45-FC$46</f>
        <v>0</v>
      </c>
      <c r="FD47" s="12" t="n">
        <f aca="false">FD$45-FD$46</f>
        <v>0</v>
      </c>
      <c r="FE47" s="12" t="n">
        <f aca="false">FE$45-FE$46</f>
        <v>0</v>
      </c>
      <c r="FF47" s="12" t="n">
        <f aca="false">FF$45-FF$46</f>
        <v>0</v>
      </c>
    </row>
    <row r="48" customFormat="false" ht="15" hidden="false" customHeight="false" outlineLevel="0" collapsed="false">
      <c r="A48" s="2" t="s">
        <v>1513</v>
      </c>
      <c r="B48" s="8" t="s">
        <v>1514</v>
      </c>
      <c r="C48" s="8" t="s">
        <v>255</v>
      </c>
      <c r="E48" s="65" t="n">
        <f aca="false">SUM($F48:$FF48)</f>
        <v>0</v>
      </c>
      <c r="F48" s="28" t="n">
        <f aca="false">Costos_Personal!F$149</f>
        <v>0</v>
      </c>
      <c r="G48" s="28" t="n">
        <f aca="false">Costos_Personal!G$149</f>
        <v>0</v>
      </c>
      <c r="H48" s="28" t="n">
        <f aca="false">Costos_Personal!H$149</f>
        <v>0</v>
      </c>
      <c r="I48" s="28" t="n">
        <f aca="false">Costos_Personal!I$149</f>
        <v>0</v>
      </c>
      <c r="J48" s="28" t="n">
        <f aca="false">Costos_Personal!J$149</f>
        <v>0</v>
      </c>
      <c r="K48" s="28" t="n">
        <f aca="false">Costos_Personal!K$149</f>
        <v>0</v>
      </c>
      <c r="L48" s="28" t="n">
        <f aca="false">Costos_Personal!L$149</f>
        <v>0</v>
      </c>
      <c r="M48" s="28" t="n">
        <f aca="false">Costos_Personal!M$149</f>
        <v>0</v>
      </c>
      <c r="N48" s="28" t="n">
        <f aca="false">Costos_Personal!N$149</f>
        <v>0</v>
      </c>
      <c r="O48" s="28" t="n">
        <f aca="false">Costos_Personal!O$149</f>
        <v>0</v>
      </c>
      <c r="P48" s="28" t="n">
        <f aca="false">Costos_Personal!P$149</f>
        <v>0</v>
      </c>
      <c r="Q48" s="28" t="n">
        <f aca="false">Costos_Personal!Q$149</f>
        <v>0</v>
      </c>
      <c r="R48" s="28" t="n">
        <f aca="false">Costos_Personal!R$149</f>
        <v>0</v>
      </c>
      <c r="S48" s="28" t="n">
        <f aca="false">Costos_Personal!S$149</f>
        <v>0</v>
      </c>
      <c r="T48" s="28" t="n">
        <f aca="false">Costos_Personal!T$149</f>
        <v>0</v>
      </c>
      <c r="U48" s="28" t="n">
        <f aca="false">Costos_Personal!U$149</f>
        <v>0</v>
      </c>
      <c r="V48" s="28" t="n">
        <f aca="false">Costos_Personal!V$149</f>
        <v>0</v>
      </c>
      <c r="W48" s="28" t="n">
        <f aca="false">Costos_Personal!W$149</f>
        <v>0</v>
      </c>
      <c r="X48" s="28" t="n">
        <f aca="false">Costos_Personal!X$149</f>
        <v>0</v>
      </c>
      <c r="Y48" s="28" t="n">
        <f aca="false">Costos_Personal!Y$149</f>
        <v>0</v>
      </c>
      <c r="Z48" s="28" t="n">
        <f aca="false">Costos_Personal!Z$149</f>
        <v>0</v>
      </c>
      <c r="AA48" s="28" t="n">
        <f aca="false">Costos_Personal!AA$149</f>
        <v>0</v>
      </c>
      <c r="AB48" s="28" t="n">
        <f aca="false">Costos_Personal!AB$149</f>
        <v>0</v>
      </c>
      <c r="AC48" s="28" t="n">
        <f aca="false">Costos_Personal!AC$149</f>
        <v>0</v>
      </c>
      <c r="AD48" s="28" t="n">
        <f aca="false">Costos_Personal!AD$149</f>
        <v>0</v>
      </c>
      <c r="AE48" s="28" t="n">
        <f aca="false">Costos_Personal!AE$149</f>
        <v>0</v>
      </c>
      <c r="AF48" s="28" t="n">
        <f aca="false">Costos_Personal!AF$149</f>
        <v>0</v>
      </c>
      <c r="AG48" s="28" t="n">
        <f aca="false">Costos_Personal!AG$149</f>
        <v>0</v>
      </c>
      <c r="AH48" s="28" t="n">
        <f aca="false">Costos_Personal!AH$149</f>
        <v>0</v>
      </c>
      <c r="AI48" s="28" t="n">
        <f aca="false">Costos_Personal!AI$149</f>
        <v>0</v>
      </c>
      <c r="AJ48" s="28" t="n">
        <f aca="false">Costos_Personal!AJ$149</f>
        <v>0</v>
      </c>
      <c r="AK48" s="28" t="n">
        <f aca="false">Costos_Personal!AK$149</f>
        <v>0</v>
      </c>
      <c r="AL48" s="28" t="n">
        <f aca="false">Costos_Personal!AL$149</f>
        <v>0</v>
      </c>
      <c r="AM48" s="28" t="n">
        <f aca="false">Costos_Personal!AM$149</f>
        <v>0</v>
      </c>
      <c r="AN48" s="28" t="n">
        <f aca="false">Costos_Personal!AN$149</f>
        <v>0</v>
      </c>
      <c r="AO48" s="28" t="n">
        <f aca="false">Costos_Personal!AO$149</f>
        <v>0</v>
      </c>
      <c r="AP48" s="28" t="n">
        <f aca="false">Costos_Personal!AP$149</f>
        <v>0</v>
      </c>
      <c r="AQ48" s="28" t="n">
        <f aca="false">Costos_Personal!AQ$149</f>
        <v>0</v>
      </c>
      <c r="AR48" s="28" t="n">
        <f aca="false">Costos_Personal!AR$149</f>
        <v>0</v>
      </c>
      <c r="AS48" s="28" t="n">
        <f aca="false">Costos_Personal!AS$149</f>
        <v>0</v>
      </c>
      <c r="AT48" s="28" t="n">
        <f aca="false">Costos_Personal!AT$149</f>
        <v>0</v>
      </c>
      <c r="AU48" s="28" t="n">
        <f aca="false">Costos_Personal!AU$149</f>
        <v>0</v>
      </c>
      <c r="AV48" s="28" t="n">
        <f aca="false">Costos_Personal!AV$149</f>
        <v>0</v>
      </c>
      <c r="AW48" s="28" t="n">
        <f aca="false">Costos_Personal!AW$149</f>
        <v>0</v>
      </c>
      <c r="AX48" s="28" t="n">
        <f aca="false">Costos_Personal!AX$149</f>
        <v>0</v>
      </c>
      <c r="AY48" s="28" t="n">
        <f aca="false">Costos_Personal!AY$149</f>
        <v>0</v>
      </c>
      <c r="AZ48" s="28" t="n">
        <f aca="false">Costos_Personal!AZ$149</f>
        <v>0</v>
      </c>
      <c r="BA48" s="28" t="n">
        <f aca="false">Costos_Personal!BA$149</f>
        <v>0</v>
      </c>
      <c r="BB48" s="28" t="n">
        <f aca="false">Costos_Personal!BB$149</f>
        <v>0</v>
      </c>
      <c r="BC48" s="28" t="n">
        <f aca="false">Costos_Personal!BC$149</f>
        <v>0</v>
      </c>
      <c r="BD48" s="28" t="n">
        <f aca="false">Costos_Personal!BD$149</f>
        <v>0</v>
      </c>
      <c r="BE48" s="28" t="n">
        <f aca="false">Costos_Personal!BE$149</f>
        <v>0</v>
      </c>
      <c r="BF48" s="28" t="n">
        <f aca="false">Costos_Personal!BF$149</f>
        <v>0</v>
      </c>
      <c r="BG48" s="28" t="n">
        <f aca="false">Costos_Personal!BG$149</f>
        <v>0</v>
      </c>
      <c r="BH48" s="28" t="n">
        <f aca="false">Costos_Personal!BH$149</f>
        <v>0</v>
      </c>
      <c r="BI48" s="28" t="n">
        <f aca="false">Costos_Personal!BI$149</f>
        <v>0</v>
      </c>
      <c r="BJ48" s="28" t="n">
        <f aca="false">Costos_Personal!BJ$149</f>
        <v>0</v>
      </c>
      <c r="BK48" s="28" t="n">
        <f aca="false">Costos_Personal!BK$149</f>
        <v>0</v>
      </c>
      <c r="BL48" s="28" t="n">
        <f aca="false">Costos_Personal!BL$149</f>
        <v>0</v>
      </c>
      <c r="BM48" s="28" t="n">
        <f aca="false">Costos_Personal!BM$149</f>
        <v>0</v>
      </c>
      <c r="BN48" s="28" t="n">
        <f aca="false">Costos_Personal!BN$149</f>
        <v>0</v>
      </c>
      <c r="BO48" s="28" t="n">
        <f aca="false">Costos_Personal!BO$149</f>
        <v>0</v>
      </c>
      <c r="BP48" s="28" t="n">
        <f aca="false">Costos_Personal!BP$149</f>
        <v>0</v>
      </c>
      <c r="BQ48" s="28" t="n">
        <f aca="false">Costos_Personal!BQ$149</f>
        <v>0</v>
      </c>
      <c r="BR48" s="28" t="n">
        <f aca="false">Costos_Personal!BR$149</f>
        <v>0</v>
      </c>
      <c r="BS48" s="28" t="n">
        <f aca="false">Costos_Personal!BS$149</f>
        <v>0</v>
      </c>
      <c r="BT48" s="28" t="n">
        <f aca="false">Costos_Personal!BT$149</f>
        <v>0</v>
      </c>
      <c r="BU48" s="28" t="n">
        <f aca="false">Costos_Personal!BU$149</f>
        <v>0</v>
      </c>
      <c r="BV48" s="28" t="n">
        <f aca="false">Costos_Personal!BV$149</f>
        <v>0</v>
      </c>
      <c r="BW48" s="28" t="n">
        <f aca="false">Costos_Personal!BW$149</f>
        <v>0</v>
      </c>
      <c r="BX48" s="28" t="n">
        <f aca="false">Costos_Personal!BX$149</f>
        <v>0</v>
      </c>
      <c r="BY48" s="28" t="n">
        <f aca="false">Costos_Personal!BY$149</f>
        <v>0</v>
      </c>
      <c r="BZ48" s="28" t="n">
        <f aca="false">Costos_Personal!BZ$149</f>
        <v>0</v>
      </c>
      <c r="CA48" s="28" t="n">
        <f aca="false">Costos_Personal!CA$149</f>
        <v>0</v>
      </c>
      <c r="CB48" s="28" t="n">
        <f aca="false">Costos_Personal!CB$149</f>
        <v>0</v>
      </c>
      <c r="CC48" s="28" t="n">
        <f aca="false">Costos_Personal!CC$149</f>
        <v>0</v>
      </c>
      <c r="CD48" s="28" t="n">
        <f aca="false">Costos_Personal!CD$149</f>
        <v>0</v>
      </c>
      <c r="CE48" s="28" t="n">
        <f aca="false">Costos_Personal!CE$149</f>
        <v>0</v>
      </c>
      <c r="CF48" s="28" t="n">
        <f aca="false">Costos_Personal!CF$149</f>
        <v>0</v>
      </c>
      <c r="CG48" s="28" t="n">
        <f aca="false">Costos_Personal!CG$149</f>
        <v>0</v>
      </c>
      <c r="CH48" s="28" t="n">
        <f aca="false">Costos_Personal!CH$149</f>
        <v>0</v>
      </c>
      <c r="CI48" s="28" t="n">
        <f aca="false">Costos_Personal!CI$149</f>
        <v>0</v>
      </c>
      <c r="CJ48" s="28" t="n">
        <f aca="false">Costos_Personal!CJ$149</f>
        <v>0</v>
      </c>
      <c r="CK48" s="28" t="n">
        <f aca="false">Costos_Personal!CK$149</f>
        <v>0</v>
      </c>
      <c r="CL48" s="28" t="n">
        <f aca="false">Costos_Personal!CL$149</f>
        <v>0</v>
      </c>
      <c r="CM48" s="28" t="n">
        <f aca="false">Costos_Personal!CM$149</f>
        <v>0</v>
      </c>
      <c r="CN48" s="28" t="n">
        <f aca="false">Costos_Personal!CN$149</f>
        <v>0</v>
      </c>
      <c r="CO48" s="28" t="n">
        <f aca="false">Costos_Personal!CO$149</f>
        <v>0</v>
      </c>
      <c r="CP48" s="28" t="n">
        <f aca="false">Costos_Personal!CP$149</f>
        <v>0</v>
      </c>
      <c r="CQ48" s="28" t="n">
        <f aca="false">Costos_Personal!CQ$149</f>
        <v>0</v>
      </c>
      <c r="CR48" s="28" t="n">
        <f aca="false">Costos_Personal!CR$149</f>
        <v>0</v>
      </c>
      <c r="CS48" s="28" t="n">
        <f aca="false">Costos_Personal!CS$149</f>
        <v>0</v>
      </c>
      <c r="CT48" s="28" t="n">
        <f aca="false">Costos_Personal!CT$149</f>
        <v>0</v>
      </c>
      <c r="CU48" s="28" t="n">
        <f aca="false">Costos_Personal!CU$149</f>
        <v>0</v>
      </c>
      <c r="CV48" s="28" t="n">
        <f aca="false">Costos_Personal!CV$149</f>
        <v>0</v>
      </c>
      <c r="CW48" s="28" t="n">
        <f aca="false">Costos_Personal!CW$149</f>
        <v>0</v>
      </c>
      <c r="CX48" s="28" t="n">
        <f aca="false">Costos_Personal!CX$149</f>
        <v>0</v>
      </c>
      <c r="CY48" s="28" t="n">
        <f aca="false">Costos_Personal!CY$149</f>
        <v>0</v>
      </c>
      <c r="CZ48" s="28" t="n">
        <f aca="false">Costos_Personal!CZ$149</f>
        <v>0</v>
      </c>
      <c r="DA48" s="28" t="n">
        <f aca="false">Costos_Personal!DA$149</f>
        <v>0</v>
      </c>
      <c r="DB48" s="28" t="n">
        <f aca="false">Costos_Personal!DB$149</f>
        <v>0</v>
      </c>
      <c r="DC48" s="28" t="n">
        <f aca="false">Costos_Personal!DC$149</f>
        <v>0</v>
      </c>
      <c r="DD48" s="28" t="n">
        <f aca="false">Costos_Personal!DD$149</f>
        <v>0</v>
      </c>
      <c r="DE48" s="28" t="n">
        <f aca="false">Costos_Personal!DE$149</f>
        <v>0</v>
      </c>
      <c r="DF48" s="28" t="n">
        <f aca="false">Costos_Personal!DF$149</f>
        <v>0</v>
      </c>
      <c r="DG48" s="28" t="n">
        <f aca="false">Costos_Personal!DG$149</f>
        <v>0</v>
      </c>
      <c r="DH48" s="28" t="n">
        <f aca="false">Costos_Personal!DH$149</f>
        <v>0</v>
      </c>
      <c r="DI48" s="28" t="n">
        <f aca="false">Costos_Personal!DI$149</f>
        <v>0</v>
      </c>
      <c r="DJ48" s="28" t="n">
        <f aca="false">Costos_Personal!DJ$149</f>
        <v>0</v>
      </c>
      <c r="DK48" s="28" t="n">
        <f aca="false">Costos_Personal!DK$149</f>
        <v>0</v>
      </c>
      <c r="DL48" s="28" t="n">
        <f aca="false">Costos_Personal!DL$149</f>
        <v>0</v>
      </c>
      <c r="DM48" s="28" t="n">
        <f aca="false">Costos_Personal!DM$149</f>
        <v>0</v>
      </c>
      <c r="DN48" s="28" t="n">
        <f aca="false">Costos_Personal!DN$149</f>
        <v>0</v>
      </c>
      <c r="DO48" s="28" t="n">
        <f aca="false">Costos_Personal!DO$149</f>
        <v>0</v>
      </c>
      <c r="DP48" s="28" t="n">
        <f aca="false">Costos_Personal!DP$149</f>
        <v>0</v>
      </c>
      <c r="DQ48" s="28" t="n">
        <f aca="false">Costos_Personal!DQ$149</f>
        <v>0</v>
      </c>
      <c r="DR48" s="28" t="n">
        <f aca="false">Costos_Personal!DR$149</f>
        <v>0</v>
      </c>
      <c r="DS48" s="28" t="n">
        <f aca="false">Costos_Personal!DS$149</f>
        <v>0</v>
      </c>
      <c r="DT48" s="28" t="n">
        <f aca="false">Costos_Personal!DT$149</f>
        <v>0</v>
      </c>
      <c r="DU48" s="28" t="n">
        <f aca="false">Costos_Personal!DU$149</f>
        <v>0</v>
      </c>
      <c r="DV48" s="28" t="n">
        <f aca="false">Costos_Personal!DV$149</f>
        <v>0</v>
      </c>
      <c r="DW48" s="28" t="n">
        <f aca="false">Costos_Personal!DW$149</f>
        <v>0</v>
      </c>
      <c r="DX48" s="28" t="n">
        <f aca="false">Costos_Personal!DX$149</f>
        <v>0</v>
      </c>
      <c r="DY48" s="28" t="n">
        <f aca="false">Costos_Personal!DY$149</f>
        <v>0</v>
      </c>
      <c r="DZ48" s="28" t="n">
        <f aca="false">Costos_Personal!DZ$149</f>
        <v>0</v>
      </c>
      <c r="EA48" s="28" t="n">
        <f aca="false">Costos_Personal!EA$149</f>
        <v>0</v>
      </c>
      <c r="EB48" s="28" t="n">
        <f aca="false">Costos_Personal!EB$149</f>
        <v>0</v>
      </c>
      <c r="EC48" s="28" t="n">
        <f aca="false">Costos_Personal!EC$149</f>
        <v>0</v>
      </c>
      <c r="ED48" s="28" t="n">
        <f aca="false">Costos_Personal!ED$149</f>
        <v>0</v>
      </c>
      <c r="EE48" s="28" t="n">
        <f aca="false">Costos_Personal!EE$149</f>
        <v>0</v>
      </c>
      <c r="EF48" s="28" t="n">
        <f aca="false">Costos_Personal!EF$149</f>
        <v>0</v>
      </c>
      <c r="EG48" s="28" t="n">
        <f aca="false">Costos_Personal!EG$149</f>
        <v>0</v>
      </c>
      <c r="EH48" s="28" t="n">
        <f aca="false">Costos_Personal!EH$149</f>
        <v>0</v>
      </c>
      <c r="EI48" s="28" t="n">
        <f aca="false">Costos_Personal!EI$149</f>
        <v>0</v>
      </c>
      <c r="EJ48" s="28" t="n">
        <f aca="false">Costos_Personal!EJ$149</f>
        <v>0</v>
      </c>
      <c r="EK48" s="28" t="n">
        <f aca="false">Costos_Personal!EK$149</f>
        <v>0</v>
      </c>
      <c r="EL48" s="28" t="n">
        <f aca="false">Costos_Personal!EL$149</f>
        <v>0</v>
      </c>
      <c r="EM48" s="28" t="n">
        <f aca="false">Costos_Personal!EM$149</f>
        <v>0</v>
      </c>
      <c r="EN48" s="28" t="n">
        <f aca="false">Costos_Personal!EN$149</f>
        <v>0</v>
      </c>
      <c r="EO48" s="28" t="n">
        <f aca="false">Costos_Personal!EO$149</f>
        <v>0</v>
      </c>
      <c r="EP48" s="28" t="n">
        <f aca="false">Costos_Personal!EP$149</f>
        <v>0</v>
      </c>
      <c r="EQ48" s="28" t="n">
        <f aca="false">Costos_Personal!EQ$149</f>
        <v>0</v>
      </c>
      <c r="ER48" s="28" t="n">
        <f aca="false">Costos_Personal!ER$149</f>
        <v>0</v>
      </c>
      <c r="ES48" s="28" t="n">
        <f aca="false">Costos_Personal!ES$149</f>
        <v>0</v>
      </c>
      <c r="ET48" s="28" t="n">
        <f aca="false">Costos_Personal!ET$149</f>
        <v>0</v>
      </c>
      <c r="EU48" s="28" t="n">
        <f aca="false">Costos_Personal!EU$149</f>
        <v>0</v>
      </c>
      <c r="EV48" s="28" t="n">
        <f aca="false">Costos_Personal!EV$149</f>
        <v>0</v>
      </c>
      <c r="EW48" s="28" t="n">
        <f aca="false">Costos_Personal!EW$149</f>
        <v>0</v>
      </c>
      <c r="EX48" s="28" t="n">
        <f aca="false">Costos_Personal!EX$149</f>
        <v>0</v>
      </c>
      <c r="EY48" s="28" t="n">
        <f aca="false">Costos_Personal!EY$149</f>
        <v>0</v>
      </c>
      <c r="EZ48" s="28" t="n">
        <f aca="false">Costos_Personal!EZ$149</f>
        <v>0</v>
      </c>
      <c r="FA48" s="28" t="n">
        <f aca="false">Costos_Personal!FA$149</f>
        <v>0</v>
      </c>
      <c r="FB48" s="28" t="n">
        <f aca="false">Costos_Personal!FB$149</f>
        <v>0</v>
      </c>
      <c r="FC48" s="28" t="n">
        <f aca="false">Costos_Personal!FC$149</f>
        <v>0</v>
      </c>
      <c r="FD48" s="28" t="n">
        <f aca="false">Costos_Personal!FD$149</f>
        <v>0</v>
      </c>
      <c r="FE48" s="28" t="n">
        <f aca="false">Costos_Personal!FE$149</f>
        <v>0</v>
      </c>
      <c r="FF48" s="28" t="n">
        <f aca="false">Costos_Personal!FF$149</f>
        <v>0</v>
      </c>
    </row>
    <row r="49" customFormat="false" ht="15" hidden="false" customHeight="false" outlineLevel="0" collapsed="false">
      <c r="A49" s="4"/>
      <c r="B49" s="3" t="s">
        <v>1515</v>
      </c>
      <c r="C49" s="4"/>
      <c r="D49" s="4"/>
      <c r="E49" s="4"/>
    </row>
    <row r="50" customFormat="false" ht="15" hidden="false" customHeight="false" outlineLevel="0" collapsed="false">
      <c r="A50" s="2" t="s">
        <v>1299</v>
      </c>
      <c r="B50" s="8" t="s">
        <v>1516</v>
      </c>
      <c r="C50" s="8" t="s">
        <v>255</v>
      </c>
      <c r="E50" s="65" t="n">
        <f aca="false">SUM($F50:$FF50)</f>
        <v>78191291.4974057</v>
      </c>
      <c r="F50" s="28" t="n">
        <f aca="false">Capital_Trabajo!F$19</f>
        <v>0</v>
      </c>
      <c r="G50" s="28" t="n">
        <f aca="false">Capital_Trabajo!G$19</f>
        <v>0</v>
      </c>
      <c r="H50" s="28" t="n">
        <f aca="false">Capital_Trabajo!H$19</f>
        <v>0</v>
      </c>
      <c r="I50" s="28" t="n">
        <f aca="false">Capital_Trabajo!I$19</f>
        <v>0</v>
      </c>
      <c r="J50" s="28" t="n">
        <f aca="false">Capital_Trabajo!J$19</f>
        <v>22146.1187214613</v>
      </c>
      <c r="K50" s="28" t="n">
        <f aca="false">Capital_Trabajo!K$19</f>
        <v>404166.666666667</v>
      </c>
      <c r="L50" s="28" t="n">
        <f aca="false">Capital_Trabajo!L$19</f>
        <v>404166.666666667</v>
      </c>
      <c r="M50" s="28" t="n">
        <f aca="false">Capital_Trabajo!M$19</f>
        <v>404166.666666667</v>
      </c>
      <c r="N50" s="28" t="n">
        <f aca="false">Capital_Trabajo!N$19</f>
        <v>404166.666666667</v>
      </c>
      <c r="O50" s="28" t="n">
        <f aca="false">Capital_Trabajo!O$19</f>
        <v>404166.666666667</v>
      </c>
      <c r="P50" s="28" t="n">
        <f aca="false">Capital_Trabajo!P$19</f>
        <v>404166.666666667</v>
      </c>
      <c r="Q50" s="28" t="n">
        <f aca="false">Capital_Trabajo!Q$19</f>
        <v>404166.666666667</v>
      </c>
      <c r="R50" s="28" t="n">
        <f aca="false">Capital_Trabajo!R$19</f>
        <v>404166.666666667</v>
      </c>
      <c r="S50" s="28" t="n">
        <f aca="false">Capital_Trabajo!S$19</f>
        <v>404166.666666667</v>
      </c>
      <c r="T50" s="28" t="n">
        <f aca="false">Capital_Trabajo!T$19</f>
        <v>404166.666666667</v>
      </c>
      <c r="U50" s="28" t="n">
        <f aca="false">Capital_Trabajo!U$19</f>
        <v>404166.666666667</v>
      </c>
      <c r="V50" s="28" t="n">
        <f aca="false">Capital_Trabajo!V$19</f>
        <v>410245.205479452</v>
      </c>
      <c r="W50" s="28" t="n">
        <f aca="false">Capital_Trabajo!W$19</f>
        <v>515100</v>
      </c>
      <c r="X50" s="28" t="n">
        <f aca="false">Capital_Trabajo!X$19</f>
        <v>515100</v>
      </c>
      <c r="Y50" s="28" t="n">
        <f aca="false">Capital_Trabajo!Y$19</f>
        <v>515100</v>
      </c>
      <c r="Z50" s="28" t="n">
        <f aca="false">Capital_Trabajo!Z$19</f>
        <v>515100</v>
      </c>
      <c r="AA50" s="28" t="n">
        <f aca="false">Capital_Trabajo!AA$19</f>
        <v>515100</v>
      </c>
      <c r="AB50" s="28" t="n">
        <f aca="false">Capital_Trabajo!AB$19</f>
        <v>515100</v>
      </c>
      <c r="AC50" s="28" t="n">
        <f aca="false">Capital_Trabajo!AC$19</f>
        <v>515100</v>
      </c>
      <c r="AD50" s="28" t="n">
        <f aca="false">Capital_Trabajo!AD$19</f>
        <v>515100</v>
      </c>
      <c r="AE50" s="28" t="n">
        <f aca="false">Capital_Trabajo!AE$19</f>
        <v>515100</v>
      </c>
      <c r="AF50" s="28" t="n">
        <f aca="false">Capital_Trabajo!AF$19</f>
        <v>515100</v>
      </c>
      <c r="AG50" s="28" t="n">
        <f aca="false">Capital_Trabajo!AG$19</f>
        <v>515100</v>
      </c>
      <c r="AH50" s="28" t="n">
        <f aca="false">Capital_Trabajo!AH$19</f>
        <v>521297.894977169</v>
      </c>
      <c r="AI50" s="28" t="n">
        <f aca="false">Capital_Trabajo!AI$19</f>
        <v>628211.583333333</v>
      </c>
      <c r="AJ50" s="28" t="n">
        <f aca="false">Capital_Trabajo!AJ$19</f>
        <v>628211.583333333</v>
      </c>
      <c r="AK50" s="28" t="n">
        <f aca="false">Capital_Trabajo!AK$19</f>
        <v>628211.583333333</v>
      </c>
      <c r="AL50" s="28" t="n">
        <f aca="false">Capital_Trabajo!AL$19</f>
        <v>628211.583333333</v>
      </c>
      <c r="AM50" s="28" t="n">
        <f aca="false">Capital_Trabajo!AM$19</f>
        <v>628211.583333333</v>
      </c>
      <c r="AN50" s="28" t="n">
        <f aca="false">Capital_Trabajo!AN$19</f>
        <v>628211.583333333</v>
      </c>
      <c r="AO50" s="28" t="n">
        <f aca="false">Capital_Trabajo!AO$19</f>
        <v>628211.583333333</v>
      </c>
      <c r="AP50" s="28" t="n">
        <f aca="false">Capital_Trabajo!AP$19</f>
        <v>628211.583333333</v>
      </c>
      <c r="AQ50" s="28" t="n">
        <f aca="false">Capital_Trabajo!AQ$19</f>
        <v>628211.583333333</v>
      </c>
      <c r="AR50" s="28" t="n">
        <f aca="false">Capital_Trabajo!AR$19</f>
        <v>628211.583333333</v>
      </c>
      <c r="AS50" s="28" t="n">
        <f aca="false">Capital_Trabajo!AS$19</f>
        <v>628211.583333333</v>
      </c>
      <c r="AT50" s="28" t="n">
        <f aca="false">Capital_Trabajo!AT$19</f>
        <v>633448.562465754</v>
      </c>
      <c r="AU50" s="28" t="n">
        <f aca="false">Capital_Trabajo!AU$19</f>
        <v>723786.4525</v>
      </c>
      <c r="AV50" s="28" t="n">
        <f aca="false">Capital_Trabajo!AV$19</f>
        <v>723786.4525</v>
      </c>
      <c r="AW50" s="28" t="n">
        <f aca="false">Capital_Trabajo!AW$19</f>
        <v>723786.4525</v>
      </c>
      <c r="AX50" s="28" t="n">
        <f aca="false">Capital_Trabajo!AX$19</f>
        <v>723786.4525</v>
      </c>
      <c r="AY50" s="28" t="n">
        <f aca="false">Capital_Trabajo!AY$19</f>
        <v>723786.4525</v>
      </c>
      <c r="AZ50" s="28" t="n">
        <f aca="false">Capital_Trabajo!AZ$19</f>
        <v>723786.4525</v>
      </c>
      <c r="BA50" s="28" t="n">
        <f aca="false">Capital_Trabajo!BA$19</f>
        <v>723786.4525</v>
      </c>
      <c r="BB50" s="28" t="n">
        <f aca="false">Capital_Trabajo!BB$19</f>
        <v>723786.4525</v>
      </c>
      <c r="BC50" s="28" t="n">
        <f aca="false">Capital_Trabajo!BC$19</f>
        <v>723786.4525</v>
      </c>
      <c r="BD50" s="28" t="n">
        <f aca="false">Capital_Trabajo!BD$19</f>
        <v>723786.4525</v>
      </c>
      <c r="BE50" s="28" t="n">
        <f aca="false">Capital_Trabajo!BE$19</f>
        <v>723786.4525</v>
      </c>
      <c r="BF50" s="28" t="n">
        <f aca="false">Capital_Trabajo!BF$19</f>
        <v>724183.047816439</v>
      </c>
      <c r="BG50" s="28" t="n">
        <f aca="false">Capital_Trabajo!BG$19</f>
        <v>731024.317025</v>
      </c>
      <c r="BH50" s="28" t="n">
        <f aca="false">Capital_Trabajo!BH$19</f>
        <v>731024.317025</v>
      </c>
      <c r="BI50" s="28" t="n">
        <f aca="false">Capital_Trabajo!BI$19</f>
        <v>731024.317025</v>
      </c>
      <c r="BJ50" s="28" t="n">
        <f aca="false">Capital_Trabajo!BJ$19</f>
        <v>731024.317025</v>
      </c>
      <c r="BK50" s="28" t="n">
        <f aca="false">Capital_Trabajo!BK$19</f>
        <v>731024.317025</v>
      </c>
      <c r="BL50" s="28" t="n">
        <f aca="false">Capital_Trabajo!BL$19</f>
        <v>731024.317025</v>
      </c>
      <c r="BM50" s="28" t="n">
        <f aca="false">Capital_Trabajo!BM$19</f>
        <v>731024.317025</v>
      </c>
      <c r="BN50" s="28" t="n">
        <f aca="false">Capital_Trabajo!BN$19</f>
        <v>731024.317025</v>
      </c>
      <c r="BO50" s="28" t="n">
        <f aca="false">Capital_Trabajo!BO$19</f>
        <v>731024.317025</v>
      </c>
      <c r="BP50" s="28" t="n">
        <f aca="false">Capital_Trabajo!BP$19</f>
        <v>731024.317025</v>
      </c>
      <c r="BQ50" s="28" t="n">
        <f aca="false">Capital_Trabajo!BQ$19</f>
        <v>731024.317025</v>
      </c>
      <c r="BR50" s="28" t="n">
        <f aca="false">Capital_Trabajo!BR$19</f>
        <v>731424.878294603</v>
      </c>
      <c r="BS50" s="28" t="n">
        <f aca="false">Capital_Trabajo!BS$19</f>
        <v>738334.56019525</v>
      </c>
      <c r="BT50" s="28" t="n">
        <f aca="false">Capital_Trabajo!BT$19</f>
        <v>738334.56019525</v>
      </c>
      <c r="BU50" s="28" t="n">
        <f aca="false">Capital_Trabajo!BU$19</f>
        <v>738334.56019525</v>
      </c>
      <c r="BV50" s="28" t="n">
        <f aca="false">Capital_Trabajo!BV$19</f>
        <v>738334.56019525</v>
      </c>
      <c r="BW50" s="28" t="n">
        <f aca="false">Capital_Trabajo!BW$19</f>
        <v>738334.56019525</v>
      </c>
      <c r="BX50" s="28" t="n">
        <f aca="false">Capital_Trabajo!BX$19</f>
        <v>738334.56019525</v>
      </c>
      <c r="BY50" s="28" t="n">
        <f aca="false">Capital_Trabajo!BY$19</f>
        <v>738334.56019525</v>
      </c>
      <c r="BZ50" s="28" t="n">
        <f aca="false">Capital_Trabajo!BZ$19</f>
        <v>738334.56019525</v>
      </c>
      <c r="CA50" s="28" t="n">
        <f aca="false">Capital_Trabajo!CA$19</f>
        <v>738334.56019525</v>
      </c>
      <c r="CB50" s="28" t="n">
        <f aca="false">Capital_Trabajo!CB$19</f>
        <v>738334.56019525</v>
      </c>
      <c r="CC50" s="28" t="n">
        <f aca="false">Capital_Trabajo!CC$19</f>
        <v>738334.56019525</v>
      </c>
      <c r="CD50" s="28" t="n">
        <f aca="false">Capital_Trabajo!CD$19</f>
        <v>738739.127077549</v>
      </c>
      <c r="CE50" s="28" t="n">
        <f aca="false">Capital_Trabajo!CE$19</f>
        <v>745717.905797203</v>
      </c>
      <c r="CF50" s="28" t="n">
        <f aca="false">Capital_Trabajo!CF$19</f>
        <v>745717.905797203</v>
      </c>
      <c r="CG50" s="28" t="n">
        <f aca="false">Capital_Trabajo!CG$19</f>
        <v>745717.905797203</v>
      </c>
      <c r="CH50" s="28" t="n">
        <f aca="false">Capital_Trabajo!CH$19</f>
        <v>745717.905797203</v>
      </c>
      <c r="CI50" s="28" t="n">
        <f aca="false">Capital_Trabajo!CI$19</f>
        <v>745717.905797203</v>
      </c>
      <c r="CJ50" s="28" t="n">
        <f aca="false">Capital_Trabajo!CJ$19</f>
        <v>745717.905797203</v>
      </c>
      <c r="CK50" s="28" t="n">
        <f aca="false">Capital_Trabajo!CK$19</f>
        <v>745717.905797203</v>
      </c>
      <c r="CL50" s="28" t="n">
        <f aca="false">Capital_Trabajo!CL$19</f>
        <v>745717.905797203</v>
      </c>
      <c r="CM50" s="28" t="n">
        <f aca="false">Capital_Trabajo!CM$19</f>
        <v>745717.905797203</v>
      </c>
      <c r="CN50" s="28" t="n">
        <f aca="false">Capital_Trabajo!CN$19</f>
        <v>745717.905797203</v>
      </c>
      <c r="CO50" s="28" t="n">
        <f aca="false">Capital_Trabajo!CO$19</f>
        <v>745717.905797203</v>
      </c>
      <c r="CP50" s="28" t="n">
        <f aca="false">Capital_Trabajo!CP$19</f>
        <v>746126.518348325</v>
      </c>
      <c r="CQ50" s="28" t="n">
        <f aca="false">Capital_Trabajo!CQ$19</f>
        <v>753175.084855175</v>
      </c>
      <c r="CR50" s="28" t="n">
        <f aca="false">Capital_Trabajo!CR$19</f>
        <v>753175.084855175</v>
      </c>
      <c r="CS50" s="28" t="n">
        <f aca="false">Capital_Trabajo!CS$19</f>
        <v>753175.084855175</v>
      </c>
      <c r="CT50" s="28" t="n">
        <f aca="false">Capital_Trabajo!CT$19</f>
        <v>753175.084855175</v>
      </c>
      <c r="CU50" s="28" t="n">
        <f aca="false">Capital_Trabajo!CU$19</f>
        <v>753175.084855175</v>
      </c>
      <c r="CV50" s="28" t="n">
        <f aca="false">Capital_Trabajo!CV$19</f>
        <v>753175.084855175</v>
      </c>
      <c r="CW50" s="28" t="n">
        <f aca="false">Capital_Trabajo!CW$19</f>
        <v>753175.084855175</v>
      </c>
      <c r="CX50" s="28" t="n">
        <f aca="false">Capital_Trabajo!CX$19</f>
        <v>753175.084855175</v>
      </c>
      <c r="CY50" s="28" t="n">
        <f aca="false">Capital_Trabajo!CY$19</f>
        <v>753175.084855175</v>
      </c>
      <c r="CZ50" s="28" t="n">
        <f aca="false">Capital_Trabajo!CZ$19</f>
        <v>753175.084855175</v>
      </c>
      <c r="DA50" s="28" t="n">
        <f aca="false">Capital_Trabajo!DA$19</f>
        <v>753175.084855175</v>
      </c>
      <c r="DB50" s="28" t="n">
        <f aca="false">Capital_Trabajo!DB$19</f>
        <v>753587.783531808</v>
      </c>
      <c r="DC50" s="28" t="n">
        <f aca="false">Capital_Trabajo!DC$19</f>
        <v>760706.835703726</v>
      </c>
      <c r="DD50" s="28" t="n">
        <f aca="false">Capital_Trabajo!DD$19</f>
        <v>760706.835703726</v>
      </c>
      <c r="DE50" s="28" t="n">
        <f aca="false">Capital_Trabajo!DE$19</f>
        <v>760706.835703726</v>
      </c>
      <c r="DF50" s="28" t="n">
        <f aca="false">Capital_Trabajo!DF$19</f>
        <v>760706.835703726</v>
      </c>
      <c r="DG50" s="28" t="n">
        <f aca="false">Capital_Trabajo!DG$19</f>
        <v>760706.835703726</v>
      </c>
      <c r="DH50" s="28" t="n">
        <f aca="false">Capital_Trabajo!DH$19</f>
        <v>760706.835703726</v>
      </c>
      <c r="DI50" s="28" t="n">
        <f aca="false">Capital_Trabajo!DI$19</f>
        <v>760706.835703726</v>
      </c>
      <c r="DJ50" s="28" t="n">
        <f aca="false">Capital_Trabajo!DJ$19</f>
        <v>760706.835703726</v>
      </c>
      <c r="DK50" s="28" t="n">
        <f aca="false">Capital_Trabajo!DK$19</f>
        <v>760706.835703726</v>
      </c>
      <c r="DL50" s="28" t="n">
        <f aca="false">Capital_Trabajo!DL$19</f>
        <v>760706.835703726</v>
      </c>
      <c r="DM50" s="28" t="n">
        <f aca="false">Capital_Trabajo!DM$19</f>
        <v>760706.835703726</v>
      </c>
      <c r="DN50" s="28" t="n">
        <f aca="false">Capital_Trabajo!DN$19</f>
        <v>761123.661367126</v>
      </c>
      <c r="DO50" s="28" t="n">
        <f aca="false">Capital_Trabajo!DO$19</f>
        <v>768313.904060764</v>
      </c>
      <c r="DP50" s="28" t="n">
        <f aca="false">Capital_Trabajo!DP$19</f>
        <v>768313.904060764</v>
      </c>
      <c r="DQ50" s="28" t="n">
        <f aca="false">Capital_Trabajo!DQ$19</f>
        <v>768313.904060764</v>
      </c>
      <c r="DR50" s="28" t="n">
        <f aca="false">Capital_Trabajo!DR$19</f>
        <v>768313.904060764</v>
      </c>
      <c r="DS50" s="28" t="n">
        <f aca="false">Capital_Trabajo!DS$19</f>
        <v>768313.904060764</v>
      </c>
      <c r="DT50" s="28" t="n">
        <f aca="false">Capital_Trabajo!DT$19</f>
        <v>768313.904060764</v>
      </c>
      <c r="DU50" s="28" t="n">
        <f aca="false">Capital_Trabajo!DU$19</f>
        <v>768313.904060764</v>
      </c>
      <c r="DV50" s="28" t="n">
        <f aca="false">Capital_Trabajo!DV$19</f>
        <v>768313.904060764</v>
      </c>
      <c r="DW50" s="28" t="n">
        <f aca="false">Capital_Trabajo!DW$19</f>
        <v>0</v>
      </c>
      <c r="DX50" s="28" t="n">
        <f aca="false">Capital_Trabajo!DX$19</f>
        <v>0</v>
      </c>
      <c r="DY50" s="28" t="n">
        <f aca="false">Capital_Trabajo!DY$19</f>
        <v>0</v>
      </c>
      <c r="DZ50" s="28" t="n">
        <f aca="false">Capital_Trabajo!DZ$19</f>
        <v>0</v>
      </c>
      <c r="EA50" s="28" t="n">
        <f aca="false">Capital_Trabajo!EA$19</f>
        <v>0</v>
      </c>
      <c r="EB50" s="28" t="n">
        <f aca="false">Capital_Trabajo!EB$19</f>
        <v>0</v>
      </c>
      <c r="EC50" s="28" t="n">
        <f aca="false">Capital_Trabajo!EC$19</f>
        <v>0</v>
      </c>
      <c r="ED50" s="28" t="n">
        <f aca="false">Capital_Trabajo!ED$19</f>
        <v>0</v>
      </c>
      <c r="EE50" s="28" t="n">
        <f aca="false">Capital_Trabajo!EE$19</f>
        <v>0</v>
      </c>
      <c r="EF50" s="28" t="n">
        <f aca="false">Capital_Trabajo!EF$19</f>
        <v>0</v>
      </c>
      <c r="EG50" s="28" t="n">
        <f aca="false">Capital_Trabajo!EG$19</f>
        <v>0</v>
      </c>
      <c r="EH50" s="28" t="n">
        <f aca="false">Capital_Trabajo!EH$19</f>
        <v>0</v>
      </c>
      <c r="EI50" s="28" t="n">
        <f aca="false">Capital_Trabajo!EI$19</f>
        <v>0</v>
      </c>
      <c r="EJ50" s="28" t="n">
        <f aca="false">Capital_Trabajo!EJ$19</f>
        <v>0</v>
      </c>
      <c r="EK50" s="28" t="n">
        <f aca="false">Capital_Trabajo!EK$19</f>
        <v>0</v>
      </c>
      <c r="EL50" s="28" t="n">
        <f aca="false">Capital_Trabajo!EL$19</f>
        <v>0</v>
      </c>
      <c r="EM50" s="28" t="n">
        <f aca="false">Capital_Trabajo!EM$19</f>
        <v>0</v>
      </c>
      <c r="EN50" s="28" t="n">
        <f aca="false">Capital_Trabajo!EN$19</f>
        <v>0</v>
      </c>
      <c r="EO50" s="28" t="n">
        <f aca="false">Capital_Trabajo!EO$19</f>
        <v>0</v>
      </c>
      <c r="EP50" s="28" t="n">
        <f aca="false">Capital_Trabajo!EP$19</f>
        <v>0</v>
      </c>
      <c r="EQ50" s="28" t="n">
        <f aca="false">Capital_Trabajo!EQ$19</f>
        <v>0</v>
      </c>
      <c r="ER50" s="28" t="n">
        <f aca="false">Capital_Trabajo!ER$19</f>
        <v>0</v>
      </c>
      <c r="ES50" s="28" t="n">
        <f aca="false">Capital_Trabajo!ES$19</f>
        <v>0</v>
      </c>
      <c r="ET50" s="28" t="n">
        <f aca="false">Capital_Trabajo!ET$19</f>
        <v>0</v>
      </c>
      <c r="EU50" s="28" t="n">
        <f aca="false">Capital_Trabajo!EU$19</f>
        <v>0</v>
      </c>
      <c r="EV50" s="28" t="n">
        <f aca="false">Capital_Trabajo!EV$19</f>
        <v>0</v>
      </c>
      <c r="EW50" s="28" t="n">
        <f aca="false">Capital_Trabajo!EW$19</f>
        <v>0</v>
      </c>
      <c r="EX50" s="28" t="n">
        <f aca="false">Capital_Trabajo!EX$19</f>
        <v>0</v>
      </c>
      <c r="EY50" s="28" t="n">
        <f aca="false">Capital_Trabajo!EY$19</f>
        <v>0</v>
      </c>
      <c r="EZ50" s="28" t="n">
        <f aca="false">Capital_Trabajo!EZ$19</f>
        <v>0</v>
      </c>
      <c r="FA50" s="28" t="n">
        <f aca="false">Capital_Trabajo!FA$19</f>
        <v>0</v>
      </c>
      <c r="FB50" s="28" t="n">
        <f aca="false">Capital_Trabajo!FB$19</f>
        <v>0</v>
      </c>
      <c r="FC50" s="28" t="n">
        <f aca="false">Capital_Trabajo!FC$19</f>
        <v>0</v>
      </c>
      <c r="FD50" s="28" t="n">
        <f aca="false">Capital_Trabajo!FD$19</f>
        <v>0</v>
      </c>
      <c r="FE50" s="28" t="n">
        <f aca="false">Capital_Trabajo!FE$19</f>
        <v>0</v>
      </c>
      <c r="FF50" s="28" t="n">
        <f aca="false">Capital_Trabajo!FF$19</f>
        <v>0</v>
      </c>
    </row>
    <row r="51" customFormat="false" ht="15" hidden="false" customHeight="false" outlineLevel="0" collapsed="false">
      <c r="A51" s="2" t="s">
        <v>1517</v>
      </c>
      <c r="B51" s="8" t="s">
        <v>1518</v>
      </c>
      <c r="C51" s="8" t="s">
        <v>255</v>
      </c>
      <c r="E51" s="65" t="n">
        <f aca="false">SUM($F51:$FF51)</f>
        <v>0</v>
      </c>
      <c r="F51" s="13" t="n">
        <f aca="false">Produccion_Ventas!F$56*Calendario!F$13</f>
        <v>0</v>
      </c>
      <c r="G51" s="13" t="n">
        <f aca="false">Produccion_Ventas!G$56*Calendario!G$13</f>
        <v>0</v>
      </c>
      <c r="H51" s="13" t="n">
        <f aca="false">Produccion_Ventas!H$56*Calendario!H$13</f>
        <v>0</v>
      </c>
      <c r="I51" s="13" t="n">
        <f aca="false">Produccion_Ventas!I$56*Calendario!I$13</f>
        <v>0</v>
      </c>
      <c r="J51" s="13" t="n">
        <f aca="false">Produccion_Ventas!J$56*Calendario!J$13</f>
        <v>0</v>
      </c>
      <c r="K51" s="13" t="n">
        <f aca="false">Produccion_Ventas!K$56*Calendario!K$13</f>
        <v>0</v>
      </c>
      <c r="L51" s="13" t="n">
        <f aca="false">Produccion_Ventas!L$56*Calendario!L$13</f>
        <v>0</v>
      </c>
      <c r="M51" s="13" t="n">
        <f aca="false">Produccion_Ventas!M$56*Calendario!M$13</f>
        <v>0</v>
      </c>
      <c r="N51" s="13" t="n">
        <f aca="false">Produccion_Ventas!N$56*Calendario!N$13</f>
        <v>0</v>
      </c>
      <c r="O51" s="13" t="n">
        <f aca="false">Produccion_Ventas!O$56*Calendario!O$13</f>
        <v>0</v>
      </c>
      <c r="P51" s="13" t="n">
        <f aca="false">Produccion_Ventas!P$56*Calendario!P$13</f>
        <v>0</v>
      </c>
      <c r="Q51" s="13" t="n">
        <f aca="false">Produccion_Ventas!Q$56*Calendario!Q$13</f>
        <v>0</v>
      </c>
      <c r="R51" s="13" t="n">
        <f aca="false">Produccion_Ventas!R$56*Calendario!R$13</f>
        <v>0</v>
      </c>
      <c r="S51" s="13" t="n">
        <f aca="false">Produccion_Ventas!S$56*Calendario!S$13</f>
        <v>0</v>
      </c>
      <c r="T51" s="13" t="n">
        <f aca="false">Produccion_Ventas!T$56*Calendario!T$13</f>
        <v>0</v>
      </c>
      <c r="U51" s="13" t="n">
        <f aca="false">Produccion_Ventas!U$56*Calendario!U$13</f>
        <v>0</v>
      </c>
      <c r="V51" s="13" t="n">
        <f aca="false">Produccion_Ventas!V$56*Calendario!V$13</f>
        <v>0</v>
      </c>
      <c r="W51" s="13" t="n">
        <f aca="false">Produccion_Ventas!W$56*Calendario!W$13</f>
        <v>0</v>
      </c>
      <c r="X51" s="13" t="n">
        <f aca="false">Produccion_Ventas!X$56*Calendario!X$13</f>
        <v>0</v>
      </c>
      <c r="Y51" s="13" t="n">
        <f aca="false">Produccion_Ventas!Y$56*Calendario!Y$13</f>
        <v>0</v>
      </c>
      <c r="Z51" s="13" t="n">
        <f aca="false">Produccion_Ventas!Z$56*Calendario!Z$13</f>
        <v>0</v>
      </c>
      <c r="AA51" s="13" t="n">
        <f aca="false">Produccion_Ventas!AA$56*Calendario!AA$13</f>
        <v>0</v>
      </c>
      <c r="AB51" s="13" t="n">
        <f aca="false">Produccion_Ventas!AB$56*Calendario!AB$13</f>
        <v>0</v>
      </c>
      <c r="AC51" s="13" t="n">
        <f aca="false">Produccion_Ventas!AC$56*Calendario!AC$13</f>
        <v>0</v>
      </c>
      <c r="AD51" s="13" t="n">
        <f aca="false">Produccion_Ventas!AD$56*Calendario!AD$13</f>
        <v>0</v>
      </c>
      <c r="AE51" s="13" t="n">
        <f aca="false">Produccion_Ventas!AE$56*Calendario!AE$13</f>
        <v>0</v>
      </c>
      <c r="AF51" s="13" t="n">
        <f aca="false">Produccion_Ventas!AF$56*Calendario!AF$13</f>
        <v>0</v>
      </c>
      <c r="AG51" s="13" t="n">
        <f aca="false">Produccion_Ventas!AG$56*Calendario!AG$13</f>
        <v>0</v>
      </c>
      <c r="AH51" s="13" t="n">
        <f aca="false">Produccion_Ventas!AH$56*Calendario!AH$13</f>
        <v>0</v>
      </c>
      <c r="AI51" s="13" t="n">
        <f aca="false">Produccion_Ventas!AI$56*Calendario!AI$13</f>
        <v>0</v>
      </c>
      <c r="AJ51" s="13" t="n">
        <f aca="false">Produccion_Ventas!AJ$56*Calendario!AJ$13</f>
        <v>0</v>
      </c>
      <c r="AK51" s="13" t="n">
        <f aca="false">Produccion_Ventas!AK$56*Calendario!AK$13</f>
        <v>0</v>
      </c>
      <c r="AL51" s="13" t="n">
        <f aca="false">Produccion_Ventas!AL$56*Calendario!AL$13</f>
        <v>0</v>
      </c>
      <c r="AM51" s="13" t="n">
        <f aca="false">Produccion_Ventas!AM$56*Calendario!AM$13</f>
        <v>0</v>
      </c>
      <c r="AN51" s="13" t="n">
        <f aca="false">Produccion_Ventas!AN$56*Calendario!AN$13</f>
        <v>0</v>
      </c>
      <c r="AO51" s="13" t="n">
        <f aca="false">Produccion_Ventas!AO$56*Calendario!AO$13</f>
        <v>0</v>
      </c>
      <c r="AP51" s="13" t="n">
        <f aca="false">Produccion_Ventas!AP$56*Calendario!AP$13</f>
        <v>0</v>
      </c>
      <c r="AQ51" s="13" t="n">
        <f aca="false">Produccion_Ventas!AQ$56*Calendario!AQ$13</f>
        <v>0</v>
      </c>
      <c r="AR51" s="13" t="n">
        <f aca="false">Produccion_Ventas!AR$56*Calendario!AR$13</f>
        <v>0</v>
      </c>
      <c r="AS51" s="13" t="n">
        <f aca="false">Produccion_Ventas!AS$56*Calendario!AS$13</f>
        <v>0</v>
      </c>
      <c r="AT51" s="13" t="n">
        <f aca="false">Produccion_Ventas!AT$56*Calendario!AT$13</f>
        <v>0</v>
      </c>
      <c r="AU51" s="13" t="n">
        <f aca="false">Produccion_Ventas!AU$56*Calendario!AU$13</f>
        <v>0</v>
      </c>
      <c r="AV51" s="13" t="n">
        <f aca="false">Produccion_Ventas!AV$56*Calendario!AV$13</f>
        <v>0</v>
      </c>
      <c r="AW51" s="13" t="n">
        <f aca="false">Produccion_Ventas!AW$56*Calendario!AW$13</f>
        <v>0</v>
      </c>
      <c r="AX51" s="13" t="n">
        <f aca="false">Produccion_Ventas!AX$56*Calendario!AX$13</f>
        <v>0</v>
      </c>
      <c r="AY51" s="13" t="n">
        <f aca="false">Produccion_Ventas!AY$56*Calendario!AY$13</f>
        <v>0</v>
      </c>
      <c r="AZ51" s="13" t="n">
        <f aca="false">Produccion_Ventas!AZ$56*Calendario!AZ$13</f>
        <v>0</v>
      </c>
      <c r="BA51" s="13" t="n">
        <f aca="false">Produccion_Ventas!BA$56*Calendario!BA$13</f>
        <v>0</v>
      </c>
      <c r="BB51" s="13" t="n">
        <f aca="false">Produccion_Ventas!BB$56*Calendario!BB$13</f>
        <v>0</v>
      </c>
      <c r="BC51" s="13" t="n">
        <f aca="false">Produccion_Ventas!BC$56*Calendario!BC$13</f>
        <v>0</v>
      </c>
      <c r="BD51" s="13" t="n">
        <f aca="false">Produccion_Ventas!BD$56*Calendario!BD$13</f>
        <v>0</v>
      </c>
      <c r="BE51" s="13" t="n">
        <f aca="false">Produccion_Ventas!BE$56*Calendario!BE$13</f>
        <v>0</v>
      </c>
      <c r="BF51" s="13" t="n">
        <f aca="false">Produccion_Ventas!BF$56*Calendario!BF$13</f>
        <v>0</v>
      </c>
      <c r="BG51" s="13" t="n">
        <f aca="false">Produccion_Ventas!BG$56*Calendario!BG$13</f>
        <v>0</v>
      </c>
      <c r="BH51" s="13" t="n">
        <f aca="false">Produccion_Ventas!BH$56*Calendario!BH$13</f>
        <v>0</v>
      </c>
      <c r="BI51" s="13" t="n">
        <f aca="false">Produccion_Ventas!BI$56*Calendario!BI$13</f>
        <v>0</v>
      </c>
      <c r="BJ51" s="13" t="n">
        <f aca="false">Produccion_Ventas!BJ$56*Calendario!BJ$13</f>
        <v>0</v>
      </c>
      <c r="BK51" s="13" t="n">
        <f aca="false">Produccion_Ventas!BK$56*Calendario!BK$13</f>
        <v>0</v>
      </c>
      <c r="BL51" s="13" t="n">
        <f aca="false">Produccion_Ventas!BL$56*Calendario!BL$13</f>
        <v>0</v>
      </c>
      <c r="BM51" s="13" t="n">
        <f aca="false">Produccion_Ventas!BM$56*Calendario!BM$13</f>
        <v>0</v>
      </c>
      <c r="BN51" s="13" t="n">
        <f aca="false">Produccion_Ventas!BN$56*Calendario!BN$13</f>
        <v>0</v>
      </c>
      <c r="BO51" s="13" t="n">
        <f aca="false">Produccion_Ventas!BO$56*Calendario!BO$13</f>
        <v>0</v>
      </c>
      <c r="BP51" s="13" t="n">
        <f aca="false">Produccion_Ventas!BP$56*Calendario!BP$13</f>
        <v>0</v>
      </c>
      <c r="BQ51" s="13" t="n">
        <f aca="false">Produccion_Ventas!BQ$56*Calendario!BQ$13</f>
        <v>0</v>
      </c>
      <c r="BR51" s="13" t="n">
        <f aca="false">Produccion_Ventas!BR$56*Calendario!BR$13</f>
        <v>0</v>
      </c>
      <c r="BS51" s="13" t="n">
        <f aca="false">Produccion_Ventas!BS$56*Calendario!BS$13</f>
        <v>0</v>
      </c>
      <c r="BT51" s="13" t="n">
        <f aca="false">Produccion_Ventas!BT$56*Calendario!BT$13</f>
        <v>0</v>
      </c>
      <c r="BU51" s="13" t="n">
        <f aca="false">Produccion_Ventas!BU$56*Calendario!BU$13</f>
        <v>0</v>
      </c>
      <c r="BV51" s="13" t="n">
        <f aca="false">Produccion_Ventas!BV$56*Calendario!BV$13</f>
        <v>0</v>
      </c>
      <c r="BW51" s="13" t="n">
        <f aca="false">Produccion_Ventas!BW$56*Calendario!BW$13</f>
        <v>0</v>
      </c>
      <c r="BX51" s="13" t="n">
        <f aca="false">Produccion_Ventas!BX$56*Calendario!BX$13</f>
        <v>0</v>
      </c>
      <c r="BY51" s="13" t="n">
        <f aca="false">Produccion_Ventas!BY$56*Calendario!BY$13</f>
        <v>0</v>
      </c>
      <c r="BZ51" s="13" t="n">
        <f aca="false">Produccion_Ventas!BZ$56*Calendario!BZ$13</f>
        <v>0</v>
      </c>
      <c r="CA51" s="13" t="n">
        <f aca="false">Produccion_Ventas!CA$56*Calendario!CA$13</f>
        <v>0</v>
      </c>
      <c r="CB51" s="13" t="n">
        <f aca="false">Produccion_Ventas!CB$56*Calendario!CB$13</f>
        <v>0</v>
      </c>
      <c r="CC51" s="13" t="n">
        <f aca="false">Produccion_Ventas!CC$56*Calendario!CC$13</f>
        <v>0</v>
      </c>
      <c r="CD51" s="13" t="n">
        <f aca="false">Produccion_Ventas!CD$56*Calendario!CD$13</f>
        <v>0</v>
      </c>
      <c r="CE51" s="13" t="n">
        <f aca="false">Produccion_Ventas!CE$56*Calendario!CE$13</f>
        <v>0</v>
      </c>
      <c r="CF51" s="13" t="n">
        <f aca="false">Produccion_Ventas!CF$56*Calendario!CF$13</f>
        <v>0</v>
      </c>
      <c r="CG51" s="13" t="n">
        <f aca="false">Produccion_Ventas!CG$56*Calendario!CG$13</f>
        <v>0</v>
      </c>
      <c r="CH51" s="13" t="n">
        <f aca="false">Produccion_Ventas!CH$56*Calendario!CH$13</f>
        <v>0</v>
      </c>
      <c r="CI51" s="13" t="n">
        <f aca="false">Produccion_Ventas!CI$56*Calendario!CI$13</f>
        <v>0</v>
      </c>
      <c r="CJ51" s="13" t="n">
        <f aca="false">Produccion_Ventas!CJ$56*Calendario!CJ$13</f>
        <v>0</v>
      </c>
      <c r="CK51" s="13" t="n">
        <f aca="false">Produccion_Ventas!CK$56*Calendario!CK$13</f>
        <v>0</v>
      </c>
      <c r="CL51" s="13" t="n">
        <f aca="false">Produccion_Ventas!CL$56*Calendario!CL$13</f>
        <v>0</v>
      </c>
      <c r="CM51" s="13" t="n">
        <f aca="false">Produccion_Ventas!CM$56*Calendario!CM$13</f>
        <v>0</v>
      </c>
      <c r="CN51" s="13" t="n">
        <f aca="false">Produccion_Ventas!CN$56*Calendario!CN$13</f>
        <v>0</v>
      </c>
      <c r="CO51" s="13" t="n">
        <f aca="false">Produccion_Ventas!CO$56*Calendario!CO$13</f>
        <v>0</v>
      </c>
      <c r="CP51" s="13" t="n">
        <f aca="false">Produccion_Ventas!CP$56*Calendario!CP$13</f>
        <v>0</v>
      </c>
      <c r="CQ51" s="13" t="n">
        <f aca="false">Produccion_Ventas!CQ$56*Calendario!CQ$13</f>
        <v>0</v>
      </c>
      <c r="CR51" s="13" t="n">
        <f aca="false">Produccion_Ventas!CR$56*Calendario!CR$13</f>
        <v>0</v>
      </c>
      <c r="CS51" s="13" t="n">
        <f aca="false">Produccion_Ventas!CS$56*Calendario!CS$13</f>
        <v>0</v>
      </c>
      <c r="CT51" s="13" t="n">
        <f aca="false">Produccion_Ventas!CT$56*Calendario!CT$13</f>
        <v>0</v>
      </c>
      <c r="CU51" s="13" t="n">
        <f aca="false">Produccion_Ventas!CU$56*Calendario!CU$13</f>
        <v>0</v>
      </c>
      <c r="CV51" s="13" t="n">
        <f aca="false">Produccion_Ventas!CV$56*Calendario!CV$13</f>
        <v>0</v>
      </c>
      <c r="CW51" s="13" t="n">
        <f aca="false">Produccion_Ventas!CW$56*Calendario!CW$13</f>
        <v>0</v>
      </c>
      <c r="CX51" s="13" t="n">
        <f aca="false">Produccion_Ventas!CX$56*Calendario!CX$13</f>
        <v>0</v>
      </c>
      <c r="CY51" s="13" t="n">
        <f aca="false">Produccion_Ventas!CY$56*Calendario!CY$13</f>
        <v>0</v>
      </c>
      <c r="CZ51" s="13" t="n">
        <f aca="false">Produccion_Ventas!CZ$56*Calendario!CZ$13</f>
        <v>0</v>
      </c>
      <c r="DA51" s="13" t="n">
        <f aca="false">Produccion_Ventas!DA$56*Calendario!DA$13</f>
        <v>0</v>
      </c>
      <c r="DB51" s="13" t="n">
        <f aca="false">Produccion_Ventas!DB$56*Calendario!DB$13</f>
        <v>0</v>
      </c>
      <c r="DC51" s="13" t="n">
        <f aca="false">Produccion_Ventas!DC$56*Calendario!DC$13</f>
        <v>0</v>
      </c>
      <c r="DD51" s="13" t="n">
        <f aca="false">Produccion_Ventas!DD$56*Calendario!DD$13</f>
        <v>0</v>
      </c>
      <c r="DE51" s="13" t="n">
        <f aca="false">Produccion_Ventas!DE$56*Calendario!DE$13</f>
        <v>0</v>
      </c>
      <c r="DF51" s="13" t="n">
        <f aca="false">Produccion_Ventas!DF$56*Calendario!DF$13</f>
        <v>0</v>
      </c>
      <c r="DG51" s="13" t="n">
        <f aca="false">Produccion_Ventas!DG$56*Calendario!DG$13</f>
        <v>0</v>
      </c>
      <c r="DH51" s="13" t="n">
        <f aca="false">Produccion_Ventas!DH$56*Calendario!DH$13</f>
        <v>0</v>
      </c>
      <c r="DI51" s="13" t="n">
        <f aca="false">Produccion_Ventas!DI$56*Calendario!DI$13</f>
        <v>0</v>
      </c>
      <c r="DJ51" s="13" t="n">
        <f aca="false">Produccion_Ventas!DJ$56*Calendario!DJ$13</f>
        <v>0</v>
      </c>
      <c r="DK51" s="13" t="n">
        <f aca="false">Produccion_Ventas!DK$56*Calendario!DK$13</f>
        <v>0</v>
      </c>
      <c r="DL51" s="13" t="n">
        <f aca="false">Produccion_Ventas!DL$56*Calendario!DL$13</f>
        <v>0</v>
      </c>
      <c r="DM51" s="13" t="n">
        <f aca="false">Produccion_Ventas!DM$56*Calendario!DM$13</f>
        <v>0</v>
      </c>
      <c r="DN51" s="13" t="n">
        <f aca="false">Produccion_Ventas!DN$56*Calendario!DN$13</f>
        <v>0</v>
      </c>
      <c r="DO51" s="13" t="n">
        <f aca="false">Produccion_Ventas!DO$56*Calendario!DO$13</f>
        <v>0</v>
      </c>
      <c r="DP51" s="13" t="n">
        <f aca="false">Produccion_Ventas!DP$56*Calendario!DP$13</f>
        <v>0</v>
      </c>
      <c r="DQ51" s="13" t="n">
        <f aca="false">Produccion_Ventas!DQ$56*Calendario!DQ$13</f>
        <v>0</v>
      </c>
      <c r="DR51" s="13" t="n">
        <f aca="false">Produccion_Ventas!DR$56*Calendario!DR$13</f>
        <v>0</v>
      </c>
      <c r="DS51" s="13" t="n">
        <f aca="false">Produccion_Ventas!DS$56*Calendario!DS$13</f>
        <v>0</v>
      </c>
      <c r="DT51" s="13" t="n">
        <f aca="false">Produccion_Ventas!DT$56*Calendario!DT$13</f>
        <v>0</v>
      </c>
      <c r="DU51" s="13" t="n">
        <f aca="false">Produccion_Ventas!DU$56*Calendario!DU$13</f>
        <v>0</v>
      </c>
      <c r="DV51" s="13" t="n">
        <f aca="false">Produccion_Ventas!DV$56*Calendario!DV$13</f>
        <v>0</v>
      </c>
      <c r="DW51" s="13" t="n">
        <f aca="false">Produccion_Ventas!DW$56*Calendario!DW$13</f>
        <v>0</v>
      </c>
      <c r="DX51" s="13" t="n">
        <f aca="false">Produccion_Ventas!DX$56*Calendario!DX$13</f>
        <v>0</v>
      </c>
      <c r="DY51" s="13" t="n">
        <f aca="false">Produccion_Ventas!DY$56*Calendario!DY$13</f>
        <v>0</v>
      </c>
      <c r="DZ51" s="13" t="n">
        <f aca="false">Produccion_Ventas!DZ$56*Calendario!DZ$13</f>
        <v>0</v>
      </c>
      <c r="EA51" s="13" t="n">
        <f aca="false">Produccion_Ventas!EA$56*Calendario!EA$13</f>
        <v>0</v>
      </c>
      <c r="EB51" s="13" t="n">
        <f aca="false">Produccion_Ventas!EB$56*Calendario!EB$13</f>
        <v>0</v>
      </c>
      <c r="EC51" s="13" t="n">
        <f aca="false">Produccion_Ventas!EC$56*Calendario!EC$13</f>
        <v>0</v>
      </c>
      <c r="ED51" s="13" t="n">
        <f aca="false">Produccion_Ventas!ED$56*Calendario!ED$13</f>
        <v>0</v>
      </c>
      <c r="EE51" s="13" t="n">
        <f aca="false">Produccion_Ventas!EE$56*Calendario!EE$13</f>
        <v>0</v>
      </c>
      <c r="EF51" s="13" t="n">
        <f aca="false">Produccion_Ventas!EF$56*Calendario!EF$13</f>
        <v>0</v>
      </c>
      <c r="EG51" s="13" t="n">
        <f aca="false">Produccion_Ventas!EG$56*Calendario!EG$13</f>
        <v>0</v>
      </c>
      <c r="EH51" s="13" t="n">
        <f aca="false">Produccion_Ventas!EH$56*Calendario!EH$13</f>
        <v>0</v>
      </c>
      <c r="EI51" s="13" t="n">
        <f aca="false">Produccion_Ventas!EI$56*Calendario!EI$13</f>
        <v>0</v>
      </c>
      <c r="EJ51" s="13" t="n">
        <f aca="false">Produccion_Ventas!EJ$56*Calendario!EJ$13</f>
        <v>0</v>
      </c>
      <c r="EK51" s="13" t="n">
        <f aca="false">Produccion_Ventas!EK$56*Calendario!EK$13</f>
        <v>0</v>
      </c>
      <c r="EL51" s="13" t="n">
        <f aca="false">Produccion_Ventas!EL$56*Calendario!EL$13</f>
        <v>0</v>
      </c>
      <c r="EM51" s="13" t="n">
        <f aca="false">Produccion_Ventas!EM$56*Calendario!EM$13</f>
        <v>0</v>
      </c>
      <c r="EN51" s="13" t="n">
        <f aca="false">Produccion_Ventas!EN$56*Calendario!EN$13</f>
        <v>0</v>
      </c>
      <c r="EO51" s="13" t="n">
        <f aca="false">Produccion_Ventas!EO$56*Calendario!EO$13</f>
        <v>0</v>
      </c>
      <c r="EP51" s="13" t="n">
        <f aca="false">Produccion_Ventas!EP$56*Calendario!EP$13</f>
        <v>0</v>
      </c>
      <c r="EQ51" s="13" t="n">
        <f aca="false">Produccion_Ventas!EQ$56*Calendario!EQ$13</f>
        <v>0</v>
      </c>
      <c r="ER51" s="13" t="n">
        <f aca="false">Produccion_Ventas!ER$56*Calendario!ER$13</f>
        <v>0</v>
      </c>
      <c r="ES51" s="13" t="n">
        <f aca="false">Produccion_Ventas!ES$56*Calendario!ES$13</f>
        <v>0</v>
      </c>
      <c r="ET51" s="13" t="n">
        <f aca="false">Produccion_Ventas!ET$56*Calendario!ET$13</f>
        <v>0</v>
      </c>
      <c r="EU51" s="13" t="n">
        <f aca="false">Produccion_Ventas!EU$56*Calendario!EU$13</f>
        <v>0</v>
      </c>
      <c r="EV51" s="13" t="n">
        <f aca="false">Produccion_Ventas!EV$56*Calendario!EV$13</f>
        <v>0</v>
      </c>
      <c r="EW51" s="13" t="n">
        <f aca="false">Produccion_Ventas!EW$56*Calendario!EW$13</f>
        <v>0</v>
      </c>
      <c r="EX51" s="13" t="n">
        <f aca="false">Produccion_Ventas!EX$56*Calendario!EX$13</f>
        <v>0</v>
      </c>
      <c r="EY51" s="13" t="n">
        <f aca="false">Produccion_Ventas!EY$56*Calendario!EY$13</f>
        <v>0</v>
      </c>
      <c r="EZ51" s="13" t="n">
        <f aca="false">Produccion_Ventas!EZ$56*Calendario!EZ$13</f>
        <v>0</v>
      </c>
      <c r="FA51" s="13" t="n">
        <f aca="false">Produccion_Ventas!FA$56*Calendario!FA$13</f>
        <v>0</v>
      </c>
      <c r="FB51" s="13" t="n">
        <f aca="false">Produccion_Ventas!FB$56*Calendario!FB$13</f>
        <v>0</v>
      </c>
      <c r="FC51" s="13" t="n">
        <f aca="false">Produccion_Ventas!FC$56*Calendario!FC$13</f>
        <v>0</v>
      </c>
      <c r="FD51" s="13" t="n">
        <f aca="false">Produccion_Ventas!FD$56*Calendario!FD$13</f>
        <v>0</v>
      </c>
      <c r="FE51" s="13" t="n">
        <f aca="false">Produccion_Ventas!FE$56*Calendario!FE$13</f>
        <v>0</v>
      </c>
      <c r="FF51" s="13" t="n">
        <f aca="false">Produccion_Ventas!FF$56*Calendario!FF$13</f>
        <v>0</v>
      </c>
    </row>
    <row r="52" customFormat="false" ht="15" hidden="false" customHeight="false" outlineLevel="0" collapsed="false">
      <c r="A52" s="2" t="s">
        <v>1388</v>
      </c>
      <c r="B52" s="8" t="s">
        <v>1519</v>
      </c>
      <c r="C52" s="8" t="s">
        <v>255</v>
      </c>
      <c r="E52" s="65" t="n">
        <f aca="false">SUM($F52:$FF52)</f>
        <v>0</v>
      </c>
      <c r="F52" s="28" t="n">
        <f aca="false">Deuda_Tributos!F$15</f>
        <v>0</v>
      </c>
      <c r="G52" s="28" t="n">
        <f aca="false">Deuda_Tributos!G$15</f>
        <v>0</v>
      </c>
      <c r="H52" s="28" t="n">
        <f aca="false">Deuda_Tributos!H$15</f>
        <v>0</v>
      </c>
      <c r="I52" s="28" t="n">
        <f aca="false">Deuda_Tributos!I$15</f>
        <v>0</v>
      </c>
      <c r="J52" s="28" t="n">
        <f aca="false">Deuda_Tributos!J$15</f>
        <v>0</v>
      </c>
      <c r="K52" s="28" t="n">
        <f aca="false">Deuda_Tributos!K$15</f>
        <v>0</v>
      </c>
      <c r="L52" s="28" t="n">
        <f aca="false">Deuda_Tributos!L$15</f>
        <v>0</v>
      </c>
      <c r="M52" s="28" t="n">
        <f aca="false">Deuda_Tributos!M$15</f>
        <v>0</v>
      </c>
      <c r="N52" s="28" t="n">
        <f aca="false">Deuda_Tributos!N$15</f>
        <v>0</v>
      </c>
      <c r="O52" s="28" t="n">
        <f aca="false">Deuda_Tributos!O$15</f>
        <v>0</v>
      </c>
      <c r="P52" s="28" t="n">
        <f aca="false">Deuda_Tributos!P$15</f>
        <v>0</v>
      </c>
      <c r="Q52" s="28" t="n">
        <f aca="false">Deuda_Tributos!Q$15</f>
        <v>0</v>
      </c>
      <c r="R52" s="28" t="n">
        <f aca="false">Deuda_Tributos!R$15</f>
        <v>0</v>
      </c>
      <c r="S52" s="28" t="n">
        <f aca="false">Deuda_Tributos!S$15</f>
        <v>0</v>
      </c>
      <c r="T52" s="28" t="n">
        <f aca="false">Deuda_Tributos!T$15</f>
        <v>0</v>
      </c>
      <c r="U52" s="28" t="n">
        <f aca="false">Deuda_Tributos!U$15</f>
        <v>0</v>
      </c>
      <c r="V52" s="28" t="n">
        <f aca="false">Deuda_Tributos!V$15</f>
        <v>0</v>
      </c>
      <c r="W52" s="28" t="n">
        <f aca="false">Deuda_Tributos!W$15</f>
        <v>0</v>
      </c>
      <c r="X52" s="28" t="n">
        <f aca="false">Deuda_Tributos!X$15</f>
        <v>0</v>
      </c>
      <c r="Y52" s="28" t="n">
        <f aca="false">Deuda_Tributos!Y$15</f>
        <v>0</v>
      </c>
      <c r="Z52" s="28" t="n">
        <f aca="false">Deuda_Tributos!Z$15</f>
        <v>0</v>
      </c>
      <c r="AA52" s="28" t="n">
        <f aca="false">Deuda_Tributos!AA$15</f>
        <v>0</v>
      </c>
      <c r="AB52" s="28" t="n">
        <f aca="false">Deuda_Tributos!AB$15</f>
        <v>0</v>
      </c>
      <c r="AC52" s="28" t="n">
        <f aca="false">Deuda_Tributos!AC$15</f>
        <v>0</v>
      </c>
      <c r="AD52" s="28" t="n">
        <f aca="false">Deuda_Tributos!AD$15</f>
        <v>0</v>
      </c>
      <c r="AE52" s="28" t="n">
        <f aca="false">Deuda_Tributos!AE$15</f>
        <v>0</v>
      </c>
      <c r="AF52" s="28" t="n">
        <f aca="false">Deuda_Tributos!AF$15</f>
        <v>0</v>
      </c>
      <c r="AG52" s="28" t="n">
        <f aca="false">Deuda_Tributos!AG$15</f>
        <v>0</v>
      </c>
      <c r="AH52" s="28" t="n">
        <f aca="false">Deuda_Tributos!AH$15</f>
        <v>0</v>
      </c>
      <c r="AI52" s="28" t="n">
        <f aca="false">Deuda_Tributos!AI$15</f>
        <v>0</v>
      </c>
      <c r="AJ52" s="28" t="n">
        <f aca="false">Deuda_Tributos!AJ$15</f>
        <v>0</v>
      </c>
      <c r="AK52" s="28" t="n">
        <f aca="false">Deuda_Tributos!AK$15</f>
        <v>0</v>
      </c>
      <c r="AL52" s="28" t="n">
        <f aca="false">Deuda_Tributos!AL$15</f>
        <v>0</v>
      </c>
      <c r="AM52" s="28" t="n">
        <f aca="false">Deuda_Tributos!AM$15</f>
        <v>0</v>
      </c>
      <c r="AN52" s="28" t="n">
        <f aca="false">Deuda_Tributos!AN$15</f>
        <v>0</v>
      </c>
      <c r="AO52" s="28" t="n">
        <f aca="false">Deuda_Tributos!AO$15</f>
        <v>0</v>
      </c>
      <c r="AP52" s="28" t="n">
        <f aca="false">Deuda_Tributos!AP$15</f>
        <v>0</v>
      </c>
      <c r="AQ52" s="28" t="n">
        <f aca="false">Deuda_Tributos!AQ$15</f>
        <v>0</v>
      </c>
      <c r="AR52" s="28" t="n">
        <f aca="false">Deuda_Tributos!AR$15</f>
        <v>0</v>
      </c>
      <c r="AS52" s="28" t="n">
        <f aca="false">Deuda_Tributos!AS$15</f>
        <v>0</v>
      </c>
      <c r="AT52" s="28" t="n">
        <f aca="false">Deuda_Tributos!AT$15</f>
        <v>0</v>
      </c>
      <c r="AU52" s="28" t="n">
        <f aca="false">Deuda_Tributos!AU$15</f>
        <v>0</v>
      </c>
      <c r="AV52" s="28" t="n">
        <f aca="false">Deuda_Tributos!AV$15</f>
        <v>0</v>
      </c>
      <c r="AW52" s="28" t="n">
        <f aca="false">Deuda_Tributos!AW$15</f>
        <v>0</v>
      </c>
      <c r="AX52" s="28" t="n">
        <f aca="false">Deuda_Tributos!AX$15</f>
        <v>0</v>
      </c>
      <c r="AY52" s="28" t="n">
        <f aca="false">Deuda_Tributos!AY$15</f>
        <v>0</v>
      </c>
      <c r="AZ52" s="28" t="n">
        <f aca="false">Deuda_Tributos!AZ$15</f>
        <v>0</v>
      </c>
      <c r="BA52" s="28" t="n">
        <f aca="false">Deuda_Tributos!BA$15</f>
        <v>0</v>
      </c>
      <c r="BB52" s="28" t="n">
        <f aca="false">Deuda_Tributos!BB$15</f>
        <v>0</v>
      </c>
      <c r="BC52" s="28" t="n">
        <f aca="false">Deuda_Tributos!BC$15</f>
        <v>0</v>
      </c>
      <c r="BD52" s="28" t="n">
        <f aca="false">Deuda_Tributos!BD$15</f>
        <v>0</v>
      </c>
      <c r="BE52" s="28" t="n">
        <f aca="false">Deuda_Tributos!BE$15</f>
        <v>0</v>
      </c>
      <c r="BF52" s="28" t="n">
        <f aca="false">Deuda_Tributos!BF$15</f>
        <v>0</v>
      </c>
      <c r="BG52" s="28" t="n">
        <f aca="false">Deuda_Tributos!BG$15</f>
        <v>0</v>
      </c>
      <c r="BH52" s="28" t="n">
        <f aca="false">Deuda_Tributos!BH$15</f>
        <v>0</v>
      </c>
      <c r="BI52" s="28" t="n">
        <f aca="false">Deuda_Tributos!BI$15</f>
        <v>0</v>
      </c>
      <c r="BJ52" s="28" t="n">
        <f aca="false">Deuda_Tributos!BJ$15</f>
        <v>0</v>
      </c>
      <c r="BK52" s="28" t="n">
        <f aca="false">Deuda_Tributos!BK$15</f>
        <v>0</v>
      </c>
      <c r="BL52" s="28" t="n">
        <f aca="false">Deuda_Tributos!BL$15</f>
        <v>0</v>
      </c>
      <c r="BM52" s="28" t="n">
        <f aca="false">Deuda_Tributos!BM$15</f>
        <v>0</v>
      </c>
      <c r="BN52" s="28" t="n">
        <f aca="false">Deuda_Tributos!BN$15</f>
        <v>0</v>
      </c>
      <c r="BO52" s="28" t="n">
        <f aca="false">Deuda_Tributos!BO$15</f>
        <v>0</v>
      </c>
      <c r="BP52" s="28" t="n">
        <f aca="false">Deuda_Tributos!BP$15</f>
        <v>0</v>
      </c>
      <c r="BQ52" s="28" t="n">
        <f aca="false">Deuda_Tributos!BQ$15</f>
        <v>0</v>
      </c>
      <c r="BR52" s="28" t="n">
        <f aca="false">Deuda_Tributos!BR$15</f>
        <v>0</v>
      </c>
      <c r="BS52" s="28" t="n">
        <f aca="false">Deuda_Tributos!BS$15</f>
        <v>0</v>
      </c>
      <c r="BT52" s="28" t="n">
        <f aca="false">Deuda_Tributos!BT$15</f>
        <v>0</v>
      </c>
      <c r="BU52" s="28" t="n">
        <f aca="false">Deuda_Tributos!BU$15</f>
        <v>0</v>
      </c>
      <c r="BV52" s="28" t="n">
        <f aca="false">Deuda_Tributos!BV$15</f>
        <v>0</v>
      </c>
      <c r="BW52" s="28" t="n">
        <f aca="false">Deuda_Tributos!BW$15</f>
        <v>0</v>
      </c>
      <c r="BX52" s="28" t="n">
        <f aca="false">Deuda_Tributos!BX$15</f>
        <v>0</v>
      </c>
      <c r="BY52" s="28" t="n">
        <f aca="false">Deuda_Tributos!BY$15</f>
        <v>0</v>
      </c>
      <c r="BZ52" s="28" t="n">
        <f aca="false">Deuda_Tributos!BZ$15</f>
        <v>0</v>
      </c>
      <c r="CA52" s="28" t="n">
        <f aca="false">Deuda_Tributos!CA$15</f>
        <v>0</v>
      </c>
      <c r="CB52" s="28" t="n">
        <f aca="false">Deuda_Tributos!CB$15</f>
        <v>0</v>
      </c>
      <c r="CC52" s="28" t="n">
        <f aca="false">Deuda_Tributos!CC$15</f>
        <v>0</v>
      </c>
      <c r="CD52" s="28" t="n">
        <f aca="false">Deuda_Tributos!CD$15</f>
        <v>0</v>
      </c>
      <c r="CE52" s="28" t="n">
        <f aca="false">Deuda_Tributos!CE$15</f>
        <v>0</v>
      </c>
      <c r="CF52" s="28" t="n">
        <f aca="false">Deuda_Tributos!CF$15</f>
        <v>0</v>
      </c>
      <c r="CG52" s="28" t="n">
        <f aca="false">Deuda_Tributos!CG$15</f>
        <v>0</v>
      </c>
      <c r="CH52" s="28" t="n">
        <f aca="false">Deuda_Tributos!CH$15</f>
        <v>0</v>
      </c>
      <c r="CI52" s="28" t="n">
        <f aca="false">Deuda_Tributos!CI$15</f>
        <v>0</v>
      </c>
      <c r="CJ52" s="28" t="n">
        <f aca="false">Deuda_Tributos!CJ$15</f>
        <v>0</v>
      </c>
      <c r="CK52" s="28" t="n">
        <f aca="false">Deuda_Tributos!CK$15</f>
        <v>0</v>
      </c>
      <c r="CL52" s="28" t="n">
        <f aca="false">Deuda_Tributos!CL$15</f>
        <v>0</v>
      </c>
      <c r="CM52" s="28" t="n">
        <f aca="false">Deuda_Tributos!CM$15</f>
        <v>0</v>
      </c>
      <c r="CN52" s="28" t="n">
        <f aca="false">Deuda_Tributos!CN$15</f>
        <v>0</v>
      </c>
      <c r="CO52" s="28" t="n">
        <f aca="false">Deuda_Tributos!CO$15</f>
        <v>0</v>
      </c>
      <c r="CP52" s="28" t="n">
        <f aca="false">Deuda_Tributos!CP$15</f>
        <v>0</v>
      </c>
      <c r="CQ52" s="28" t="n">
        <f aca="false">Deuda_Tributos!CQ$15</f>
        <v>0</v>
      </c>
      <c r="CR52" s="28" t="n">
        <f aca="false">Deuda_Tributos!CR$15</f>
        <v>0</v>
      </c>
      <c r="CS52" s="28" t="n">
        <f aca="false">Deuda_Tributos!CS$15</f>
        <v>0</v>
      </c>
      <c r="CT52" s="28" t="n">
        <f aca="false">Deuda_Tributos!CT$15</f>
        <v>0</v>
      </c>
      <c r="CU52" s="28" t="n">
        <f aca="false">Deuda_Tributos!CU$15</f>
        <v>0</v>
      </c>
      <c r="CV52" s="28" t="n">
        <f aca="false">Deuda_Tributos!CV$15</f>
        <v>0</v>
      </c>
      <c r="CW52" s="28" t="n">
        <f aca="false">Deuda_Tributos!CW$15</f>
        <v>0</v>
      </c>
      <c r="CX52" s="28" t="n">
        <f aca="false">Deuda_Tributos!CX$15</f>
        <v>0</v>
      </c>
      <c r="CY52" s="28" t="n">
        <f aca="false">Deuda_Tributos!CY$15</f>
        <v>0</v>
      </c>
      <c r="CZ52" s="28" t="n">
        <f aca="false">Deuda_Tributos!CZ$15</f>
        <v>0</v>
      </c>
      <c r="DA52" s="28" t="n">
        <f aca="false">Deuda_Tributos!DA$15</f>
        <v>0</v>
      </c>
      <c r="DB52" s="28" t="n">
        <f aca="false">Deuda_Tributos!DB$15</f>
        <v>0</v>
      </c>
      <c r="DC52" s="28" t="n">
        <f aca="false">Deuda_Tributos!DC$15</f>
        <v>0</v>
      </c>
      <c r="DD52" s="28" t="n">
        <f aca="false">Deuda_Tributos!DD$15</f>
        <v>0</v>
      </c>
      <c r="DE52" s="28" t="n">
        <f aca="false">Deuda_Tributos!DE$15</f>
        <v>0</v>
      </c>
      <c r="DF52" s="28" t="n">
        <f aca="false">Deuda_Tributos!DF$15</f>
        <v>0</v>
      </c>
      <c r="DG52" s="28" t="n">
        <f aca="false">Deuda_Tributos!DG$15</f>
        <v>0</v>
      </c>
      <c r="DH52" s="28" t="n">
        <f aca="false">Deuda_Tributos!DH$15</f>
        <v>0</v>
      </c>
      <c r="DI52" s="28" t="n">
        <f aca="false">Deuda_Tributos!DI$15</f>
        <v>0</v>
      </c>
      <c r="DJ52" s="28" t="n">
        <f aca="false">Deuda_Tributos!DJ$15</f>
        <v>0</v>
      </c>
      <c r="DK52" s="28" t="n">
        <f aca="false">Deuda_Tributos!DK$15</f>
        <v>0</v>
      </c>
      <c r="DL52" s="28" t="n">
        <f aca="false">Deuda_Tributos!DL$15</f>
        <v>0</v>
      </c>
      <c r="DM52" s="28" t="n">
        <f aca="false">Deuda_Tributos!DM$15</f>
        <v>0</v>
      </c>
      <c r="DN52" s="28" t="n">
        <f aca="false">Deuda_Tributos!DN$15</f>
        <v>0</v>
      </c>
      <c r="DO52" s="28" t="n">
        <f aca="false">Deuda_Tributos!DO$15</f>
        <v>0</v>
      </c>
      <c r="DP52" s="28" t="n">
        <f aca="false">Deuda_Tributos!DP$15</f>
        <v>0</v>
      </c>
      <c r="DQ52" s="28" t="n">
        <f aca="false">Deuda_Tributos!DQ$15</f>
        <v>0</v>
      </c>
      <c r="DR52" s="28" t="n">
        <f aca="false">Deuda_Tributos!DR$15</f>
        <v>0</v>
      </c>
      <c r="DS52" s="28" t="n">
        <f aca="false">Deuda_Tributos!DS$15</f>
        <v>0</v>
      </c>
      <c r="DT52" s="28" t="n">
        <f aca="false">Deuda_Tributos!DT$15</f>
        <v>0</v>
      </c>
      <c r="DU52" s="28" t="n">
        <f aca="false">Deuda_Tributos!DU$15</f>
        <v>0</v>
      </c>
      <c r="DV52" s="28" t="n">
        <f aca="false">Deuda_Tributos!DV$15</f>
        <v>0</v>
      </c>
      <c r="DW52" s="28" t="n">
        <f aca="false">Deuda_Tributos!DW$15</f>
        <v>0</v>
      </c>
      <c r="DX52" s="28" t="n">
        <f aca="false">Deuda_Tributos!DX$15</f>
        <v>0</v>
      </c>
      <c r="DY52" s="28" t="n">
        <f aca="false">Deuda_Tributos!DY$15</f>
        <v>0</v>
      </c>
      <c r="DZ52" s="28" t="n">
        <f aca="false">Deuda_Tributos!DZ$15</f>
        <v>0</v>
      </c>
      <c r="EA52" s="28" t="n">
        <f aca="false">Deuda_Tributos!EA$15</f>
        <v>0</v>
      </c>
      <c r="EB52" s="28" t="n">
        <f aca="false">Deuda_Tributos!EB$15</f>
        <v>0</v>
      </c>
      <c r="EC52" s="28" t="n">
        <f aca="false">Deuda_Tributos!EC$15</f>
        <v>0</v>
      </c>
      <c r="ED52" s="28" t="n">
        <f aca="false">Deuda_Tributos!ED$15</f>
        <v>0</v>
      </c>
      <c r="EE52" s="28" t="n">
        <f aca="false">Deuda_Tributos!EE$15</f>
        <v>0</v>
      </c>
      <c r="EF52" s="28" t="n">
        <f aca="false">Deuda_Tributos!EF$15</f>
        <v>0</v>
      </c>
      <c r="EG52" s="28" t="n">
        <f aca="false">Deuda_Tributos!EG$15</f>
        <v>0</v>
      </c>
      <c r="EH52" s="28" t="n">
        <f aca="false">Deuda_Tributos!EH$15</f>
        <v>0</v>
      </c>
      <c r="EI52" s="28" t="n">
        <f aca="false">Deuda_Tributos!EI$15</f>
        <v>0</v>
      </c>
      <c r="EJ52" s="28" t="n">
        <f aca="false">Deuda_Tributos!EJ$15</f>
        <v>0</v>
      </c>
      <c r="EK52" s="28" t="n">
        <f aca="false">Deuda_Tributos!EK$15</f>
        <v>0</v>
      </c>
      <c r="EL52" s="28" t="n">
        <f aca="false">Deuda_Tributos!EL$15</f>
        <v>0</v>
      </c>
      <c r="EM52" s="28" t="n">
        <f aca="false">Deuda_Tributos!EM$15</f>
        <v>0</v>
      </c>
      <c r="EN52" s="28" t="n">
        <f aca="false">Deuda_Tributos!EN$15</f>
        <v>0</v>
      </c>
      <c r="EO52" s="28" t="n">
        <f aca="false">Deuda_Tributos!EO$15</f>
        <v>0</v>
      </c>
      <c r="EP52" s="28" t="n">
        <f aca="false">Deuda_Tributos!EP$15</f>
        <v>0</v>
      </c>
      <c r="EQ52" s="28" t="n">
        <f aca="false">Deuda_Tributos!EQ$15</f>
        <v>0</v>
      </c>
      <c r="ER52" s="28" t="n">
        <f aca="false">Deuda_Tributos!ER$15</f>
        <v>0</v>
      </c>
      <c r="ES52" s="28" t="n">
        <f aca="false">Deuda_Tributos!ES$15</f>
        <v>0</v>
      </c>
      <c r="ET52" s="28" t="n">
        <f aca="false">Deuda_Tributos!ET$15</f>
        <v>0</v>
      </c>
      <c r="EU52" s="28" t="n">
        <f aca="false">Deuda_Tributos!EU$15</f>
        <v>0</v>
      </c>
      <c r="EV52" s="28" t="n">
        <f aca="false">Deuda_Tributos!EV$15</f>
        <v>0</v>
      </c>
      <c r="EW52" s="28" t="n">
        <f aca="false">Deuda_Tributos!EW$15</f>
        <v>0</v>
      </c>
      <c r="EX52" s="28" t="n">
        <f aca="false">Deuda_Tributos!EX$15</f>
        <v>0</v>
      </c>
      <c r="EY52" s="28" t="n">
        <f aca="false">Deuda_Tributos!EY$15</f>
        <v>0</v>
      </c>
      <c r="EZ52" s="28" t="n">
        <f aca="false">Deuda_Tributos!EZ$15</f>
        <v>0</v>
      </c>
      <c r="FA52" s="28" t="n">
        <f aca="false">Deuda_Tributos!FA$15</f>
        <v>0</v>
      </c>
      <c r="FB52" s="28" t="n">
        <f aca="false">Deuda_Tributos!FB$15</f>
        <v>0</v>
      </c>
      <c r="FC52" s="28" t="n">
        <f aca="false">Deuda_Tributos!FC$15</f>
        <v>0</v>
      </c>
      <c r="FD52" s="28" t="n">
        <f aca="false">Deuda_Tributos!FD$15</f>
        <v>0</v>
      </c>
      <c r="FE52" s="28" t="n">
        <f aca="false">Deuda_Tributos!FE$15</f>
        <v>0</v>
      </c>
      <c r="FF52" s="28" t="n">
        <f aca="false">Deuda_Tributos!FF$15</f>
        <v>0</v>
      </c>
    </row>
    <row r="53" customFormat="false" ht="15" hidden="false" customHeight="false" outlineLevel="0" collapsed="false">
      <c r="A53" s="2" t="s">
        <v>1338</v>
      </c>
      <c r="B53" s="8" t="s">
        <v>1520</v>
      </c>
      <c r="C53" s="8" t="s">
        <v>255</v>
      </c>
      <c r="E53" s="65" t="n">
        <f aca="false">SUM($F53:$FF53)</f>
        <v>48879883.2717656</v>
      </c>
      <c r="F53" s="28" t="n">
        <f aca="false">Capital_Trabajo!F$40</f>
        <v>1064142.28219178</v>
      </c>
      <c r="G53" s="28" t="n">
        <f aca="false">Capital_Trabajo!G$40</f>
        <v>248982.008333334</v>
      </c>
      <c r="H53" s="28" t="n">
        <f aca="false">Capital_Trabajo!H$40</f>
        <v>248982.008333333</v>
      </c>
      <c r="I53" s="28" t="n">
        <f aca="false">Capital_Trabajo!I$40</f>
        <v>248982.008333333</v>
      </c>
      <c r="J53" s="28" t="n">
        <f aca="false">Capital_Trabajo!J$40</f>
        <v>248982.008333333</v>
      </c>
      <c r="K53" s="28" t="n">
        <f aca="false">Capital_Trabajo!K$40</f>
        <v>248982.008333333</v>
      </c>
      <c r="L53" s="28" t="n">
        <f aca="false">Capital_Trabajo!L$40</f>
        <v>248982.008333333</v>
      </c>
      <c r="M53" s="28" t="n">
        <f aca="false">Capital_Trabajo!M$40</f>
        <v>248982.008333333</v>
      </c>
      <c r="N53" s="28" t="n">
        <f aca="false">Capital_Trabajo!N$40</f>
        <v>269319.285083193</v>
      </c>
      <c r="O53" s="28" t="n">
        <f aca="false">Capital_Trabajo!O$40</f>
        <v>313567.065436214</v>
      </c>
      <c r="P53" s="28" t="n">
        <f aca="false">Capital_Trabajo!P$40</f>
        <v>316063.807916666</v>
      </c>
      <c r="Q53" s="28" t="n">
        <f aca="false">Capital_Trabajo!Q$40</f>
        <v>316063.807916667</v>
      </c>
      <c r="R53" s="28" t="n">
        <f aca="false">Capital_Trabajo!R$40</f>
        <v>316063.807916667</v>
      </c>
      <c r="S53" s="28" t="n">
        <f aca="false">Capital_Trabajo!S$40</f>
        <v>316063.807916667</v>
      </c>
      <c r="T53" s="28" t="n">
        <f aca="false">Capital_Trabajo!T$40</f>
        <v>316063.807916667</v>
      </c>
      <c r="U53" s="28" t="n">
        <f aca="false">Capital_Trabajo!U$40</f>
        <v>316063.807916667</v>
      </c>
      <c r="V53" s="28" t="n">
        <f aca="false">Capital_Trabajo!V$40</f>
        <v>316063.807916667</v>
      </c>
      <c r="W53" s="28" t="n">
        <f aca="false">Capital_Trabajo!W$40</f>
        <v>316063.807916667</v>
      </c>
      <c r="X53" s="28" t="n">
        <f aca="false">Capital_Trabajo!X$40</f>
        <v>316063.807916667</v>
      </c>
      <c r="Y53" s="28" t="n">
        <f aca="false">Capital_Trabajo!Y$40</f>
        <v>316063.807916667</v>
      </c>
      <c r="Z53" s="28" t="n">
        <f aca="false">Capital_Trabajo!Z$40</f>
        <v>336506.749446034</v>
      </c>
      <c r="AA53" s="28" t="n">
        <f aca="false">Capital_Trabajo!AA$40</f>
        <v>381316.467237299</v>
      </c>
      <c r="AB53" s="28" t="n">
        <f aca="false">Capital_Trabajo!AB$40</f>
        <v>383845.4307</v>
      </c>
      <c r="AC53" s="28" t="n">
        <f aca="false">Capital_Trabajo!AC$40</f>
        <v>383845.4307</v>
      </c>
      <c r="AD53" s="28" t="n">
        <f aca="false">Capital_Trabajo!AD$40</f>
        <v>383845.4307</v>
      </c>
      <c r="AE53" s="28" t="n">
        <f aca="false">Capital_Trabajo!AE$40</f>
        <v>383845.4307</v>
      </c>
      <c r="AF53" s="28" t="n">
        <f aca="false">Capital_Trabajo!AF$40</f>
        <v>383845.4307</v>
      </c>
      <c r="AG53" s="28" t="n">
        <f aca="false">Capital_Trabajo!AG$40</f>
        <v>383845.4307</v>
      </c>
      <c r="AH53" s="28" t="n">
        <f aca="false">Capital_Trabajo!AH$40</f>
        <v>383845.4307</v>
      </c>
      <c r="AI53" s="28" t="n">
        <f aca="false">Capital_Trabajo!AI$40</f>
        <v>383845.4307</v>
      </c>
      <c r="AJ53" s="28" t="n">
        <f aca="false">Capital_Trabajo!AJ$40</f>
        <v>383845.4307</v>
      </c>
      <c r="AK53" s="28" t="n">
        <f aca="false">Capital_Trabajo!AK$40</f>
        <v>383845.4307</v>
      </c>
      <c r="AL53" s="28" t="n">
        <f aca="false">Capital_Trabajo!AL$40</f>
        <v>400378.037898105</v>
      </c>
      <c r="AM53" s="28" t="n">
        <f aca="false">Capital_Trabajo!AM$40</f>
        <v>437262.871182191</v>
      </c>
      <c r="AN53" s="28" t="n">
        <f aca="false">Capital_Trabajo!AN$40</f>
        <v>439345.562270458</v>
      </c>
      <c r="AO53" s="28" t="n">
        <f aca="false">Capital_Trabajo!AO$40</f>
        <v>439345.562270458</v>
      </c>
      <c r="AP53" s="28" t="n">
        <f aca="false">Capital_Trabajo!AP$40</f>
        <v>439345.562270459</v>
      </c>
      <c r="AQ53" s="28" t="n">
        <f aca="false">Capital_Trabajo!AQ$40</f>
        <v>439345.562270458</v>
      </c>
      <c r="AR53" s="28" t="n">
        <f aca="false">Capital_Trabajo!AR$40</f>
        <v>439345.562270458</v>
      </c>
      <c r="AS53" s="28" t="n">
        <f aca="false">Capital_Trabajo!AS$40</f>
        <v>439345.562270458</v>
      </c>
      <c r="AT53" s="28" t="n">
        <f aca="false">Capital_Trabajo!AT$40</f>
        <v>439345.562270458</v>
      </c>
      <c r="AU53" s="28" t="n">
        <f aca="false">Capital_Trabajo!AU$40</f>
        <v>439345.562270458</v>
      </c>
      <c r="AV53" s="28" t="n">
        <f aca="false">Capital_Trabajo!AV$40</f>
        <v>439345.562270458</v>
      </c>
      <c r="AW53" s="28" t="n">
        <f aca="false">Capital_Trabajo!AW$40</f>
        <v>439345.562270458</v>
      </c>
      <c r="AX53" s="28" t="n">
        <f aca="false">Capital_Trabajo!AX$40</f>
        <v>439345.562270458</v>
      </c>
      <c r="AY53" s="28" t="n">
        <f aca="false">Capital_Trabajo!AY$40</f>
        <v>441539.633996028</v>
      </c>
      <c r="AZ53" s="28" t="n">
        <f aca="false">Capital_Trabajo!AZ$40</f>
        <v>441666.826559829</v>
      </c>
      <c r="BA53" s="28" t="n">
        <f aca="false">Capital_Trabajo!BA$40</f>
        <v>441666.82655983</v>
      </c>
      <c r="BB53" s="28" t="n">
        <f aca="false">Capital_Trabajo!BB$40</f>
        <v>441666.82655983</v>
      </c>
      <c r="BC53" s="28" t="n">
        <f aca="false">Capital_Trabajo!BC$40</f>
        <v>441666.82655983</v>
      </c>
      <c r="BD53" s="28" t="n">
        <f aca="false">Capital_Trabajo!BD$40</f>
        <v>441666.82655983</v>
      </c>
      <c r="BE53" s="28" t="n">
        <f aca="false">Capital_Trabajo!BE$40</f>
        <v>441666.82655983</v>
      </c>
      <c r="BF53" s="28" t="n">
        <f aca="false">Capital_Trabajo!BF$40</f>
        <v>441666.82655983</v>
      </c>
      <c r="BG53" s="28" t="n">
        <f aca="false">Capital_Trabajo!BG$40</f>
        <v>441666.82655983</v>
      </c>
      <c r="BH53" s="28" t="n">
        <f aca="false">Capital_Trabajo!BH$40</f>
        <v>441666.82655983</v>
      </c>
      <c r="BI53" s="28" t="n">
        <f aca="false">Capital_Trabajo!BI$40</f>
        <v>441666.82655983</v>
      </c>
      <c r="BJ53" s="28" t="n">
        <f aca="false">Capital_Trabajo!BJ$40</f>
        <v>441666.82655983</v>
      </c>
      <c r="BK53" s="28" t="n">
        <f aca="false">Capital_Trabajo!BK$40</f>
        <v>443882.839002655</v>
      </c>
      <c r="BL53" s="28" t="n">
        <f aca="false">Capital_Trabajo!BL$40</f>
        <v>444011.303492095</v>
      </c>
      <c r="BM53" s="28" t="n">
        <f aca="false">Capital_Trabajo!BM$40</f>
        <v>444011.303492094</v>
      </c>
      <c r="BN53" s="28" t="n">
        <f aca="false">Capital_Trabajo!BN$40</f>
        <v>444011.303492094</v>
      </c>
      <c r="BO53" s="28" t="n">
        <f aca="false">Capital_Trabajo!BO$40</f>
        <v>444011.303492094</v>
      </c>
      <c r="BP53" s="28" t="n">
        <f aca="false">Capital_Trabajo!BP$40</f>
        <v>444011.303492095</v>
      </c>
      <c r="BQ53" s="28" t="n">
        <f aca="false">Capital_Trabajo!BQ$40</f>
        <v>444011.303492095</v>
      </c>
      <c r="BR53" s="28" t="n">
        <f aca="false">Capital_Trabajo!BR$40</f>
        <v>444011.303492095</v>
      </c>
      <c r="BS53" s="28" t="n">
        <f aca="false">Capital_Trabajo!BS$40</f>
        <v>444011.303492095</v>
      </c>
      <c r="BT53" s="28" t="n">
        <f aca="false">Capital_Trabajo!BT$40</f>
        <v>444011.303492095</v>
      </c>
      <c r="BU53" s="28" t="n">
        <f aca="false">Capital_Trabajo!BU$40</f>
        <v>444011.303492095</v>
      </c>
      <c r="BV53" s="28" t="n">
        <f aca="false">Capital_Trabajo!BV$40</f>
        <v>444011.303492095</v>
      </c>
      <c r="BW53" s="28" t="n">
        <f aca="false">Capital_Trabajo!BW$40</f>
        <v>446249.476059349</v>
      </c>
      <c r="BX53" s="28" t="n">
        <f aca="false">Capital_Trabajo!BX$40</f>
        <v>446379.225193682</v>
      </c>
      <c r="BY53" s="28" t="n">
        <f aca="false">Capital_Trabajo!BY$40</f>
        <v>446379.225193682</v>
      </c>
      <c r="BZ53" s="28" t="n">
        <f aca="false">Capital_Trabajo!BZ$40</f>
        <v>446379.225193682</v>
      </c>
      <c r="CA53" s="28" t="n">
        <f aca="false">Capital_Trabajo!CA$40</f>
        <v>446379.225193682</v>
      </c>
      <c r="CB53" s="28" t="n">
        <f aca="false">Capital_Trabajo!CB$40</f>
        <v>446379.225193682</v>
      </c>
      <c r="CC53" s="28" t="n">
        <f aca="false">Capital_Trabajo!CC$40</f>
        <v>446379.225193682</v>
      </c>
      <c r="CD53" s="28" t="n">
        <f aca="false">Capital_Trabajo!CD$40</f>
        <v>446379.225193682</v>
      </c>
      <c r="CE53" s="28" t="n">
        <f aca="false">Capital_Trabajo!CE$40</f>
        <v>446379.225193682</v>
      </c>
      <c r="CF53" s="28" t="n">
        <f aca="false">Capital_Trabajo!CF$40</f>
        <v>446379.225193682</v>
      </c>
      <c r="CG53" s="28" t="n">
        <f aca="false">Capital_Trabajo!CG$40</f>
        <v>446379.225193682</v>
      </c>
      <c r="CH53" s="28" t="n">
        <f aca="false">Capital_Trabajo!CH$40</f>
        <v>446379.225193682</v>
      </c>
      <c r="CI53" s="28" t="n">
        <f aca="false">Capital_Trabajo!CI$40</f>
        <v>448639.779486609</v>
      </c>
      <c r="CJ53" s="28" t="n">
        <f aca="false">Capital_Trabajo!CJ$40</f>
        <v>448770.826112285</v>
      </c>
      <c r="CK53" s="28" t="n">
        <f aca="false">Capital_Trabajo!CK$40</f>
        <v>448770.826112286</v>
      </c>
      <c r="CL53" s="28" t="n">
        <f aca="false">Capital_Trabajo!CL$40</f>
        <v>448770.826112286</v>
      </c>
      <c r="CM53" s="28" t="n">
        <f aca="false">Capital_Trabajo!CM$40</f>
        <v>448770.826112285</v>
      </c>
      <c r="CN53" s="28" t="n">
        <f aca="false">Capital_Trabajo!CN$40</f>
        <v>448770.826112286</v>
      </c>
      <c r="CO53" s="28" t="n">
        <f aca="false">Capital_Trabajo!CO$40</f>
        <v>448770.826112286</v>
      </c>
      <c r="CP53" s="28" t="n">
        <f aca="false">Capital_Trabajo!CP$40</f>
        <v>448770.826112286</v>
      </c>
      <c r="CQ53" s="28" t="n">
        <f aca="false">Capital_Trabajo!CQ$40</f>
        <v>448770.826112286</v>
      </c>
      <c r="CR53" s="28" t="n">
        <f aca="false">Capital_Trabajo!CR$40</f>
        <v>448770.826112286</v>
      </c>
      <c r="CS53" s="28" t="n">
        <f aca="false">Capital_Trabajo!CS$40</f>
        <v>448770.826112286</v>
      </c>
      <c r="CT53" s="28" t="n">
        <f aca="false">Capital_Trabajo!CT$40</f>
        <v>448770.826112286</v>
      </c>
      <c r="CU53" s="28" t="n">
        <f aca="false">Capital_Trabajo!CU$40</f>
        <v>451053.985948142</v>
      </c>
      <c r="CV53" s="28" t="n">
        <f aca="false">Capital_Trabajo!CV$40</f>
        <v>451186.343040076</v>
      </c>
      <c r="CW53" s="28" t="n">
        <f aca="false">Capital_Trabajo!CW$40</f>
        <v>451186.343040075</v>
      </c>
      <c r="CX53" s="28" t="n">
        <f aca="false">Capital_Trabajo!CX$40</f>
        <v>451186.343040075</v>
      </c>
      <c r="CY53" s="28" t="n">
        <f aca="false">Capital_Trabajo!CY$40</f>
        <v>451186.343040075</v>
      </c>
      <c r="CZ53" s="28" t="n">
        <f aca="false">Capital_Trabajo!CZ$40</f>
        <v>451186.343040075</v>
      </c>
      <c r="DA53" s="28" t="n">
        <f aca="false">Capital_Trabajo!DA$40</f>
        <v>451186.343040075</v>
      </c>
      <c r="DB53" s="28" t="n">
        <f aca="false">Capital_Trabajo!DB$40</f>
        <v>451186.343040075</v>
      </c>
      <c r="DC53" s="28" t="n">
        <f aca="false">Capital_Trabajo!DC$40</f>
        <v>451186.343040075</v>
      </c>
      <c r="DD53" s="28" t="n">
        <f aca="false">Capital_Trabajo!DD$40</f>
        <v>451186.343040075</v>
      </c>
      <c r="DE53" s="28" t="n">
        <f aca="false">Capital_Trabajo!DE$40</f>
        <v>451186.343040075</v>
      </c>
      <c r="DF53" s="28" t="n">
        <f aca="false">Capital_Trabajo!DF$40</f>
        <v>451186.343040075</v>
      </c>
      <c r="DG53" s="28" t="n">
        <f aca="false">Capital_Trabajo!DG$40</f>
        <v>453492.33447429</v>
      </c>
      <c r="DH53" s="28" t="n">
        <f aca="false">Capital_Trabajo!DH$40</f>
        <v>453626.015137143</v>
      </c>
      <c r="DI53" s="28" t="n">
        <f aca="false">Capital_Trabajo!DI$40</f>
        <v>453626.015137143</v>
      </c>
      <c r="DJ53" s="28" t="n">
        <f aca="false">Capital_Trabajo!DJ$40</f>
        <v>453626.015137143</v>
      </c>
      <c r="DK53" s="28" t="n">
        <f aca="false">Capital_Trabajo!DK$40</f>
        <v>453626.015137143</v>
      </c>
      <c r="DL53" s="28" t="n">
        <f aca="false">Capital_Trabajo!DL$40</f>
        <v>453626.015137143</v>
      </c>
      <c r="DM53" s="28" t="n">
        <f aca="false">Capital_Trabajo!DM$40</f>
        <v>453626.015137143</v>
      </c>
      <c r="DN53" s="28" t="n">
        <f aca="false">Capital_Trabajo!DN$40</f>
        <v>453626.015137143</v>
      </c>
      <c r="DO53" s="28" t="n">
        <f aca="false">Capital_Trabajo!DO$40</f>
        <v>453626.015137143</v>
      </c>
      <c r="DP53" s="28" t="n">
        <f aca="false">Capital_Trabajo!DP$40</f>
        <v>453626.015137143</v>
      </c>
      <c r="DQ53" s="28" t="n">
        <f aca="false">Capital_Trabajo!DQ$40</f>
        <v>453626.015137143</v>
      </c>
      <c r="DR53" s="28" t="n">
        <f aca="false">Capital_Trabajo!DR$40</f>
        <v>312660.603039731</v>
      </c>
      <c r="DS53" s="28" t="n">
        <f aca="false">Capital_Trabajo!DS$40</f>
        <v>16684.3120598386</v>
      </c>
      <c r="DT53" s="28" t="n">
        <f aca="false">Capital_Trabajo!DT$40</f>
        <v>0</v>
      </c>
      <c r="DU53" s="28" t="n">
        <f aca="false">Capital_Trabajo!DU$40</f>
        <v>0</v>
      </c>
      <c r="DV53" s="28" t="n">
        <f aca="false">Capital_Trabajo!DV$40</f>
        <v>0</v>
      </c>
      <c r="DW53" s="28" t="n">
        <f aca="false">Capital_Trabajo!DW$40</f>
        <v>0</v>
      </c>
      <c r="DX53" s="28" t="n">
        <f aca="false">Capital_Trabajo!DX$40</f>
        <v>0</v>
      </c>
      <c r="DY53" s="28" t="n">
        <f aca="false">Capital_Trabajo!DY$40</f>
        <v>0</v>
      </c>
      <c r="DZ53" s="28" t="n">
        <f aca="false">Capital_Trabajo!DZ$40</f>
        <v>0</v>
      </c>
      <c r="EA53" s="28" t="n">
        <f aca="false">Capital_Trabajo!EA$40</f>
        <v>0</v>
      </c>
      <c r="EB53" s="28" t="n">
        <f aca="false">Capital_Trabajo!EB$40</f>
        <v>0</v>
      </c>
      <c r="EC53" s="28" t="n">
        <f aca="false">Capital_Trabajo!EC$40</f>
        <v>0</v>
      </c>
      <c r="ED53" s="28" t="n">
        <f aca="false">Capital_Trabajo!ED$40</f>
        <v>0</v>
      </c>
      <c r="EE53" s="28" t="n">
        <f aca="false">Capital_Trabajo!EE$40</f>
        <v>0</v>
      </c>
      <c r="EF53" s="28" t="n">
        <f aca="false">Capital_Trabajo!EF$40</f>
        <v>0</v>
      </c>
      <c r="EG53" s="28" t="n">
        <f aca="false">Capital_Trabajo!EG$40</f>
        <v>0</v>
      </c>
      <c r="EH53" s="28" t="n">
        <f aca="false">Capital_Trabajo!EH$40</f>
        <v>0</v>
      </c>
      <c r="EI53" s="28" t="n">
        <f aca="false">Capital_Trabajo!EI$40</f>
        <v>0</v>
      </c>
      <c r="EJ53" s="28" t="n">
        <f aca="false">Capital_Trabajo!EJ$40</f>
        <v>0</v>
      </c>
      <c r="EK53" s="28" t="n">
        <f aca="false">Capital_Trabajo!EK$40</f>
        <v>0</v>
      </c>
      <c r="EL53" s="28" t="n">
        <f aca="false">Capital_Trabajo!EL$40</f>
        <v>0</v>
      </c>
      <c r="EM53" s="28" t="n">
        <f aca="false">Capital_Trabajo!EM$40</f>
        <v>0</v>
      </c>
      <c r="EN53" s="28" t="n">
        <f aca="false">Capital_Trabajo!EN$40</f>
        <v>0</v>
      </c>
      <c r="EO53" s="28" t="n">
        <f aca="false">Capital_Trabajo!EO$40</f>
        <v>0</v>
      </c>
      <c r="EP53" s="28" t="n">
        <f aca="false">Capital_Trabajo!EP$40</f>
        <v>0</v>
      </c>
      <c r="EQ53" s="28" t="n">
        <f aca="false">Capital_Trabajo!EQ$40</f>
        <v>0</v>
      </c>
      <c r="ER53" s="28" t="n">
        <f aca="false">Capital_Trabajo!ER$40</f>
        <v>0</v>
      </c>
      <c r="ES53" s="28" t="n">
        <f aca="false">Capital_Trabajo!ES$40</f>
        <v>0</v>
      </c>
      <c r="ET53" s="28" t="n">
        <f aca="false">Capital_Trabajo!ET$40</f>
        <v>0</v>
      </c>
      <c r="EU53" s="28" t="n">
        <f aca="false">Capital_Trabajo!EU$40</f>
        <v>0</v>
      </c>
      <c r="EV53" s="28" t="n">
        <f aca="false">Capital_Trabajo!EV$40</f>
        <v>0</v>
      </c>
      <c r="EW53" s="28" t="n">
        <f aca="false">Capital_Trabajo!EW$40</f>
        <v>0</v>
      </c>
      <c r="EX53" s="28" t="n">
        <f aca="false">Capital_Trabajo!EX$40</f>
        <v>0</v>
      </c>
      <c r="EY53" s="28" t="n">
        <f aca="false">Capital_Trabajo!EY$40</f>
        <v>0</v>
      </c>
      <c r="EZ53" s="28" t="n">
        <f aca="false">Capital_Trabajo!EZ$40</f>
        <v>0</v>
      </c>
      <c r="FA53" s="28" t="n">
        <f aca="false">Capital_Trabajo!FA$40</f>
        <v>0</v>
      </c>
      <c r="FB53" s="28" t="n">
        <f aca="false">Capital_Trabajo!FB$40</f>
        <v>0</v>
      </c>
      <c r="FC53" s="28" t="n">
        <f aca="false">Capital_Trabajo!FC$40</f>
        <v>0</v>
      </c>
      <c r="FD53" s="28" t="n">
        <f aca="false">Capital_Trabajo!FD$40</f>
        <v>0</v>
      </c>
      <c r="FE53" s="28" t="n">
        <f aca="false">Capital_Trabajo!FE$40</f>
        <v>0</v>
      </c>
      <c r="FF53" s="28" t="n">
        <f aca="false">Capital_Trabajo!FF$40</f>
        <v>0</v>
      </c>
    </row>
    <row r="54" customFormat="false" ht="15" hidden="false" customHeight="false" outlineLevel="0" collapsed="false">
      <c r="A54" s="2" t="s">
        <v>1353</v>
      </c>
      <c r="B54" s="8" t="s">
        <v>1521</v>
      </c>
      <c r="C54" s="8" t="s">
        <v>255</v>
      </c>
      <c r="E54" s="65" t="n">
        <f aca="false">SUM($F54:$FF54)</f>
        <v>7901328.92376444</v>
      </c>
      <c r="F54" s="28" t="n">
        <f aca="false">Capital_Trabajo!F$49</f>
        <v>0</v>
      </c>
      <c r="G54" s="28" t="n">
        <f aca="false">Capital_Trabajo!G$49</f>
        <v>761.701062792606</v>
      </c>
      <c r="H54" s="28" t="n">
        <f aca="false">Capital_Trabajo!H$49</f>
        <v>55536.6196683036</v>
      </c>
      <c r="I54" s="28" t="n">
        <f aca="false">Capital_Trabajo!I$49</f>
        <v>50672.4497482436</v>
      </c>
      <c r="J54" s="28" t="n">
        <f aca="false">Capital_Trabajo!J$49</f>
        <v>50672.4497482436</v>
      </c>
      <c r="K54" s="28" t="n">
        <f aca="false">Capital_Trabajo!K$49</f>
        <v>50672.4497482436</v>
      </c>
      <c r="L54" s="28" t="n">
        <f aca="false">Capital_Trabajo!L$49</f>
        <v>50672.4497482436</v>
      </c>
      <c r="M54" s="28" t="n">
        <f aca="false">Capital_Trabajo!M$49</f>
        <v>50672.4497482436</v>
      </c>
      <c r="N54" s="28" t="n">
        <f aca="false">Capital_Trabajo!N$49</f>
        <v>50672.4497482436</v>
      </c>
      <c r="O54" s="28" t="n">
        <f aca="false">Capital_Trabajo!O$49</f>
        <v>50672.4497482436</v>
      </c>
      <c r="P54" s="28" t="n">
        <f aca="false">Capital_Trabajo!P$49</f>
        <v>50672.4497482436</v>
      </c>
      <c r="Q54" s="28" t="n">
        <f aca="false">Capital_Trabajo!Q$49</f>
        <v>50672.4497482436</v>
      </c>
      <c r="R54" s="28" t="n">
        <f aca="false">Capital_Trabajo!R$49</f>
        <v>50690.2074453725</v>
      </c>
      <c r="S54" s="28" t="n">
        <f aca="false">Capital_Trabajo!S$49</f>
        <v>52031.1769723475</v>
      </c>
      <c r="T54" s="28" t="n">
        <f aca="false">Capital_Trabajo!T$49</f>
        <v>56525.0809982435</v>
      </c>
      <c r="U54" s="28" t="n">
        <f aca="false">Capital_Trabajo!U$49</f>
        <v>56525.0809982435</v>
      </c>
      <c r="V54" s="28" t="n">
        <f aca="false">Capital_Trabajo!V$49</f>
        <v>56525.0809982435</v>
      </c>
      <c r="W54" s="28" t="n">
        <f aca="false">Capital_Trabajo!W$49</f>
        <v>56525.0809982435</v>
      </c>
      <c r="X54" s="28" t="n">
        <f aca="false">Capital_Trabajo!X$49</f>
        <v>56525.0809982435</v>
      </c>
      <c r="Y54" s="28" t="n">
        <f aca="false">Capital_Trabajo!Y$49</f>
        <v>56525.0809982435</v>
      </c>
      <c r="Z54" s="28" t="n">
        <f aca="false">Capital_Trabajo!Z$49</f>
        <v>56525.0809982435</v>
      </c>
      <c r="AA54" s="28" t="n">
        <f aca="false">Capital_Trabajo!AA$49</f>
        <v>56525.0809982435</v>
      </c>
      <c r="AB54" s="28" t="n">
        <f aca="false">Capital_Trabajo!AB$49</f>
        <v>56525.0809982435</v>
      </c>
      <c r="AC54" s="28" t="n">
        <f aca="false">Capital_Trabajo!AC$49</f>
        <v>56525.0809982435</v>
      </c>
      <c r="AD54" s="28" t="n">
        <f aca="false">Capital_Trabajo!AD$49</f>
        <v>56542.9308751435</v>
      </c>
      <c r="AE54" s="28" t="n">
        <f aca="false">Capital_Trabajo!AE$49</f>
        <v>57893.7635743853</v>
      </c>
      <c r="AF54" s="28" t="n">
        <f aca="false">Capital_Trabajo!AF$49</f>
        <v>62619.9560702915</v>
      </c>
      <c r="AG54" s="28" t="n">
        <f aca="false">Capital_Trabajo!AG$49</f>
        <v>62619.9560702915</v>
      </c>
      <c r="AH54" s="28" t="n">
        <f aca="false">Capital_Trabajo!AH$49</f>
        <v>62619.9560702915</v>
      </c>
      <c r="AI54" s="28" t="n">
        <f aca="false">Capital_Trabajo!AI$49</f>
        <v>62619.9560702915</v>
      </c>
      <c r="AJ54" s="28" t="n">
        <f aca="false">Capital_Trabajo!AJ$49</f>
        <v>62619.9560702915</v>
      </c>
      <c r="AK54" s="28" t="n">
        <f aca="false">Capital_Trabajo!AK$49</f>
        <v>62619.9560702915</v>
      </c>
      <c r="AL54" s="28" t="n">
        <f aca="false">Capital_Trabajo!AL$49</f>
        <v>62619.9560702915</v>
      </c>
      <c r="AM54" s="28" t="n">
        <f aca="false">Capital_Trabajo!AM$49</f>
        <v>62619.9560702915</v>
      </c>
      <c r="AN54" s="28" t="n">
        <f aca="false">Capital_Trabajo!AN$49</f>
        <v>62619.9560702915</v>
      </c>
      <c r="AO54" s="28" t="n">
        <f aca="false">Capital_Trabajo!AO$49</f>
        <v>62619.9560702915</v>
      </c>
      <c r="AP54" s="28" t="n">
        <f aca="false">Capital_Trabajo!AP$49</f>
        <v>62634.3915188597</v>
      </c>
      <c r="AQ54" s="28" t="n">
        <f aca="false">Capital_Trabajo!AQ$49</f>
        <v>63729.7976697647</v>
      </c>
      <c r="AR54" s="28" t="n">
        <f aca="false">Capital_Trabajo!AR$49</f>
        <v>67765.6751573158</v>
      </c>
      <c r="AS54" s="28" t="n">
        <f aca="false">Capital_Trabajo!AS$49</f>
        <v>67765.6751573158</v>
      </c>
      <c r="AT54" s="28" t="n">
        <f aca="false">Capital_Trabajo!AT$49</f>
        <v>67765.6751573158</v>
      </c>
      <c r="AU54" s="28" t="n">
        <f aca="false">Capital_Trabajo!AU$49</f>
        <v>67765.6751573158</v>
      </c>
      <c r="AV54" s="28" t="n">
        <f aca="false">Capital_Trabajo!AV$49</f>
        <v>67765.6751573158</v>
      </c>
      <c r="AW54" s="28" t="n">
        <f aca="false">Capital_Trabajo!AW$49</f>
        <v>67765.6751573158</v>
      </c>
      <c r="AX54" s="28" t="n">
        <f aca="false">Capital_Trabajo!AX$49</f>
        <v>67765.6751573158</v>
      </c>
      <c r="AY54" s="28" t="n">
        <f aca="false">Capital_Trabajo!AY$49</f>
        <v>67765.6751573158</v>
      </c>
      <c r="AZ54" s="28" t="n">
        <f aca="false">Capital_Trabajo!AZ$49</f>
        <v>67765.6751573158</v>
      </c>
      <c r="BA54" s="28" t="n">
        <f aca="false">Capital_Trabajo!BA$49</f>
        <v>67765.6751573158</v>
      </c>
      <c r="BB54" s="28" t="n">
        <f aca="false">Capital_Trabajo!BB$49</f>
        <v>67765.6751573158</v>
      </c>
      <c r="BC54" s="28" t="n">
        <f aca="false">Capital_Trabajo!BC$49</f>
        <v>67779.5216718072</v>
      </c>
      <c r="BD54" s="28" t="n">
        <f aca="false">Capital_Trabajo!BD$49</f>
        <v>68776.4707151862</v>
      </c>
      <c r="BE54" s="28" t="n">
        <f aca="false">Capital_Trabajo!BE$49</f>
        <v>68776.4707151862</v>
      </c>
      <c r="BF54" s="28" t="n">
        <f aca="false">Capital_Trabajo!BF$49</f>
        <v>68776.4707151862</v>
      </c>
      <c r="BG54" s="28" t="n">
        <f aca="false">Capital_Trabajo!BG$49</f>
        <v>68776.4707151862</v>
      </c>
      <c r="BH54" s="28" t="n">
        <f aca="false">Capital_Trabajo!BH$49</f>
        <v>68776.4707151862</v>
      </c>
      <c r="BI54" s="28" t="n">
        <f aca="false">Capital_Trabajo!BI$49</f>
        <v>68776.4707151862</v>
      </c>
      <c r="BJ54" s="28" t="n">
        <f aca="false">Capital_Trabajo!BJ$49</f>
        <v>68776.4707151862</v>
      </c>
      <c r="BK54" s="28" t="n">
        <f aca="false">Capital_Trabajo!BK$49</f>
        <v>68776.4707151862</v>
      </c>
      <c r="BL54" s="28" t="n">
        <f aca="false">Capital_Trabajo!BL$49</f>
        <v>68776.4707151862</v>
      </c>
      <c r="BM54" s="28" t="n">
        <f aca="false">Capital_Trabajo!BM$49</f>
        <v>68776.4707151862</v>
      </c>
      <c r="BN54" s="28" t="n">
        <f aca="false">Capital_Trabajo!BN$49</f>
        <v>68776.4707151862</v>
      </c>
      <c r="BO54" s="28" t="n">
        <f aca="false">Capital_Trabajo!BO$49</f>
        <v>68788.4461079971</v>
      </c>
      <c r="BP54" s="28" t="n">
        <f aca="false">Capital_Trabajo!BP$49</f>
        <v>69650.6743903824</v>
      </c>
      <c r="BQ54" s="28" t="n">
        <f aca="false">Capital_Trabajo!BQ$49</f>
        <v>69650.6743903824</v>
      </c>
      <c r="BR54" s="28" t="n">
        <f aca="false">Capital_Trabajo!BR$49</f>
        <v>69650.6743903824</v>
      </c>
      <c r="BS54" s="28" t="n">
        <f aca="false">Capital_Trabajo!BS$49</f>
        <v>69650.6743903824</v>
      </c>
      <c r="BT54" s="28" t="n">
        <f aca="false">Capital_Trabajo!BT$49</f>
        <v>69650.6743903824</v>
      </c>
      <c r="BU54" s="28" t="n">
        <f aca="false">Capital_Trabajo!BU$49</f>
        <v>69650.6743903824</v>
      </c>
      <c r="BV54" s="28" t="n">
        <f aca="false">Capital_Trabajo!BV$49</f>
        <v>69650.6743903824</v>
      </c>
      <c r="BW54" s="28" t="n">
        <f aca="false">Capital_Trabajo!BW$49</f>
        <v>69650.6743903824</v>
      </c>
      <c r="BX54" s="28" t="n">
        <f aca="false">Capital_Trabajo!BX$49</f>
        <v>69650.6743903824</v>
      </c>
      <c r="BY54" s="28" t="n">
        <f aca="false">Capital_Trabajo!BY$49</f>
        <v>69650.6743903824</v>
      </c>
      <c r="BZ54" s="28" t="n">
        <f aca="false">Capital_Trabajo!BZ$49</f>
        <v>69650.6743903824</v>
      </c>
      <c r="CA54" s="28" t="n">
        <f aca="false">Capital_Trabajo!CA$49</f>
        <v>69662.9268845554</v>
      </c>
      <c r="CB54" s="28" t="n">
        <f aca="false">Capital_Trabajo!CB$49</f>
        <v>70545.1064650103</v>
      </c>
      <c r="CC54" s="28" t="n">
        <f aca="false">Capital_Trabajo!CC$49</f>
        <v>70545.1064650103</v>
      </c>
      <c r="CD54" s="28" t="n">
        <f aca="false">Capital_Trabajo!CD$49</f>
        <v>70545.1064650103</v>
      </c>
      <c r="CE54" s="28" t="n">
        <f aca="false">Capital_Trabajo!CE$49</f>
        <v>70545.1064650103</v>
      </c>
      <c r="CF54" s="28" t="n">
        <f aca="false">Capital_Trabajo!CF$49</f>
        <v>70545.1064650103</v>
      </c>
      <c r="CG54" s="28" t="n">
        <f aca="false">Capital_Trabajo!CG$49</f>
        <v>70545.1064650103</v>
      </c>
      <c r="CH54" s="28" t="n">
        <f aca="false">Capital_Trabajo!CH$49</f>
        <v>70545.1064650103</v>
      </c>
      <c r="CI54" s="28" t="n">
        <f aca="false">Capital_Trabajo!CI$49</f>
        <v>70545.1064650103</v>
      </c>
      <c r="CJ54" s="28" t="n">
        <f aca="false">Capital_Trabajo!CJ$49</f>
        <v>70545.1064650103</v>
      </c>
      <c r="CK54" s="28" t="n">
        <f aca="false">Capital_Trabajo!CK$49</f>
        <v>70545.1064650103</v>
      </c>
      <c r="CL54" s="28" t="n">
        <f aca="false">Capital_Trabajo!CL$49</f>
        <v>70545.1064650103</v>
      </c>
      <c r="CM54" s="28" t="n">
        <f aca="false">Capital_Trabajo!CM$49</f>
        <v>70557.6437656354</v>
      </c>
      <c r="CN54" s="28" t="n">
        <f aca="false">Capital_Trabajo!CN$49</f>
        <v>71460.3294106446</v>
      </c>
      <c r="CO54" s="28" t="n">
        <f aca="false">Capital_Trabajo!CO$49</f>
        <v>71460.3294106446</v>
      </c>
      <c r="CP54" s="28" t="n">
        <f aca="false">Capital_Trabajo!CP$49</f>
        <v>71460.3294106446</v>
      </c>
      <c r="CQ54" s="28" t="n">
        <f aca="false">Capital_Trabajo!CQ$49</f>
        <v>71460.3294106446</v>
      </c>
      <c r="CR54" s="28" t="n">
        <f aca="false">Capital_Trabajo!CR$49</f>
        <v>71460.3294106446</v>
      </c>
      <c r="CS54" s="28" t="n">
        <f aca="false">Capital_Trabajo!CS$49</f>
        <v>71460.3294106446</v>
      </c>
      <c r="CT54" s="28" t="n">
        <f aca="false">Capital_Trabajo!CT$49</f>
        <v>71460.3294106446</v>
      </c>
      <c r="CU54" s="28" t="n">
        <f aca="false">Capital_Trabajo!CU$49</f>
        <v>71460.3294106446</v>
      </c>
      <c r="CV54" s="28" t="n">
        <f aca="false">Capital_Trabajo!CV$49</f>
        <v>71460.3294106446</v>
      </c>
      <c r="CW54" s="28" t="n">
        <f aca="false">Capital_Trabajo!CW$49</f>
        <v>71460.3294106446</v>
      </c>
      <c r="CX54" s="28" t="n">
        <f aca="false">Capital_Trabajo!CX$49</f>
        <v>71460.3294106446</v>
      </c>
      <c r="CY54" s="28" t="n">
        <f aca="false">Capital_Trabajo!CY$49</f>
        <v>71473.1594478852</v>
      </c>
      <c r="CZ54" s="28" t="n">
        <f aca="false">Capital_Trabajo!CZ$49</f>
        <v>72396.9221292033</v>
      </c>
      <c r="DA54" s="28" t="n">
        <f aca="false">Capital_Trabajo!DA$49</f>
        <v>72396.9221292033</v>
      </c>
      <c r="DB54" s="28" t="n">
        <f aca="false">Capital_Trabajo!DB$49</f>
        <v>72396.9221292033</v>
      </c>
      <c r="DC54" s="28" t="n">
        <f aca="false">Capital_Trabajo!DC$49</f>
        <v>72396.9221292033</v>
      </c>
      <c r="DD54" s="28" t="n">
        <f aca="false">Capital_Trabajo!DD$49</f>
        <v>72396.9221292033</v>
      </c>
      <c r="DE54" s="28" t="n">
        <f aca="false">Capital_Trabajo!DE$49</f>
        <v>72396.9221292033</v>
      </c>
      <c r="DF54" s="28" t="n">
        <f aca="false">Capital_Trabajo!DF$49</f>
        <v>72396.9221292033</v>
      </c>
      <c r="DG54" s="28" t="n">
        <f aca="false">Capital_Trabajo!DG$49</f>
        <v>72396.9221292033</v>
      </c>
      <c r="DH54" s="28" t="n">
        <f aca="false">Capital_Trabajo!DH$49</f>
        <v>72396.9221292033</v>
      </c>
      <c r="DI54" s="28" t="n">
        <f aca="false">Capital_Trabajo!DI$49</f>
        <v>72396.9221292033</v>
      </c>
      <c r="DJ54" s="28" t="n">
        <f aca="false">Capital_Trabajo!DJ$49</f>
        <v>72396.9221292033</v>
      </c>
      <c r="DK54" s="28" t="n">
        <f aca="false">Capital_Trabajo!DK$49</f>
        <v>72410.0530649871</v>
      </c>
      <c r="DL54" s="28" t="n">
        <f aca="false">Capital_Trabajo!DL$49</f>
        <v>73355.4804414196</v>
      </c>
      <c r="DM54" s="28" t="n">
        <f aca="false">Capital_Trabajo!DM$49</f>
        <v>73355.4804414196</v>
      </c>
      <c r="DN54" s="28" t="n">
        <f aca="false">Capital_Trabajo!DN$49</f>
        <v>73355.4804414196</v>
      </c>
      <c r="DO54" s="28" t="n">
        <f aca="false">Capital_Trabajo!DO$49</f>
        <v>73355.4804414196</v>
      </c>
      <c r="DP54" s="28" t="n">
        <f aca="false">Capital_Trabajo!DP$49</f>
        <v>73355.4804414196</v>
      </c>
      <c r="DQ54" s="28" t="n">
        <f aca="false">Capital_Trabajo!DQ$49</f>
        <v>73355.4804414196</v>
      </c>
      <c r="DR54" s="28" t="n">
        <f aca="false">Capital_Trabajo!DR$49</f>
        <v>73355.4804414196</v>
      </c>
      <c r="DS54" s="28" t="n">
        <f aca="false">Capital_Trabajo!DS$49</f>
        <v>73355.4804414196</v>
      </c>
      <c r="DT54" s="28" t="n">
        <f aca="false">Capital_Trabajo!DT$49</f>
        <v>73355.4804414196</v>
      </c>
      <c r="DU54" s="28" t="n">
        <f aca="false">Capital_Trabajo!DU$49</f>
        <v>73355.4804414196</v>
      </c>
      <c r="DV54" s="28" t="n">
        <f aca="false">Capital_Trabajo!DV$49</f>
        <v>73232.4002556976</v>
      </c>
      <c r="DW54" s="28" t="n">
        <f aca="false">Capital_Trabajo!DW$49</f>
        <v>0</v>
      </c>
      <c r="DX54" s="28" t="n">
        <f aca="false">Capital_Trabajo!DX$49</f>
        <v>0</v>
      </c>
      <c r="DY54" s="28" t="n">
        <f aca="false">Capital_Trabajo!DY$49</f>
        <v>0</v>
      </c>
      <c r="DZ54" s="28" t="n">
        <f aca="false">Capital_Trabajo!DZ$49</f>
        <v>0</v>
      </c>
      <c r="EA54" s="28" t="n">
        <f aca="false">Capital_Trabajo!EA$49</f>
        <v>0</v>
      </c>
      <c r="EB54" s="28" t="n">
        <f aca="false">Capital_Trabajo!EB$49</f>
        <v>0</v>
      </c>
      <c r="EC54" s="28" t="n">
        <f aca="false">Capital_Trabajo!EC$49</f>
        <v>0</v>
      </c>
      <c r="ED54" s="28" t="n">
        <f aca="false">Capital_Trabajo!ED$49</f>
        <v>0</v>
      </c>
      <c r="EE54" s="28" t="n">
        <f aca="false">Capital_Trabajo!EE$49</f>
        <v>0</v>
      </c>
      <c r="EF54" s="28" t="n">
        <f aca="false">Capital_Trabajo!EF$49</f>
        <v>0</v>
      </c>
      <c r="EG54" s="28" t="n">
        <f aca="false">Capital_Trabajo!EG$49</f>
        <v>0</v>
      </c>
      <c r="EH54" s="28" t="n">
        <f aca="false">Capital_Trabajo!EH$49</f>
        <v>0</v>
      </c>
      <c r="EI54" s="28" t="n">
        <f aca="false">Capital_Trabajo!EI$49</f>
        <v>0</v>
      </c>
      <c r="EJ54" s="28" t="n">
        <f aca="false">Capital_Trabajo!EJ$49</f>
        <v>0</v>
      </c>
      <c r="EK54" s="28" t="n">
        <f aca="false">Capital_Trabajo!EK$49</f>
        <v>0</v>
      </c>
      <c r="EL54" s="28" t="n">
        <f aca="false">Capital_Trabajo!EL$49</f>
        <v>0</v>
      </c>
      <c r="EM54" s="28" t="n">
        <f aca="false">Capital_Trabajo!EM$49</f>
        <v>0</v>
      </c>
      <c r="EN54" s="28" t="n">
        <f aca="false">Capital_Trabajo!EN$49</f>
        <v>0</v>
      </c>
      <c r="EO54" s="28" t="n">
        <f aca="false">Capital_Trabajo!EO$49</f>
        <v>0</v>
      </c>
      <c r="EP54" s="28" t="n">
        <f aca="false">Capital_Trabajo!EP$49</f>
        <v>0</v>
      </c>
      <c r="EQ54" s="28" t="n">
        <f aca="false">Capital_Trabajo!EQ$49</f>
        <v>0</v>
      </c>
      <c r="ER54" s="28" t="n">
        <f aca="false">Capital_Trabajo!ER$49</f>
        <v>0</v>
      </c>
      <c r="ES54" s="28" t="n">
        <f aca="false">Capital_Trabajo!ES$49</f>
        <v>0</v>
      </c>
      <c r="ET54" s="28" t="n">
        <f aca="false">Capital_Trabajo!ET$49</f>
        <v>0</v>
      </c>
      <c r="EU54" s="28" t="n">
        <f aca="false">Capital_Trabajo!EU$49</f>
        <v>0</v>
      </c>
      <c r="EV54" s="28" t="n">
        <f aca="false">Capital_Trabajo!EV$49</f>
        <v>0</v>
      </c>
      <c r="EW54" s="28" t="n">
        <f aca="false">Capital_Trabajo!EW$49</f>
        <v>0</v>
      </c>
      <c r="EX54" s="28" t="n">
        <f aca="false">Capital_Trabajo!EX$49</f>
        <v>0</v>
      </c>
      <c r="EY54" s="28" t="n">
        <f aca="false">Capital_Trabajo!EY$49</f>
        <v>0</v>
      </c>
      <c r="EZ54" s="28" t="n">
        <f aca="false">Capital_Trabajo!EZ$49</f>
        <v>0</v>
      </c>
      <c r="FA54" s="28" t="n">
        <f aca="false">Capital_Trabajo!FA$49</f>
        <v>0</v>
      </c>
      <c r="FB54" s="28" t="n">
        <f aca="false">Capital_Trabajo!FB$49</f>
        <v>0</v>
      </c>
      <c r="FC54" s="28" t="n">
        <f aca="false">Capital_Trabajo!FC$49</f>
        <v>0</v>
      </c>
      <c r="FD54" s="28" t="n">
        <f aca="false">Capital_Trabajo!FD$49</f>
        <v>0</v>
      </c>
      <c r="FE54" s="28" t="n">
        <f aca="false">Capital_Trabajo!FE$49</f>
        <v>0</v>
      </c>
      <c r="FF54" s="28" t="n">
        <f aca="false">Capital_Trabajo!FF$49</f>
        <v>0</v>
      </c>
    </row>
    <row r="55" customFormat="false" ht="15" hidden="false" customHeight="false" outlineLevel="0" collapsed="false">
      <c r="A55" s="2" t="s">
        <v>1522</v>
      </c>
      <c r="B55" s="8" t="s">
        <v>1523</v>
      </c>
      <c r="C55" s="8" t="s">
        <v>255</v>
      </c>
      <c r="E55" s="65" t="n">
        <f aca="false">SUM($F55:$FF55)</f>
        <v>8081539.50366384</v>
      </c>
      <c r="F55" s="13" t="n">
        <f aca="false">(Costos_Personal!F$98+Capital_Trabajo!F$58-0)*Calendario!F$13</f>
        <v>0</v>
      </c>
      <c r="G55" s="13" t="n">
        <f aca="false">(Costos_Personal!G$98+Capital_Trabajo!G$58-Capital_Trabajo!F$58)*Calendario!G$13</f>
        <v>81620.0902803203</v>
      </c>
      <c r="H55" s="13" t="n">
        <f aca="false">(Costos_Personal!H$98+Capital_Trabajo!H$58-Capital_Trabajo!G$58)*Calendario!H$13</f>
        <v>62014.7084150548</v>
      </c>
      <c r="I55" s="13" t="n">
        <f aca="false">(Costos_Personal!I$98+Capital_Trabajo!I$58-Capital_Trabajo!H$58)*Calendario!I$13</f>
        <v>62014.7084150548</v>
      </c>
      <c r="J55" s="13" t="n">
        <f aca="false">(Costos_Personal!J$98+Capital_Trabajo!J$58-Capital_Trabajo!I$58)*Calendario!J$13</f>
        <v>62014.7084150548</v>
      </c>
      <c r="K55" s="13" t="n">
        <f aca="false">(Costos_Personal!K$98+Capital_Trabajo!K$58-Capital_Trabajo!J$58)*Calendario!K$13</f>
        <v>62014.7084150548</v>
      </c>
      <c r="L55" s="13" t="n">
        <f aca="false">(Costos_Personal!L$98+Capital_Trabajo!L$58-Capital_Trabajo!K$58)*Calendario!L$13</f>
        <v>62014.7084150548</v>
      </c>
      <c r="M55" s="13" t="n">
        <f aca="false">(Costos_Personal!M$98+Capital_Trabajo!M$58-Capital_Trabajo!L$58)*Calendario!M$13</f>
        <v>62014.7084150548</v>
      </c>
      <c r="N55" s="13" t="n">
        <f aca="false">(Costos_Personal!N$98+Capital_Trabajo!N$58-Capital_Trabajo!M$58)*Calendario!N$13</f>
        <v>62014.7084150548</v>
      </c>
      <c r="O55" s="13" t="n">
        <f aca="false">(Costos_Personal!O$98+Capital_Trabajo!O$58-Capital_Trabajo!N$58)*Calendario!O$13</f>
        <v>62014.7084150548</v>
      </c>
      <c r="P55" s="13" t="n">
        <f aca="false">(Costos_Personal!P$98+Capital_Trabajo!P$58-Capital_Trabajo!O$58)*Calendario!P$13</f>
        <v>62014.7084150548</v>
      </c>
      <c r="Q55" s="13" t="n">
        <f aca="false">(Costos_Personal!Q$98+Capital_Trabajo!Q$58-Capital_Trabajo!P$58)*Calendario!Q$13</f>
        <v>62014.7084150548</v>
      </c>
      <c r="R55" s="13" t="n">
        <f aca="false">(Costos_Personal!R$98+Capital_Trabajo!R$58-Capital_Trabajo!Q$58)*Calendario!R$13</f>
        <v>62014.7084150548</v>
      </c>
      <c r="S55" s="13" t="n">
        <f aca="false">(Costos_Personal!S$98+Capital_Trabajo!S$58-Capital_Trabajo!R$58)*Calendario!S$13</f>
        <v>62014.7084150548</v>
      </c>
      <c r="T55" s="13" t="n">
        <f aca="false">(Costos_Personal!T$98+Capital_Trabajo!T$58-Capital_Trabajo!S$58)*Calendario!T$13</f>
        <v>62014.7084150548</v>
      </c>
      <c r="U55" s="13" t="n">
        <f aca="false">(Costos_Personal!U$98+Capital_Trabajo!U$58-Capital_Trabajo!T$58)*Calendario!U$13</f>
        <v>62014.7084150548</v>
      </c>
      <c r="V55" s="13" t="n">
        <f aca="false">(Costos_Personal!V$98+Capital_Trabajo!V$58-Capital_Trabajo!U$58)*Calendario!V$13</f>
        <v>62014.7084150548</v>
      </c>
      <c r="W55" s="13" t="n">
        <f aca="false">(Costos_Personal!W$98+Capital_Trabajo!W$58-Capital_Trabajo!V$58)*Calendario!W$13</f>
        <v>62014.7084150548</v>
      </c>
      <c r="X55" s="13" t="n">
        <f aca="false">(Costos_Personal!X$98+Capital_Trabajo!X$58-Capital_Trabajo!W$58)*Calendario!X$13</f>
        <v>62014.7084150548</v>
      </c>
      <c r="Y55" s="13" t="n">
        <f aca="false">(Costos_Personal!Y$98+Capital_Trabajo!Y$58-Capital_Trabajo!X$58)*Calendario!Y$13</f>
        <v>62014.7084150548</v>
      </c>
      <c r="Z55" s="13" t="n">
        <f aca="false">(Costos_Personal!Z$98+Capital_Trabajo!Z$58-Capital_Trabajo!Y$58)*Calendario!Z$13</f>
        <v>62014.7084150548</v>
      </c>
      <c r="AA55" s="13" t="n">
        <f aca="false">(Costos_Personal!AA$98+Capital_Trabajo!AA$58-Capital_Trabajo!Z$58)*Calendario!AA$13</f>
        <v>62014.7084150548</v>
      </c>
      <c r="AB55" s="13" t="n">
        <f aca="false">(Costos_Personal!AB$98+Capital_Trabajo!AB$58-Capital_Trabajo!AA$58)*Calendario!AB$13</f>
        <v>62014.7084150548</v>
      </c>
      <c r="AC55" s="13" t="n">
        <f aca="false">(Costos_Personal!AC$98+Capital_Trabajo!AC$58-Capital_Trabajo!AB$58)*Calendario!AC$13</f>
        <v>62014.7084150548</v>
      </c>
      <c r="AD55" s="13" t="n">
        <f aca="false">(Costos_Personal!AD$98+Capital_Trabajo!AD$58-Capital_Trabajo!AC$58)*Calendario!AD$13</f>
        <v>62014.7084150548</v>
      </c>
      <c r="AE55" s="13" t="n">
        <f aca="false">(Costos_Personal!AE$98+Capital_Trabajo!AE$58-Capital_Trabajo!AD$58)*Calendario!AE$13</f>
        <v>65490.2714643014</v>
      </c>
      <c r="AF55" s="13" t="n">
        <f aca="false">(Costos_Personal!AF$98+Capital_Trabajo!AF$58-Capital_Trabajo!AE$58)*Calendario!AF$13</f>
        <v>64660.1262588219</v>
      </c>
      <c r="AG55" s="13" t="n">
        <f aca="false">(Costos_Personal!AG$98+Capital_Trabajo!AG$58-Capital_Trabajo!AF$58)*Calendario!AG$13</f>
        <v>64660.1262588219</v>
      </c>
      <c r="AH55" s="13" t="n">
        <f aca="false">(Costos_Personal!AH$98+Capital_Trabajo!AH$58-Capital_Trabajo!AG$58)*Calendario!AH$13</f>
        <v>64660.1262588219</v>
      </c>
      <c r="AI55" s="13" t="n">
        <f aca="false">(Costos_Personal!AI$98+Capital_Trabajo!AI$58-Capital_Trabajo!AH$58)*Calendario!AI$13</f>
        <v>64660.1262588219</v>
      </c>
      <c r="AJ55" s="13" t="n">
        <f aca="false">(Costos_Personal!AJ$98+Capital_Trabajo!AJ$58-Capital_Trabajo!AI$58)*Calendario!AJ$13</f>
        <v>64660.1262588219</v>
      </c>
      <c r="AK55" s="13" t="n">
        <f aca="false">(Costos_Personal!AK$98+Capital_Trabajo!AK$58-Capital_Trabajo!AJ$58)*Calendario!AK$13</f>
        <v>64660.1262588219</v>
      </c>
      <c r="AL55" s="13" t="n">
        <f aca="false">(Costos_Personal!AL$98+Capital_Trabajo!AL$58-Capital_Trabajo!AK$58)*Calendario!AL$13</f>
        <v>64660.1262588219</v>
      </c>
      <c r="AM55" s="13" t="n">
        <f aca="false">(Costos_Personal!AM$98+Capital_Trabajo!AM$58-Capital_Trabajo!AL$58)*Calendario!AM$13</f>
        <v>64660.1262588219</v>
      </c>
      <c r="AN55" s="13" t="n">
        <f aca="false">(Costos_Personal!AN$98+Capital_Trabajo!AN$58-Capital_Trabajo!AM$58)*Calendario!AN$13</f>
        <v>64660.1262588219</v>
      </c>
      <c r="AO55" s="13" t="n">
        <f aca="false">(Costos_Personal!AO$98+Capital_Trabajo!AO$58-Capital_Trabajo!AN$58)*Calendario!AO$13</f>
        <v>64660.1262588219</v>
      </c>
      <c r="AP55" s="13" t="n">
        <f aca="false">(Costos_Personal!AP$98+Capital_Trabajo!AP$58-Capital_Trabajo!AO$58)*Calendario!AP$13</f>
        <v>64660.1262588219</v>
      </c>
      <c r="AQ55" s="13" t="n">
        <f aca="false">(Costos_Personal!AQ$98+Capital_Trabajo!AQ$58-Capital_Trabajo!AP$58)*Calendario!AQ$13</f>
        <v>67426.9966029358</v>
      </c>
      <c r="AR55" s="13" t="n">
        <f aca="false">(Costos_Personal!AR$98+Capital_Trabajo!AR$58-Capital_Trabajo!AQ$58)*Calendario!AR$13</f>
        <v>66778.4954132192</v>
      </c>
      <c r="AS55" s="13" t="n">
        <f aca="false">(Costos_Personal!AS$98+Capital_Trabajo!AS$58-Capital_Trabajo!AR$58)*Calendario!AS$13</f>
        <v>66778.4954132192</v>
      </c>
      <c r="AT55" s="13" t="n">
        <f aca="false">(Costos_Personal!AT$98+Capital_Trabajo!AT$58-Capital_Trabajo!AS$58)*Calendario!AT$13</f>
        <v>66778.4954132192</v>
      </c>
      <c r="AU55" s="13" t="n">
        <f aca="false">(Costos_Personal!AU$98+Capital_Trabajo!AU$58-Capital_Trabajo!AT$58)*Calendario!AU$13</f>
        <v>66778.4954132192</v>
      </c>
      <c r="AV55" s="13" t="n">
        <f aca="false">(Costos_Personal!AV$98+Capital_Trabajo!AV$58-Capital_Trabajo!AU$58)*Calendario!AV$13</f>
        <v>66778.4954132192</v>
      </c>
      <c r="AW55" s="13" t="n">
        <f aca="false">(Costos_Personal!AW$98+Capital_Trabajo!AW$58-Capital_Trabajo!AV$58)*Calendario!AW$13</f>
        <v>66778.4954132192</v>
      </c>
      <c r="AX55" s="13" t="n">
        <f aca="false">(Costos_Personal!AX$98+Capital_Trabajo!AX$58-Capital_Trabajo!AW$58)*Calendario!AX$13</f>
        <v>66778.4954132192</v>
      </c>
      <c r="AY55" s="13" t="n">
        <f aca="false">(Costos_Personal!AY$98+Capital_Trabajo!AY$58-Capital_Trabajo!AX$58)*Calendario!AY$13</f>
        <v>66778.4954132192</v>
      </c>
      <c r="AZ55" s="13" t="n">
        <f aca="false">(Costos_Personal!AZ$98+Capital_Trabajo!AZ$58-Capital_Trabajo!AY$58)*Calendario!AZ$13</f>
        <v>66778.4954132192</v>
      </c>
      <c r="BA55" s="13" t="n">
        <f aca="false">(Costos_Personal!BA$98+Capital_Trabajo!BA$58-Capital_Trabajo!AZ$58)*Calendario!BA$13</f>
        <v>66778.4954132192</v>
      </c>
      <c r="BB55" s="13" t="n">
        <f aca="false">(Costos_Personal!BB$98+Capital_Trabajo!BB$58-Capital_Trabajo!BA$58)*Calendario!BB$13</f>
        <v>66778.4954132192</v>
      </c>
      <c r="BC55" s="13" t="n">
        <f aca="false">(Costos_Personal!BC$98+Capital_Trabajo!BC$58-Capital_Trabajo!BB$58)*Calendario!BC$13</f>
        <v>70170.1790775033</v>
      </c>
      <c r="BD55" s="13" t="n">
        <f aca="false">(Costos_Personal!BD$98+Capital_Trabajo!BD$58-Capital_Trabajo!BC$58)*Calendario!BD$13</f>
        <v>69361.5328774658</v>
      </c>
      <c r="BE55" s="13" t="n">
        <f aca="false">(Costos_Personal!BE$98+Capital_Trabajo!BE$58-Capital_Trabajo!BD$58)*Calendario!BE$13</f>
        <v>69361.5328774658</v>
      </c>
      <c r="BF55" s="13" t="n">
        <f aca="false">(Costos_Personal!BF$98+Capital_Trabajo!BF$58-Capital_Trabajo!BE$58)*Calendario!BF$13</f>
        <v>69361.5328774658</v>
      </c>
      <c r="BG55" s="13" t="n">
        <f aca="false">(Costos_Personal!BG$98+Capital_Trabajo!BG$58-Capital_Trabajo!BF$58)*Calendario!BG$13</f>
        <v>69361.5328774658</v>
      </c>
      <c r="BH55" s="13" t="n">
        <f aca="false">(Costos_Personal!BH$98+Capital_Trabajo!BH$58-Capital_Trabajo!BG$58)*Calendario!BH$13</f>
        <v>69361.5328774658</v>
      </c>
      <c r="BI55" s="13" t="n">
        <f aca="false">(Costos_Personal!BI$98+Capital_Trabajo!BI$58-Capital_Trabajo!BH$58)*Calendario!BI$13</f>
        <v>69361.5328774658</v>
      </c>
      <c r="BJ55" s="13" t="n">
        <f aca="false">(Costos_Personal!BJ$98+Capital_Trabajo!BJ$58-Capital_Trabajo!BI$58)*Calendario!BJ$13</f>
        <v>69361.5328774658</v>
      </c>
      <c r="BK55" s="13" t="n">
        <f aca="false">(Costos_Personal!BK$98+Capital_Trabajo!BK$58-Capital_Trabajo!BJ$58)*Calendario!BK$13</f>
        <v>69361.5328774658</v>
      </c>
      <c r="BL55" s="13" t="n">
        <f aca="false">(Costos_Personal!BL$98+Capital_Trabajo!BL$58-Capital_Trabajo!BK$58)*Calendario!BL$13</f>
        <v>69361.5328774658</v>
      </c>
      <c r="BM55" s="13" t="n">
        <f aca="false">(Costos_Personal!BM$98+Capital_Trabajo!BM$58-Capital_Trabajo!BL$58)*Calendario!BM$13</f>
        <v>69361.5328774658</v>
      </c>
      <c r="BN55" s="13" t="n">
        <f aca="false">(Costos_Personal!BN$98+Capital_Trabajo!BN$58-Capital_Trabajo!BM$58)*Calendario!BN$13</f>
        <v>69361.5328774658</v>
      </c>
      <c r="BO55" s="13" t="n">
        <f aca="false">(Costos_Personal!BO$98+Capital_Trabajo!BO$58-Capital_Trabajo!BN$58)*Calendario!BO$13</f>
        <v>69361.5328774658</v>
      </c>
      <c r="BP55" s="13" t="n">
        <f aca="false">(Costos_Personal!BP$98+Capital_Trabajo!BP$58-Capital_Trabajo!BO$58)*Calendario!BP$13</f>
        <v>69361.5328774658</v>
      </c>
      <c r="BQ55" s="13" t="n">
        <f aca="false">(Costos_Personal!BQ$98+Capital_Trabajo!BQ$58-Capital_Trabajo!BP$58)*Calendario!BQ$13</f>
        <v>69361.5328774658</v>
      </c>
      <c r="BR55" s="13" t="n">
        <f aca="false">(Costos_Personal!BR$98+Capital_Trabajo!BR$58-Capital_Trabajo!BQ$58)*Calendario!BR$13</f>
        <v>69361.5328774658</v>
      </c>
      <c r="BS55" s="13" t="n">
        <f aca="false">(Costos_Personal!BS$98+Capital_Trabajo!BS$58-Capital_Trabajo!BR$58)*Calendario!BS$13</f>
        <v>69361.5328774658</v>
      </c>
      <c r="BT55" s="13" t="n">
        <f aca="false">(Costos_Personal!BT$98+Capital_Trabajo!BT$58-Capital_Trabajo!BS$58)*Calendario!BT$13</f>
        <v>69361.5328774658</v>
      </c>
      <c r="BU55" s="13" t="n">
        <f aca="false">(Costos_Personal!BU$98+Capital_Trabajo!BU$58-Capital_Trabajo!BT$58)*Calendario!BU$13</f>
        <v>69361.5328774658</v>
      </c>
      <c r="BV55" s="13" t="n">
        <f aca="false">(Costos_Personal!BV$98+Capital_Trabajo!BV$58-Capital_Trabajo!BU$58)*Calendario!BV$13</f>
        <v>69361.5328774658</v>
      </c>
      <c r="BW55" s="13" t="n">
        <f aca="false">(Costos_Personal!BW$98+Capital_Trabajo!BW$58-Capital_Trabajo!BV$58)*Calendario!BW$13</f>
        <v>69361.5328774658</v>
      </c>
      <c r="BX55" s="13" t="n">
        <f aca="false">(Costos_Personal!BX$98+Capital_Trabajo!BX$58-Capital_Trabajo!BW$58)*Calendario!BX$13</f>
        <v>69361.5328774658</v>
      </c>
      <c r="BY55" s="13" t="n">
        <f aca="false">(Costos_Personal!BY$98+Capital_Trabajo!BY$58-Capital_Trabajo!BX$58)*Calendario!BY$13</f>
        <v>69361.5328774658</v>
      </c>
      <c r="BZ55" s="13" t="n">
        <f aca="false">(Costos_Personal!BZ$98+Capital_Trabajo!BZ$58-Capital_Trabajo!BY$58)*Calendario!BZ$13</f>
        <v>69361.5328774658</v>
      </c>
      <c r="CA55" s="13" t="n">
        <f aca="false">(Costos_Personal!CA$98+Capital_Trabajo!CA$58-Capital_Trabajo!BZ$58)*Calendario!CA$13</f>
        <v>69361.5328774658</v>
      </c>
      <c r="CB55" s="13" t="n">
        <f aca="false">(Costos_Personal!CB$98+Capital_Trabajo!CB$58-Capital_Trabajo!CA$58)*Calendario!CB$13</f>
        <v>69361.5328774658</v>
      </c>
      <c r="CC55" s="13" t="n">
        <f aca="false">(Costos_Personal!CC$98+Capital_Trabajo!CC$58-Capital_Trabajo!CB$58)*Calendario!CC$13</f>
        <v>69361.5328774658</v>
      </c>
      <c r="CD55" s="13" t="n">
        <f aca="false">(Costos_Personal!CD$98+Capital_Trabajo!CD$58-Capital_Trabajo!CC$58)*Calendario!CD$13</f>
        <v>69361.5328774658</v>
      </c>
      <c r="CE55" s="13" t="n">
        <f aca="false">(Costos_Personal!CE$98+Capital_Trabajo!CE$58-Capital_Trabajo!CD$58)*Calendario!CE$13</f>
        <v>69361.5328774658</v>
      </c>
      <c r="CF55" s="13" t="n">
        <f aca="false">(Costos_Personal!CF$98+Capital_Trabajo!CF$58-Capital_Trabajo!CE$58)*Calendario!CF$13</f>
        <v>69361.5328774658</v>
      </c>
      <c r="CG55" s="13" t="n">
        <f aca="false">(Costos_Personal!CG$98+Capital_Trabajo!CG$58-Capital_Trabajo!CF$58)*Calendario!CG$13</f>
        <v>69361.5328774658</v>
      </c>
      <c r="CH55" s="13" t="n">
        <f aca="false">(Costos_Personal!CH$98+Capital_Trabajo!CH$58-Capital_Trabajo!CG$58)*Calendario!CH$13</f>
        <v>69361.5328774658</v>
      </c>
      <c r="CI55" s="13" t="n">
        <f aca="false">(Costos_Personal!CI$98+Capital_Trabajo!CI$58-Capital_Trabajo!CH$58)*Calendario!CI$13</f>
        <v>69361.5328774658</v>
      </c>
      <c r="CJ55" s="13" t="n">
        <f aca="false">(Costos_Personal!CJ$98+Capital_Trabajo!CJ$58-Capital_Trabajo!CI$58)*Calendario!CJ$13</f>
        <v>69361.5328774658</v>
      </c>
      <c r="CK55" s="13" t="n">
        <f aca="false">(Costos_Personal!CK$98+Capital_Trabajo!CK$58-Capital_Trabajo!CJ$58)*Calendario!CK$13</f>
        <v>69361.5328774658</v>
      </c>
      <c r="CL55" s="13" t="n">
        <f aca="false">(Costos_Personal!CL$98+Capital_Trabajo!CL$58-Capital_Trabajo!CK$58)*Calendario!CL$13</f>
        <v>69361.5328774658</v>
      </c>
      <c r="CM55" s="13" t="n">
        <f aca="false">(Costos_Personal!CM$98+Capital_Trabajo!CM$58-Capital_Trabajo!CL$58)*Calendario!CM$13</f>
        <v>69361.5328774658</v>
      </c>
      <c r="CN55" s="13" t="n">
        <f aca="false">(Costos_Personal!CN$98+Capital_Trabajo!CN$58-Capital_Trabajo!CM$58)*Calendario!CN$13</f>
        <v>69361.5328774658</v>
      </c>
      <c r="CO55" s="13" t="n">
        <f aca="false">(Costos_Personal!CO$98+Capital_Trabajo!CO$58-Capital_Trabajo!CN$58)*Calendario!CO$13</f>
        <v>69361.5328774658</v>
      </c>
      <c r="CP55" s="13" t="n">
        <f aca="false">(Costos_Personal!CP$98+Capital_Trabajo!CP$58-Capital_Trabajo!CO$58)*Calendario!CP$13</f>
        <v>69361.5328774658</v>
      </c>
      <c r="CQ55" s="13" t="n">
        <f aca="false">(Costos_Personal!CQ$98+Capital_Trabajo!CQ$58-Capital_Trabajo!CP$58)*Calendario!CQ$13</f>
        <v>69361.5328774658</v>
      </c>
      <c r="CR55" s="13" t="n">
        <f aca="false">(Costos_Personal!CR$98+Capital_Trabajo!CR$58-Capital_Trabajo!CQ$58)*Calendario!CR$13</f>
        <v>69361.5328774658</v>
      </c>
      <c r="CS55" s="13" t="n">
        <f aca="false">(Costos_Personal!CS$98+Capital_Trabajo!CS$58-Capital_Trabajo!CR$58)*Calendario!CS$13</f>
        <v>69361.5328774658</v>
      </c>
      <c r="CT55" s="13" t="n">
        <f aca="false">(Costos_Personal!CT$98+Capital_Trabajo!CT$58-Capital_Trabajo!CS$58)*Calendario!CT$13</f>
        <v>69361.5328774658</v>
      </c>
      <c r="CU55" s="13" t="n">
        <f aca="false">(Costos_Personal!CU$98+Capital_Trabajo!CU$58-Capital_Trabajo!CT$58)*Calendario!CU$13</f>
        <v>69361.5328774658</v>
      </c>
      <c r="CV55" s="13" t="n">
        <f aca="false">(Costos_Personal!CV$98+Capital_Trabajo!CV$58-Capital_Trabajo!CU$58)*Calendario!CV$13</f>
        <v>69361.5328774658</v>
      </c>
      <c r="CW55" s="13" t="n">
        <f aca="false">(Costos_Personal!CW$98+Capital_Trabajo!CW$58-Capital_Trabajo!CV$58)*Calendario!CW$13</f>
        <v>69361.5328774658</v>
      </c>
      <c r="CX55" s="13" t="n">
        <f aca="false">(Costos_Personal!CX$98+Capital_Trabajo!CX$58-Capital_Trabajo!CW$58)*Calendario!CX$13</f>
        <v>69361.5328774658</v>
      </c>
      <c r="CY55" s="13" t="n">
        <f aca="false">(Costos_Personal!CY$98+Capital_Trabajo!CY$58-Capital_Trabajo!CX$58)*Calendario!CY$13</f>
        <v>69361.5328774658</v>
      </c>
      <c r="CZ55" s="13" t="n">
        <f aca="false">(Costos_Personal!CZ$98+Capital_Trabajo!CZ$58-Capital_Trabajo!CY$58)*Calendario!CZ$13</f>
        <v>69361.5328774658</v>
      </c>
      <c r="DA55" s="13" t="n">
        <f aca="false">(Costos_Personal!DA$98+Capital_Trabajo!DA$58-Capital_Trabajo!CZ$58)*Calendario!DA$13</f>
        <v>69361.5328774658</v>
      </c>
      <c r="DB55" s="13" t="n">
        <f aca="false">(Costos_Personal!DB$98+Capital_Trabajo!DB$58-Capital_Trabajo!DA$58)*Calendario!DB$13</f>
        <v>69361.5328774658</v>
      </c>
      <c r="DC55" s="13" t="n">
        <f aca="false">(Costos_Personal!DC$98+Capital_Trabajo!DC$58-Capital_Trabajo!DB$58)*Calendario!DC$13</f>
        <v>69361.5328774658</v>
      </c>
      <c r="DD55" s="13" t="n">
        <f aca="false">(Costos_Personal!DD$98+Capital_Trabajo!DD$58-Capital_Trabajo!DC$58)*Calendario!DD$13</f>
        <v>69361.5328774658</v>
      </c>
      <c r="DE55" s="13" t="n">
        <f aca="false">(Costos_Personal!DE$98+Capital_Trabajo!DE$58-Capital_Trabajo!DD$58)*Calendario!DE$13</f>
        <v>69361.5328774658</v>
      </c>
      <c r="DF55" s="13" t="n">
        <f aca="false">(Costos_Personal!DF$98+Capital_Trabajo!DF$58-Capital_Trabajo!DE$58)*Calendario!DF$13</f>
        <v>69361.5328774658</v>
      </c>
      <c r="DG55" s="13" t="n">
        <f aca="false">(Costos_Personal!DG$98+Capital_Trabajo!DG$58-Capital_Trabajo!DF$58)*Calendario!DG$13</f>
        <v>69361.5328774658</v>
      </c>
      <c r="DH55" s="13" t="n">
        <f aca="false">(Costos_Personal!DH$98+Capital_Trabajo!DH$58-Capital_Trabajo!DG$58)*Calendario!DH$13</f>
        <v>69361.5328774658</v>
      </c>
      <c r="DI55" s="13" t="n">
        <f aca="false">(Costos_Personal!DI$98+Capital_Trabajo!DI$58-Capital_Trabajo!DH$58)*Calendario!DI$13</f>
        <v>69361.5328774658</v>
      </c>
      <c r="DJ55" s="13" t="n">
        <f aca="false">(Costos_Personal!DJ$98+Capital_Trabajo!DJ$58-Capital_Trabajo!DI$58)*Calendario!DJ$13</f>
        <v>69361.5328774658</v>
      </c>
      <c r="DK55" s="13" t="n">
        <f aca="false">(Costos_Personal!DK$98+Capital_Trabajo!DK$58-Capital_Trabajo!DJ$58)*Calendario!DK$13</f>
        <v>69361.5328774658</v>
      </c>
      <c r="DL55" s="13" t="n">
        <f aca="false">(Costos_Personal!DL$98+Capital_Trabajo!DL$58-Capital_Trabajo!DK$58)*Calendario!DL$13</f>
        <v>69361.5328774658</v>
      </c>
      <c r="DM55" s="13" t="n">
        <f aca="false">(Costos_Personal!DM$98+Capital_Trabajo!DM$58-Capital_Trabajo!DL$58)*Calendario!DM$13</f>
        <v>69361.5328774658</v>
      </c>
      <c r="DN55" s="13" t="n">
        <f aca="false">(Costos_Personal!DN$98+Capital_Trabajo!DN$58-Capital_Trabajo!DM$58)*Calendario!DN$13</f>
        <v>69361.5328774658</v>
      </c>
      <c r="DO55" s="13" t="n">
        <f aca="false">(Costos_Personal!DO$98+Capital_Trabajo!DO$58-Capital_Trabajo!DN$58)*Calendario!DO$13</f>
        <v>69361.5328774658</v>
      </c>
      <c r="DP55" s="13" t="n">
        <f aca="false">(Costos_Personal!DP$98+Capital_Trabajo!DP$58-Capital_Trabajo!DO$58)*Calendario!DP$13</f>
        <v>69361.5328774658</v>
      </c>
      <c r="DQ55" s="13" t="n">
        <f aca="false">(Costos_Personal!DQ$98+Capital_Trabajo!DQ$58-Capital_Trabajo!DP$58)*Calendario!DQ$13</f>
        <v>69361.5328774658</v>
      </c>
      <c r="DR55" s="13" t="n">
        <f aca="false">(Costos_Personal!DR$98+Capital_Trabajo!DR$58-Capital_Trabajo!DQ$58)*Calendario!DR$13</f>
        <v>69361.5328774658</v>
      </c>
      <c r="DS55" s="13" t="n">
        <f aca="false">(Costos_Personal!DS$98+Capital_Trabajo!DS$58-Capital_Trabajo!DR$58)*Calendario!DS$13</f>
        <v>69361.5328774658</v>
      </c>
      <c r="DT55" s="13" t="n">
        <f aca="false">(Costos_Personal!DT$98+Capital_Trabajo!DT$58-Capital_Trabajo!DS$58)*Calendario!DT$13</f>
        <v>69361.5328774658</v>
      </c>
      <c r="DU55" s="13" t="n">
        <f aca="false">(Costos_Personal!DU$98+Capital_Trabajo!DU$58-Capital_Trabajo!DT$58)*Calendario!DU$13</f>
        <v>69361.5328774658</v>
      </c>
      <c r="DV55" s="13" t="n">
        <f aca="false">(Costos_Personal!DV$98+Capital_Trabajo!DV$58-Capital_Trabajo!DU$58)*Calendario!DV$13</f>
        <v>69361.5328774658</v>
      </c>
      <c r="DW55" s="13" t="n">
        <f aca="false">(Costos_Personal!DW$98+Capital_Trabajo!DW$58-Capital_Trabajo!DV$58)*Calendario!DW$13</f>
        <v>0</v>
      </c>
      <c r="DX55" s="13" t="n">
        <f aca="false">(Costos_Personal!DX$98+Capital_Trabajo!DX$58-Capital_Trabajo!DW$58)*Calendario!DX$13</f>
        <v>0</v>
      </c>
      <c r="DY55" s="13" t="n">
        <f aca="false">(Costos_Personal!DY$98+Capital_Trabajo!DY$58-Capital_Trabajo!DX$58)*Calendario!DY$13</f>
        <v>0</v>
      </c>
      <c r="DZ55" s="13" t="n">
        <f aca="false">(Costos_Personal!DZ$98+Capital_Trabajo!DZ$58-Capital_Trabajo!DY$58)*Calendario!DZ$13</f>
        <v>0</v>
      </c>
      <c r="EA55" s="13" t="n">
        <f aca="false">(Costos_Personal!EA$98+Capital_Trabajo!EA$58-Capital_Trabajo!DZ$58)*Calendario!EA$13</f>
        <v>0</v>
      </c>
      <c r="EB55" s="13" t="n">
        <f aca="false">(Costos_Personal!EB$98+Capital_Trabajo!EB$58-Capital_Trabajo!EA$58)*Calendario!EB$13</f>
        <v>0</v>
      </c>
      <c r="EC55" s="13" t="n">
        <f aca="false">(Costos_Personal!EC$98+Capital_Trabajo!EC$58-Capital_Trabajo!EB$58)*Calendario!EC$13</f>
        <v>0</v>
      </c>
      <c r="ED55" s="13" t="n">
        <f aca="false">(Costos_Personal!ED$98+Capital_Trabajo!ED$58-Capital_Trabajo!EC$58)*Calendario!ED$13</f>
        <v>0</v>
      </c>
      <c r="EE55" s="13" t="n">
        <f aca="false">(Costos_Personal!EE$98+Capital_Trabajo!EE$58-Capital_Trabajo!ED$58)*Calendario!EE$13</f>
        <v>0</v>
      </c>
      <c r="EF55" s="13" t="n">
        <f aca="false">(Costos_Personal!EF$98+Capital_Trabajo!EF$58-Capital_Trabajo!EE$58)*Calendario!EF$13</f>
        <v>0</v>
      </c>
      <c r="EG55" s="13" t="n">
        <f aca="false">(Costos_Personal!EG$98+Capital_Trabajo!EG$58-Capital_Trabajo!EF$58)*Calendario!EG$13</f>
        <v>0</v>
      </c>
      <c r="EH55" s="13" t="n">
        <f aca="false">(Costos_Personal!EH$98+Capital_Trabajo!EH$58-Capital_Trabajo!EG$58)*Calendario!EH$13</f>
        <v>0</v>
      </c>
      <c r="EI55" s="13" t="n">
        <f aca="false">(Costos_Personal!EI$98+Capital_Trabajo!EI$58-Capital_Trabajo!EH$58)*Calendario!EI$13</f>
        <v>0</v>
      </c>
      <c r="EJ55" s="13" t="n">
        <f aca="false">(Costos_Personal!EJ$98+Capital_Trabajo!EJ$58-Capital_Trabajo!EI$58)*Calendario!EJ$13</f>
        <v>0</v>
      </c>
      <c r="EK55" s="13" t="n">
        <f aca="false">(Costos_Personal!EK$98+Capital_Trabajo!EK$58-Capital_Trabajo!EJ$58)*Calendario!EK$13</f>
        <v>0</v>
      </c>
      <c r="EL55" s="13" t="n">
        <f aca="false">(Costos_Personal!EL$98+Capital_Trabajo!EL$58-Capital_Trabajo!EK$58)*Calendario!EL$13</f>
        <v>0</v>
      </c>
      <c r="EM55" s="13" t="n">
        <f aca="false">(Costos_Personal!EM$98+Capital_Trabajo!EM$58-Capital_Trabajo!EL$58)*Calendario!EM$13</f>
        <v>0</v>
      </c>
      <c r="EN55" s="13" t="n">
        <f aca="false">(Costos_Personal!EN$98+Capital_Trabajo!EN$58-Capital_Trabajo!EM$58)*Calendario!EN$13</f>
        <v>0</v>
      </c>
      <c r="EO55" s="13" t="n">
        <f aca="false">(Costos_Personal!EO$98+Capital_Trabajo!EO$58-Capital_Trabajo!EN$58)*Calendario!EO$13</f>
        <v>0</v>
      </c>
      <c r="EP55" s="13" t="n">
        <f aca="false">(Costos_Personal!EP$98+Capital_Trabajo!EP$58-Capital_Trabajo!EO$58)*Calendario!EP$13</f>
        <v>0</v>
      </c>
      <c r="EQ55" s="13" t="n">
        <f aca="false">(Costos_Personal!EQ$98+Capital_Trabajo!EQ$58-Capital_Trabajo!EP$58)*Calendario!EQ$13</f>
        <v>0</v>
      </c>
      <c r="ER55" s="13" t="n">
        <f aca="false">(Costos_Personal!ER$98+Capital_Trabajo!ER$58-Capital_Trabajo!EQ$58)*Calendario!ER$13</f>
        <v>0</v>
      </c>
      <c r="ES55" s="13" t="n">
        <f aca="false">(Costos_Personal!ES$98+Capital_Trabajo!ES$58-Capital_Trabajo!ER$58)*Calendario!ES$13</f>
        <v>0</v>
      </c>
      <c r="ET55" s="13" t="n">
        <f aca="false">(Costos_Personal!ET$98+Capital_Trabajo!ET$58-Capital_Trabajo!ES$58)*Calendario!ET$13</f>
        <v>0</v>
      </c>
      <c r="EU55" s="13" t="n">
        <f aca="false">(Costos_Personal!EU$98+Capital_Trabajo!EU$58-Capital_Trabajo!ET$58)*Calendario!EU$13</f>
        <v>0</v>
      </c>
      <c r="EV55" s="13" t="n">
        <f aca="false">(Costos_Personal!EV$98+Capital_Trabajo!EV$58-Capital_Trabajo!EU$58)*Calendario!EV$13</f>
        <v>0</v>
      </c>
      <c r="EW55" s="13" t="n">
        <f aca="false">(Costos_Personal!EW$98+Capital_Trabajo!EW$58-Capital_Trabajo!EV$58)*Calendario!EW$13</f>
        <v>0</v>
      </c>
      <c r="EX55" s="13" t="n">
        <f aca="false">(Costos_Personal!EX$98+Capital_Trabajo!EX$58-Capital_Trabajo!EW$58)*Calendario!EX$13</f>
        <v>0</v>
      </c>
      <c r="EY55" s="13" t="n">
        <f aca="false">(Costos_Personal!EY$98+Capital_Trabajo!EY$58-Capital_Trabajo!EX$58)*Calendario!EY$13</f>
        <v>0</v>
      </c>
      <c r="EZ55" s="13" t="n">
        <f aca="false">(Costos_Personal!EZ$98+Capital_Trabajo!EZ$58-Capital_Trabajo!EY$58)*Calendario!EZ$13</f>
        <v>0</v>
      </c>
      <c r="FA55" s="13" t="n">
        <f aca="false">(Costos_Personal!FA$98+Capital_Trabajo!FA$58-Capital_Trabajo!EZ$58)*Calendario!FA$13</f>
        <v>0</v>
      </c>
      <c r="FB55" s="13" t="n">
        <f aca="false">(Costos_Personal!FB$98+Capital_Trabajo!FB$58-Capital_Trabajo!FA$58)*Calendario!FB$13</f>
        <v>0</v>
      </c>
      <c r="FC55" s="13" t="n">
        <f aca="false">(Costos_Personal!FC$98+Capital_Trabajo!FC$58-Capital_Trabajo!FB$58)*Calendario!FC$13</f>
        <v>0</v>
      </c>
      <c r="FD55" s="13" t="n">
        <f aca="false">(Costos_Personal!FD$98+Capital_Trabajo!FD$58-Capital_Trabajo!FC$58)*Calendario!FD$13</f>
        <v>0</v>
      </c>
      <c r="FE55" s="13" t="n">
        <f aca="false">(Costos_Personal!FE$98+Capital_Trabajo!FE$58-Capital_Trabajo!FD$58)*Calendario!FE$13</f>
        <v>0</v>
      </c>
      <c r="FF55" s="13" t="n">
        <f aca="false">(Costos_Personal!FF$98+Capital_Trabajo!FF$58-Capital_Trabajo!FE$58)*Calendario!FF$13</f>
        <v>0</v>
      </c>
    </row>
    <row r="56" customFormat="false" ht="15" hidden="false" customHeight="false" outlineLevel="0" collapsed="false">
      <c r="A56" s="2" t="s">
        <v>1524</v>
      </c>
      <c r="B56" s="8" t="s">
        <v>1525</v>
      </c>
      <c r="C56" s="8" t="s">
        <v>255</v>
      </c>
      <c r="E56" s="65" t="n">
        <f aca="false">SUM($F56:$FF56)</f>
        <v>0</v>
      </c>
      <c r="F56" s="13" t="n">
        <f aca="false">F$46*Calendario!F$13</f>
        <v>0</v>
      </c>
      <c r="G56" s="13" t="n">
        <f aca="false">G$46*Calendario!G$13</f>
        <v>0</v>
      </c>
      <c r="H56" s="13" t="n">
        <f aca="false">H$46*Calendario!H$13</f>
        <v>0</v>
      </c>
      <c r="I56" s="13" t="n">
        <f aca="false">I$46*Calendario!I$13</f>
        <v>0</v>
      </c>
      <c r="J56" s="13" t="n">
        <f aca="false">J$46*Calendario!J$13</f>
        <v>0</v>
      </c>
      <c r="K56" s="13" t="n">
        <f aca="false">K$46*Calendario!K$13</f>
        <v>0</v>
      </c>
      <c r="L56" s="13" t="n">
        <f aca="false">L$46*Calendario!L$13</f>
        <v>0</v>
      </c>
      <c r="M56" s="13" t="n">
        <f aca="false">M$46*Calendario!M$13</f>
        <v>0</v>
      </c>
      <c r="N56" s="13" t="n">
        <f aca="false">N$46*Calendario!N$13</f>
        <v>0</v>
      </c>
      <c r="O56" s="13" t="n">
        <f aca="false">O$46*Calendario!O$13</f>
        <v>0</v>
      </c>
      <c r="P56" s="13" t="n">
        <f aca="false">P$46*Calendario!P$13</f>
        <v>0</v>
      </c>
      <c r="Q56" s="13" t="n">
        <f aca="false">Q$46*Calendario!Q$13</f>
        <v>0</v>
      </c>
      <c r="R56" s="13" t="n">
        <f aca="false">R$46*Calendario!R$13</f>
        <v>0</v>
      </c>
      <c r="S56" s="13" t="n">
        <f aca="false">S$46*Calendario!S$13</f>
        <v>0</v>
      </c>
      <c r="T56" s="13" t="n">
        <f aca="false">T$46*Calendario!T$13</f>
        <v>0</v>
      </c>
      <c r="U56" s="13" t="n">
        <f aca="false">U$46*Calendario!U$13</f>
        <v>0</v>
      </c>
      <c r="V56" s="13" t="n">
        <f aca="false">V$46*Calendario!V$13</f>
        <v>0</v>
      </c>
      <c r="W56" s="13" t="n">
        <f aca="false">W$46*Calendario!W$13</f>
        <v>0</v>
      </c>
      <c r="X56" s="13" t="n">
        <f aca="false">X$46*Calendario!X$13</f>
        <v>0</v>
      </c>
      <c r="Y56" s="13" t="n">
        <f aca="false">Y$46*Calendario!Y$13</f>
        <v>0</v>
      </c>
      <c r="Z56" s="13" t="n">
        <f aca="false">Z$46*Calendario!Z$13</f>
        <v>0</v>
      </c>
      <c r="AA56" s="13" t="n">
        <f aca="false">AA$46*Calendario!AA$13</f>
        <v>0</v>
      </c>
      <c r="AB56" s="13" t="n">
        <f aca="false">AB$46*Calendario!AB$13</f>
        <v>0</v>
      </c>
      <c r="AC56" s="13" t="n">
        <f aca="false">AC$46*Calendario!AC$13</f>
        <v>0</v>
      </c>
      <c r="AD56" s="13" t="n">
        <f aca="false">AD$46*Calendario!AD$13</f>
        <v>0</v>
      </c>
      <c r="AE56" s="13" t="n">
        <f aca="false">AE$46*Calendario!AE$13</f>
        <v>0</v>
      </c>
      <c r="AF56" s="13" t="n">
        <f aca="false">AF$46*Calendario!AF$13</f>
        <v>0</v>
      </c>
      <c r="AG56" s="13" t="n">
        <f aca="false">AG$46*Calendario!AG$13</f>
        <v>0</v>
      </c>
      <c r="AH56" s="13" t="n">
        <f aca="false">AH$46*Calendario!AH$13</f>
        <v>0</v>
      </c>
      <c r="AI56" s="13" t="n">
        <f aca="false">AI$46*Calendario!AI$13</f>
        <v>0</v>
      </c>
      <c r="AJ56" s="13" t="n">
        <f aca="false">AJ$46*Calendario!AJ$13</f>
        <v>0</v>
      </c>
      <c r="AK56" s="13" t="n">
        <f aca="false">AK$46*Calendario!AK$13</f>
        <v>0</v>
      </c>
      <c r="AL56" s="13" t="n">
        <f aca="false">AL$46*Calendario!AL$13</f>
        <v>0</v>
      </c>
      <c r="AM56" s="13" t="n">
        <f aca="false">AM$46*Calendario!AM$13</f>
        <v>0</v>
      </c>
      <c r="AN56" s="13" t="n">
        <f aca="false">AN$46*Calendario!AN$13</f>
        <v>0</v>
      </c>
      <c r="AO56" s="13" t="n">
        <f aca="false">AO$46*Calendario!AO$13</f>
        <v>0</v>
      </c>
      <c r="AP56" s="13" t="n">
        <f aca="false">AP$46*Calendario!AP$13</f>
        <v>0</v>
      </c>
      <c r="AQ56" s="13" t="n">
        <f aca="false">AQ$46*Calendario!AQ$13</f>
        <v>0</v>
      </c>
      <c r="AR56" s="13" t="n">
        <f aca="false">AR$46*Calendario!AR$13</f>
        <v>0</v>
      </c>
      <c r="AS56" s="13" t="n">
        <f aca="false">AS$46*Calendario!AS$13</f>
        <v>0</v>
      </c>
      <c r="AT56" s="13" t="n">
        <f aca="false">AT$46*Calendario!AT$13</f>
        <v>0</v>
      </c>
      <c r="AU56" s="13" t="n">
        <f aca="false">AU$46*Calendario!AU$13</f>
        <v>0</v>
      </c>
      <c r="AV56" s="13" t="n">
        <f aca="false">AV$46*Calendario!AV$13</f>
        <v>0</v>
      </c>
      <c r="AW56" s="13" t="n">
        <f aca="false">AW$46*Calendario!AW$13</f>
        <v>0</v>
      </c>
      <c r="AX56" s="13" t="n">
        <f aca="false">AX$46*Calendario!AX$13</f>
        <v>0</v>
      </c>
      <c r="AY56" s="13" t="n">
        <f aca="false">AY$46*Calendario!AY$13</f>
        <v>0</v>
      </c>
      <c r="AZ56" s="13" t="n">
        <f aca="false">AZ$46*Calendario!AZ$13</f>
        <v>0</v>
      </c>
      <c r="BA56" s="13" t="n">
        <f aca="false">BA$46*Calendario!BA$13</f>
        <v>0</v>
      </c>
      <c r="BB56" s="13" t="n">
        <f aca="false">BB$46*Calendario!BB$13</f>
        <v>0</v>
      </c>
      <c r="BC56" s="13" t="n">
        <f aca="false">BC$46*Calendario!BC$13</f>
        <v>0</v>
      </c>
      <c r="BD56" s="13" t="n">
        <f aca="false">BD$46*Calendario!BD$13</f>
        <v>0</v>
      </c>
      <c r="BE56" s="13" t="n">
        <f aca="false">BE$46*Calendario!BE$13</f>
        <v>0</v>
      </c>
      <c r="BF56" s="13" t="n">
        <f aca="false">BF$46*Calendario!BF$13</f>
        <v>0</v>
      </c>
      <c r="BG56" s="13" t="n">
        <f aca="false">BG$46*Calendario!BG$13</f>
        <v>0</v>
      </c>
      <c r="BH56" s="13" t="n">
        <f aca="false">BH$46*Calendario!BH$13</f>
        <v>0</v>
      </c>
      <c r="BI56" s="13" t="n">
        <f aca="false">BI$46*Calendario!BI$13</f>
        <v>0</v>
      </c>
      <c r="BJ56" s="13" t="n">
        <f aca="false">BJ$46*Calendario!BJ$13</f>
        <v>0</v>
      </c>
      <c r="BK56" s="13" t="n">
        <f aca="false">BK$46*Calendario!BK$13</f>
        <v>0</v>
      </c>
      <c r="BL56" s="13" t="n">
        <f aca="false">BL$46*Calendario!BL$13</f>
        <v>0</v>
      </c>
      <c r="BM56" s="13" t="n">
        <f aca="false">BM$46*Calendario!BM$13</f>
        <v>0</v>
      </c>
      <c r="BN56" s="13" t="n">
        <f aca="false">BN$46*Calendario!BN$13</f>
        <v>0</v>
      </c>
      <c r="BO56" s="13" t="n">
        <f aca="false">BO$46*Calendario!BO$13</f>
        <v>0</v>
      </c>
      <c r="BP56" s="13" t="n">
        <f aca="false">BP$46*Calendario!BP$13</f>
        <v>0</v>
      </c>
      <c r="BQ56" s="13" t="n">
        <f aca="false">BQ$46*Calendario!BQ$13</f>
        <v>0</v>
      </c>
      <c r="BR56" s="13" t="n">
        <f aca="false">BR$46*Calendario!BR$13</f>
        <v>0</v>
      </c>
      <c r="BS56" s="13" t="n">
        <f aca="false">BS$46*Calendario!BS$13</f>
        <v>0</v>
      </c>
      <c r="BT56" s="13" t="n">
        <f aca="false">BT$46*Calendario!BT$13</f>
        <v>0</v>
      </c>
      <c r="BU56" s="13" t="n">
        <f aca="false">BU$46*Calendario!BU$13</f>
        <v>0</v>
      </c>
      <c r="BV56" s="13" t="n">
        <f aca="false">BV$46*Calendario!BV$13</f>
        <v>0</v>
      </c>
      <c r="BW56" s="13" t="n">
        <f aca="false">BW$46*Calendario!BW$13</f>
        <v>0</v>
      </c>
      <c r="BX56" s="13" t="n">
        <f aca="false">BX$46*Calendario!BX$13</f>
        <v>0</v>
      </c>
      <c r="BY56" s="13" t="n">
        <f aca="false">BY$46*Calendario!BY$13</f>
        <v>0</v>
      </c>
      <c r="BZ56" s="13" t="n">
        <f aca="false">BZ$46*Calendario!BZ$13</f>
        <v>0</v>
      </c>
      <c r="CA56" s="13" t="n">
        <f aca="false">CA$46*Calendario!CA$13</f>
        <v>0</v>
      </c>
      <c r="CB56" s="13" t="n">
        <f aca="false">CB$46*Calendario!CB$13</f>
        <v>0</v>
      </c>
      <c r="CC56" s="13" t="n">
        <f aca="false">CC$46*Calendario!CC$13</f>
        <v>0</v>
      </c>
      <c r="CD56" s="13" t="n">
        <f aca="false">CD$46*Calendario!CD$13</f>
        <v>0</v>
      </c>
      <c r="CE56" s="13" t="n">
        <f aca="false">CE$46*Calendario!CE$13</f>
        <v>0</v>
      </c>
      <c r="CF56" s="13" t="n">
        <f aca="false">CF$46*Calendario!CF$13</f>
        <v>0</v>
      </c>
      <c r="CG56" s="13" t="n">
        <f aca="false">CG$46*Calendario!CG$13</f>
        <v>0</v>
      </c>
      <c r="CH56" s="13" t="n">
        <f aca="false">CH$46*Calendario!CH$13</f>
        <v>0</v>
      </c>
      <c r="CI56" s="13" t="n">
        <f aca="false">CI$46*Calendario!CI$13</f>
        <v>0</v>
      </c>
      <c r="CJ56" s="13" t="n">
        <f aca="false">CJ$46*Calendario!CJ$13</f>
        <v>0</v>
      </c>
      <c r="CK56" s="13" t="n">
        <f aca="false">CK$46*Calendario!CK$13</f>
        <v>0</v>
      </c>
      <c r="CL56" s="13" t="n">
        <f aca="false">CL$46*Calendario!CL$13</f>
        <v>0</v>
      </c>
      <c r="CM56" s="13" t="n">
        <f aca="false">CM$46*Calendario!CM$13</f>
        <v>0</v>
      </c>
      <c r="CN56" s="13" t="n">
        <f aca="false">CN$46*Calendario!CN$13</f>
        <v>0</v>
      </c>
      <c r="CO56" s="13" t="n">
        <f aca="false">CO$46*Calendario!CO$13</f>
        <v>0</v>
      </c>
      <c r="CP56" s="13" t="n">
        <f aca="false">CP$46*Calendario!CP$13</f>
        <v>0</v>
      </c>
      <c r="CQ56" s="13" t="n">
        <f aca="false">CQ$46*Calendario!CQ$13</f>
        <v>0</v>
      </c>
      <c r="CR56" s="13" t="n">
        <f aca="false">CR$46*Calendario!CR$13</f>
        <v>0</v>
      </c>
      <c r="CS56" s="13" t="n">
        <f aca="false">CS$46*Calendario!CS$13</f>
        <v>0</v>
      </c>
      <c r="CT56" s="13" t="n">
        <f aca="false">CT$46*Calendario!CT$13</f>
        <v>0</v>
      </c>
      <c r="CU56" s="13" t="n">
        <f aca="false">CU$46*Calendario!CU$13</f>
        <v>0</v>
      </c>
      <c r="CV56" s="13" t="n">
        <f aca="false">CV$46*Calendario!CV$13</f>
        <v>0</v>
      </c>
      <c r="CW56" s="13" t="n">
        <f aca="false">CW$46*Calendario!CW$13</f>
        <v>0</v>
      </c>
      <c r="CX56" s="13" t="n">
        <f aca="false">CX$46*Calendario!CX$13</f>
        <v>0</v>
      </c>
      <c r="CY56" s="13" t="n">
        <f aca="false">CY$46*Calendario!CY$13</f>
        <v>0</v>
      </c>
      <c r="CZ56" s="13" t="n">
        <f aca="false">CZ$46*Calendario!CZ$13</f>
        <v>0</v>
      </c>
      <c r="DA56" s="13" t="n">
        <f aca="false">DA$46*Calendario!DA$13</f>
        <v>0</v>
      </c>
      <c r="DB56" s="13" t="n">
        <f aca="false">DB$46*Calendario!DB$13</f>
        <v>0</v>
      </c>
      <c r="DC56" s="13" t="n">
        <f aca="false">DC$46*Calendario!DC$13</f>
        <v>0</v>
      </c>
      <c r="DD56" s="13" t="n">
        <f aca="false">DD$46*Calendario!DD$13</f>
        <v>0</v>
      </c>
      <c r="DE56" s="13" t="n">
        <f aca="false">DE$46*Calendario!DE$13</f>
        <v>0</v>
      </c>
      <c r="DF56" s="13" t="n">
        <f aca="false">DF$46*Calendario!DF$13</f>
        <v>0</v>
      </c>
      <c r="DG56" s="13" t="n">
        <f aca="false">DG$46*Calendario!DG$13</f>
        <v>0</v>
      </c>
      <c r="DH56" s="13" t="n">
        <f aca="false">DH$46*Calendario!DH$13</f>
        <v>0</v>
      </c>
      <c r="DI56" s="13" t="n">
        <f aca="false">DI$46*Calendario!DI$13</f>
        <v>0</v>
      </c>
      <c r="DJ56" s="13" t="n">
        <f aca="false">DJ$46*Calendario!DJ$13</f>
        <v>0</v>
      </c>
      <c r="DK56" s="13" t="n">
        <f aca="false">DK$46*Calendario!DK$13</f>
        <v>0</v>
      </c>
      <c r="DL56" s="13" t="n">
        <f aca="false">DL$46*Calendario!DL$13</f>
        <v>0</v>
      </c>
      <c r="DM56" s="13" t="n">
        <f aca="false">DM$46*Calendario!DM$13</f>
        <v>0</v>
      </c>
      <c r="DN56" s="13" t="n">
        <f aca="false">DN$46*Calendario!DN$13</f>
        <v>0</v>
      </c>
      <c r="DO56" s="13" t="n">
        <f aca="false">DO$46*Calendario!DO$13</f>
        <v>0</v>
      </c>
      <c r="DP56" s="13" t="n">
        <f aca="false">DP$46*Calendario!DP$13</f>
        <v>0</v>
      </c>
      <c r="DQ56" s="13" t="n">
        <f aca="false">DQ$46*Calendario!DQ$13</f>
        <v>0</v>
      </c>
      <c r="DR56" s="13" t="n">
        <f aca="false">DR$46*Calendario!DR$13</f>
        <v>0</v>
      </c>
      <c r="DS56" s="13" t="n">
        <f aca="false">DS$46*Calendario!DS$13</f>
        <v>0</v>
      </c>
      <c r="DT56" s="13" t="n">
        <f aca="false">DT$46*Calendario!DT$13</f>
        <v>0</v>
      </c>
      <c r="DU56" s="13" t="n">
        <f aca="false">DU$46*Calendario!DU$13</f>
        <v>0</v>
      </c>
      <c r="DV56" s="13" t="n">
        <f aca="false">DV$46*Calendario!DV$13</f>
        <v>0</v>
      </c>
      <c r="DW56" s="13" t="n">
        <f aca="false">DW$46*Calendario!DW$13</f>
        <v>0</v>
      </c>
      <c r="DX56" s="13" t="n">
        <f aca="false">DX$46*Calendario!DX$13</f>
        <v>0</v>
      </c>
      <c r="DY56" s="13" t="n">
        <f aca="false">DY$46*Calendario!DY$13</f>
        <v>0</v>
      </c>
      <c r="DZ56" s="13" t="n">
        <f aca="false">DZ$46*Calendario!DZ$13</f>
        <v>0</v>
      </c>
      <c r="EA56" s="13" t="n">
        <f aca="false">EA$46*Calendario!EA$13</f>
        <v>0</v>
      </c>
      <c r="EB56" s="13" t="n">
        <f aca="false">EB$46*Calendario!EB$13</f>
        <v>0</v>
      </c>
      <c r="EC56" s="13" t="n">
        <f aca="false">EC$46*Calendario!EC$13</f>
        <v>0</v>
      </c>
      <c r="ED56" s="13" t="n">
        <f aca="false">ED$46*Calendario!ED$13</f>
        <v>0</v>
      </c>
      <c r="EE56" s="13" t="n">
        <f aca="false">EE$46*Calendario!EE$13</f>
        <v>0</v>
      </c>
      <c r="EF56" s="13" t="n">
        <f aca="false">EF$46*Calendario!EF$13</f>
        <v>0</v>
      </c>
      <c r="EG56" s="13" t="n">
        <f aca="false">EG$46*Calendario!EG$13</f>
        <v>0</v>
      </c>
      <c r="EH56" s="13" t="n">
        <f aca="false">EH$46*Calendario!EH$13</f>
        <v>0</v>
      </c>
      <c r="EI56" s="13" t="n">
        <f aca="false">EI$46*Calendario!EI$13</f>
        <v>0</v>
      </c>
      <c r="EJ56" s="13" t="n">
        <f aca="false">EJ$46*Calendario!EJ$13</f>
        <v>0</v>
      </c>
      <c r="EK56" s="13" t="n">
        <f aca="false">EK$46*Calendario!EK$13</f>
        <v>0</v>
      </c>
      <c r="EL56" s="13" t="n">
        <f aca="false">EL$46*Calendario!EL$13</f>
        <v>0</v>
      </c>
      <c r="EM56" s="13" t="n">
        <f aca="false">EM$46*Calendario!EM$13</f>
        <v>0</v>
      </c>
      <c r="EN56" s="13" t="n">
        <f aca="false">EN$46*Calendario!EN$13</f>
        <v>0</v>
      </c>
      <c r="EO56" s="13" t="n">
        <f aca="false">EO$46*Calendario!EO$13</f>
        <v>0</v>
      </c>
      <c r="EP56" s="13" t="n">
        <f aca="false">EP$46*Calendario!EP$13</f>
        <v>0</v>
      </c>
      <c r="EQ56" s="13" t="n">
        <f aca="false">EQ$46*Calendario!EQ$13</f>
        <v>0</v>
      </c>
      <c r="ER56" s="13" t="n">
        <f aca="false">ER$46*Calendario!ER$13</f>
        <v>0</v>
      </c>
      <c r="ES56" s="13" t="n">
        <f aca="false">ES$46*Calendario!ES$13</f>
        <v>0</v>
      </c>
      <c r="ET56" s="13" t="n">
        <f aca="false">ET$46*Calendario!ET$13</f>
        <v>0</v>
      </c>
      <c r="EU56" s="13" t="n">
        <f aca="false">EU$46*Calendario!EU$13</f>
        <v>0</v>
      </c>
      <c r="EV56" s="13" t="n">
        <f aca="false">EV$46*Calendario!EV$13</f>
        <v>0</v>
      </c>
      <c r="EW56" s="13" t="n">
        <f aca="false">EW$46*Calendario!EW$13</f>
        <v>0</v>
      </c>
      <c r="EX56" s="13" t="n">
        <f aca="false">EX$46*Calendario!EX$13</f>
        <v>0</v>
      </c>
      <c r="EY56" s="13" t="n">
        <f aca="false">EY$46*Calendario!EY$13</f>
        <v>0</v>
      </c>
      <c r="EZ56" s="13" t="n">
        <f aca="false">EZ$46*Calendario!EZ$13</f>
        <v>0</v>
      </c>
      <c r="FA56" s="13" t="n">
        <f aca="false">FA$46*Calendario!FA$13</f>
        <v>0</v>
      </c>
      <c r="FB56" s="13" t="n">
        <f aca="false">FB$46*Calendario!FB$13</f>
        <v>0</v>
      </c>
      <c r="FC56" s="13" t="n">
        <f aca="false">FC$46*Calendario!FC$13</f>
        <v>0</v>
      </c>
      <c r="FD56" s="13" t="n">
        <f aca="false">FD$46*Calendario!FD$13</f>
        <v>0</v>
      </c>
      <c r="FE56" s="13" t="n">
        <f aca="false">FE$46*Calendario!FE$13</f>
        <v>0</v>
      </c>
      <c r="FF56" s="13" t="n">
        <f aca="false">FF$46*Calendario!FF$13</f>
        <v>0</v>
      </c>
    </row>
    <row r="57" customFormat="false" ht="15" hidden="false" customHeight="false" outlineLevel="0" collapsed="false">
      <c r="A57" s="2" t="s">
        <v>1526</v>
      </c>
      <c r="B57" s="66" t="s">
        <v>1527</v>
      </c>
      <c r="C57" s="8" t="s">
        <v>255</v>
      </c>
      <c r="E57" s="67" t="n">
        <f aca="false">SUM($F57:$FF57)</f>
        <v>13328539.7982118</v>
      </c>
      <c r="F57" s="12" t="n">
        <f aca="false">F$50+F$51+F$52-F$53-F$54-F$55-F$56</f>
        <v>-1064142.28219178</v>
      </c>
      <c r="G57" s="12" t="n">
        <f aca="false">G$50+G$51+G$52-G$53-G$54-G$55-G$56</f>
        <v>-331363.799676447</v>
      </c>
      <c r="H57" s="12" t="n">
        <f aca="false">H$50+H$51+H$52-H$53-H$54-H$55-H$56</f>
        <v>-366533.336416692</v>
      </c>
      <c r="I57" s="12" t="n">
        <f aca="false">I$50+I$51+I$52-I$53-I$54-I$55-I$56</f>
        <v>-361669.166496632</v>
      </c>
      <c r="J57" s="12" t="n">
        <f aca="false">J$50+J$51+J$52-J$53-J$54-J$55-J$56</f>
        <v>-339523.04777517</v>
      </c>
      <c r="K57" s="12" t="n">
        <f aca="false">K$50+K$51+K$52-K$53-K$54-K$55-K$56</f>
        <v>42497.500170035</v>
      </c>
      <c r="L57" s="12" t="n">
        <f aca="false">L$50+L$51+L$52-L$53-L$54-L$55-L$56</f>
        <v>42497.500170035</v>
      </c>
      <c r="M57" s="12" t="n">
        <f aca="false">M$50+M$51+M$52-M$53-M$54-M$55-M$56</f>
        <v>42497.500170035</v>
      </c>
      <c r="N57" s="12" t="n">
        <f aca="false">N$50+N$51+N$52-N$53-N$54-N$55-N$56</f>
        <v>22160.2234201756</v>
      </c>
      <c r="O57" s="12" t="n">
        <f aca="false">O$50+O$51+O$52-O$53-O$54-O$55-O$56</f>
        <v>-22087.5569328455</v>
      </c>
      <c r="P57" s="12" t="n">
        <f aca="false">P$50+P$51+P$52-P$53-P$54-P$55-P$56</f>
        <v>-24584.2994132981</v>
      </c>
      <c r="Q57" s="12" t="n">
        <f aca="false">Q$50+Q$51+Q$52-Q$53-Q$54-Q$55-Q$56</f>
        <v>-24584.2994132986</v>
      </c>
      <c r="R57" s="12" t="n">
        <f aca="false">R$50+R$51+R$52-R$53-R$54-R$55-R$56</f>
        <v>-24602.0571104275</v>
      </c>
      <c r="S57" s="12" t="n">
        <f aca="false">S$50+S$51+S$52-S$53-S$54-S$55-S$56</f>
        <v>-25943.0266374023</v>
      </c>
      <c r="T57" s="12" t="n">
        <f aca="false">T$50+T$51+T$52-T$53-T$54-T$55-T$56</f>
        <v>-30436.9306632983</v>
      </c>
      <c r="U57" s="12" t="n">
        <f aca="false">U$50+U$51+U$52-U$53-U$54-U$55-U$56</f>
        <v>-30436.9306632983</v>
      </c>
      <c r="V57" s="12" t="n">
        <f aca="false">V$50+V$51+V$52-V$53-V$54-V$55-V$56</f>
        <v>-24358.3918505129</v>
      </c>
      <c r="W57" s="12" t="n">
        <f aca="false">W$50+W$51+W$52-W$53-W$54-W$55-W$56</f>
        <v>80496.4026700351</v>
      </c>
      <c r="X57" s="12" t="n">
        <f aca="false">X$50+X$51+X$52-X$53-X$54-X$55-X$56</f>
        <v>80496.4026700351</v>
      </c>
      <c r="Y57" s="12" t="n">
        <f aca="false">Y$50+Y$51+Y$52-Y$53-Y$54-Y$55-Y$56</f>
        <v>80496.4026700351</v>
      </c>
      <c r="Z57" s="12" t="n">
        <f aca="false">Z$50+Z$51+Z$52-Z$53-Z$54-Z$55-Z$56</f>
        <v>60053.4611406675</v>
      </c>
      <c r="AA57" s="12" t="n">
        <f aca="false">AA$50+AA$51+AA$52-AA$53-AA$54-AA$55-AA$56</f>
        <v>15243.7433494028</v>
      </c>
      <c r="AB57" s="12" t="n">
        <f aca="false">AB$50+AB$51+AB$52-AB$53-AB$54-AB$55-AB$56</f>
        <v>12714.7798867018</v>
      </c>
      <c r="AC57" s="12" t="n">
        <f aca="false">AC$50+AC$51+AC$52-AC$53-AC$54-AC$55-AC$56</f>
        <v>12714.779886702</v>
      </c>
      <c r="AD57" s="12" t="n">
        <f aca="false">AD$50+AD$51+AD$52-AD$53-AD$54-AD$55-AD$56</f>
        <v>12696.9300098013</v>
      </c>
      <c r="AE57" s="12" t="n">
        <f aca="false">AE$50+AE$51+AE$52-AE$53-AE$54-AE$55-AE$56</f>
        <v>7870.53426131339</v>
      </c>
      <c r="AF57" s="12" t="n">
        <f aca="false">AF$50+AF$51+AF$52-AF$53-AF$54-AF$55-AF$56</f>
        <v>3974.4869708867</v>
      </c>
      <c r="AG57" s="12" t="n">
        <f aca="false">AG$50+AG$51+AG$52-AG$53-AG$54-AG$55-AG$56</f>
        <v>3974.4869708867</v>
      </c>
      <c r="AH57" s="12" t="n">
        <f aca="false">AH$50+AH$51+AH$52-AH$53-AH$54-AH$55-AH$56</f>
        <v>10172.3819480557</v>
      </c>
      <c r="AI57" s="12" t="n">
        <f aca="false">AI$50+AI$51+AI$52-AI$53-AI$54-AI$55-AI$56</f>
        <v>117086.07030422</v>
      </c>
      <c r="AJ57" s="12" t="n">
        <f aca="false">AJ$50+AJ$51+AJ$52-AJ$53-AJ$54-AJ$55-AJ$56</f>
        <v>117086.07030422</v>
      </c>
      <c r="AK57" s="12" t="n">
        <f aca="false">AK$50+AK$51+AK$52-AK$53-AK$54-AK$55-AK$56</f>
        <v>117086.07030422</v>
      </c>
      <c r="AL57" s="12" t="n">
        <f aca="false">AL$50+AL$51+AL$52-AL$53-AL$54-AL$55-AL$56</f>
        <v>100553.463106115</v>
      </c>
      <c r="AM57" s="12" t="n">
        <f aca="false">AM$50+AM$51+AM$52-AM$53-AM$54-AM$55-AM$56</f>
        <v>63668.6298220286</v>
      </c>
      <c r="AN57" s="12" t="n">
        <f aca="false">AN$50+AN$51+AN$52-AN$53-AN$54-AN$55-AN$56</f>
        <v>61585.9387337617</v>
      </c>
      <c r="AO57" s="12" t="n">
        <f aca="false">AO$50+AO$51+AO$52-AO$53-AO$54-AO$55-AO$56</f>
        <v>61585.9387337617</v>
      </c>
      <c r="AP57" s="12" t="n">
        <f aca="false">AP$50+AP$51+AP$52-AP$53-AP$54-AP$55-AP$56</f>
        <v>61571.5032851932</v>
      </c>
      <c r="AQ57" s="12" t="n">
        <f aca="false">AQ$50+AQ$51+AQ$52-AQ$53-AQ$54-AQ$55-AQ$56</f>
        <v>57709.2267901748</v>
      </c>
      <c r="AR57" s="12" t="n">
        <f aca="false">AR$50+AR$51+AR$52-AR$53-AR$54-AR$55-AR$56</f>
        <v>54321.8504923401</v>
      </c>
      <c r="AS57" s="12" t="n">
        <f aca="false">AS$50+AS$51+AS$52-AS$53-AS$54-AS$55-AS$56</f>
        <v>54321.8504923401</v>
      </c>
      <c r="AT57" s="12" t="n">
        <f aca="false">AT$50+AT$51+AT$52-AT$53-AT$54-AT$55-AT$56</f>
        <v>59558.8296247602</v>
      </c>
      <c r="AU57" s="12" t="n">
        <f aca="false">AU$50+AU$51+AU$52-AU$53-AU$54-AU$55-AU$56</f>
        <v>149896.719659007</v>
      </c>
      <c r="AV57" s="12" t="n">
        <f aca="false">AV$50+AV$51+AV$52-AV$53-AV$54-AV$55-AV$56</f>
        <v>149896.719659007</v>
      </c>
      <c r="AW57" s="12" t="n">
        <f aca="false">AW$50+AW$51+AW$52-AW$53-AW$54-AW$55-AW$56</f>
        <v>149896.719659007</v>
      </c>
      <c r="AX57" s="12" t="n">
        <f aca="false">AX$50+AX$51+AX$52-AX$53-AX$54-AX$55-AX$56</f>
        <v>149896.719659007</v>
      </c>
      <c r="AY57" s="12" t="n">
        <f aca="false">AY$50+AY$51+AY$52-AY$53-AY$54-AY$55-AY$56</f>
        <v>147702.647933437</v>
      </c>
      <c r="AZ57" s="12" t="n">
        <f aca="false">AZ$50+AZ$51+AZ$52-AZ$53-AZ$54-AZ$55-AZ$56</f>
        <v>147575.455369636</v>
      </c>
      <c r="BA57" s="12" t="n">
        <f aca="false">BA$50+BA$51+BA$52-BA$53-BA$54-BA$55-BA$56</f>
        <v>147575.455369636</v>
      </c>
      <c r="BB57" s="12" t="n">
        <f aca="false">BB$50+BB$51+BB$52-BB$53-BB$54-BB$55-BB$56</f>
        <v>147575.455369636</v>
      </c>
      <c r="BC57" s="12" t="n">
        <f aca="false">BC$50+BC$51+BC$52-BC$53-BC$54-BC$55-BC$56</f>
        <v>144169.92519086</v>
      </c>
      <c r="BD57" s="12" t="n">
        <f aca="false">BD$50+BD$51+BD$52-BD$53-BD$54-BD$55-BD$56</f>
        <v>143981.622347519</v>
      </c>
      <c r="BE57" s="12" t="n">
        <f aca="false">BE$50+BE$51+BE$52-BE$53-BE$54-BE$55-BE$56</f>
        <v>143981.622347519</v>
      </c>
      <c r="BF57" s="12" t="n">
        <f aca="false">BF$50+BF$51+BF$52-BF$53-BF$54-BF$55-BF$56</f>
        <v>144378.217663957</v>
      </c>
      <c r="BG57" s="12" t="n">
        <f aca="false">BG$50+BG$51+BG$52-BG$53-BG$54-BG$55-BG$56</f>
        <v>151219.486872519</v>
      </c>
      <c r="BH57" s="12" t="n">
        <f aca="false">BH$50+BH$51+BH$52-BH$53-BH$54-BH$55-BH$56</f>
        <v>151219.486872519</v>
      </c>
      <c r="BI57" s="12" t="n">
        <f aca="false">BI$50+BI$51+BI$52-BI$53-BI$54-BI$55-BI$56</f>
        <v>151219.486872519</v>
      </c>
      <c r="BJ57" s="12" t="n">
        <f aca="false">BJ$50+BJ$51+BJ$52-BJ$53-BJ$54-BJ$55-BJ$56</f>
        <v>151219.486872519</v>
      </c>
      <c r="BK57" s="12" t="n">
        <f aca="false">BK$50+BK$51+BK$52-BK$53-BK$54-BK$55-BK$56</f>
        <v>149003.474429693</v>
      </c>
      <c r="BL57" s="12" t="n">
        <f aca="false">BL$50+BL$51+BL$52-BL$53-BL$54-BL$55-BL$56</f>
        <v>148875.009940253</v>
      </c>
      <c r="BM57" s="12" t="n">
        <f aca="false">BM$50+BM$51+BM$52-BM$53-BM$54-BM$55-BM$56</f>
        <v>148875.009940254</v>
      </c>
      <c r="BN57" s="12" t="n">
        <f aca="false">BN$50+BN$51+BN$52-BN$53-BN$54-BN$55-BN$56</f>
        <v>148875.009940254</v>
      </c>
      <c r="BO57" s="12" t="n">
        <f aca="false">BO$50+BO$51+BO$52-BO$53-BO$54-BO$55-BO$56</f>
        <v>148863.034547443</v>
      </c>
      <c r="BP57" s="12" t="n">
        <f aca="false">BP$50+BP$51+BP$52-BP$53-BP$54-BP$55-BP$56</f>
        <v>148000.806265057</v>
      </c>
      <c r="BQ57" s="12" t="n">
        <f aca="false">BQ$50+BQ$51+BQ$52-BQ$53-BQ$54-BQ$55-BQ$56</f>
        <v>148000.806265057</v>
      </c>
      <c r="BR57" s="12" t="n">
        <f aca="false">BR$50+BR$51+BR$52-BR$53-BR$54-BR$55-BR$56</f>
        <v>148401.36753466</v>
      </c>
      <c r="BS57" s="12" t="n">
        <f aca="false">BS$50+BS$51+BS$52-BS$53-BS$54-BS$55-BS$56</f>
        <v>155311.049435307</v>
      </c>
      <c r="BT57" s="12" t="n">
        <f aca="false">BT$50+BT$51+BT$52-BT$53-BT$54-BT$55-BT$56</f>
        <v>155311.049435307</v>
      </c>
      <c r="BU57" s="12" t="n">
        <f aca="false">BU$50+BU$51+BU$52-BU$53-BU$54-BU$55-BU$56</f>
        <v>155311.049435307</v>
      </c>
      <c r="BV57" s="12" t="n">
        <f aca="false">BV$50+BV$51+BV$52-BV$53-BV$54-BV$55-BV$56</f>
        <v>155311.049435307</v>
      </c>
      <c r="BW57" s="12" t="n">
        <f aca="false">BW$50+BW$51+BW$52-BW$53-BW$54-BW$55-BW$56</f>
        <v>153072.876868053</v>
      </c>
      <c r="BX57" s="12" t="n">
        <f aca="false">BX$50+BX$51+BX$52-BX$53-BX$54-BX$55-BX$56</f>
        <v>152943.12773372</v>
      </c>
      <c r="BY57" s="12" t="n">
        <f aca="false">BY$50+BY$51+BY$52-BY$53-BY$54-BY$55-BY$56</f>
        <v>152943.12773372</v>
      </c>
      <c r="BZ57" s="12" t="n">
        <f aca="false">BZ$50+BZ$51+BZ$52-BZ$53-BZ$54-BZ$55-BZ$56</f>
        <v>152943.12773372</v>
      </c>
      <c r="CA57" s="12" t="n">
        <f aca="false">CA$50+CA$51+CA$52-CA$53-CA$54-CA$55-CA$56</f>
        <v>152930.875239547</v>
      </c>
      <c r="CB57" s="12" t="n">
        <f aca="false">CB$50+CB$51+CB$52-CB$53-CB$54-CB$55-CB$56</f>
        <v>152048.695659092</v>
      </c>
      <c r="CC57" s="12" t="n">
        <f aca="false">CC$50+CC$51+CC$52-CC$53-CC$54-CC$55-CC$56</f>
        <v>152048.695659092</v>
      </c>
      <c r="CD57" s="12" t="n">
        <f aca="false">CD$50+CD$51+CD$52-CD$53-CD$54-CD$55-CD$56</f>
        <v>152453.262541391</v>
      </c>
      <c r="CE57" s="12" t="n">
        <f aca="false">CE$50+CE$51+CE$52-CE$53-CE$54-CE$55-CE$56</f>
        <v>159432.041261044</v>
      </c>
      <c r="CF57" s="12" t="n">
        <f aca="false">CF$50+CF$51+CF$52-CF$53-CF$54-CF$55-CF$56</f>
        <v>159432.041261044</v>
      </c>
      <c r="CG57" s="12" t="n">
        <f aca="false">CG$50+CG$51+CG$52-CG$53-CG$54-CG$55-CG$56</f>
        <v>159432.041261044</v>
      </c>
      <c r="CH57" s="12" t="n">
        <f aca="false">CH$50+CH$51+CH$52-CH$53-CH$54-CH$55-CH$56</f>
        <v>159432.041261044</v>
      </c>
      <c r="CI57" s="12" t="n">
        <f aca="false">CI$50+CI$51+CI$52-CI$53-CI$54-CI$55-CI$56</f>
        <v>157171.486968118</v>
      </c>
      <c r="CJ57" s="12" t="n">
        <f aca="false">CJ$50+CJ$51+CJ$52-CJ$53-CJ$54-CJ$55-CJ$56</f>
        <v>157040.440342441</v>
      </c>
      <c r="CK57" s="12" t="n">
        <f aca="false">CK$50+CK$51+CK$52-CK$53-CK$54-CK$55-CK$56</f>
        <v>157040.440342441</v>
      </c>
      <c r="CL57" s="12" t="n">
        <f aca="false">CL$50+CL$51+CL$52-CL$53-CL$54-CL$55-CL$56</f>
        <v>157040.440342441</v>
      </c>
      <c r="CM57" s="12" t="n">
        <f aca="false">CM$50+CM$51+CM$52-CM$53-CM$54-CM$55-CM$56</f>
        <v>157027.903041816</v>
      </c>
      <c r="CN57" s="12" t="n">
        <f aca="false">CN$50+CN$51+CN$52-CN$53-CN$54-CN$55-CN$56</f>
        <v>156125.217396807</v>
      </c>
      <c r="CO57" s="12" t="n">
        <f aca="false">CO$50+CO$51+CO$52-CO$53-CO$54-CO$55-CO$56</f>
        <v>156125.217396807</v>
      </c>
      <c r="CP57" s="12" t="n">
        <f aca="false">CP$50+CP$51+CP$52-CP$53-CP$54-CP$55-CP$56</f>
        <v>156533.829947928</v>
      </c>
      <c r="CQ57" s="12" t="n">
        <f aca="false">CQ$50+CQ$51+CQ$52-CQ$53-CQ$54-CQ$55-CQ$56</f>
        <v>163582.396454778</v>
      </c>
      <c r="CR57" s="12" t="n">
        <f aca="false">CR$50+CR$51+CR$52-CR$53-CR$54-CR$55-CR$56</f>
        <v>163582.396454778</v>
      </c>
      <c r="CS57" s="12" t="n">
        <f aca="false">CS$50+CS$51+CS$52-CS$53-CS$54-CS$55-CS$56</f>
        <v>163582.396454778</v>
      </c>
      <c r="CT57" s="12" t="n">
        <f aca="false">CT$50+CT$51+CT$52-CT$53-CT$54-CT$55-CT$56</f>
        <v>163582.396454778</v>
      </c>
      <c r="CU57" s="12" t="n">
        <f aca="false">CU$50+CU$51+CU$52-CU$53-CU$54-CU$55-CU$56</f>
        <v>161299.236618923</v>
      </c>
      <c r="CV57" s="12" t="n">
        <f aca="false">CV$50+CV$51+CV$52-CV$53-CV$54-CV$55-CV$56</f>
        <v>161166.879526989</v>
      </c>
      <c r="CW57" s="12" t="n">
        <f aca="false">CW$50+CW$51+CW$52-CW$53-CW$54-CW$55-CW$56</f>
        <v>161166.879526989</v>
      </c>
      <c r="CX57" s="12" t="n">
        <f aca="false">CX$50+CX$51+CX$52-CX$53-CX$54-CX$55-CX$56</f>
        <v>161166.879526989</v>
      </c>
      <c r="CY57" s="12" t="n">
        <f aca="false">CY$50+CY$51+CY$52-CY$53-CY$54-CY$55-CY$56</f>
        <v>161154.049489748</v>
      </c>
      <c r="CZ57" s="12" t="n">
        <f aca="false">CZ$50+CZ$51+CZ$52-CZ$53-CZ$54-CZ$55-CZ$56</f>
        <v>160230.28680843</v>
      </c>
      <c r="DA57" s="12" t="n">
        <f aca="false">DA$50+DA$51+DA$52-DA$53-DA$54-DA$55-DA$56</f>
        <v>160230.28680843</v>
      </c>
      <c r="DB57" s="12" t="n">
        <f aca="false">DB$50+DB$51+DB$52-DB$53-DB$54-DB$55-DB$56</f>
        <v>160642.985485063</v>
      </c>
      <c r="DC57" s="12" t="n">
        <f aca="false">DC$50+DC$51+DC$52-DC$53-DC$54-DC$55-DC$56</f>
        <v>167762.037656982</v>
      </c>
      <c r="DD57" s="12" t="n">
        <f aca="false">DD$50+DD$51+DD$52-DD$53-DD$54-DD$55-DD$56</f>
        <v>167762.037656982</v>
      </c>
      <c r="DE57" s="12" t="n">
        <f aca="false">DE$50+DE$51+DE$52-DE$53-DE$54-DE$55-DE$56</f>
        <v>167762.037656982</v>
      </c>
      <c r="DF57" s="12" t="n">
        <f aca="false">DF$50+DF$51+DF$52-DF$53-DF$54-DF$55-DF$56</f>
        <v>167762.037656982</v>
      </c>
      <c r="DG57" s="12" t="n">
        <f aca="false">DG$50+DG$51+DG$52-DG$53-DG$54-DG$55-DG$56</f>
        <v>165456.046222767</v>
      </c>
      <c r="DH57" s="12" t="n">
        <f aca="false">DH$50+DH$51+DH$52-DH$53-DH$54-DH$55-DH$56</f>
        <v>165322.365559915</v>
      </c>
      <c r="DI57" s="12" t="n">
        <f aca="false">DI$50+DI$51+DI$52-DI$53-DI$54-DI$55-DI$56</f>
        <v>165322.365559915</v>
      </c>
      <c r="DJ57" s="12" t="n">
        <f aca="false">DJ$50+DJ$51+DJ$52-DJ$53-DJ$54-DJ$55-DJ$56</f>
        <v>165322.365559915</v>
      </c>
      <c r="DK57" s="12" t="n">
        <f aca="false">DK$50+DK$51+DK$52-DK$53-DK$54-DK$55-DK$56</f>
        <v>165309.234624131</v>
      </c>
      <c r="DL57" s="12" t="n">
        <f aca="false">DL$50+DL$51+DL$52-DL$53-DL$54-DL$55-DL$56</f>
        <v>164363.807247698</v>
      </c>
      <c r="DM57" s="12" t="n">
        <f aca="false">DM$50+DM$51+DM$52-DM$53-DM$54-DM$55-DM$56</f>
        <v>164363.807247698</v>
      </c>
      <c r="DN57" s="12" t="n">
        <f aca="false">DN$50+DN$51+DN$52-DN$53-DN$54-DN$55-DN$56</f>
        <v>164780.632911098</v>
      </c>
      <c r="DO57" s="12" t="n">
        <f aca="false">DO$50+DO$51+DO$52-DO$53-DO$54-DO$55-DO$56</f>
        <v>171970.875604736</v>
      </c>
      <c r="DP57" s="12" t="n">
        <f aca="false">DP$50+DP$51+DP$52-DP$53-DP$54-DP$55-DP$56</f>
        <v>171970.875604736</v>
      </c>
      <c r="DQ57" s="12" t="n">
        <f aca="false">DQ$50+DQ$51+DQ$52-DQ$53-DQ$54-DQ$55-DQ$56</f>
        <v>171970.875604736</v>
      </c>
      <c r="DR57" s="12" t="n">
        <f aca="false">DR$50+DR$51+DR$52-DR$53-DR$54-DR$55-DR$56</f>
        <v>312936.287702147</v>
      </c>
      <c r="DS57" s="12" t="n">
        <f aca="false">DS$50+DS$51+DS$52-DS$53-DS$54-DS$55-DS$56</f>
        <v>608912.57868204</v>
      </c>
      <c r="DT57" s="12" t="n">
        <f aca="false">DT$50+DT$51+DT$52-DT$53-DT$54-DT$55-DT$56</f>
        <v>625596.890741878</v>
      </c>
      <c r="DU57" s="12" t="n">
        <f aca="false">DU$50+DU$51+DU$52-DU$53-DU$54-DU$55-DU$56</f>
        <v>625596.890741878</v>
      </c>
      <c r="DV57" s="12" t="n">
        <f aca="false">DV$50+DV$51+DV$52-DV$53-DV$54-DV$55-DV$56</f>
        <v>625719.9709276</v>
      </c>
      <c r="DW57" s="12" t="n">
        <f aca="false">DW$50+DW$51+DW$52-DW$53-DW$54-DW$55-DW$56</f>
        <v>0</v>
      </c>
      <c r="DX57" s="12" t="n">
        <f aca="false">DX$50+DX$51+DX$52-DX$53-DX$54-DX$55-DX$56</f>
        <v>0</v>
      </c>
      <c r="DY57" s="12" t="n">
        <f aca="false">DY$50+DY$51+DY$52-DY$53-DY$54-DY$55-DY$56</f>
        <v>0</v>
      </c>
      <c r="DZ57" s="12" t="n">
        <f aca="false">DZ$50+DZ$51+DZ$52-DZ$53-DZ$54-DZ$55-DZ$56</f>
        <v>0</v>
      </c>
      <c r="EA57" s="12" t="n">
        <f aca="false">EA$50+EA$51+EA$52-EA$53-EA$54-EA$55-EA$56</f>
        <v>0</v>
      </c>
      <c r="EB57" s="12" t="n">
        <f aca="false">EB$50+EB$51+EB$52-EB$53-EB$54-EB$55-EB$56</f>
        <v>0</v>
      </c>
      <c r="EC57" s="12" t="n">
        <f aca="false">EC$50+EC$51+EC$52-EC$53-EC$54-EC$55-EC$56</f>
        <v>0</v>
      </c>
      <c r="ED57" s="12" t="n">
        <f aca="false">ED$50+ED$51+ED$52-ED$53-ED$54-ED$55-ED$56</f>
        <v>0</v>
      </c>
      <c r="EE57" s="12" t="n">
        <f aca="false">EE$50+EE$51+EE$52-EE$53-EE$54-EE$55-EE$56</f>
        <v>0</v>
      </c>
      <c r="EF57" s="12" t="n">
        <f aca="false">EF$50+EF$51+EF$52-EF$53-EF$54-EF$55-EF$56</f>
        <v>0</v>
      </c>
      <c r="EG57" s="12" t="n">
        <f aca="false">EG$50+EG$51+EG$52-EG$53-EG$54-EG$55-EG$56</f>
        <v>0</v>
      </c>
      <c r="EH57" s="12" t="n">
        <f aca="false">EH$50+EH$51+EH$52-EH$53-EH$54-EH$55-EH$56</f>
        <v>0</v>
      </c>
      <c r="EI57" s="12" t="n">
        <f aca="false">EI$50+EI$51+EI$52-EI$53-EI$54-EI$55-EI$56</f>
        <v>0</v>
      </c>
      <c r="EJ57" s="12" t="n">
        <f aca="false">EJ$50+EJ$51+EJ$52-EJ$53-EJ$54-EJ$55-EJ$56</f>
        <v>0</v>
      </c>
      <c r="EK57" s="12" t="n">
        <f aca="false">EK$50+EK$51+EK$52-EK$53-EK$54-EK$55-EK$56</f>
        <v>0</v>
      </c>
      <c r="EL57" s="12" t="n">
        <f aca="false">EL$50+EL$51+EL$52-EL$53-EL$54-EL$55-EL$56</f>
        <v>0</v>
      </c>
      <c r="EM57" s="12" t="n">
        <f aca="false">EM$50+EM$51+EM$52-EM$53-EM$54-EM$55-EM$56</f>
        <v>0</v>
      </c>
      <c r="EN57" s="12" t="n">
        <f aca="false">EN$50+EN$51+EN$52-EN$53-EN$54-EN$55-EN$56</f>
        <v>0</v>
      </c>
      <c r="EO57" s="12" t="n">
        <f aca="false">EO$50+EO$51+EO$52-EO$53-EO$54-EO$55-EO$56</f>
        <v>0</v>
      </c>
      <c r="EP57" s="12" t="n">
        <f aca="false">EP$50+EP$51+EP$52-EP$53-EP$54-EP$55-EP$56</f>
        <v>0</v>
      </c>
      <c r="EQ57" s="12" t="n">
        <f aca="false">EQ$50+EQ$51+EQ$52-EQ$53-EQ$54-EQ$55-EQ$56</f>
        <v>0</v>
      </c>
      <c r="ER57" s="12" t="n">
        <f aca="false">ER$50+ER$51+ER$52-ER$53-ER$54-ER$55-ER$56</f>
        <v>0</v>
      </c>
      <c r="ES57" s="12" t="n">
        <f aca="false">ES$50+ES$51+ES$52-ES$53-ES$54-ES$55-ES$56</f>
        <v>0</v>
      </c>
      <c r="ET57" s="12" t="n">
        <f aca="false">ET$50+ET$51+ET$52-ET$53-ET$54-ET$55-ET$56</f>
        <v>0</v>
      </c>
      <c r="EU57" s="12" t="n">
        <f aca="false">EU$50+EU$51+EU$52-EU$53-EU$54-EU$55-EU$56</f>
        <v>0</v>
      </c>
      <c r="EV57" s="12" t="n">
        <f aca="false">EV$50+EV$51+EV$52-EV$53-EV$54-EV$55-EV$56</f>
        <v>0</v>
      </c>
      <c r="EW57" s="12" t="n">
        <f aca="false">EW$50+EW$51+EW$52-EW$53-EW$54-EW$55-EW$56</f>
        <v>0</v>
      </c>
      <c r="EX57" s="12" t="n">
        <f aca="false">EX$50+EX$51+EX$52-EX$53-EX$54-EX$55-EX$56</f>
        <v>0</v>
      </c>
      <c r="EY57" s="12" t="n">
        <f aca="false">EY$50+EY$51+EY$52-EY$53-EY$54-EY$55-EY$56</f>
        <v>0</v>
      </c>
      <c r="EZ57" s="12" t="n">
        <f aca="false">EZ$50+EZ$51+EZ$52-EZ$53-EZ$54-EZ$55-EZ$56</f>
        <v>0</v>
      </c>
      <c r="FA57" s="12" t="n">
        <f aca="false">FA$50+FA$51+FA$52-FA$53-FA$54-FA$55-FA$56</f>
        <v>0</v>
      </c>
      <c r="FB57" s="12" t="n">
        <f aca="false">FB$50+FB$51+FB$52-FB$53-FB$54-FB$55-FB$56</f>
        <v>0</v>
      </c>
      <c r="FC57" s="12" t="n">
        <f aca="false">FC$50+FC$51+FC$52-FC$53-FC$54-FC$55-FC$56</f>
        <v>0</v>
      </c>
      <c r="FD57" s="12" t="n">
        <f aca="false">FD$50+FD$51+FD$52-FD$53-FD$54-FD$55-FD$56</f>
        <v>0</v>
      </c>
      <c r="FE57" s="12" t="n">
        <f aca="false">FE$50+FE$51+FE$52-FE$53-FE$54-FE$55-FE$56</f>
        <v>0</v>
      </c>
      <c r="FF57" s="12" t="n">
        <f aca="false">FF$50+FF$51+FF$52-FF$53-FF$54-FF$55-FF$56</f>
        <v>0</v>
      </c>
    </row>
    <row r="58" customFormat="false" ht="15" hidden="false" customHeight="false" outlineLevel="0" collapsed="false">
      <c r="A58" s="2" t="s">
        <v>1528</v>
      </c>
      <c r="B58" s="8" t="s">
        <v>1529</v>
      </c>
      <c r="C58" s="8" t="s">
        <v>255</v>
      </c>
      <c r="E58" s="65" t="n">
        <f aca="false">SUM($F58:$FF58)</f>
        <v>755044.1</v>
      </c>
      <c r="F58" s="28" t="n">
        <f aca="false">Inversion_Activos!F$38</f>
        <v>655044.1</v>
      </c>
      <c r="G58" s="28" t="n">
        <f aca="false">Inversion_Activos!G$38</f>
        <v>0</v>
      </c>
      <c r="H58" s="28" t="n">
        <f aca="false">Inversion_Activos!H$38</f>
        <v>0</v>
      </c>
      <c r="I58" s="28" t="n">
        <f aca="false">Inversion_Activos!I$38</f>
        <v>0</v>
      </c>
      <c r="J58" s="28" t="n">
        <f aca="false">Inversion_Activos!J$38</f>
        <v>0</v>
      </c>
      <c r="K58" s="28" t="n">
        <f aca="false">Inversion_Activos!K$38</f>
        <v>0</v>
      </c>
      <c r="L58" s="28" t="n">
        <f aca="false">Inversion_Activos!L$38</f>
        <v>0</v>
      </c>
      <c r="M58" s="28" t="n">
        <f aca="false">Inversion_Activos!M$38</f>
        <v>0</v>
      </c>
      <c r="N58" s="28" t="n">
        <f aca="false">Inversion_Activos!N$38</f>
        <v>0</v>
      </c>
      <c r="O58" s="28" t="n">
        <f aca="false">Inversion_Activos!O$38</f>
        <v>0</v>
      </c>
      <c r="P58" s="28" t="n">
        <f aca="false">Inversion_Activos!P$38</f>
        <v>0</v>
      </c>
      <c r="Q58" s="28" t="n">
        <f aca="false">Inversion_Activos!Q$38</f>
        <v>0</v>
      </c>
      <c r="R58" s="28" t="n">
        <f aca="false">Inversion_Activos!R$38</f>
        <v>0</v>
      </c>
      <c r="S58" s="28" t="n">
        <f aca="false">Inversion_Activos!S$38</f>
        <v>100000</v>
      </c>
      <c r="T58" s="28" t="n">
        <f aca="false">Inversion_Activos!T$38</f>
        <v>0</v>
      </c>
      <c r="U58" s="28" t="n">
        <f aca="false">Inversion_Activos!U$38</f>
        <v>0</v>
      </c>
      <c r="V58" s="28" t="n">
        <f aca="false">Inversion_Activos!V$38</f>
        <v>0</v>
      </c>
      <c r="W58" s="28" t="n">
        <f aca="false">Inversion_Activos!W$38</f>
        <v>0</v>
      </c>
      <c r="X58" s="28" t="n">
        <f aca="false">Inversion_Activos!X$38</f>
        <v>0</v>
      </c>
      <c r="Y58" s="28" t="n">
        <f aca="false">Inversion_Activos!Y$38</f>
        <v>0</v>
      </c>
      <c r="Z58" s="28" t="n">
        <f aca="false">Inversion_Activos!Z$38</f>
        <v>0</v>
      </c>
      <c r="AA58" s="28" t="n">
        <f aca="false">Inversion_Activos!AA$38</f>
        <v>0</v>
      </c>
      <c r="AB58" s="28" t="n">
        <f aca="false">Inversion_Activos!AB$38</f>
        <v>0</v>
      </c>
      <c r="AC58" s="28" t="n">
        <f aca="false">Inversion_Activos!AC$38</f>
        <v>0</v>
      </c>
      <c r="AD58" s="28" t="n">
        <f aca="false">Inversion_Activos!AD$38</f>
        <v>0</v>
      </c>
      <c r="AE58" s="28" t="n">
        <f aca="false">Inversion_Activos!AE$38</f>
        <v>0</v>
      </c>
      <c r="AF58" s="28" t="n">
        <f aca="false">Inversion_Activos!AF$38</f>
        <v>0</v>
      </c>
      <c r="AG58" s="28" t="n">
        <f aca="false">Inversion_Activos!AG$38</f>
        <v>0</v>
      </c>
      <c r="AH58" s="28" t="n">
        <f aca="false">Inversion_Activos!AH$38</f>
        <v>0</v>
      </c>
      <c r="AI58" s="28" t="n">
        <f aca="false">Inversion_Activos!AI$38</f>
        <v>0</v>
      </c>
      <c r="AJ58" s="28" t="n">
        <f aca="false">Inversion_Activos!AJ$38</f>
        <v>0</v>
      </c>
      <c r="AK58" s="28" t="n">
        <f aca="false">Inversion_Activos!AK$38</f>
        <v>0</v>
      </c>
      <c r="AL58" s="28" t="n">
        <f aca="false">Inversion_Activos!AL$38</f>
        <v>0</v>
      </c>
      <c r="AM58" s="28" t="n">
        <f aca="false">Inversion_Activos!AM$38</f>
        <v>0</v>
      </c>
      <c r="AN58" s="28" t="n">
        <f aca="false">Inversion_Activos!AN$38</f>
        <v>0</v>
      </c>
      <c r="AO58" s="28" t="n">
        <f aca="false">Inversion_Activos!AO$38</f>
        <v>0</v>
      </c>
      <c r="AP58" s="28" t="n">
        <f aca="false">Inversion_Activos!AP$38</f>
        <v>0</v>
      </c>
      <c r="AQ58" s="28" t="n">
        <f aca="false">Inversion_Activos!AQ$38</f>
        <v>0</v>
      </c>
      <c r="AR58" s="28" t="n">
        <f aca="false">Inversion_Activos!AR$38</f>
        <v>0</v>
      </c>
      <c r="AS58" s="28" t="n">
        <f aca="false">Inversion_Activos!AS$38</f>
        <v>0</v>
      </c>
      <c r="AT58" s="28" t="n">
        <f aca="false">Inversion_Activos!AT$38</f>
        <v>0</v>
      </c>
      <c r="AU58" s="28" t="n">
        <f aca="false">Inversion_Activos!AU$38</f>
        <v>0</v>
      </c>
      <c r="AV58" s="28" t="n">
        <f aca="false">Inversion_Activos!AV$38</f>
        <v>0</v>
      </c>
      <c r="AW58" s="28" t="n">
        <f aca="false">Inversion_Activos!AW$38</f>
        <v>0</v>
      </c>
      <c r="AX58" s="28" t="n">
        <f aca="false">Inversion_Activos!AX$38</f>
        <v>0</v>
      </c>
      <c r="AY58" s="28" t="n">
        <f aca="false">Inversion_Activos!AY$38</f>
        <v>0</v>
      </c>
      <c r="AZ58" s="28" t="n">
        <f aca="false">Inversion_Activos!AZ$38</f>
        <v>0</v>
      </c>
      <c r="BA58" s="28" t="n">
        <f aca="false">Inversion_Activos!BA$38</f>
        <v>0</v>
      </c>
      <c r="BB58" s="28" t="n">
        <f aca="false">Inversion_Activos!BB$38</f>
        <v>0</v>
      </c>
      <c r="BC58" s="28" t="n">
        <f aca="false">Inversion_Activos!BC$38</f>
        <v>0</v>
      </c>
      <c r="BD58" s="28" t="n">
        <f aca="false">Inversion_Activos!BD$38</f>
        <v>0</v>
      </c>
      <c r="BE58" s="28" t="n">
        <f aca="false">Inversion_Activos!BE$38</f>
        <v>0</v>
      </c>
      <c r="BF58" s="28" t="n">
        <f aca="false">Inversion_Activos!BF$38</f>
        <v>0</v>
      </c>
      <c r="BG58" s="28" t="n">
        <f aca="false">Inversion_Activos!BG$38</f>
        <v>0</v>
      </c>
      <c r="BH58" s="28" t="n">
        <f aca="false">Inversion_Activos!BH$38</f>
        <v>0</v>
      </c>
      <c r="BI58" s="28" t="n">
        <f aca="false">Inversion_Activos!BI$38</f>
        <v>0</v>
      </c>
      <c r="BJ58" s="28" t="n">
        <f aca="false">Inversion_Activos!BJ$38</f>
        <v>0</v>
      </c>
      <c r="BK58" s="28" t="n">
        <f aca="false">Inversion_Activos!BK$38</f>
        <v>0</v>
      </c>
      <c r="BL58" s="28" t="n">
        <f aca="false">Inversion_Activos!BL$38</f>
        <v>0</v>
      </c>
      <c r="BM58" s="28" t="n">
        <f aca="false">Inversion_Activos!BM$38</f>
        <v>0</v>
      </c>
      <c r="BN58" s="28" t="n">
        <f aca="false">Inversion_Activos!BN$38</f>
        <v>0</v>
      </c>
      <c r="BO58" s="28" t="n">
        <f aca="false">Inversion_Activos!BO$38</f>
        <v>0</v>
      </c>
      <c r="BP58" s="28" t="n">
        <f aca="false">Inversion_Activos!BP$38</f>
        <v>0</v>
      </c>
      <c r="BQ58" s="28" t="n">
        <f aca="false">Inversion_Activos!BQ$38</f>
        <v>0</v>
      </c>
      <c r="BR58" s="28" t="n">
        <f aca="false">Inversion_Activos!BR$38</f>
        <v>0</v>
      </c>
      <c r="BS58" s="28" t="n">
        <f aca="false">Inversion_Activos!BS$38</f>
        <v>0</v>
      </c>
      <c r="BT58" s="28" t="n">
        <f aca="false">Inversion_Activos!BT$38</f>
        <v>0</v>
      </c>
      <c r="BU58" s="28" t="n">
        <f aca="false">Inversion_Activos!BU$38</f>
        <v>0</v>
      </c>
      <c r="BV58" s="28" t="n">
        <f aca="false">Inversion_Activos!BV$38</f>
        <v>0</v>
      </c>
      <c r="BW58" s="28" t="n">
        <f aca="false">Inversion_Activos!BW$38</f>
        <v>0</v>
      </c>
      <c r="BX58" s="28" t="n">
        <f aca="false">Inversion_Activos!BX$38</f>
        <v>0</v>
      </c>
      <c r="BY58" s="28" t="n">
        <f aca="false">Inversion_Activos!BY$38</f>
        <v>0</v>
      </c>
      <c r="BZ58" s="28" t="n">
        <f aca="false">Inversion_Activos!BZ$38</f>
        <v>0</v>
      </c>
      <c r="CA58" s="28" t="n">
        <f aca="false">Inversion_Activos!CA$38</f>
        <v>0</v>
      </c>
      <c r="CB58" s="28" t="n">
        <f aca="false">Inversion_Activos!CB$38</f>
        <v>0</v>
      </c>
      <c r="CC58" s="28" t="n">
        <f aca="false">Inversion_Activos!CC$38</f>
        <v>0</v>
      </c>
      <c r="CD58" s="28" t="n">
        <f aca="false">Inversion_Activos!CD$38</f>
        <v>0</v>
      </c>
      <c r="CE58" s="28" t="n">
        <f aca="false">Inversion_Activos!CE$38</f>
        <v>0</v>
      </c>
      <c r="CF58" s="28" t="n">
        <f aca="false">Inversion_Activos!CF$38</f>
        <v>0</v>
      </c>
      <c r="CG58" s="28" t="n">
        <f aca="false">Inversion_Activos!CG$38</f>
        <v>0</v>
      </c>
      <c r="CH58" s="28" t="n">
        <f aca="false">Inversion_Activos!CH$38</f>
        <v>0</v>
      </c>
      <c r="CI58" s="28" t="n">
        <f aca="false">Inversion_Activos!CI$38</f>
        <v>0</v>
      </c>
      <c r="CJ58" s="28" t="n">
        <f aca="false">Inversion_Activos!CJ$38</f>
        <v>0</v>
      </c>
      <c r="CK58" s="28" t="n">
        <f aca="false">Inversion_Activos!CK$38</f>
        <v>0</v>
      </c>
      <c r="CL58" s="28" t="n">
        <f aca="false">Inversion_Activos!CL$38</f>
        <v>0</v>
      </c>
      <c r="CM58" s="28" t="n">
        <f aca="false">Inversion_Activos!CM$38</f>
        <v>0</v>
      </c>
      <c r="CN58" s="28" t="n">
        <f aca="false">Inversion_Activos!CN$38</f>
        <v>0</v>
      </c>
      <c r="CO58" s="28" t="n">
        <f aca="false">Inversion_Activos!CO$38</f>
        <v>0</v>
      </c>
      <c r="CP58" s="28" t="n">
        <f aca="false">Inversion_Activos!CP$38</f>
        <v>0</v>
      </c>
      <c r="CQ58" s="28" t="n">
        <f aca="false">Inversion_Activos!CQ$38</f>
        <v>0</v>
      </c>
      <c r="CR58" s="28" t="n">
        <f aca="false">Inversion_Activos!CR$38</f>
        <v>0</v>
      </c>
      <c r="CS58" s="28" t="n">
        <f aca="false">Inversion_Activos!CS$38</f>
        <v>0</v>
      </c>
      <c r="CT58" s="28" t="n">
        <f aca="false">Inversion_Activos!CT$38</f>
        <v>0</v>
      </c>
      <c r="CU58" s="28" t="n">
        <f aca="false">Inversion_Activos!CU$38</f>
        <v>0</v>
      </c>
      <c r="CV58" s="28" t="n">
        <f aca="false">Inversion_Activos!CV$38</f>
        <v>0</v>
      </c>
      <c r="CW58" s="28" t="n">
        <f aca="false">Inversion_Activos!CW$38</f>
        <v>0</v>
      </c>
      <c r="CX58" s="28" t="n">
        <f aca="false">Inversion_Activos!CX$38</f>
        <v>0</v>
      </c>
      <c r="CY58" s="28" t="n">
        <f aca="false">Inversion_Activos!CY$38</f>
        <v>0</v>
      </c>
      <c r="CZ58" s="28" t="n">
        <f aca="false">Inversion_Activos!CZ$38</f>
        <v>0</v>
      </c>
      <c r="DA58" s="28" t="n">
        <f aca="false">Inversion_Activos!DA$38</f>
        <v>0</v>
      </c>
      <c r="DB58" s="28" t="n">
        <f aca="false">Inversion_Activos!DB$38</f>
        <v>0</v>
      </c>
      <c r="DC58" s="28" t="n">
        <f aca="false">Inversion_Activos!DC$38</f>
        <v>0</v>
      </c>
      <c r="DD58" s="28" t="n">
        <f aca="false">Inversion_Activos!DD$38</f>
        <v>0</v>
      </c>
      <c r="DE58" s="28" t="n">
        <f aca="false">Inversion_Activos!DE$38</f>
        <v>0</v>
      </c>
      <c r="DF58" s="28" t="n">
        <f aca="false">Inversion_Activos!DF$38</f>
        <v>0</v>
      </c>
      <c r="DG58" s="28" t="n">
        <f aca="false">Inversion_Activos!DG$38</f>
        <v>0</v>
      </c>
      <c r="DH58" s="28" t="n">
        <f aca="false">Inversion_Activos!DH$38</f>
        <v>0</v>
      </c>
      <c r="DI58" s="28" t="n">
        <f aca="false">Inversion_Activos!DI$38</f>
        <v>0</v>
      </c>
      <c r="DJ58" s="28" t="n">
        <f aca="false">Inversion_Activos!DJ$38</f>
        <v>0</v>
      </c>
      <c r="DK58" s="28" t="n">
        <f aca="false">Inversion_Activos!DK$38</f>
        <v>0</v>
      </c>
      <c r="DL58" s="28" t="n">
        <f aca="false">Inversion_Activos!DL$38</f>
        <v>0</v>
      </c>
      <c r="DM58" s="28" t="n">
        <f aca="false">Inversion_Activos!DM$38</f>
        <v>0</v>
      </c>
      <c r="DN58" s="28" t="n">
        <f aca="false">Inversion_Activos!DN$38</f>
        <v>0</v>
      </c>
      <c r="DO58" s="28" t="n">
        <f aca="false">Inversion_Activos!DO$38</f>
        <v>0</v>
      </c>
      <c r="DP58" s="28" t="n">
        <f aca="false">Inversion_Activos!DP$38</f>
        <v>0</v>
      </c>
      <c r="DQ58" s="28" t="n">
        <f aca="false">Inversion_Activos!DQ$38</f>
        <v>0</v>
      </c>
      <c r="DR58" s="28" t="n">
        <f aca="false">Inversion_Activos!DR$38</f>
        <v>0</v>
      </c>
      <c r="DS58" s="28" t="n">
        <f aca="false">Inversion_Activos!DS$38</f>
        <v>0</v>
      </c>
      <c r="DT58" s="28" t="n">
        <f aca="false">Inversion_Activos!DT$38</f>
        <v>0</v>
      </c>
      <c r="DU58" s="28" t="n">
        <f aca="false">Inversion_Activos!DU$38</f>
        <v>0</v>
      </c>
      <c r="DV58" s="28" t="n">
        <f aca="false">Inversion_Activos!DV$38</f>
        <v>0</v>
      </c>
      <c r="DW58" s="28" t="n">
        <f aca="false">Inversion_Activos!DW$38</f>
        <v>0</v>
      </c>
      <c r="DX58" s="28" t="n">
        <f aca="false">Inversion_Activos!DX$38</f>
        <v>0</v>
      </c>
      <c r="DY58" s="28" t="n">
        <f aca="false">Inversion_Activos!DY$38</f>
        <v>0</v>
      </c>
      <c r="DZ58" s="28" t="n">
        <f aca="false">Inversion_Activos!DZ$38</f>
        <v>0</v>
      </c>
      <c r="EA58" s="28" t="n">
        <f aca="false">Inversion_Activos!EA$38</f>
        <v>0</v>
      </c>
      <c r="EB58" s="28" t="n">
        <f aca="false">Inversion_Activos!EB$38</f>
        <v>0</v>
      </c>
      <c r="EC58" s="28" t="n">
        <f aca="false">Inversion_Activos!EC$38</f>
        <v>0</v>
      </c>
      <c r="ED58" s="28" t="n">
        <f aca="false">Inversion_Activos!ED$38</f>
        <v>0</v>
      </c>
      <c r="EE58" s="28" t="n">
        <f aca="false">Inversion_Activos!EE$38</f>
        <v>0</v>
      </c>
      <c r="EF58" s="28" t="n">
        <f aca="false">Inversion_Activos!EF$38</f>
        <v>0</v>
      </c>
      <c r="EG58" s="28" t="n">
        <f aca="false">Inversion_Activos!EG$38</f>
        <v>0</v>
      </c>
      <c r="EH58" s="28" t="n">
        <f aca="false">Inversion_Activos!EH$38</f>
        <v>0</v>
      </c>
      <c r="EI58" s="28" t="n">
        <f aca="false">Inversion_Activos!EI$38</f>
        <v>0</v>
      </c>
      <c r="EJ58" s="28" t="n">
        <f aca="false">Inversion_Activos!EJ$38</f>
        <v>0</v>
      </c>
      <c r="EK58" s="28" t="n">
        <f aca="false">Inversion_Activos!EK$38</f>
        <v>0</v>
      </c>
      <c r="EL58" s="28" t="n">
        <f aca="false">Inversion_Activos!EL$38</f>
        <v>0</v>
      </c>
      <c r="EM58" s="28" t="n">
        <f aca="false">Inversion_Activos!EM$38</f>
        <v>0</v>
      </c>
      <c r="EN58" s="28" t="n">
        <f aca="false">Inversion_Activos!EN$38</f>
        <v>0</v>
      </c>
      <c r="EO58" s="28" t="n">
        <f aca="false">Inversion_Activos!EO$38</f>
        <v>0</v>
      </c>
      <c r="EP58" s="28" t="n">
        <f aca="false">Inversion_Activos!EP$38</f>
        <v>0</v>
      </c>
      <c r="EQ58" s="28" t="n">
        <f aca="false">Inversion_Activos!EQ$38</f>
        <v>0</v>
      </c>
      <c r="ER58" s="28" t="n">
        <f aca="false">Inversion_Activos!ER$38</f>
        <v>0</v>
      </c>
      <c r="ES58" s="28" t="n">
        <f aca="false">Inversion_Activos!ES$38</f>
        <v>0</v>
      </c>
      <c r="ET58" s="28" t="n">
        <f aca="false">Inversion_Activos!ET$38</f>
        <v>0</v>
      </c>
      <c r="EU58" s="28" t="n">
        <f aca="false">Inversion_Activos!EU$38</f>
        <v>0</v>
      </c>
      <c r="EV58" s="28" t="n">
        <f aca="false">Inversion_Activos!EV$38</f>
        <v>0</v>
      </c>
      <c r="EW58" s="28" t="n">
        <f aca="false">Inversion_Activos!EW$38</f>
        <v>0</v>
      </c>
      <c r="EX58" s="28" t="n">
        <f aca="false">Inversion_Activos!EX$38</f>
        <v>0</v>
      </c>
      <c r="EY58" s="28" t="n">
        <f aca="false">Inversion_Activos!EY$38</f>
        <v>0</v>
      </c>
      <c r="EZ58" s="28" t="n">
        <f aca="false">Inversion_Activos!EZ$38</f>
        <v>0</v>
      </c>
      <c r="FA58" s="28" t="n">
        <f aca="false">Inversion_Activos!FA$38</f>
        <v>0</v>
      </c>
      <c r="FB58" s="28" t="n">
        <f aca="false">Inversion_Activos!FB$38</f>
        <v>0</v>
      </c>
      <c r="FC58" s="28" t="n">
        <f aca="false">Inversion_Activos!FC$38</f>
        <v>0</v>
      </c>
      <c r="FD58" s="28" t="n">
        <f aca="false">Inversion_Activos!FD$38</f>
        <v>0</v>
      </c>
      <c r="FE58" s="28" t="n">
        <f aca="false">Inversion_Activos!FE$38</f>
        <v>0</v>
      </c>
      <c r="FF58" s="28" t="n">
        <f aca="false">Inversion_Activos!FF$38</f>
        <v>0</v>
      </c>
    </row>
    <row r="59" customFormat="false" ht="15" hidden="false" customHeight="false" outlineLevel="0" collapsed="false">
      <c r="A59" s="2" t="s">
        <v>1139</v>
      </c>
      <c r="B59" s="8" t="s">
        <v>1530</v>
      </c>
      <c r="C59" s="8" t="s">
        <v>255</v>
      </c>
      <c r="E59" s="65" t="n">
        <f aca="false">SUM($F59:$FF59)</f>
        <v>0</v>
      </c>
      <c r="F59" s="28" t="n">
        <f aca="false">Costos_Personal!F$151</f>
        <v>0</v>
      </c>
      <c r="G59" s="28" t="n">
        <f aca="false">Costos_Personal!G$151</f>
        <v>0</v>
      </c>
      <c r="H59" s="28" t="n">
        <f aca="false">Costos_Personal!H$151</f>
        <v>0</v>
      </c>
      <c r="I59" s="28" t="n">
        <f aca="false">Costos_Personal!I$151</f>
        <v>0</v>
      </c>
      <c r="J59" s="28" t="n">
        <f aca="false">Costos_Personal!J$151</f>
        <v>0</v>
      </c>
      <c r="K59" s="28" t="n">
        <f aca="false">Costos_Personal!K$151</f>
        <v>0</v>
      </c>
      <c r="L59" s="28" t="n">
        <f aca="false">Costos_Personal!L$151</f>
        <v>0</v>
      </c>
      <c r="M59" s="28" t="n">
        <f aca="false">Costos_Personal!M$151</f>
        <v>0</v>
      </c>
      <c r="N59" s="28" t="n">
        <f aca="false">Costos_Personal!N$151</f>
        <v>0</v>
      </c>
      <c r="O59" s="28" t="n">
        <f aca="false">Costos_Personal!O$151</f>
        <v>0</v>
      </c>
      <c r="P59" s="28" t="n">
        <f aca="false">Costos_Personal!P$151</f>
        <v>0</v>
      </c>
      <c r="Q59" s="28" t="n">
        <f aca="false">Costos_Personal!Q$151</f>
        <v>0</v>
      </c>
      <c r="R59" s="28" t="n">
        <f aca="false">Costos_Personal!R$151</f>
        <v>0</v>
      </c>
      <c r="S59" s="28" t="n">
        <f aca="false">Costos_Personal!S$151</f>
        <v>0</v>
      </c>
      <c r="T59" s="28" t="n">
        <f aca="false">Costos_Personal!T$151</f>
        <v>0</v>
      </c>
      <c r="U59" s="28" t="n">
        <f aca="false">Costos_Personal!U$151</f>
        <v>0</v>
      </c>
      <c r="V59" s="28" t="n">
        <f aca="false">Costos_Personal!V$151</f>
        <v>0</v>
      </c>
      <c r="W59" s="28" t="n">
        <f aca="false">Costos_Personal!W$151</f>
        <v>0</v>
      </c>
      <c r="X59" s="28" t="n">
        <f aca="false">Costos_Personal!X$151</f>
        <v>0</v>
      </c>
      <c r="Y59" s="28" t="n">
        <f aca="false">Costos_Personal!Y$151</f>
        <v>0</v>
      </c>
      <c r="Z59" s="28" t="n">
        <f aca="false">Costos_Personal!Z$151</f>
        <v>0</v>
      </c>
      <c r="AA59" s="28" t="n">
        <f aca="false">Costos_Personal!AA$151</f>
        <v>0</v>
      </c>
      <c r="AB59" s="28" t="n">
        <f aca="false">Costos_Personal!AB$151</f>
        <v>0</v>
      </c>
      <c r="AC59" s="28" t="n">
        <f aca="false">Costos_Personal!AC$151</f>
        <v>0</v>
      </c>
      <c r="AD59" s="28" t="n">
        <f aca="false">Costos_Personal!AD$151</f>
        <v>0</v>
      </c>
      <c r="AE59" s="28" t="n">
        <f aca="false">Costos_Personal!AE$151</f>
        <v>0</v>
      </c>
      <c r="AF59" s="28" t="n">
        <f aca="false">Costos_Personal!AF$151</f>
        <v>0</v>
      </c>
      <c r="AG59" s="28" t="n">
        <f aca="false">Costos_Personal!AG$151</f>
        <v>0</v>
      </c>
      <c r="AH59" s="28" t="n">
        <f aca="false">Costos_Personal!AH$151</f>
        <v>0</v>
      </c>
      <c r="AI59" s="28" t="n">
        <f aca="false">Costos_Personal!AI$151</f>
        <v>0</v>
      </c>
      <c r="AJ59" s="28" t="n">
        <f aca="false">Costos_Personal!AJ$151</f>
        <v>0</v>
      </c>
      <c r="AK59" s="28" t="n">
        <f aca="false">Costos_Personal!AK$151</f>
        <v>0</v>
      </c>
      <c r="AL59" s="28" t="n">
        <f aca="false">Costos_Personal!AL$151</f>
        <v>0</v>
      </c>
      <c r="AM59" s="28" t="n">
        <f aca="false">Costos_Personal!AM$151</f>
        <v>0</v>
      </c>
      <c r="AN59" s="28" t="n">
        <f aca="false">Costos_Personal!AN$151</f>
        <v>0</v>
      </c>
      <c r="AO59" s="28" t="n">
        <f aca="false">Costos_Personal!AO$151</f>
        <v>0</v>
      </c>
      <c r="AP59" s="28" t="n">
        <f aca="false">Costos_Personal!AP$151</f>
        <v>0</v>
      </c>
      <c r="AQ59" s="28" t="n">
        <f aca="false">Costos_Personal!AQ$151</f>
        <v>0</v>
      </c>
      <c r="AR59" s="28" t="n">
        <f aca="false">Costos_Personal!AR$151</f>
        <v>0</v>
      </c>
      <c r="AS59" s="28" t="n">
        <f aca="false">Costos_Personal!AS$151</f>
        <v>0</v>
      </c>
      <c r="AT59" s="28" t="n">
        <f aca="false">Costos_Personal!AT$151</f>
        <v>0</v>
      </c>
      <c r="AU59" s="28" t="n">
        <f aca="false">Costos_Personal!AU$151</f>
        <v>0</v>
      </c>
      <c r="AV59" s="28" t="n">
        <f aca="false">Costos_Personal!AV$151</f>
        <v>0</v>
      </c>
      <c r="AW59" s="28" t="n">
        <f aca="false">Costos_Personal!AW$151</f>
        <v>0</v>
      </c>
      <c r="AX59" s="28" t="n">
        <f aca="false">Costos_Personal!AX$151</f>
        <v>0</v>
      </c>
      <c r="AY59" s="28" t="n">
        <f aca="false">Costos_Personal!AY$151</f>
        <v>0</v>
      </c>
      <c r="AZ59" s="28" t="n">
        <f aca="false">Costos_Personal!AZ$151</f>
        <v>0</v>
      </c>
      <c r="BA59" s="28" t="n">
        <f aca="false">Costos_Personal!BA$151</f>
        <v>0</v>
      </c>
      <c r="BB59" s="28" t="n">
        <f aca="false">Costos_Personal!BB$151</f>
        <v>0</v>
      </c>
      <c r="BC59" s="28" t="n">
        <f aca="false">Costos_Personal!BC$151</f>
        <v>0</v>
      </c>
      <c r="BD59" s="28" t="n">
        <f aca="false">Costos_Personal!BD$151</f>
        <v>0</v>
      </c>
      <c r="BE59" s="28" t="n">
        <f aca="false">Costos_Personal!BE$151</f>
        <v>0</v>
      </c>
      <c r="BF59" s="28" t="n">
        <f aca="false">Costos_Personal!BF$151</f>
        <v>0</v>
      </c>
      <c r="BG59" s="28" t="n">
        <f aca="false">Costos_Personal!BG$151</f>
        <v>0</v>
      </c>
      <c r="BH59" s="28" t="n">
        <f aca="false">Costos_Personal!BH$151</f>
        <v>0</v>
      </c>
      <c r="BI59" s="28" t="n">
        <f aca="false">Costos_Personal!BI$151</f>
        <v>0</v>
      </c>
      <c r="BJ59" s="28" t="n">
        <f aca="false">Costos_Personal!BJ$151</f>
        <v>0</v>
      </c>
      <c r="BK59" s="28" t="n">
        <f aca="false">Costos_Personal!BK$151</f>
        <v>0</v>
      </c>
      <c r="BL59" s="28" t="n">
        <f aca="false">Costos_Personal!BL$151</f>
        <v>0</v>
      </c>
      <c r="BM59" s="28" t="n">
        <f aca="false">Costos_Personal!BM$151</f>
        <v>0</v>
      </c>
      <c r="BN59" s="28" t="n">
        <f aca="false">Costos_Personal!BN$151</f>
        <v>0</v>
      </c>
      <c r="BO59" s="28" t="n">
        <f aca="false">Costos_Personal!BO$151</f>
        <v>0</v>
      </c>
      <c r="BP59" s="28" t="n">
        <f aca="false">Costos_Personal!BP$151</f>
        <v>0</v>
      </c>
      <c r="BQ59" s="28" t="n">
        <f aca="false">Costos_Personal!BQ$151</f>
        <v>0</v>
      </c>
      <c r="BR59" s="28" t="n">
        <f aca="false">Costos_Personal!BR$151</f>
        <v>0</v>
      </c>
      <c r="BS59" s="28" t="n">
        <f aca="false">Costos_Personal!BS$151</f>
        <v>0</v>
      </c>
      <c r="BT59" s="28" t="n">
        <f aca="false">Costos_Personal!BT$151</f>
        <v>0</v>
      </c>
      <c r="BU59" s="28" t="n">
        <f aca="false">Costos_Personal!BU$151</f>
        <v>0</v>
      </c>
      <c r="BV59" s="28" t="n">
        <f aca="false">Costos_Personal!BV$151</f>
        <v>0</v>
      </c>
      <c r="BW59" s="28" t="n">
        <f aca="false">Costos_Personal!BW$151</f>
        <v>0</v>
      </c>
      <c r="BX59" s="28" t="n">
        <f aca="false">Costos_Personal!BX$151</f>
        <v>0</v>
      </c>
      <c r="BY59" s="28" t="n">
        <f aca="false">Costos_Personal!BY$151</f>
        <v>0</v>
      </c>
      <c r="BZ59" s="28" t="n">
        <f aca="false">Costos_Personal!BZ$151</f>
        <v>0</v>
      </c>
      <c r="CA59" s="28" t="n">
        <f aca="false">Costos_Personal!CA$151</f>
        <v>0</v>
      </c>
      <c r="CB59" s="28" t="n">
        <f aca="false">Costos_Personal!CB$151</f>
        <v>0</v>
      </c>
      <c r="CC59" s="28" t="n">
        <f aca="false">Costos_Personal!CC$151</f>
        <v>0</v>
      </c>
      <c r="CD59" s="28" t="n">
        <f aca="false">Costos_Personal!CD$151</f>
        <v>0</v>
      </c>
      <c r="CE59" s="28" t="n">
        <f aca="false">Costos_Personal!CE$151</f>
        <v>0</v>
      </c>
      <c r="CF59" s="28" t="n">
        <f aca="false">Costos_Personal!CF$151</f>
        <v>0</v>
      </c>
      <c r="CG59" s="28" t="n">
        <f aca="false">Costos_Personal!CG$151</f>
        <v>0</v>
      </c>
      <c r="CH59" s="28" t="n">
        <f aca="false">Costos_Personal!CH$151</f>
        <v>0</v>
      </c>
      <c r="CI59" s="28" t="n">
        <f aca="false">Costos_Personal!CI$151</f>
        <v>0</v>
      </c>
      <c r="CJ59" s="28" t="n">
        <f aca="false">Costos_Personal!CJ$151</f>
        <v>0</v>
      </c>
      <c r="CK59" s="28" t="n">
        <f aca="false">Costos_Personal!CK$151</f>
        <v>0</v>
      </c>
      <c r="CL59" s="28" t="n">
        <f aca="false">Costos_Personal!CL$151</f>
        <v>0</v>
      </c>
      <c r="CM59" s="28" t="n">
        <f aca="false">Costos_Personal!CM$151</f>
        <v>0</v>
      </c>
      <c r="CN59" s="28" t="n">
        <f aca="false">Costos_Personal!CN$151</f>
        <v>0</v>
      </c>
      <c r="CO59" s="28" t="n">
        <f aca="false">Costos_Personal!CO$151</f>
        <v>0</v>
      </c>
      <c r="CP59" s="28" t="n">
        <f aca="false">Costos_Personal!CP$151</f>
        <v>0</v>
      </c>
      <c r="CQ59" s="28" t="n">
        <f aca="false">Costos_Personal!CQ$151</f>
        <v>0</v>
      </c>
      <c r="CR59" s="28" t="n">
        <f aca="false">Costos_Personal!CR$151</f>
        <v>0</v>
      </c>
      <c r="CS59" s="28" t="n">
        <f aca="false">Costos_Personal!CS$151</f>
        <v>0</v>
      </c>
      <c r="CT59" s="28" t="n">
        <f aca="false">Costos_Personal!CT$151</f>
        <v>0</v>
      </c>
      <c r="CU59" s="28" t="n">
        <f aca="false">Costos_Personal!CU$151</f>
        <v>0</v>
      </c>
      <c r="CV59" s="28" t="n">
        <f aca="false">Costos_Personal!CV$151</f>
        <v>0</v>
      </c>
      <c r="CW59" s="28" t="n">
        <f aca="false">Costos_Personal!CW$151</f>
        <v>0</v>
      </c>
      <c r="CX59" s="28" t="n">
        <f aca="false">Costos_Personal!CX$151</f>
        <v>0</v>
      </c>
      <c r="CY59" s="28" t="n">
        <f aca="false">Costos_Personal!CY$151</f>
        <v>0</v>
      </c>
      <c r="CZ59" s="28" t="n">
        <f aca="false">Costos_Personal!CZ$151</f>
        <v>0</v>
      </c>
      <c r="DA59" s="28" t="n">
        <f aca="false">Costos_Personal!DA$151</f>
        <v>0</v>
      </c>
      <c r="DB59" s="28" t="n">
        <f aca="false">Costos_Personal!DB$151</f>
        <v>0</v>
      </c>
      <c r="DC59" s="28" t="n">
        <f aca="false">Costos_Personal!DC$151</f>
        <v>0</v>
      </c>
      <c r="DD59" s="28" t="n">
        <f aca="false">Costos_Personal!DD$151</f>
        <v>0</v>
      </c>
      <c r="DE59" s="28" t="n">
        <f aca="false">Costos_Personal!DE$151</f>
        <v>0</v>
      </c>
      <c r="DF59" s="28" t="n">
        <f aca="false">Costos_Personal!DF$151</f>
        <v>0</v>
      </c>
      <c r="DG59" s="28" t="n">
        <f aca="false">Costos_Personal!DG$151</f>
        <v>0</v>
      </c>
      <c r="DH59" s="28" t="n">
        <f aca="false">Costos_Personal!DH$151</f>
        <v>0</v>
      </c>
      <c r="DI59" s="28" t="n">
        <f aca="false">Costos_Personal!DI$151</f>
        <v>0</v>
      </c>
      <c r="DJ59" s="28" t="n">
        <f aca="false">Costos_Personal!DJ$151</f>
        <v>0</v>
      </c>
      <c r="DK59" s="28" t="n">
        <f aca="false">Costos_Personal!DK$151</f>
        <v>0</v>
      </c>
      <c r="DL59" s="28" t="n">
        <f aca="false">Costos_Personal!DL$151</f>
        <v>0</v>
      </c>
      <c r="DM59" s="28" t="n">
        <f aca="false">Costos_Personal!DM$151</f>
        <v>0</v>
      </c>
      <c r="DN59" s="28" t="n">
        <f aca="false">Costos_Personal!DN$151</f>
        <v>0</v>
      </c>
      <c r="DO59" s="28" t="n">
        <f aca="false">Costos_Personal!DO$151</f>
        <v>0</v>
      </c>
      <c r="DP59" s="28" t="n">
        <f aca="false">Costos_Personal!DP$151</f>
        <v>0</v>
      </c>
      <c r="DQ59" s="28" t="n">
        <f aca="false">Costos_Personal!DQ$151</f>
        <v>0</v>
      </c>
      <c r="DR59" s="28" t="n">
        <f aca="false">Costos_Personal!DR$151</f>
        <v>0</v>
      </c>
      <c r="DS59" s="28" t="n">
        <f aca="false">Costos_Personal!DS$151</f>
        <v>0</v>
      </c>
      <c r="DT59" s="28" t="n">
        <f aca="false">Costos_Personal!DT$151</f>
        <v>0</v>
      </c>
      <c r="DU59" s="28" t="n">
        <f aca="false">Costos_Personal!DU$151</f>
        <v>0</v>
      </c>
      <c r="DV59" s="28" t="n">
        <f aca="false">Costos_Personal!DV$151</f>
        <v>0</v>
      </c>
      <c r="DW59" s="28" t="n">
        <f aca="false">Costos_Personal!DW$151</f>
        <v>0</v>
      </c>
      <c r="DX59" s="28" t="n">
        <f aca="false">Costos_Personal!DX$151</f>
        <v>0</v>
      </c>
      <c r="DY59" s="28" t="n">
        <f aca="false">Costos_Personal!DY$151</f>
        <v>0</v>
      </c>
      <c r="DZ59" s="28" t="n">
        <f aca="false">Costos_Personal!DZ$151</f>
        <v>0</v>
      </c>
      <c r="EA59" s="28" t="n">
        <f aca="false">Costos_Personal!EA$151</f>
        <v>0</v>
      </c>
      <c r="EB59" s="28" t="n">
        <f aca="false">Costos_Personal!EB$151</f>
        <v>0</v>
      </c>
      <c r="EC59" s="28" t="n">
        <f aca="false">Costos_Personal!EC$151</f>
        <v>0</v>
      </c>
      <c r="ED59" s="28" t="n">
        <f aca="false">Costos_Personal!ED$151</f>
        <v>0</v>
      </c>
      <c r="EE59" s="28" t="n">
        <f aca="false">Costos_Personal!EE$151</f>
        <v>0</v>
      </c>
      <c r="EF59" s="28" t="n">
        <f aca="false">Costos_Personal!EF$151</f>
        <v>0</v>
      </c>
      <c r="EG59" s="28" t="n">
        <f aca="false">Costos_Personal!EG$151</f>
        <v>0</v>
      </c>
      <c r="EH59" s="28" t="n">
        <f aca="false">Costos_Personal!EH$151</f>
        <v>0</v>
      </c>
      <c r="EI59" s="28" t="n">
        <f aca="false">Costos_Personal!EI$151</f>
        <v>0</v>
      </c>
      <c r="EJ59" s="28" t="n">
        <f aca="false">Costos_Personal!EJ$151</f>
        <v>0</v>
      </c>
      <c r="EK59" s="28" t="n">
        <f aca="false">Costos_Personal!EK$151</f>
        <v>0</v>
      </c>
      <c r="EL59" s="28" t="n">
        <f aca="false">Costos_Personal!EL$151</f>
        <v>0</v>
      </c>
      <c r="EM59" s="28" t="n">
        <f aca="false">Costos_Personal!EM$151</f>
        <v>0</v>
      </c>
      <c r="EN59" s="28" t="n">
        <f aca="false">Costos_Personal!EN$151</f>
        <v>0</v>
      </c>
      <c r="EO59" s="28" t="n">
        <f aca="false">Costos_Personal!EO$151</f>
        <v>0</v>
      </c>
      <c r="EP59" s="28" t="n">
        <f aca="false">Costos_Personal!EP$151</f>
        <v>0</v>
      </c>
      <c r="EQ59" s="28" t="n">
        <f aca="false">Costos_Personal!EQ$151</f>
        <v>0</v>
      </c>
      <c r="ER59" s="28" t="n">
        <f aca="false">Costos_Personal!ER$151</f>
        <v>0</v>
      </c>
      <c r="ES59" s="28" t="n">
        <f aca="false">Costos_Personal!ES$151</f>
        <v>0</v>
      </c>
      <c r="ET59" s="28" t="n">
        <f aca="false">Costos_Personal!ET$151</f>
        <v>0</v>
      </c>
      <c r="EU59" s="28" t="n">
        <f aca="false">Costos_Personal!EU$151</f>
        <v>0</v>
      </c>
      <c r="EV59" s="28" t="n">
        <f aca="false">Costos_Personal!EV$151</f>
        <v>0</v>
      </c>
      <c r="EW59" s="28" t="n">
        <f aca="false">Costos_Personal!EW$151</f>
        <v>0</v>
      </c>
      <c r="EX59" s="28" t="n">
        <f aca="false">Costos_Personal!EX$151</f>
        <v>0</v>
      </c>
      <c r="EY59" s="28" t="n">
        <f aca="false">Costos_Personal!EY$151</f>
        <v>0</v>
      </c>
      <c r="EZ59" s="28" t="n">
        <f aca="false">Costos_Personal!EZ$151</f>
        <v>0</v>
      </c>
      <c r="FA59" s="28" t="n">
        <f aca="false">Costos_Personal!FA$151</f>
        <v>0</v>
      </c>
      <c r="FB59" s="28" t="n">
        <f aca="false">Costos_Personal!FB$151</f>
        <v>0</v>
      </c>
      <c r="FC59" s="28" t="n">
        <f aca="false">Costos_Personal!FC$151</f>
        <v>0</v>
      </c>
      <c r="FD59" s="28" t="n">
        <f aca="false">Costos_Personal!FD$151</f>
        <v>0</v>
      </c>
      <c r="FE59" s="28" t="n">
        <f aca="false">Costos_Personal!FE$151</f>
        <v>0</v>
      </c>
      <c r="FF59" s="28" t="n">
        <f aca="false">Costos_Personal!FF$151</f>
        <v>0</v>
      </c>
    </row>
    <row r="60" customFormat="false" ht="15" hidden="false" customHeight="false" outlineLevel="0" collapsed="false">
      <c r="A60" s="2" t="s">
        <v>1531</v>
      </c>
      <c r="B60" s="66" t="s">
        <v>1532</v>
      </c>
      <c r="C60" s="8" t="s">
        <v>255</v>
      </c>
      <c r="E60" s="67" t="n">
        <f aca="false">SUM($F60:$FF60)</f>
        <v>12573495.6982118</v>
      </c>
      <c r="F60" s="12" t="n">
        <f aca="false">F$57-F$58-F$59</f>
        <v>-1719186.38219178</v>
      </c>
      <c r="G60" s="12" t="n">
        <f aca="false">G$57-G$58-G$59</f>
        <v>-331363.799676447</v>
      </c>
      <c r="H60" s="12" t="n">
        <f aca="false">H$57-H$58-H$59</f>
        <v>-366533.336416692</v>
      </c>
      <c r="I60" s="12" t="n">
        <f aca="false">I$57-I$58-I$59</f>
        <v>-361669.166496632</v>
      </c>
      <c r="J60" s="12" t="n">
        <f aca="false">J$57-J$58-J$59</f>
        <v>-339523.04777517</v>
      </c>
      <c r="K60" s="12" t="n">
        <f aca="false">K$57-K$58-K$59</f>
        <v>42497.500170035</v>
      </c>
      <c r="L60" s="12" t="n">
        <f aca="false">L$57-L$58-L$59</f>
        <v>42497.500170035</v>
      </c>
      <c r="M60" s="12" t="n">
        <f aca="false">M$57-M$58-M$59</f>
        <v>42497.500170035</v>
      </c>
      <c r="N60" s="12" t="n">
        <f aca="false">N$57-N$58-N$59</f>
        <v>22160.2234201756</v>
      </c>
      <c r="O60" s="12" t="n">
        <f aca="false">O$57-O$58-O$59</f>
        <v>-22087.5569328455</v>
      </c>
      <c r="P60" s="12" t="n">
        <f aca="false">P$57-P$58-P$59</f>
        <v>-24584.2994132981</v>
      </c>
      <c r="Q60" s="12" t="n">
        <f aca="false">Q$57-Q$58-Q$59</f>
        <v>-24584.2994132986</v>
      </c>
      <c r="R60" s="12" t="n">
        <f aca="false">R$57-R$58-R$59</f>
        <v>-24602.0571104275</v>
      </c>
      <c r="S60" s="12" t="n">
        <f aca="false">S$57-S$58-S$59</f>
        <v>-125943.026637402</v>
      </c>
      <c r="T60" s="12" t="n">
        <f aca="false">T$57-T$58-T$59</f>
        <v>-30436.9306632983</v>
      </c>
      <c r="U60" s="12" t="n">
        <f aca="false">U$57-U$58-U$59</f>
        <v>-30436.9306632983</v>
      </c>
      <c r="V60" s="12" t="n">
        <f aca="false">V$57-V$58-V$59</f>
        <v>-24358.3918505129</v>
      </c>
      <c r="W60" s="12" t="n">
        <f aca="false">W$57-W$58-W$59</f>
        <v>80496.4026700351</v>
      </c>
      <c r="X60" s="12" t="n">
        <f aca="false">X$57-X$58-X$59</f>
        <v>80496.4026700351</v>
      </c>
      <c r="Y60" s="12" t="n">
        <f aca="false">Y$57-Y$58-Y$59</f>
        <v>80496.4026700351</v>
      </c>
      <c r="Z60" s="12" t="n">
        <f aca="false">Z$57-Z$58-Z$59</f>
        <v>60053.4611406675</v>
      </c>
      <c r="AA60" s="12" t="n">
        <f aca="false">AA$57-AA$58-AA$59</f>
        <v>15243.7433494028</v>
      </c>
      <c r="AB60" s="12" t="n">
        <f aca="false">AB$57-AB$58-AB$59</f>
        <v>12714.7798867018</v>
      </c>
      <c r="AC60" s="12" t="n">
        <f aca="false">AC$57-AC$58-AC$59</f>
        <v>12714.779886702</v>
      </c>
      <c r="AD60" s="12" t="n">
        <f aca="false">AD$57-AD$58-AD$59</f>
        <v>12696.9300098013</v>
      </c>
      <c r="AE60" s="12" t="n">
        <f aca="false">AE$57-AE$58-AE$59</f>
        <v>7870.53426131339</v>
      </c>
      <c r="AF60" s="12" t="n">
        <f aca="false">AF$57-AF$58-AF$59</f>
        <v>3974.4869708867</v>
      </c>
      <c r="AG60" s="12" t="n">
        <f aca="false">AG$57-AG$58-AG$59</f>
        <v>3974.4869708867</v>
      </c>
      <c r="AH60" s="12" t="n">
        <f aca="false">AH$57-AH$58-AH$59</f>
        <v>10172.3819480557</v>
      </c>
      <c r="AI60" s="12" t="n">
        <f aca="false">AI$57-AI$58-AI$59</f>
        <v>117086.07030422</v>
      </c>
      <c r="AJ60" s="12" t="n">
        <f aca="false">AJ$57-AJ$58-AJ$59</f>
        <v>117086.07030422</v>
      </c>
      <c r="AK60" s="12" t="n">
        <f aca="false">AK$57-AK$58-AK$59</f>
        <v>117086.07030422</v>
      </c>
      <c r="AL60" s="12" t="n">
        <f aca="false">AL$57-AL$58-AL$59</f>
        <v>100553.463106115</v>
      </c>
      <c r="AM60" s="12" t="n">
        <f aca="false">AM$57-AM$58-AM$59</f>
        <v>63668.6298220286</v>
      </c>
      <c r="AN60" s="12" t="n">
        <f aca="false">AN$57-AN$58-AN$59</f>
        <v>61585.9387337617</v>
      </c>
      <c r="AO60" s="12" t="n">
        <f aca="false">AO$57-AO$58-AO$59</f>
        <v>61585.9387337617</v>
      </c>
      <c r="AP60" s="12" t="n">
        <f aca="false">AP$57-AP$58-AP$59</f>
        <v>61571.5032851932</v>
      </c>
      <c r="AQ60" s="12" t="n">
        <f aca="false">AQ$57-AQ$58-AQ$59</f>
        <v>57709.2267901748</v>
      </c>
      <c r="AR60" s="12" t="n">
        <f aca="false">AR$57-AR$58-AR$59</f>
        <v>54321.8504923401</v>
      </c>
      <c r="AS60" s="12" t="n">
        <f aca="false">AS$57-AS$58-AS$59</f>
        <v>54321.8504923401</v>
      </c>
      <c r="AT60" s="12" t="n">
        <f aca="false">AT$57-AT$58-AT$59</f>
        <v>59558.8296247602</v>
      </c>
      <c r="AU60" s="12" t="n">
        <f aca="false">AU$57-AU$58-AU$59</f>
        <v>149896.719659007</v>
      </c>
      <c r="AV60" s="12" t="n">
        <f aca="false">AV$57-AV$58-AV$59</f>
        <v>149896.719659007</v>
      </c>
      <c r="AW60" s="12" t="n">
        <f aca="false">AW$57-AW$58-AW$59</f>
        <v>149896.719659007</v>
      </c>
      <c r="AX60" s="12" t="n">
        <f aca="false">AX$57-AX$58-AX$59</f>
        <v>149896.719659007</v>
      </c>
      <c r="AY60" s="12" t="n">
        <f aca="false">AY$57-AY$58-AY$59</f>
        <v>147702.647933437</v>
      </c>
      <c r="AZ60" s="12" t="n">
        <f aca="false">AZ$57-AZ$58-AZ$59</f>
        <v>147575.455369636</v>
      </c>
      <c r="BA60" s="12" t="n">
        <f aca="false">BA$57-BA$58-BA$59</f>
        <v>147575.455369636</v>
      </c>
      <c r="BB60" s="12" t="n">
        <f aca="false">BB$57-BB$58-BB$59</f>
        <v>147575.455369636</v>
      </c>
      <c r="BC60" s="12" t="n">
        <f aca="false">BC$57-BC$58-BC$59</f>
        <v>144169.92519086</v>
      </c>
      <c r="BD60" s="12" t="n">
        <f aca="false">BD$57-BD$58-BD$59</f>
        <v>143981.622347519</v>
      </c>
      <c r="BE60" s="12" t="n">
        <f aca="false">BE$57-BE$58-BE$59</f>
        <v>143981.622347519</v>
      </c>
      <c r="BF60" s="12" t="n">
        <f aca="false">BF$57-BF$58-BF$59</f>
        <v>144378.217663957</v>
      </c>
      <c r="BG60" s="12" t="n">
        <f aca="false">BG$57-BG$58-BG$59</f>
        <v>151219.486872519</v>
      </c>
      <c r="BH60" s="12" t="n">
        <f aca="false">BH$57-BH$58-BH$59</f>
        <v>151219.486872519</v>
      </c>
      <c r="BI60" s="12" t="n">
        <f aca="false">BI$57-BI$58-BI$59</f>
        <v>151219.486872519</v>
      </c>
      <c r="BJ60" s="12" t="n">
        <f aca="false">BJ$57-BJ$58-BJ$59</f>
        <v>151219.486872519</v>
      </c>
      <c r="BK60" s="12" t="n">
        <f aca="false">BK$57-BK$58-BK$59</f>
        <v>149003.474429693</v>
      </c>
      <c r="BL60" s="12" t="n">
        <f aca="false">BL$57-BL$58-BL$59</f>
        <v>148875.009940253</v>
      </c>
      <c r="BM60" s="12" t="n">
        <f aca="false">BM$57-BM$58-BM$59</f>
        <v>148875.009940254</v>
      </c>
      <c r="BN60" s="12" t="n">
        <f aca="false">BN$57-BN$58-BN$59</f>
        <v>148875.009940254</v>
      </c>
      <c r="BO60" s="12" t="n">
        <f aca="false">BO$57-BO$58-BO$59</f>
        <v>148863.034547443</v>
      </c>
      <c r="BP60" s="12" t="n">
        <f aca="false">BP$57-BP$58-BP$59</f>
        <v>148000.806265057</v>
      </c>
      <c r="BQ60" s="12" t="n">
        <f aca="false">BQ$57-BQ$58-BQ$59</f>
        <v>148000.806265057</v>
      </c>
      <c r="BR60" s="12" t="n">
        <f aca="false">BR$57-BR$58-BR$59</f>
        <v>148401.36753466</v>
      </c>
      <c r="BS60" s="12" t="n">
        <f aca="false">BS$57-BS$58-BS$59</f>
        <v>155311.049435307</v>
      </c>
      <c r="BT60" s="12" t="n">
        <f aca="false">BT$57-BT$58-BT$59</f>
        <v>155311.049435307</v>
      </c>
      <c r="BU60" s="12" t="n">
        <f aca="false">BU$57-BU$58-BU$59</f>
        <v>155311.049435307</v>
      </c>
      <c r="BV60" s="12" t="n">
        <f aca="false">BV$57-BV$58-BV$59</f>
        <v>155311.049435307</v>
      </c>
      <c r="BW60" s="12" t="n">
        <f aca="false">BW$57-BW$58-BW$59</f>
        <v>153072.876868053</v>
      </c>
      <c r="BX60" s="12" t="n">
        <f aca="false">BX$57-BX$58-BX$59</f>
        <v>152943.12773372</v>
      </c>
      <c r="BY60" s="12" t="n">
        <f aca="false">BY$57-BY$58-BY$59</f>
        <v>152943.12773372</v>
      </c>
      <c r="BZ60" s="12" t="n">
        <f aca="false">BZ$57-BZ$58-BZ$59</f>
        <v>152943.12773372</v>
      </c>
      <c r="CA60" s="12" t="n">
        <f aca="false">CA$57-CA$58-CA$59</f>
        <v>152930.875239547</v>
      </c>
      <c r="CB60" s="12" t="n">
        <f aca="false">CB$57-CB$58-CB$59</f>
        <v>152048.695659092</v>
      </c>
      <c r="CC60" s="12" t="n">
        <f aca="false">CC$57-CC$58-CC$59</f>
        <v>152048.695659092</v>
      </c>
      <c r="CD60" s="12" t="n">
        <f aca="false">CD$57-CD$58-CD$59</f>
        <v>152453.262541391</v>
      </c>
      <c r="CE60" s="12" t="n">
        <f aca="false">CE$57-CE$58-CE$59</f>
        <v>159432.041261044</v>
      </c>
      <c r="CF60" s="12" t="n">
        <f aca="false">CF$57-CF$58-CF$59</f>
        <v>159432.041261044</v>
      </c>
      <c r="CG60" s="12" t="n">
        <f aca="false">CG$57-CG$58-CG$59</f>
        <v>159432.041261044</v>
      </c>
      <c r="CH60" s="12" t="n">
        <f aca="false">CH$57-CH$58-CH$59</f>
        <v>159432.041261044</v>
      </c>
      <c r="CI60" s="12" t="n">
        <f aca="false">CI$57-CI$58-CI$59</f>
        <v>157171.486968118</v>
      </c>
      <c r="CJ60" s="12" t="n">
        <f aca="false">CJ$57-CJ$58-CJ$59</f>
        <v>157040.440342441</v>
      </c>
      <c r="CK60" s="12" t="n">
        <f aca="false">CK$57-CK$58-CK$59</f>
        <v>157040.440342441</v>
      </c>
      <c r="CL60" s="12" t="n">
        <f aca="false">CL$57-CL$58-CL$59</f>
        <v>157040.440342441</v>
      </c>
      <c r="CM60" s="12" t="n">
        <f aca="false">CM$57-CM$58-CM$59</f>
        <v>157027.903041816</v>
      </c>
      <c r="CN60" s="12" t="n">
        <f aca="false">CN$57-CN$58-CN$59</f>
        <v>156125.217396807</v>
      </c>
      <c r="CO60" s="12" t="n">
        <f aca="false">CO$57-CO$58-CO$59</f>
        <v>156125.217396807</v>
      </c>
      <c r="CP60" s="12" t="n">
        <f aca="false">CP$57-CP$58-CP$59</f>
        <v>156533.829947928</v>
      </c>
      <c r="CQ60" s="12" t="n">
        <f aca="false">CQ$57-CQ$58-CQ$59</f>
        <v>163582.396454778</v>
      </c>
      <c r="CR60" s="12" t="n">
        <f aca="false">CR$57-CR$58-CR$59</f>
        <v>163582.396454778</v>
      </c>
      <c r="CS60" s="12" t="n">
        <f aca="false">CS$57-CS$58-CS$59</f>
        <v>163582.396454778</v>
      </c>
      <c r="CT60" s="12" t="n">
        <f aca="false">CT$57-CT$58-CT$59</f>
        <v>163582.396454778</v>
      </c>
      <c r="CU60" s="12" t="n">
        <f aca="false">CU$57-CU$58-CU$59</f>
        <v>161299.236618923</v>
      </c>
      <c r="CV60" s="12" t="n">
        <f aca="false">CV$57-CV$58-CV$59</f>
        <v>161166.879526989</v>
      </c>
      <c r="CW60" s="12" t="n">
        <f aca="false">CW$57-CW$58-CW$59</f>
        <v>161166.879526989</v>
      </c>
      <c r="CX60" s="12" t="n">
        <f aca="false">CX$57-CX$58-CX$59</f>
        <v>161166.879526989</v>
      </c>
      <c r="CY60" s="12" t="n">
        <f aca="false">CY$57-CY$58-CY$59</f>
        <v>161154.049489748</v>
      </c>
      <c r="CZ60" s="12" t="n">
        <f aca="false">CZ$57-CZ$58-CZ$59</f>
        <v>160230.28680843</v>
      </c>
      <c r="DA60" s="12" t="n">
        <f aca="false">DA$57-DA$58-DA$59</f>
        <v>160230.28680843</v>
      </c>
      <c r="DB60" s="12" t="n">
        <f aca="false">DB$57-DB$58-DB$59</f>
        <v>160642.985485063</v>
      </c>
      <c r="DC60" s="12" t="n">
        <f aca="false">DC$57-DC$58-DC$59</f>
        <v>167762.037656982</v>
      </c>
      <c r="DD60" s="12" t="n">
        <f aca="false">DD$57-DD$58-DD$59</f>
        <v>167762.037656982</v>
      </c>
      <c r="DE60" s="12" t="n">
        <f aca="false">DE$57-DE$58-DE$59</f>
        <v>167762.037656982</v>
      </c>
      <c r="DF60" s="12" t="n">
        <f aca="false">DF$57-DF$58-DF$59</f>
        <v>167762.037656982</v>
      </c>
      <c r="DG60" s="12" t="n">
        <f aca="false">DG$57-DG$58-DG$59</f>
        <v>165456.046222767</v>
      </c>
      <c r="DH60" s="12" t="n">
        <f aca="false">DH$57-DH$58-DH$59</f>
        <v>165322.365559915</v>
      </c>
      <c r="DI60" s="12" t="n">
        <f aca="false">DI$57-DI$58-DI$59</f>
        <v>165322.365559915</v>
      </c>
      <c r="DJ60" s="12" t="n">
        <f aca="false">DJ$57-DJ$58-DJ$59</f>
        <v>165322.365559915</v>
      </c>
      <c r="DK60" s="12" t="n">
        <f aca="false">DK$57-DK$58-DK$59</f>
        <v>165309.234624131</v>
      </c>
      <c r="DL60" s="12" t="n">
        <f aca="false">DL$57-DL$58-DL$59</f>
        <v>164363.807247698</v>
      </c>
      <c r="DM60" s="12" t="n">
        <f aca="false">DM$57-DM$58-DM$59</f>
        <v>164363.807247698</v>
      </c>
      <c r="DN60" s="12" t="n">
        <f aca="false">DN$57-DN$58-DN$59</f>
        <v>164780.632911098</v>
      </c>
      <c r="DO60" s="12" t="n">
        <f aca="false">DO$57-DO$58-DO$59</f>
        <v>171970.875604736</v>
      </c>
      <c r="DP60" s="12" t="n">
        <f aca="false">DP$57-DP$58-DP$59</f>
        <v>171970.875604736</v>
      </c>
      <c r="DQ60" s="12" t="n">
        <f aca="false">DQ$57-DQ$58-DQ$59</f>
        <v>171970.875604736</v>
      </c>
      <c r="DR60" s="12" t="n">
        <f aca="false">DR$57-DR$58-DR$59</f>
        <v>312936.287702147</v>
      </c>
      <c r="DS60" s="12" t="n">
        <f aca="false">DS$57-DS$58-DS$59</f>
        <v>608912.57868204</v>
      </c>
      <c r="DT60" s="12" t="n">
        <f aca="false">DT$57-DT$58-DT$59</f>
        <v>625596.890741878</v>
      </c>
      <c r="DU60" s="12" t="n">
        <f aca="false">DU$57-DU$58-DU$59</f>
        <v>625596.890741878</v>
      </c>
      <c r="DV60" s="12" t="n">
        <f aca="false">DV$57-DV$58-DV$59</f>
        <v>625719.9709276</v>
      </c>
      <c r="DW60" s="12" t="n">
        <f aca="false">DW$57-DW$58-DW$59</f>
        <v>0</v>
      </c>
      <c r="DX60" s="12" t="n">
        <f aca="false">DX$57-DX$58-DX$59</f>
        <v>0</v>
      </c>
      <c r="DY60" s="12" t="n">
        <f aca="false">DY$57-DY$58-DY$59</f>
        <v>0</v>
      </c>
      <c r="DZ60" s="12" t="n">
        <f aca="false">DZ$57-DZ$58-DZ$59</f>
        <v>0</v>
      </c>
      <c r="EA60" s="12" t="n">
        <f aca="false">EA$57-EA$58-EA$59</f>
        <v>0</v>
      </c>
      <c r="EB60" s="12" t="n">
        <f aca="false">EB$57-EB$58-EB$59</f>
        <v>0</v>
      </c>
      <c r="EC60" s="12" t="n">
        <f aca="false">EC$57-EC$58-EC$59</f>
        <v>0</v>
      </c>
      <c r="ED60" s="12" t="n">
        <f aca="false">ED$57-ED$58-ED$59</f>
        <v>0</v>
      </c>
      <c r="EE60" s="12" t="n">
        <f aca="false">EE$57-EE$58-EE$59</f>
        <v>0</v>
      </c>
      <c r="EF60" s="12" t="n">
        <f aca="false">EF$57-EF$58-EF$59</f>
        <v>0</v>
      </c>
      <c r="EG60" s="12" t="n">
        <f aca="false">EG$57-EG$58-EG$59</f>
        <v>0</v>
      </c>
      <c r="EH60" s="12" t="n">
        <f aca="false">EH$57-EH$58-EH$59</f>
        <v>0</v>
      </c>
      <c r="EI60" s="12" t="n">
        <f aca="false">EI$57-EI$58-EI$59</f>
        <v>0</v>
      </c>
      <c r="EJ60" s="12" t="n">
        <f aca="false">EJ$57-EJ$58-EJ$59</f>
        <v>0</v>
      </c>
      <c r="EK60" s="12" t="n">
        <f aca="false">EK$57-EK$58-EK$59</f>
        <v>0</v>
      </c>
      <c r="EL60" s="12" t="n">
        <f aca="false">EL$57-EL$58-EL$59</f>
        <v>0</v>
      </c>
      <c r="EM60" s="12" t="n">
        <f aca="false">EM$57-EM$58-EM$59</f>
        <v>0</v>
      </c>
      <c r="EN60" s="12" t="n">
        <f aca="false">EN$57-EN$58-EN$59</f>
        <v>0</v>
      </c>
      <c r="EO60" s="12" t="n">
        <f aca="false">EO$57-EO$58-EO$59</f>
        <v>0</v>
      </c>
      <c r="EP60" s="12" t="n">
        <f aca="false">EP$57-EP$58-EP$59</f>
        <v>0</v>
      </c>
      <c r="EQ60" s="12" t="n">
        <f aca="false">EQ$57-EQ$58-EQ$59</f>
        <v>0</v>
      </c>
      <c r="ER60" s="12" t="n">
        <f aca="false">ER$57-ER$58-ER$59</f>
        <v>0</v>
      </c>
      <c r="ES60" s="12" t="n">
        <f aca="false">ES$57-ES$58-ES$59</f>
        <v>0</v>
      </c>
      <c r="ET60" s="12" t="n">
        <f aca="false">ET$57-ET$58-ET$59</f>
        <v>0</v>
      </c>
      <c r="EU60" s="12" t="n">
        <f aca="false">EU$57-EU$58-EU$59</f>
        <v>0</v>
      </c>
      <c r="EV60" s="12" t="n">
        <f aca="false">EV$57-EV$58-EV$59</f>
        <v>0</v>
      </c>
      <c r="EW60" s="12" t="n">
        <f aca="false">EW$57-EW$58-EW$59</f>
        <v>0</v>
      </c>
      <c r="EX60" s="12" t="n">
        <f aca="false">EX$57-EX$58-EX$59</f>
        <v>0</v>
      </c>
      <c r="EY60" s="12" t="n">
        <f aca="false">EY$57-EY$58-EY$59</f>
        <v>0</v>
      </c>
      <c r="EZ60" s="12" t="n">
        <f aca="false">EZ$57-EZ$58-EZ$59</f>
        <v>0</v>
      </c>
      <c r="FA60" s="12" t="n">
        <f aca="false">FA$57-FA$58-FA$59</f>
        <v>0</v>
      </c>
      <c r="FB60" s="12" t="n">
        <f aca="false">FB$57-FB$58-FB$59</f>
        <v>0</v>
      </c>
      <c r="FC60" s="12" t="n">
        <f aca="false">FC$57-FC$58-FC$59</f>
        <v>0</v>
      </c>
      <c r="FD60" s="12" t="n">
        <f aca="false">FD$57-FD$58-FD$59</f>
        <v>0</v>
      </c>
      <c r="FE60" s="12" t="n">
        <f aca="false">FE$57-FE$58-FE$59</f>
        <v>0</v>
      </c>
      <c r="FF60" s="12" t="n">
        <f aca="false">FF$57-FF$58-FF$59</f>
        <v>0</v>
      </c>
    </row>
    <row r="61" customFormat="false" ht="15" hidden="false" customHeight="false" outlineLevel="0" collapsed="false">
      <c r="A61" s="2" t="s">
        <v>1533</v>
      </c>
      <c r="B61" s="8" t="s">
        <v>1534</v>
      </c>
      <c r="C61" s="8" t="s">
        <v>255</v>
      </c>
      <c r="E61" s="65" t="n">
        <f aca="false">SUM($F61:$FF61)</f>
        <v>2999560.06122588</v>
      </c>
      <c r="F61" s="13" t="n">
        <f aca="false">IF(Calendario!F$15=1,F$112,0)</f>
        <v>0</v>
      </c>
      <c r="G61" s="13" t="n">
        <f aca="false">IF(Calendario!G$15=1,G$112,0)</f>
        <v>0</v>
      </c>
      <c r="H61" s="13" t="n">
        <f aca="false">IF(Calendario!H$15=1,H$112,0)</f>
        <v>0</v>
      </c>
      <c r="I61" s="13" t="n">
        <f aca="false">IF(Calendario!I$15=1,I$112,0)</f>
        <v>0</v>
      </c>
      <c r="J61" s="13" t="n">
        <f aca="false">IF(Calendario!J$15=1,J$112,0)</f>
        <v>0</v>
      </c>
      <c r="K61" s="13" t="n">
        <f aca="false">IF(Calendario!K$15=1,K$112,0)</f>
        <v>0</v>
      </c>
      <c r="L61" s="13" t="n">
        <f aca="false">IF(Calendario!L$15=1,L$112,0)</f>
        <v>0</v>
      </c>
      <c r="M61" s="13" t="n">
        <f aca="false">IF(Calendario!M$15=1,M$112,0)</f>
        <v>0</v>
      </c>
      <c r="N61" s="13" t="n">
        <f aca="false">IF(Calendario!N$15=1,N$112,0)</f>
        <v>0</v>
      </c>
      <c r="O61" s="13" t="n">
        <f aca="false">IF(Calendario!O$15=1,O$112,0)</f>
        <v>0</v>
      </c>
      <c r="P61" s="13" t="n">
        <f aca="false">IF(Calendario!P$15=1,P$112,0)</f>
        <v>0</v>
      </c>
      <c r="Q61" s="13" t="n">
        <f aca="false">IF(Calendario!Q$15=1,Q$112,0)</f>
        <v>0</v>
      </c>
      <c r="R61" s="13" t="n">
        <f aca="false">IF(Calendario!R$15=1,R$112,0)</f>
        <v>0</v>
      </c>
      <c r="S61" s="13" t="n">
        <f aca="false">IF(Calendario!S$15=1,S$112,0)</f>
        <v>0</v>
      </c>
      <c r="T61" s="13" t="n">
        <f aca="false">IF(Calendario!T$15=1,T$112,0)</f>
        <v>0</v>
      </c>
      <c r="U61" s="13" t="n">
        <f aca="false">IF(Calendario!U$15=1,U$112,0)</f>
        <v>0</v>
      </c>
      <c r="V61" s="13" t="n">
        <f aca="false">IF(Calendario!V$15=1,V$112,0)</f>
        <v>0</v>
      </c>
      <c r="W61" s="13" t="n">
        <f aca="false">IF(Calendario!W$15=1,W$112,0)</f>
        <v>0</v>
      </c>
      <c r="X61" s="13" t="n">
        <f aca="false">IF(Calendario!X$15=1,X$112,0)</f>
        <v>0</v>
      </c>
      <c r="Y61" s="13" t="n">
        <f aca="false">IF(Calendario!Y$15=1,Y$112,0)</f>
        <v>0</v>
      </c>
      <c r="Z61" s="13" t="n">
        <f aca="false">IF(Calendario!Z$15=1,Z$112,0)</f>
        <v>0</v>
      </c>
      <c r="AA61" s="13" t="n">
        <f aca="false">IF(Calendario!AA$15=1,AA$112,0)</f>
        <v>0</v>
      </c>
      <c r="AB61" s="13" t="n">
        <f aca="false">IF(Calendario!AB$15=1,AB$112,0)</f>
        <v>0</v>
      </c>
      <c r="AC61" s="13" t="n">
        <f aca="false">IF(Calendario!AC$15=1,AC$112,0)</f>
        <v>0</v>
      </c>
      <c r="AD61" s="13" t="n">
        <f aca="false">IF(Calendario!AD$15=1,AD$112,0)</f>
        <v>0</v>
      </c>
      <c r="AE61" s="13" t="n">
        <f aca="false">IF(Calendario!AE$15=1,AE$112,0)</f>
        <v>0</v>
      </c>
      <c r="AF61" s="13" t="n">
        <f aca="false">IF(Calendario!AF$15=1,AF$112,0)</f>
        <v>0</v>
      </c>
      <c r="AG61" s="13" t="n">
        <f aca="false">IF(Calendario!AG$15=1,AG$112,0)</f>
        <v>0</v>
      </c>
      <c r="AH61" s="13" t="n">
        <f aca="false">IF(Calendario!AH$15=1,AH$112,0)</f>
        <v>0</v>
      </c>
      <c r="AI61" s="13" t="n">
        <f aca="false">IF(Calendario!AI$15=1,AI$112,0)</f>
        <v>0</v>
      </c>
      <c r="AJ61" s="13" t="n">
        <f aca="false">IF(Calendario!AJ$15=1,AJ$112,0)</f>
        <v>0</v>
      </c>
      <c r="AK61" s="13" t="n">
        <f aca="false">IF(Calendario!AK$15=1,AK$112,0)</f>
        <v>0</v>
      </c>
      <c r="AL61" s="13" t="n">
        <f aca="false">IF(Calendario!AL$15=1,AL$112,0)</f>
        <v>0</v>
      </c>
      <c r="AM61" s="13" t="n">
        <f aca="false">IF(Calendario!AM$15=1,AM$112,0)</f>
        <v>0</v>
      </c>
      <c r="AN61" s="13" t="n">
        <f aca="false">IF(Calendario!AN$15=1,AN$112,0)</f>
        <v>0</v>
      </c>
      <c r="AO61" s="13" t="n">
        <f aca="false">IF(Calendario!AO$15=1,AO$112,0)</f>
        <v>0</v>
      </c>
      <c r="AP61" s="13" t="n">
        <f aca="false">IF(Calendario!AP$15=1,AP$112,0)</f>
        <v>0</v>
      </c>
      <c r="AQ61" s="13" t="n">
        <f aca="false">IF(Calendario!AQ$15=1,AQ$112,0)</f>
        <v>0</v>
      </c>
      <c r="AR61" s="13" t="n">
        <f aca="false">IF(Calendario!AR$15=1,AR$112,0)</f>
        <v>0</v>
      </c>
      <c r="AS61" s="13" t="n">
        <f aca="false">IF(Calendario!AS$15=1,AS$112,0)</f>
        <v>0</v>
      </c>
      <c r="AT61" s="13" t="n">
        <f aca="false">IF(Calendario!AT$15=1,AT$112,0)</f>
        <v>0</v>
      </c>
      <c r="AU61" s="13" t="n">
        <f aca="false">IF(Calendario!AU$15=1,AU$112,0)</f>
        <v>0</v>
      </c>
      <c r="AV61" s="13" t="n">
        <f aca="false">IF(Calendario!AV$15=1,AV$112,0)</f>
        <v>0</v>
      </c>
      <c r="AW61" s="13" t="n">
        <f aca="false">IF(Calendario!AW$15=1,AW$112,0)</f>
        <v>0</v>
      </c>
      <c r="AX61" s="13" t="n">
        <f aca="false">IF(Calendario!AX$15=1,AX$112,0)</f>
        <v>0</v>
      </c>
      <c r="AY61" s="13" t="n">
        <f aca="false">IF(Calendario!AY$15=1,AY$112,0)</f>
        <v>0</v>
      </c>
      <c r="AZ61" s="13" t="n">
        <f aca="false">IF(Calendario!AZ$15=1,AZ$112,0)</f>
        <v>0</v>
      </c>
      <c r="BA61" s="13" t="n">
        <f aca="false">IF(Calendario!BA$15=1,BA$112,0)</f>
        <v>0</v>
      </c>
      <c r="BB61" s="13" t="n">
        <f aca="false">IF(Calendario!BB$15=1,BB$112,0)</f>
        <v>0</v>
      </c>
      <c r="BC61" s="13" t="n">
        <f aca="false">IF(Calendario!BC$15=1,BC$112,0)</f>
        <v>0</v>
      </c>
      <c r="BD61" s="13" t="n">
        <f aca="false">IF(Calendario!BD$15=1,BD$112,0)</f>
        <v>0</v>
      </c>
      <c r="BE61" s="13" t="n">
        <f aca="false">IF(Calendario!BE$15=1,BE$112,0)</f>
        <v>0</v>
      </c>
      <c r="BF61" s="13" t="n">
        <f aca="false">IF(Calendario!BF$15=1,BF$112,0)</f>
        <v>0</v>
      </c>
      <c r="BG61" s="13" t="n">
        <f aca="false">IF(Calendario!BG$15=1,BG$112,0)</f>
        <v>0</v>
      </c>
      <c r="BH61" s="13" t="n">
        <f aca="false">IF(Calendario!BH$15=1,BH$112,0)</f>
        <v>0</v>
      </c>
      <c r="BI61" s="13" t="n">
        <f aca="false">IF(Calendario!BI$15=1,BI$112,0)</f>
        <v>0</v>
      </c>
      <c r="BJ61" s="13" t="n">
        <f aca="false">IF(Calendario!BJ$15=1,BJ$112,0)</f>
        <v>0</v>
      </c>
      <c r="BK61" s="13" t="n">
        <f aca="false">IF(Calendario!BK$15=1,BK$112,0)</f>
        <v>0</v>
      </c>
      <c r="BL61" s="13" t="n">
        <f aca="false">IF(Calendario!BL$15=1,BL$112,0)</f>
        <v>0</v>
      </c>
      <c r="BM61" s="13" t="n">
        <f aca="false">IF(Calendario!BM$15=1,BM$112,0)</f>
        <v>0</v>
      </c>
      <c r="BN61" s="13" t="n">
        <f aca="false">IF(Calendario!BN$15=1,BN$112,0)</f>
        <v>0</v>
      </c>
      <c r="BO61" s="13" t="n">
        <f aca="false">IF(Calendario!BO$15=1,BO$112,0)</f>
        <v>0</v>
      </c>
      <c r="BP61" s="13" t="n">
        <f aca="false">IF(Calendario!BP$15=1,BP$112,0)</f>
        <v>0</v>
      </c>
      <c r="BQ61" s="13" t="n">
        <f aca="false">IF(Calendario!BQ$15=1,BQ$112,0)</f>
        <v>0</v>
      </c>
      <c r="BR61" s="13" t="n">
        <f aca="false">IF(Calendario!BR$15=1,BR$112,0)</f>
        <v>0</v>
      </c>
      <c r="BS61" s="13" t="n">
        <f aca="false">IF(Calendario!BS$15=1,BS$112,0)</f>
        <v>0</v>
      </c>
      <c r="BT61" s="13" t="n">
        <f aca="false">IF(Calendario!BT$15=1,BT$112,0)</f>
        <v>0</v>
      </c>
      <c r="BU61" s="13" t="n">
        <f aca="false">IF(Calendario!BU$15=1,BU$112,0)</f>
        <v>0</v>
      </c>
      <c r="BV61" s="13" t="n">
        <f aca="false">IF(Calendario!BV$15=1,BV$112,0)</f>
        <v>0</v>
      </c>
      <c r="BW61" s="13" t="n">
        <f aca="false">IF(Calendario!BW$15=1,BW$112,0)</f>
        <v>0</v>
      </c>
      <c r="BX61" s="13" t="n">
        <f aca="false">IF(Calendario!BX$15=1,BX$112,0)</f>
        <v>0</v>
      </c>
      <c r="BY61" s="13" t="n">
        <f aca="false">IF(Calendario!BY$15=1,BY$112,0)</f>
        <v>0</v>
      </c>
      <c r="BZ61" s="13" t="n">
        <f aca="false">IF(Calendario!BZ$15=1,BZ$112,0)</f>
        <v>0</v>
      </c>
      <c r="CA61" s="13" t="n">
        <f aca="false">IF(Calendario!CA$15=1,CA$112,0)</f>
        <v>0</v>
      </c>
      <c r="CB61" s="13" t="n">
        <f aca="false">IF(Calendario!CB$15=1,CB$112,0)</f>
        <v>0</v>
      </c>
      <c r="CC61" s="13" t="n">
        <f aca="false">IF(Calendario!CC$15=1,CC$112,0)</f>
        <v>0</v>
      </c>
      <c r="CD61" s="13" t="n">
        <f aca="false">IF(Calendario!CD$15=1,CD$112,0)</f>
        <v>0</v>
      </c>
      <c r="CE61" s="13" t="n">
        <f aca="false">IF(Calendario!CE$15=1,CE$112,0)</f>
        <v>0</v>
      </c>
      <c r="CF61" s="13" t="n">
        <f aca="false">IF(Calendario!CF$15=1,CF$112,0)</f>
        <v>0</v>
      </c>
      <c r="CG61" s="13" t="n">
        <f aca="false">IF(Calendario!CG$15=1,CG$112,0)</f>
        <v>0</v>
      </c>
      <c r="CH61" s="13" t="n">
        <f aca="false">IF(Calendario!CH$15=1,CH$112,0)</f>
        <v>0</v>
      </c>
      <c r="CI61" s="13" t="n">
        <f aca="false">IF(Calendario!CI$15=1,CI$112,0)</f>
        <v>0</v>
      </c>
      <c r="CJ61" s="13" t="n">
        <f aca="false">IF(Calendario!CJ$15=1,CJ$112,0)</f>
        <v>0</v>
      </c>
      <c r="CK61" s="13" t="n">
        <f aca="false">IF(Calendario!CK$15=1,CK$112,0)</f>
        <v>0</v>
      </c>
      <c r="CL61" s="13" t="n">
        <f aca="false">IF(Calendario!CL$15=1,CL$112,0)</f>
        <v>0</v>
      </c>
      <c r="CM61" s="13" t="n">
        <f aca="false">IF(Calendario!CM$15=1,CM$112,0)</f>
        <v>0</v>
      </c>
      <c r="CN61" s="13" t="n">
        <f aca="false">IF(Calendario!CN$15=1,CN$112,0)</f>
        <v>0</v>
      </c>
      <c r="CO61" s="13" t="n">
        <f aca="false">IF(Calendario!CO$15=1,CO$112,0)</f>
        <v>0</v>
      </c>
      <c r="CP61" s="13" t="n">
        <f aca="false">IF(Calendario!CP$15=1,CP$112,0)</f>
        <v>0</v>
      </c>
      <c r="CQ61" s="13" t="n">
        <f aca="false">IF(Calendario!CQ$15=1,CQ$112,0)</f>
        <v>0</v>
      </c>
      <c r="CR61" s="13" t="n">
        <f aca="false">IF(Calendario!CR$15=1,CR$112,0)</f>
        <v>0</v>
      </c>
      <c r="CS61" s="13" t="n">
        <f aca="false">IF(Calendario!CS$15=1,CS$112,0)</f>
        <v>0</v>
      </c>
      <c r="CT61" s="13" t="n">
        <f aca="false">IF(Calendario!CT$15=1,CT$112,0)</f>
        <v>0</v>
      </c>
      <c r="CU61" s="13" t="n">
        <f aca="false">IF(Calendario!CU$15=1,CU$112,0)</f>
        <v>0</v>
      </c>
      <c r="CV61" s="13" t="n">
        <f aca="false">IF(Calendario!CV$15=1,CV$112,0)</f>
        <v>0</v>
      </c>
      <c r="CW61" s="13" t="n">
        <f aca="false">IF(Calendario!CW$15=1,CW$112,0)</f>
        <v>0</v>
      </c>
      <c r="CX61" s="13" t="n">
        <f aca="false">IF(Calendario!CX$15=1,CX$112,0)</f>
        <v>0</v>
      </c>
      <c r="CY61" s="13" t="n">
        <f aca="false">IF(Calendario!CY$15=1,CY$112,0)</f>
        <v>0</v>
      </c>
      <c r="CZ61" s="13" t="n">
        <f aca="false">IF(Calendario!CZ$15=1,CZ$112,0)</f>
        <v>0</v>
      </c>
      <c r="DA61" s="13" t="n">
        <f aca="false">IF(Calendario!DA$15=1,DA$112,0)</f>
        <v>0</v>
      </c>
      <c r="DB61" s="13" t="n">
        <f aca="false">IF(Calendario!DB$15=1,DB$112,0)</f>
        <v>0</v>
      </c>
      <c r="DC61" s="13" t="n">
        <f aca="false">IF(Calendario!DC$15=1,DC$112,0)</f>
        <v>0</v>
      </c>
      <c r="DD61" s="13" t="n">
        <f aca="false">IF(Calendario!DD$15=1,DD$112,0)</f>
        <v>0</v>
      </c>
      <c r="DE61" s="13" t="n">
        <f aca="false">IF(Calendario!DE$15=1,DE$112,0)</f>
        <v>0</v>
      </c>
      <c r="DF61" s="13" t="n">
        <f aca="false">IF(Calendario!DF$15=1,DF$112,0)</f>
        <v>0</v>
      </c>
      <c r="DG61" s="13" t="n">
        <f aca="false">IF(Calendario!DG$15=1,DG$112,0)</f>
        <v>0</v>
      </c>
      <c r="DH61" s="13" t="n">
        <f aca="false">IF(Calendario!DH$15=1,DH$112,0)</f>
        <v>0</v>
      </c>
      <c r="DI61" s="13" t="n">
        <f aca="false">IF(Calendario!DI$15=1,DI$112,0)</f>
        <v>0</v>
      </c>
      <c r="DJ61" s="13" t="n">
        <f aca="false">IF(Calendario!DJ$15=1,DJ$112,0)</f>
        <v>0</v>
      </c>
      <c r="DK61" s="13" t="n">
        <f aca="false">IF(Calendario!DK$15=1,DK$112,0)</f>
        <v>0</v>
      </c>
      <c r="DL61" s="13" t="n">
        <f aca="false">IF(Calendario!DL$15=1,DL$112,0)</f>
        <v>0</v>
      </c>
      <c r="DM61" s="13" t="n">
        <f aca="false">IF(Calendario!DM$15=1,DM$112,0)</f>
        <v>0</v>
      </c>
      <c r="DN61" s="13" t="n">
        <f aca="false">IF(Calendario!DN$15=1,DN$112,0)</f>
        <v>0</v>
      </c>
      <c r="DO61" s="13" t="n">
        <f aca="false">IF(Calendario!DO$15=1,DO$112,0)</f>
        <v>0</v>
      </c>
      <c r="DP61" s="13" t="n">
        <f aca="false">IF(Calendario!DP$15=1,DP$112,0)</f>
        <v>0</v>
      </c>
      <c r="DQ61" s="13" t="n">
        <f aca="false">IF(Calendario!DQ$15=1,DQ$112,0)</f>
        <v>0</v>
      </c>
      <c r="DR61" s="13" t="n">
        <f aca="false">IF(Calendario!DR$15=1,DR$112,0)</f>
        <v>0</v>
      </c>
      <c r="DS61" s="13" t="n">
        <f aca="false">IF(Calendario!DS$15=1,DS$112,0)</f>
        <v>0</v>
      </c>
      <c r="DT61" s="13" t="n">
        <f aca="false">IF(Calendario!DT$15=1,DT$112,0)</f>
        <v>0</v>
      </c>
      <c r="DU61" s="13" t="n">
        <f aca="false">IF(Calendario!DU$15=1,DU$112,0)</f>
        <v>0</v>
      </c>
      <c r="DV61" s="13" t="n">
        <f aca="false">IF(Calendario!DV$15=1,DV$112,0)</f>
        <v>2999560.06122588</v>
      </c>
      <c r="DW61" s="13" t="n">
        <f aca="false">IF(Calendario!DW$15=1,DW$112,0)</f>
        <v>0</v>
      </c>
      <c r="DX61" s="13" t="n">
        <f aca="false">IF(Calendario!DX$15=1,DX$112,0)</f>
        <v>0</v>
      </c>
      <c r="DY61" s="13" t="n">
        <f aca="false">IF(Calendario!DY$15=1,DY$112,0)</f>
        <v>0</v>
      </c>
      <c r="DZ61" s="13" t="n">
        <f aca="false">IF(Calendario!DZ$15=1,DZ$112,0)</f>
        <v>0</v>
      </c>
      <c r="EA61" s="13" t="n">
        <f aca="false">IF(Calendario!EA$15=1,EA$112,0)</f>
        <v>0</v>
      </c>
      <c r="EB61" s="13" t="n">
        <f aca="false">IF(Calendario!EB$15=1,EB$112,0)</f>
        <v>0</v>
      </c>
      <c r="EC61" s="13" t="n">
        <f aca="false">IF(Calendario!EC$15=1,EC$112,0)</f>
        <v>0</v>
      </c>
      <c r="ED61" s="13" t="n">
        <f aca="false">IF(Calendario!ED$15=1,ED$112,0)</f>
        <v>0</v>
      </c>
      <c r="EE61" s="13" t="n">
        <f aca="false">IF(Calendario!EE$15=1,EE$112,0)</f>
        <v>0</v>
      </c>
      <c r="EF61" s="13" t="n">
        <f aca="false">IF(Calendario!EF$15=1,EF$112,0)</f>
        <v>0</v>
      </c>
      <c r="EG61" s="13" t="n">
        <f aca="false">IF(Calendario!EG$15=1,EG$112,0)</f>
        <v>0</v>
      </c>
      <c r="EH61" s="13" t="n">
        <f aca="false">IF(Calendario!EH$15=1,EH$112,0)</f>
        <v>0</v>
      </c>
      <c r="EI61" s="13" t="n">
        <f aca="false">IF(Calendario!EI$15=1,EI$112,0)</f>
        <v>0</v>
      </c>
      <c r="EJ61" s="13" t="n">
        <f aca="false">IF(Calendario!EJ$15=1,EJ$112,0)</f>
        <v>0</v>
      </c>
      <c r="EK61" s="13" t="n">
        <f aca="false">IF(Calendario!EK$15=1,EK$112,0)</f>
        <v>0</v>
      </c>
      <c r="EL61" s="13" t="n">
        <f aca="false">IF(Calendario!EL$15=1,EL$112,0)</f>
        <v>0</v>
      </c>
      <c r="EM61" s="13" t="n">
        <f aca="false">IF(Calendario!EM$15=1,EM$112,0)</f>
        <v>0</v>
      </c>
      <c r="EN61" s="13" t="n">
        <f aca="false">IF(Calendario!EN$15=1,EN$112,0)</f>
        <v>0</v>
      </c>
      <c r="EO61" s="13" t="n">
        <f aca="false">IF(Calendario!EO$15=1,EO$112,0)</f>
        <v>0</v>
      </c>
      <c r="EP61" s="13" t="n">
        <f aca="false">IF(Calendario!EP$15=1,EP$112,0)</f>
        <v>0</v>
      </c>
      <c r="EQ61" s="13" t="n">
        <f aca="false">IF(Calendario!EQ$15=1,EQ$112,0)</f>
        <v>0</v>
      </c>
      <c r="ER61" s="13" t="n">
        <f aca="false">IF(Calendario!ER$15=1,ER$112,0)</f>
        <v>0</v>
      </c>
      <c r="ES61" s="13" t="n">
        <f aca="false">IF(Calendario!ES$15=1,ES$112,0)</f>
        <v>0</v>
      </c>
      <c r="ET61" s="13" t="n">
        <f aca="false">IF(Calendario!ET$15=1,ET$112,0)</f>
        <v>0</v>
      </c>
      <c r="EU61" s="13" t="n">
        <f aca="false">IF(Calendario!EU$15=1,EU$112,0)</f>
        <v>0</v>
      </c>
      <c r="EV61" s="13" t="n">
        <f aca="false">IF(Calendario!EV$15=1,EV$112,0)</f>
        <v>0</v>
      </c>
      <c r="EW61" s="13" t="n">
        <f aca="false">IF(Calendario!EW$15=1,EW$112,0)</f>
        <v>0</v>
      </c>
      <c r="EX61" s="13" t="n">
        <f aca="false">IF(Calendario!EX$15=1,EX$112,0)</f>
        <v>0</v>
      </c>
      <c r="EY61" s="13" t="n">
        <f aca="false">IF(Calendario!EY$15=1,EY$112,0)</f>
        <v>0</v>
      </c>
      <c r="EZ61" s="13" t="n">
        <f aca="false">IF(Calendario!EZ$15=1,EZ$112,0)</f>
        <v>0</v>
      </c>
      <c r="FA61" s="13" t="n">
        <f aca="false">IF(Calendario!FA$15=1,FA$112,0)</f>
        <v>0</v>
      </c>
      <c r="FB61" s="13" t="n">
        <f aca="false">IF(Calendario!FB$15=1,FB$112,0)</f>
        <v>0</v>
      </c>
      <c r="FC61" s="13" t="n">
        <f aca="false">IF(Calendario!FC$15=1,FC$112,0)</f>
        <v>0</v>
      </c>
      <c r="FD61" s="13" t="n">
        <f aca="false">IF(Calendario!FD$15=1,FD$112,0)</f>
        <v>0</v>
      </c>
      <c r="FE61" s="13" t="n">
        <f aca="false">IF(Calendario!FE$15=1,FE$112,0)</f>
        <v>0</v>
      </c>
      <c r="FF61" s="13" t="n">
        <f aca="false">IF(Calendario!FF$15=1,FF$112,0)</f>
        <v>0</v>
      </c>
    </row>
    <row r="62" customFormat="false" ht="15" hidden="false" customHeight="false" outlineLevel="0" collapsed="false">
      <c r="A62" s="2" t="s">
        <v>1535</v>
      </c>
      <c r="B62" s="66" t="s">
        <v>1536</v>
      </c>
      <c r="C62" s="8" t="s">
        <v>255</v>
      </c>
      <c r="E62" s="67" t="n">
        <f aca="false">SUM($F62:$FF62)</f>
        <v>15573055.7594377</v>
      </c>
      <c r="F62" s="12" t="n">
        <f aca="false">F$60+F$61</f>
        <v>-1719186.38219178</v>
      </c>
      <c r="G62" s="12" t="n">
        <f aca="false">G$60+G$61</f>
        <v>-331363.799676447</v>
      </c>
      <c r="H62" s="12" t="n">
        <f aca="false">H$60+H$61</f>
        <v>-366533.336416692</v>
      </c>
      <c r="I62" s="12" t="n">
        <f aca="false">I$60+I$61</f>
        <v>-361669.166496632</v>
      </c>
      <c r="J62" s="12" t="n">
        <f aca="false">J$60+J$61</f>
        <v>-339523.04777517</v>
      </c>
      <c r="K62" s="12" t="n">
        <f aca="false">K$60+K$61</f>
        <v>42497.500170035</v>
      </c>
      <c r="L62" s="12" t="n">
        <f aca="false">L$60+L$61</f>
        <v>42497.500170035</v>
      </c>
      <c r="M62" s="12" t="n">
        <f aca="false">M$60+M$61</f>
        <v>42497.500170035</v>
      </c>
      <c r="N62" s="12" t="n">
        <f aca="false">N$60+N$61</f>
        <v>22160.2234201756</v>
      </c>
      <c r="O62" s="12" t="n">
        <f aca="false">O$60+O$61</f>
        <v>-22087.5569328455</v>
      </c>
      <c r="P62" s="12" t="n">
        <f aca="false">P$60+P$61</f>
        <v>-24584.2994132981</v>
      </c>
      <c r="Q62" s="12" t="n">
        <f aca="false">Q$60+Q$61</f>
        <v>-24584.2994132986</v>
      </c>
      <c r="R62" s="12" t="n">
        <f aca="false">R$60+R$61</f>
        <v>-24602.0571104275</v>
      </c>
      <c r="S62" s="12" t="n">
        <f aca="false">S$60+S$61</f>
        <v>-125943.026637402</v>
      </c>
      <c r="T62" s="12" t="n">
        <f aca="false">T$60+T$61</f>
        <v>-30436.9306632983</v>
      </c>
      <c r="U62" s="12" t="n">
        <f aca="false">U$60+U$61</f>
        <v>-30436.9306632983</v>
      </c>
      <c r="V62" s="12" t="n">
        <f aca="false">V$60+V$61</f>
        <v>-24358.3918505129</v>
      </c>
      <c r="W62" s="12" t="n">
        <f aca="false">W$60+W$61</f>
        <v>80496.4026700351</v>
      </c>
      <c r="X62" s="12" t="n">
        <f aca="false">X$60+X$61</f>
        <v>80496.4026700351</v>
      </c>
      <c r="Y62" s="12" t="n">
        <f aca="false">Y$60+Y$61</f>
        <v>80496.4026700351</v>
      </c>
      <c r="Z62" s="12" t="n">
        <f aca="false">Z$60+Z$61</f>
        <v>60053.4611406675</v>
      </c>
      <c r="AA62" s="12" t="n">
        <f aca="false">AA$60+AA$61</f>
        <v>15243.7433494028</v>
      </c>
      <c r="AB62" s="12" t="n">
        <f aca="false">AB$60+AB$61</f>
        <v>12714.7798867018</v>
      </c>
      <c r="AC62" s="12" t="n">
        <f aca="false">AC$60+AC$61</f>
        <v>12714.779886702</v>
      </c>
      <c r="AD62" s="12" t="n">
        <f aca="false">AD$60+AD$61</f>
        <v>12696.9300098013</v>
      </c>
      <c r="AE62" s="12" t="n">
        <f aca="false">AE$60+AE$61</f>
        <v>7870.53426131339</v>
      </c>
      <c r="AF62" s="12" t="n">
        <f aca="false">AF$60+AF$61</f>
        <v>3974.4869708867</v>
      </c>
      <c r="AG62" s="12" t="n">
        <f aca="false">AG$60+AG$61</f>
        <v>3974.4869708867</v>
      </c>
      <c r="AH62" s="12" t="n">
        <f aca="false">AH$60+AH$61</f>
        <v>10172.3819480557</v>
      </c>
      <c r="AI62" s="12" t="n">
        <f aca="false">AI$60+AI$61</f>
        <v>117086.07030422</v>
      </c>
      <c r="AJ62" s="12" t="n">
        <f aca="false">AJ$60+AJ$61</f>
        <v>117086.07030422</v>
      </c>
      <c r="AK62" s="12" t="n">
        <f aca="false">AK$60+AK$61</f>
        <v>117086.07030422</v>
      </c>
      <c r="AL62" s="12" t="n">
        <f aca="false">AL$60+AL$61</f>
        <v>100553.463106115</v>
      </c>
      <c r="AM62" s="12" t="n">
        <f aca="false">AM$60+AM$61</f>
        <v>63668.6298220286</v>
      </c>
      <c r="AN62" s="12" t="n">
        <f aca="false">AN$60+AN$61</f>
        <v>61585.9387337617</v>
      </c>
      <c r="AO62" s="12" t="n">
        <f aca="false">AO$60+AO$61</f>
        <v>61585.9387337617</v>
      </c>
      <c r="AP62" s="12" t="n">
        <f aca="false">AP$60+AP$61</f>
        <v>61571.5032851932</v>
      </c>
      <c r="AQ62" s="12" t="n">
        <f aca="false">AQ$60+AQ$61</f>
        <v>57709.2267901748</v>
      </c>
      <c r="AR62" s="12" t="n">
        <f aca="false">AR$60+AR$61</f>
        <v>54321.8504923401</v>
      </c>
      <c r="AS62" s="12" t="n">
        <f aca="false">AS$60+AS$61</f>
        <v>54321.8504923401</v>
      </c>
      <c r="AT62" s="12" t="n">
        <f aca="false">AT$60+AT$61</f>
        <v>59558.8296247602</v>
      </c>
      <c r="AU62" s="12" t="n">
        <f aca="false">AU$60+AU$61</f>
        <v>149896.719659007</v>
      </c>
      <c r="AV62" s="12" t="n">
        <f aca="false">AV$60+AV$61</f>
        <v>149896.719659007</v>
      </c>
      <c r="AW62" s="12" t="n">
        <f aca="false">AW$60+AW$61</f>
        <v>149896.719659007</v>
      </c>
      <c r="AX62" s="12" t="n">
        <f aca="false">AX$60+AX$61</f>
        <v>149896.719659007</v>
      </c>
      <c r="AY62" s="12" t="n">
        <f aca="false">AY$60+AY$61</f>
        <v>147702.647933437</v>
      </c>
      <c r="AZ62" s="12" t="n">
        <f aca="false">AZ$60+AZ$61</f>
        <v>147575.455369636</v>
      </c>
      <c r="BA62" s="12" t="n">
        <f aca="false">BA$60+BA$61</f>
        <v>147575.455369636</v>
      </c>
      <c r="BB62" s="12" t="n">
        <f aca="false">BB$60+BB$61</f>
        <v>147575.455369636</v>
      </c>
      <c r="BC62" s="12" t="n">
        <f aca="false">BC$60+BC$61</f>
        <v>144169.92519086</v>
      </c>
      <c r="BD62" s="12" t="n">
        <f aca="false">BD$60+BD$61</f>
        <v>143981.622347519</v>
      </c>
      <c r="BE62" s="12" t="n">
        <f aca="false">BE$60+BE$61</f>
        <v>143981.622347519</v>
      </c>
      <c r="BF62" s="12" t="n">
        <f aca="false">BF$60+BF$61</f>
        <v>144378.217663957</v>
      </c>
      <c r="BG62" s="12" t="n">
        <f aca="false">BG$60+BG$61</f>
        <v>151219.486872519</v>
      </c>
      <c r="BH62" s="12" t="n">
        <f aca="false">BH$60+BH$61</f>
        <v>151219.486872519</v>
      </c>
      <c r="BI62" s="12" t="n">
        <f aca="false">BI$60+BI$61</f>
        <v>151219.486872519</v>
      </c>
      <c r="BJ62" s="12" t="n">
        <f aca="false">BJ$60+BJ$61</f>
        <v>151219.486872519</v>
      </c>
      <c r="BK62" s="12" t="n">
        <f aca="false">BK$60+BK$61</f>
        <v>149003.474429693</v>
      </c>
      <c r="BL62" s="12" t="n">
        <f aca="false">BL$60+BL$61</f>
        <v>148875.009940253</v>
      </c>
      <c r="BM62" s="12" t="n">
        <f aca="false">BM$60+BM$61</f>
        <v>148875.009940254</v>
      </c>
      <c r="BN62" s="12" t="n">
        <f aca="false">BN$60+BN$61</f>
        <v>148875.009940254</v>
      </c>
      <c r="BO62" s="12" t="n">
        <f aca="false">BO$60+BO$61</f>
        <v>148863.034547443</v>
      </c>
      <c r="BP62" s="12" t="n">
        <f aca="false">BP$60+BP$61</f>
        <v>148000.806265057</v>
      </c>
      <c r="BQ62" s="12" t="n">
        <f aca="false">BQ$60+BQ$61</f>
        <v>148000.806265057</v>
      </c>
      <c r="BR62" s="12" t="n">
        <f aca="false">BR$60+BR$61</f>
        <v>148401.36753466</v>
      </c>
      <c r="BS62" s="12" t="n">
        <f aca="false">BS$60+BS$61</f>
        <v>155311.049435307</v>
      </c>
      <c r="BT62" s="12" t="n">
        <f aca="false">BT$60+BT$61</f>
        <v>155311.049435307</v>
      </c>
      <c r="BU62" s="12" t="n">
        <f aca="false">BU$60+BU$61</f>
        <v>155311.049435307</v>
      </c>
      <c r="BV62" s="12" t="n">
        <f aca="false">BV$60+BV$61</f>
        <v>155311.049435307</v>
      </c>
      <c r="BW62" s="12" t="n">
        <f aca="false">BW$60+BW$61</f>
        <v>153072.876868053</v>
      </c>
      <c r="BX62" s="12" t="n">
        <f aca="false">BX$60+BX$61</f>
        <v>152943.12773372</v>
      </c>
      <c r="BY62" s="12" t="n">
        <f aca="false">BY$60+BY$61</f>
        <v>152943.12773372</v>
      </c>
      <c r="BZ62" s="12" t="n">
        <f aca="false">BZ$60+BZ$61</f>
        <v>152943.12773372</v>
      </c>
      <c r="CA62" s="12" t="n">
        <f aca="false">CA$60+CA$61</f>
        <v>152930.875239547</v>
      </c>
      <c r="CB62" s="12" t="n">
        <f aca="false">CB$60+CB$61</f>
        <v>152048.695659092</v>
      </c>
      <c r="CC62" s="12" t="n">
        <f aca="false">CC$60+CC$61</f>
        <v>152048.695659092</v>
      </c>
      <c r="CD62" s="12" t="n">
        <f aca="false">CD$60+CD$61</f>
        <v>152453.262541391</v>
      </c>
      <c r="CE62" s="12" t="n">
        <f aca="false">CE$60+CE$61</f>
        <v>159432.041261044</v>
      </c>
      <c r="CF62" s="12" t="n">
        <f aca="false">CF$60+CF$61</f>
        <v>159432.041261044</v>
      </c>
      <c r="CG62" s="12" t="n">
        <f aca="false">CG$60+CG$61</f>
        <v>159432.041261044</v>
      </c>
      <c r="CH62" s="12" t="n">
        <f aca="false">CH$60+CH$61</f>
        <v>159432.041261044</v>
      </c>
      <c r="CI62" s="12" t="n">
        <f aca="false">CI$60+CI$61</f>
        <v>157171.486968118</v>
      </c>
      <c r="CJ62" s="12" t="n">
        <f aca="false">CJ$60+CJ$61</f>
        <v>157040.440342441</v>
      </c>
      <c r="CK62" s="12" t="n">
        <f aca="false">CK$60+CK$61</f>
        <v>157040.440342441</v>
      </c>
      <c r="CL62" s="12" t="n">
        <f aca="false">CL$60+CL$61</f>
        <v>157040.440342441</v>
      </c>
      <c r="CM62" s="12" t="n">
        <f aca="false">CM$60+CM$61</f>
        <v>157027.903041816</v>
      </c>
      <c r="CN62" s="12" t="n">
        <f aca="false">CN$60+CN$61</f>
        <v>156125.217396807</v>
      </c>
      <c r="CO62" s="12" t="n">
        <f aca="false">CO$60+CO$61</f>
        <v>156125.217396807</v>
      </c>
      <c r="CP62" s="12" t="n">
        <f aca="false">CP$60+CP$61</f>
        <v>156533.829947928</v>
      </c>
      <c r="CQ62" s="12" t="n">
        <f aca="false">CQ$60+CQ$61</f>
        <v>163582.396454778</v>
      </c>
      <c r="CR62" s="12" t="n">
        <f aca="false">CR$60+CR$61</f>
        <v>163582.396454778</v>
      </c>
      <c r="CS62" s="12" t="n">
        <f aca="false">CS$60+CS$61</f>
        <v>163582.396454778</v>
      </c>
      <c r="CT62" s="12" t="n">
        <f aca="false">CT$60+CT$61</f>
        <v>163582.396454778</v>
      </c>
      <c r="CU62" s="12" t="n">
        <f aca="false">CU$60+CU$61</f>
        <v>161299.236618923</v>
      </c>
      <c r="CV62" s="12" t="n">
        <f aca="false">CV$60+CV$61</f>
        <v>161166.879526989</v>
      </c>
      <c r="CW62" s="12" t="n">
        <f aca="false">CW$60+CW$61</f>
        <v>161166.879526989</v>
      </c>
      <c r="CX62" s="12" t="n">
        <f aca="false">CX$60+CX$61</f>
        <v>161166.879526989</v>
      </c>
      <c r="CY62" s="12" t="n">
        <f aca="false">CY$60+CY$61</f>
        <v>161154.049489748</v>
      </c>
      <c r="CZ62" s="12" t="n">
        <f aca="false">CZ$60+CZ$61</f>
        <v>160230.28680843</v>
      </c>
      <c r="DA62" s="12" t="n">
        <f aca="false">DA$60+DA$61</f>
        <v>160230.28680843</v>
      </c>
      <c r="DB62" s="12" t="n">
        <f aca="false">DB$60+DB$61</f>
        <v>160642.985485063</v>
      </c>
      <c r="DC62" s="12" t="n">
        <f aca="false">DC$60+DC$61</f>
        <v>167762.037656982</v>
      </c>
      <c r="DD62" s="12" t="n">
        <f aca="false">DD$60+DD$61</f>
        <v>167762.037656982</v>
      </c>
      <c r="DE62" s="12" t="n">
        <f aca="false">DE$60+DE$61</f>
        <v>167762.037656982</v>
      </c>
      <c r="DF62" s="12" t="n">
        <f aca="false">DF$60+DF$61</f>
        <v>167762.037656982</v>
      </c>
      <c r="DG62" s="12" t="n">
        <f aca="false">DG$60+DG$61</f>
        <v>165456.046222767</v>
      </c>
      <c r="DH62" s="12" t="n">
        <f aca="false">DH$60+DH$61</f>
        <v>165322.365559915</v>
      </c>
      <c r="DI62" s="12" t="n">
        <f aca="false">DI$60+DI$61</f>
        <v>165322.365559915</v>
      </c>
      <c r="DJ62" s="12" t="n">
        <f aca="false">DJ$60+DJ$61</f>
        <v>165322.365559915</v>
      </c>
      <c r="DK62" s="12" t="n">
        <f aca="false">DK$60+DK$61</f>
        <v>165309.234624131</v>
      </c>
      <c r="DL62" s="12" t="n">
        <f aca="false">DL$60+DL$61</f>
        <v>164363.807247698</v>
      </c>
      <c r="DM62" s="12" t="n">
        <f aca="false">DM$60+DM$61</f>
        <v>164363.807247698</v>
      </c>
      <c r="DN62" s="12" t="n">
        <f aca="false">DN$60+DN$61</f>
        <v>164780.632911098</v>
      </c>
      <c r="DO62" s="12" t="n">
        <f aca="false">DO$60+DO$61</f>
        <v>171970.875604736</v>
      </c>
      <c r="DP62" s="12" t="n">
        <f aca="false">DP$60+DP$61</f>
        <v>171970.875604736</v>
      </c>
      <c r="DQ62" s="12" t="n">
        <f aca="false">DQ$60+DQ$61</f>
        <v>171970.875604736</v>
      </c>
      <c r="DR62" s="12" t="n">
        <f aca="false">DR$60+DR$61</f>
        <v>312936.287702147</v>
      </c>
      <c r="DS62" s="12" t="n">
        <f aca="false">DS$60+DS$61</f>
        <v>608912.57868204</v>
      </c>
      <c r="DT62" s="12" t="n">
        <f aca="false">DT$60+DT$61</f>
        <v>625596.890741878</v>
      </c>
      <c r="DU62" s="12" t="n">
        <f aca="false">DU$60+DU$61</f>
        <v>625596.890741878</v>
      </c>
      <c r="DV62" s="12" t="n">
        <f aca="false">DV$60+DV$61</f>
        <v>3625280.03215348</v>
      </c>
      <c r="DW62" s="12" t="n">
        <f aca="false">DW$60+DW$61</f>
        <v>0</v>
      </c>
      <c r="DX62" s="12" t="n">
        <f aca="false">DX$60+DX$61</f>
        <v>0</v>
      </c>
      <c r="DY62" s="12" t="n">
        <f aca="false">DY$60+DY$61</f>
        <v>0</v>
      </c>
      <c r="DZ62" s="12" t="n">
        <f aca="false">DZ$60+DZ$61</f>
        <v>0</v>
      </c>
      <c r="EA62" s="12" t="n">
        <f aca="false">EA$60+EA$61</f>
        <v>0</v>
      </c>
      <c r="EB62" s="12" t="n">
        <f aca="false">EB$60+EB$61</f>
        <v>0</v>
      </c>
      <c r="EC62" s="12" t="n">
        <f aca="false">EC$60+EC$61</f>
        <v>0</v>
      </c>
      <c r="ED62" s="12" t="n">
        <f aca="false">ED$60+ED$61</f>
        <v>0</v>
      </c>
      <c r="EE62" s="12" t="n">
        <f aca="false">EE$60+EE$61</f>
        <v>0</v>
      </c>
      <c r="EF62" s="12" t="n">
        <f aca="false">EF$60+EF$61</f>
        <v>0</v>
      </c>
      <c r="EG62" s="12" t="n">
        <f aca="false">EG$60+EG$61</f>
        <v>0</v>
      </c>
      <c r="EH62" s="12" t="n">
        <f aca="false">EH$60+EH$61</f>
        <v>0</v>
      </c>
      <c r="EI62" s="12" t="n">
        <f aca="false">EI$60+EI$61</f>
        <v>0</v>
      </c>
      <c r="EJ62" s="12" t="n">
        <f aca="false">EJ$60+EJ$61</f>
        <v>0</v>
      </c>
      <c r="EK62" s="12" t="n">
        <f aca="false">EK$60+EK$61</f>
        <v>0</v>
      </c>
      <c r="EL62" s="12" t="n">
        <f aca="false">EL$60+EL$61</f>
        <v>0</v>
      </c>
      <c r="EM62" s="12" t="n">
        <f aca="false">EM$60+EM$61</f>
        <v>0</v>
      </c>
      <c r="EN62" s="12" t="n">
        <f aca="false">EN$60+EN$61</f>
        <v>0</v>
      </c>
      <c r="EO62" s="12" t="n">
        <f aca="false">EO$60+EO$61</f>
        <v>0</v>
      </c>
      <c r="EP62" s="12" t="n">
        <f aca="false">EP$60+EP$61</f>
        <v>0</v>
      </c>
      <c r="EQ62" s="12" t="n">
        <f aca="false">EQ$60+EQ$61</f>
        <v>0</v>
      </c>
      <c r="ER62" s="12" t="n">
        <f aca="false">ER$60+ER$61</f>
        <v>0</v>
      </c>
      <c r="ES62" s="12" t="n">
        <f aca="false">ES$60+ES$61</f>
        <v>0</v>
      </c>
      <c r="ET62" s="12" t="n">
        <f aca="false">ET$60+ET$61</f>
        <v>0</v>
      </c>
      <c r="EU62" s="12" t="n">
        <f aca="false">EU$60+EU$61</f>
        <v>0</v>
      </c>
      <c r="EV62" s="12" t="n">
        <f aca="false">EV$60+EV$61</f>
        <v>0</v>
      </c>
      <c r="EW62" s="12" t="n">
        <f aca="false">EW$60+EW$61</f>
        <v>0</v>
      </c>
      <c r="EX62" s="12" t="n">
        <f aca="false">EX$60+EX$61</f>
        <v>0</v>
      </c>
      <c r="EY62" s="12" t="n">
        <f aca="false">EY$60+EY$61</f>
        <v>0</v>
      </c>
      <c r="EZ62" s="12" t="n">
        <f aca="false">EZ$60+EZ$61</f>
        <v>0</v>
      </c>
      <c r="FA62" s="12" t="n">
        <f aca="false">FA$60+FA$61</f>
        <v>0</v>
      </c>
      <c r="FB62" s="12" t="n">
        <f aca="false">FB$60+FB$61</f>
        <v>0</v>
      </c>
      <c r="FC62" s="12" t="n">
        <f aca="false">FC$60+FC$61</f>
        <v>0</v>
      </c>
      <c r="FD62" s="12" t="n">
        <f aca="false">FD$60+FD$61</f>
        <v>0</v>
      </c>
      <c r="FE62" s="12" t="n">
        <f aca="false">FE$60+FE$61</f>
        <v>0</v>
      </c>
      <c r="FF62" s="12" t="n">
        <f aca="false">FF$60+FF$61</f>
        <v>0</v>
      </c>
    </row>
    <row r="63" customFormat="false" ht="15" hidden="false" customHeight="false" outlineLevel="0" collapsed="false">
      <c r="A63" s="2" t="s">
        <v>1537</v>
      </c>
      <c r="B63" s="8" t="s">
        <v>1538</v>
      </c>
      <c r="C63" s="8" t="s">
        <v>255</v>
      </c>
      <c r="E63" s="70" t="n">
        <f aca="false">MAX($F63:$FF63)</f>
        <v>0</v>
      </c>
      <c r="F63" s="19" t="n">
        <f aca="false">ROUND((F$37+F$59-F$46-(Capital_Trabajo!F$62-0)+(Capital_Trabajo!F$23+Capital_Trabajo!F$32+Deuda_Tributos!F$18-Capital_Trabajo!F$43-Capital_Trabajo!F$52))*Calendario!F$13-F$57,2)</f>
        <v>0</v>
      </c>
      <c r="G63" s="19" t="n">
        <f aca="false">ROUND((G$37+G$59-G$46-(Capital_Trabajo!G$62-Capital_Trabajo!F$62)+(Capital_Trabajo!G$23+Capital_Trabajo!G$32+Deuda_Tributos!G$18-Capital_Trabajo!G$43-Capital_Trabajo!G$52))*Calendario!G$13-G$57,2)</f>
        <v>0</v>
      </c>
      <c r="H63" s="19" t="n">
        <f aca="false">ROUND((H$37+H$59-H$46-(Capital_Trabajo!H$62-Capital_Trabajo!G$62)+(Capital_Trabajo!H$23+Capital_Trabajo!H$32+Deuda_Tributos!H$18-Capital_Trabajo!H$43-Capital_Trabajo!H$52))*Calendario!H$13-H$57,2)</f>
        <v>0</v>
      </c>
      <c r="I63" s="19" t="n">
        <f aca="false">ROUND((I$37+I$59-I$46-(Capital_Trabajo!I$62-Capital_Trabajo!H$62)+(Capital_Trabajo!I$23+Capital_Trabajo!I$32+Deuda_Tributos!I$18-Capital_Trabajo!I$43-Capital_Trabajo!I$52))*Calendario!I$13-I$57,2)</f>
        <v>0</v>
      </c>
      <c r="J63" s="19" t="n">
        <f aca="false">ROUND((J$37+J$59-J$46-(Capital_Trabajo!J$62-Capital_Trabajo!I$62)+(Capital_Trabajo!J$23+Capital_Trabajo!J$32+Deuda_Tributos!J$18-Capital_Trabajo!J$43-Capital_Trabajo!J$52))*Calendario!J$13-J$57,2)</f>
        <v>0</v>
      </c>
      <c r="K63" s="19" t="n">
        <f aca="false">ROUND((K$37+K$59-K$46-(Capital_Trabajo!K$62-Capital_Trabajo!J$62)+(Capital_Trabajo!K$23+Capital_Trabajo!K$32+Deuda_Tributos!K$18-Capital_Trabajo!K$43-Capital_Trabajo!K$52))*Calendario!K$13-K$57,2)</f>
        <v>0</v>
      </c>
      <c r="L63" s="19" t="n">
        <f aca="false">ROUND((L$37+L$59-L$46-(Capital_Trabajo!L$62-Capital_Trabajo!K$62)+(Capital_Trabajo!L$23+Capital_Trabajo!L$32+Deuda_Tributos!L$18-Capital_Trabajo!L$43-Capital_Trabajo!L$52))*Calendario!L$13-L$57,2)</f>
        <v>0</v>
      </c>
      <c r="M63" s="19" t="n">
        <f aca="false">ROUND((M$37+M$59-M$46-(Capital_Trabajo!M$62-Capital_Trabajo!L$62)+(Capital_Trabajo!M$23+Capital_Trabajo!M$32+Deuda_Tributos!M$18-Capital_Trabajo!M$43-Capital_Trabajo!M$52))*Calendario!M$13-M$57,2)</f>
        <v>0</v>
      </c>
      <c r="N63" s="19" t="n">
        <f aca="false">ROUND((N$37+N$59-N$46-(Capital_Trabajo!N$62-Capital_Trabajo!M$62)+(Capital_Trabajo!N$23+Capital_Trabajo!N$32+Deuda_Tributos!N$18-Capital_Trabajo!N$43-Capital_Trabajo!N$52))*Calendario!N$13-N$57,2)</f>
        <v>-0</v>
      </c>
      <c r="O63" s="19" t="n">
        <f aca="false">ROUND((O$37+O$59-O$46-(Capital_Trabajo!O$62-Capital_Trabajo!N$62)+(Capital_Trabajo!O$23+Capital_Trabajo!O$32+Deuda_Tributos!O$18-Capital_Trabajo!O$43-Capital_Trabajo!O$52))*Calendario!O$13-O$57,2)</f>
        <v>0</v>
      </c>
      <c r="P63" s="19" t="n">
        <f aca="false">ROUND((P$37+P$59-P$46-(Capital_Trabajo!P$62-Capital_Trabajo!O$62)+(Capital_Trabajo!P$23+Capital_Trabajo!P$32+Deuda_Tributos!P$18-Capital_Trabajo!P$43-Capital_Trabajo!P$52))*Calendario!P$13-P$57,2)</f>
        <v>0</v>
      </c>
      <c r="Q63" s="19" t="n">
        <f aca="false">ROUND((Q$37+Q$59-Q$46-(Capital_Trabajo!Q$62-Capital_Trabajo!P$62)+(Capital_Trabajo!Q$23+Capital_Trabajo!Q$32+Deuda_Tributos!Q$18-Capital_Trabajo!Q$43-Capital_Trabajo!Q$52))*Calendario!Q$13-Q$57,2)</f>
        <v>0</v>
      </c>
      <c r="R63" s="19" t="n">
        <f aca="false">ROUND((R$37+R$59-R$46-(Capital_Trabajo!R$62-Capital_Trabajo!Q$62)+(Capital_Trabajo!R$23+Capital_Trabajo!R$32+Deuda_Tributos!R$18-Capital_Trabajo!R$43-Capital_Trabajo!R$52))*Calendario!R$13-R$57,2)</f>
        <v>-0</v>
      </c>
      <c r="S63" s="19" t="n">
        <f aca="false">ROUND((S$37+S$59-S$46-(Capital_Trabajo!S$62-Capital_Trabajo!R$62)+(Capital_Trabajo!S$23+Capital_Trabajo!S$32+Deuda_Tributos!S$18-Capital_Trabajo!S$43-Capital_Trabajo!S$52))*Calendario!S$13-S$57,2)</f>
        <v>0</v>
      </c>
      <c r="T63" s="19" t="n">
        <f aca="false">ROUND((T$37+T$59-T$46-(Capital_Trabajo!T$62-Capital_Trabajo!S$62)+(Capital_Trabajo!T$23+Capital_Trabajo!T$32+Deuda_Tributos!T$18-Capital_Trabajo!T$43-Capital_Trabajo!T$52))*Calendario!T$13-T$57,2)</f>
        <v>-0</v>
      </c>
      <c r="U63" s="19" t="n">
        <f aca="false">ROUND((U$37+U$59-U$46-(Capital_Trabajo!U$62-Capital_Trabajo!T$62)+(Capital_Trabajo!U$23+Capital_Trabajo!U$32+Deuda_Tributos!U$18-Capital_Trabajo!U$43-Capital_Trabajo!U$52))*Calendario!U$13-U$57,2)</f>
        <v>-0</v>
      </c>
      <c r="V63" s="19" t="n">
        <f aca="false">ROUND((V$37+V$59-V$46-(Capital_Trabajo!V$62-Capital_Trabajo!U$62)+(Capital_Trabajo!V$23+Capital_Trabajo!V$32+Deuda_Tributos!V$18-Capital_Trabajo!V$43-Capital_Trabajo!V$52))*Calendario!V$13-V$57,2)</f>
        <v>-0</v>
      </c>
      <c r="W63" s="19" t="n">
        <f aca="false">ROUND((W$37+W$59-W$46-(Capital_Trabajo!W$62-Capital_Trabajo!V$62)+(Capital_Trabajo!W$23+Capital_Trabajo!W$32+Deuda_Tributos!W$18-Capital_Trabajo!W$43-Capital_Trabajo!W$52))*Calendario!W$13-W$57,2)</f>
        <v>0</v>
      </c>
      <c r="X63" s="19" t="n">
        <f aca="false">ROUND((X$37+X$59-X$46-(Capital_Trabajo!X$62-Capital_Trabajo!W$62)+(Capital_Trabajo!X$23+Capital_Trabajo!X$32+Deuda_Tributos!X$18-Capital_Trabajo!X$43-Capital_Trabajo!X$52))*Calendario!X$13-X$57,2)</f>
        <v>0</v>
      </c>
      <c r="Y63" s="19" t="n">
        <f aca="false">ROUND((Y$37+Y$59-Y$46-(Capital_Trabajo!Y$62-Capital_Trabajo!X$62)+(Capital_Trabajo!Y$23+Capital_Trabajo!Y$32+Deuda_Tributos!Y$18-Capital_Trabajo!Y$43-Capital_Trabajo!Y$52))*Calendario!Y$13-Y$57,2)</f>
        <v>0</v>
      </c>
      <c r="Z63" s="19" t="n">
        <f aca="false">ROUND((Z$37+Z$59-Z$46-(Capital_Trabajo!Z$62-Capital_Trabajo!Y$62)+(Capital_Trabajo!Z$23+Capital_Trabajo!Z$32+Deuda_Tributos!Z$18-Capital_Trabajo!Z$43-Capital_Trabajo!Z$52))*Calendario!Z$13-Z$57,2)</f>
        <v>0</v>
      </c>
      <c r="AA63" s="19" t="n">
        <f aca="false">ROUND((AA$37+AA$59-AA$46-(Capital_Trabajo!AA$62-Capital_Trabajo!Z$62)+(Capital_Trabajo!AA$23+Capital_Trabajo!AA$32+Deuda_Tributos!AA$18-Capital_Trabajo!AA$43-Capital_Trabajo!AA$52))*Calendario!AA$13-AA$57,2)</f>
        <v>-0</v>
      </c>
      <c r="AB63" s="19" t="n">
        <f aca="false">ROUND((AB$37+AB$59-AB$46-(Capital_Trabajo!AB$62-Capital_Trabajo!AA$62)+(Capital_Trabajo!AB$23+Capital_Trabajo!AB$32+Deuda_Tributos!AB$18-Capital_Trabajo!AB$43-Capital_Trabajo!AB$52))*Calendario!AB$13-AB$57,2)</f>
        <v>0</v>
      </c>
      <c r="AC63" s="19" t="n">
        <f aca="false">ROUND((AC$37+AC$59-AC$46-(Capital_Trabajo!AC$62-Capital_Trabajo!AB$62)+(Capital_Trabajo!AC$23+Capital_Trabajo!AC$32+Deuda_Tributos!AC$18-Capital_Trabajo!AC$43-Capital_Trabajo!AC$52))*Calendario!AC$13-AC$57,2)</f>
        <v>0</v>
      </c>
      <c r="AD63" s="19" t="n">
        <f aca="false">ROUND((AD$37+AD$59-AD$46-(Capital_Trabajo!AD$62-Capital_Trabajo!AC$62)+(Capital_Trabajo!AD$23+Capital_Trabajo!AD$32+Deuda_Tributos!AD$18-Capital_Trabajo!AD$43-Capital_Trabajo!AD$52))*Calendario!AD$13-AD$57,2)</f>
        <v>-0</v>
      </c>
      <c r="AE63" s="19" t="n">
        <f aca="false">ROUND((AE$37+AE$59-AE$46-(Capital_Trabajo!AE$62-Capital_Trabajo!AD$62)+(Capital_Trabajo!AE$23+Capital_Trabajo!AE$32+Deuda_Tributos!AE$18-Capital_Trabajo!AE$43-Capital_Trabajo!AE$52))*Calendario!AE$13-AE$57,2)</f>
        <v>-0</v>
      </c>
      <c r="AF63" s="19" t="n">
        <f aca="false">ROUND((AF$37+AF$59-AF$46-(Capital_Trabajo!AF$62-Capital_Trabajo!AE$62)+(Capital_Trabajo!AF$23+Capital_Trabajo!AF$32+Deuda_Tributos!AF$18-Capital_Trabajo!AF$43-Capital_Trabajo!AF$52))*Calendario!AF$13-AF$57,2)</f>
        <v>-0</v>
      </c>
      <c r="AG63" s="19" t="n">
        <f aca="false">ROUND((AG$37+AG$59-AG$46-(Capital_Trabajo!AG$62-Capital_Trabajo!AF$62)+(Capital_Trabajo!AG$23+Capital_Trabajo!AG$32+Deuda_Tributos!AG$18-Capital_Trabajo!AG$43-Capital_Trabajo!AG$52))*Calendario!AG$13-AG$57,2)</f>
        <v>-0</v>
      </c>
      <c r="AH63" s="19" t="n">
        <f aca="false">ROUND((AH$37+AH$59-AH$46-(Capital_Trabajo!AH$62-Capital_Trabajo!AG$62)+(Capital_Trabajo!AH$23+Capital_Trabajo!AH$32+Deuda_Tributos!AH$18-Capital_Trabajo!AH$43-Capital_Trabajo!AH$52))*Calendario!AH$13-AH$57,2)</f>
        <v>-0</v>
      </c>
      <c r="AI63" s="19" t="n">
        <f aca="false">ROUND((AI$37+AI$59-AI$46-(Capital_Trabajo!AI$62-Capital_Trabajo!AH$62)+(Capital_Trabajo!AI$23+Capital_Trabajo!AI$32+Deuda_Tributos!AI$18-Capital_Trabajo!AI$43-Capital_Trabajo!AI$52))*Calendario!AI$13-AI$57,2)</f>
        <v>0</v>
      </c>
      <c r="AJ63" s="19" t="n">
        <f aca="false">ROUND((AJ$37+AJ$59-AJ$46-(Capital_Trabajo!AJ$62-Capital_Trabajo!AI$62)+(Capital_Trabajo!AJ$23+Capital_Trabajo!AJ$32+Deuda_Tributos!AJ$18-Capital_Trabajo!AJ$43-Capital_Trabajo!AJ$52))*Calendario!AJ$13-AJ$57,2)</f>
        <v>0</v>
      </c>
      <c r="AK63" s="19" t="n">
        <f aca="false">ROUND((AK$37+AK$59-AK$46-(Capital_Trabajo!AK$62-Capital_Trabajo!AJ$62)+(Capital_Trabajo!AK$23+Capital_Trabajo!AK$32+Deuda_Tributos!AK$18-Capital_Trabajo!AK$43-Capital_Trabajo!AK$52))*Calendario!AK$13-AK$57,2)</f>
        <v>0</v>
      </c>
      <c r="AL63" s="19" t="n">
        <f aca="false">ROUND((AL$37+AL$59-AL$46-(Capital_Trabajo!AL$62-Capital_Trabajo!AK$62)+(Capital_Trabajo!AL$23+Capital_Trabajo!AL$32+Deuda_Tributos!AL$18-Capital_Trabajo!AL$43-Capital_Trabajo!AL$52))*Calendario!AL$13-AL$57,2)</f>
        <v>0</v>
      </c>
      <c r="AM63" s="19" t="n">
        <f aca="false">ROUND((AM$37+AM$59-AM$46-(Capital_Trabajo!AM$62-Capital_Trabajo!AL$62)+(Capital_Trabajo!AM$23+Capital_Trabajo!AM$32+Deuda_Tributos!AM$18-Capital_Trabajo!AM$43-Capital_Trabajo!AM$52))*Calendario!AM$13-AM$57,2)</f>
        <v>-0</v>
      </c>
      <c r="AN63" s="19" t="n">
        <f aca="false">ROUND((AN$37+AN$59-AN$46-(Capital_Trabajo!AN$62-Capital_Trabajo!AM$62)+(Capital_Trabajo!AN$23+Capital_Trabajo!AN$32+Deuda_Tributos!AN$18-Capital_Trabajo!AN$43-Capital_Trabajo!AN$52))*Calendario!AN$13-AN$57,2)</f>
        <v>0</v>
      </c>
      <c r="AO63" s="19" t="n">
        <f aca="false">ROUND((AO$37+AO$59-AO$46-(Capital_Trabajo!AO$62-Capital_Trabajo!AN$62)+(Capital_Trabajo!AO$23+Capital_Trabajo!AO$32+Deuda_Tributos!AO$18-Capital_Trabajo!AO$43-Capital_Trabajo!AO$52))*Calendario!AO$13-AO$57,2)</f>
        <v>0</v>
      </c>
      <c r="AP63" s="19" t="n">
        <f aca="false">ROUND((AP$37+AP$59-AP$46-(Capital_Trabajo!AP$62-Capital_Trabajo!AO$62)+(Capital_Trabajo!AP$23+Capital_Trabajo!AP$32+Deuda_Tributos!AP$18-Capital_Trabajo!AP$43-Capital_Trabajo!AP$52))*Calendario!AP$13-AP$57,2)</f>
        <v>0</v>
      </c>
      <c r="AQ63" s="19" t="n">
        <f aca="false">ROUND((AQ$37+AQ$59-AQ$46-(Capital_Trabajo!AQ$62-Capital_Trabajo!AP$62)+(Capital_Trabajo!AQ$23+Capital_Trabajo!AQ$32+Deuda_Tributos!AQ$18-Capital_Trabajo!AQ$43-Capital_Trabajo!AQ$52))*Calendario!AQ$13-AQ$57,2)</f>
        <v>0</v>
      </c>
      <c r="AR63" s="19" t="n">
        <f aca="false">ROUND((AR$37+AR$59-AR$46-(Capital_Trabajo!AR$62-Capital_Trabajo!AQ$62)+(Capital_Trabajo!AR$23+Capital_Trabajo!AR$32+Deuda_Tributos!AR$18-Capital_Trabajo!AR$43-Capital_Trabajo!AR$52))*Calendario!AR$13-AR$57,2)</f>
        <v>0</v>
      </c>
      <c r="AS63" s="19" t="n">
        <f aca="false">ROUND((AS$37+AS$59-AS$46-(Capital_Trabajo!AS$62-Capital_Trabajo!AR$62)+(Capital_Trabajo!AS$23+Capital_Trabajo!AS$32+Deuda_Tributos!AS$18-Capital_Trabajo!AS$43-Capital_Trabajo!AS$52))*Calendario!AS$13-AS$57,2)</f>
        <v>0</v>
      </c>
      <c r="AT63" s="19" t="n">
        <f aca="false">ROUND((AT$37+AT$59-AT$46-(Capital_Trabajo!AT$62-Capital_Trabajo!AS$62)+(Capital_Trabajo!AT$23+Capital_Trabajo!AT$32+Deuda_Tributos!AT$18-Capital_Trabajo!AT$43-Capital_Trabajo!AT$52))*Calendario!AT$13-AT$57,2)</f>
        <v>-0</v>
      </c>
      <c r="AU63" s="19" t="n">
        <f aca="false">ROUND((AU$37+AU$59-AU$46-(Capital_Trabajo!AU$62-Capital_Trabajo!AT$62)+(Capital_Trabajo!AU$23+Capital_Trabajo!AU$32+Deuda_Tributos!AU$18-Capital_Trabajo!AU$43-Capital_Trabajo!AU$52))*Calendario!AU$13-AU$57,2)</f>
        <v>0</v>
      </c>
      <c r="AV63" s="19" t="n">
        <f aca="false">ROUND((AV$37+AV$59-AV$46-(Capital_Trabajo!AV$62-Capital_Trabajo!AU$62)+(Capital_Trabajo!AV$23+Capital_Trabajo!AV$32+Deuda_Tributos!AV$18-Capital_Trabajo!AV$43-Capital_Trabajo!AV$52))*Calendario!AV$13-AV$57,2)</f>
        <v>0</v>
      </c>
      <c r="AW63" s="19" t="n">
        <f aca="false">ROUND((AW$37+AW$59-AW$46-(Capital_Trabajo!AW$62-Capital_Trabajo!AV$62)+(Capital_Trabajo!AW$23+Capital_Trabajo!AW$32+Deuda_Tributos!AW$18-Capital_Trabajo!AW$43-Capital_Trabajo!AW$52))*Calendario!AW$13-AW$57,2)</f>
        <v>0</v>
      </c>
      <c r="AX63" s="19" t="n">
        <f aca="false">ROUND((AX$37+AX$59-AX$46-(Capital_Trabajo!AX$62-Capital_Trabajo!AW$62)+(Capital_Trabajo!AX$23+Capital_Trabajo!AX$32+Deuda_Tributos!AX$18-Capital_Trabajo!AX$43-Capital_Trabajo!AX$52))*Calendario!AX$13-AX$57,2)</f>
        <v>0</v>
      </c>
      <c r="AY63" s="19" t="n">
        <f aca="false">ROUND((AY$37+AY$59-AY$46-(Capital_Trabajo!AY$62-Capital_Trabajo!AX$62)+(Capital_Trabajo!AY$23+Capital_Trabajo!AY$32+Deuda_Tributos!AY$18-Capital_Trabajo!AY$43-Capital_Trabajo!AY$52))*Calendario!AY$13-AY$57,2)</f>
        <v>0</v>
      </c>
      <c r="AZ63" s="19" t="n">
        <f aca="false">ROUND((AZ$37+AZ$59-AZ$46-(Capital_Trabajo!AZ$62-Capital_Trabajo!AY$62)+(Capital_Trabajo!AZ$23+Capital_Trabajo!AZ$32+Deuda_Tributos!AZ$18-Capital_Trabajo!AZ$43-Capital_Trabajo!AZ$52))*Calendario!AZ$13-AZ$57,2)</f>
        <v>-0</v>
      </c>
      <c r="BA63" s="19" t="n">
        <f aca="false">ROUND((BA$37+BA$59-BA$46-(Capital_Trabajo!BA$62-Capital_Trabajo!AZ$62)+(Capital_Trabajo!BA$23+Capital_Trabajo!BA$32+Deuda_Tributos!BA$18-Capital_Trabajo!BA$43-Capital_Trabajo!BA$52))*Calendario!BA$13-BA$57,2)</f>
        <v>0</v>
      </c>
      <c r="BB63" s="19" t="n">
        <f aca="false">ROUND((BB$37+BB$59-BB$46-(Capital_Trabajo!BB$62-Capital_Trabajo!BA$62)+(Capital_Trabajo!BB$23+Capital_Trabajo!BB$32+Deuda_Tributos!BB$18-Capital_Trabajo!BB$43-Capital_Trabajo!BB$52))*Calendario!BB$13-BB$57,2)</f>
        <v>0</v>
      </c>
      <c r="BC63" s="19" t="n">
        <f aca="false">ROUND((BC$37+BC$59-BC$46-(Capital_Trabajo!BC$62-Capital_Trabajo!BB$62)+(Capital_Trabajo!BC$23+Capital_Trabajo!BC$32+Deuda_Tributos!BC$18-Capital_Trabajo!BC$43-Capital_Trabajo!BC$52))*Calendario!BC$13-BC$57,2)</f>
        <v>-0</v>
      </c>
      <c r="BD63" s="19" t="n">
        <f aca="false">ROUND((BD$37+BD$59-BD$46-(Capital_Trabajo!BD$62-Capital_Trabajo!BC$62)+(Capital_Trabajo!BD$23+Capital_Trabajo!BD$32+Deuda_Tributos!BD$18-Capital_Trabajo!BD$43-Capital_Trabajo!BD$52))*Calendario!BD$13-BD$57,2)</f>
        <v>-0</v>
      </c>
      <c r="BE63" s="19" t="n">
        <f aca="false">ROUND((BE$37+BE$59-BE$46-(Capital_Trabajo!BE$62-Capital_Trabajo!BD$62)+(Capital_Trabajo!BE$23+Capital_Trabajo!BE$32+Deuda_Tributos!BE$18-Capital_Trabajo!BE$43-Capital_Trabajo!BE$52))*Calendario!BE$13-BE$57,2)</f>
        <v>0</v>
      </c>
      <c r="BF63" s="19" t="n">
        <f aca="false">ROUND((BF$37+BF$59-BF$46-(Capital_Trabajo!BF$62-Capital_Trabajo!BE$62)+(Capital_Trabajo!BF$23+Capital_Trabajo!BF$32+Deuda_Tributos!BF$18-Capital_Trabajo!BF$43-Capital_Trabajo!BF$52))*Calendario!BF$13-BF$57,2)</f>
        <v>0</v>
      </c>
      <c r="BG63" s="19" t="n">
        <f aca="false">ROUND((BG$37+BG$59-BG$46-(Capital_Trabajo!BG$62-Capital_Trabajo!BF$62)+(Capital_Trabajo!BG$23+Capital_Trabajo!BG$32+Deuda_Tributos!BG$18-Capital_Trabajo!BG$43-Capital_Trabajo!BG$52))*Calendario!BG$13-BG$57,2)</f>
        <v>0</v>
      </c>
      <c r="BH63" s="19" t="n">
        <f aca="false">ROUND((BH$37+BH$59-BH$46-(Capital_Trabajo!BH$62-Capital_Trabajo!BG$62)+(Capital_Trabajo!BH$23+Capital_Trabajo!BH$32+Deuda_Tributos!BH$18-Capital_Trabajo!BH$43-Capital_Trabajo!BH$52))*Calendario!BH$13-BH$57,2)</f>
        <v>0</v>
      </c>
      <c r="BI63" s="19" t="n">
        <f aca="false">ROUND((BI$37+BI$59-BI$46-(Capital_Trabajo!BI$62-Capital_Trabajo!BH$62)+(Capital_Trabajo!BI$23+Capital_Trabajo!BI$32+Deuda_Tributos!BI$18-Capital_Trabajo!BI$43-Capital_Trabajo!BI$52))*Calendario!BI$13-BI$57,2)</f>
        <v>0</v>
      </c>
      <c r="BJ63" s="19" t="n">
        <f aca="false">ROUND((BJ$37+BJ$59-BJ$46-(Capital_Trabajo!BJ$62-Capital_Trabajo!BI$62)+(Capital_Trabajo!BJ$23+Capital_Trabajo!BJ$32+Deuda_Tributos!BJ$18-Capital_Trabajo!BJ$43-Capital_Trabajo!BJ$52))*Calendario!BJ$13-BJ$57,2)</f>
        <v>0</v>
      </c>
      <c r="BK63" s="19" t="n">
        <f aca="false">ROUND((BK$37+BK$59-BK$46-(Capital_Trabajo!BK$62-Capital_Trabajo!BJ$62)+(Capital_Trabajo!BK$23+Capital_Trabajo!BK$32+Deuda_Tributos!BK$18-Capital_Trabajo!BK$43-Capital_Trabajo!BK$52))*Calendario!BK$13-BK$57,2)</f>
        <v>0</v>
      </c>
      <c r="BL63" s="19" t="n">
        <f aca="false">ROUND((BL$37+BL$59-BL$46-(Capital_Trabajo!BL$62-Capital_Trabajo!BK$62)+(Capital_Trabajo!BL$23+Capital_Trabajo!BL$32+Deuda_Tributos!BL$18-Capital_Trabajo!BL$43-Capital_Trabajo!BL$52))*Calendario!BL$13-BL$57,2)</f>
        <v>-0</v>
      </c>
      <c r="BM63" s="19" t="n">
        <f aca="false">ROUND((BM$37+BM$59-BM$46-(Capital_Trabajo!BM$62-Capital_Trabajo!BL$62)+(Capital_Trabajo!BM$23+Capital_Trabajo!BM$32+Deuda_Tributos!BM$18-Capital_Trabajo!BM$43-Capital_Trabajo!BM$52))*Calendario!BM$13-BM$57,2)</f>
        <v>0</v>
      </c>
      <c r="BN63" s="19" t="n">
        <f aca="false">ROUND((BN$37+BN$59-BN$46-(Capital_Trabajo!BN$62-Capital_Trabajo!BM$62)+(Capital_Trabajo!BN$23+Capital_Trabajo!BN$32+Deuda_Tributos!BN$18-Capital_Trabajo!BN$43-Capital_Trabajo!BN$52))*Calendario!BN$13-BN$57,2)</f>
        <v>0</v>
      </c>
      <c r="BO63" s="19" t="n">
        <f aca="false">ROUND((BO$37+BO$59-BO$46-(Capital_Trabajo!BO$62-Capital_Trabajo!BN$62)+(Capital_Trabajo!BO$23+Capital_Trabajo!BO$32+Deuda_Tributos!BO$18-Capital_Trabajo!BO$43-Capital_Trabajo!BO$52))*Calendario!BO$13-BO$57,2)</f>
        <v>0</v>
      </c>
      <c r="BP63" s="19" t="n">
        <f aca="false">ROUND((BP$37+BP$59-BP$46-(Capital_Trabajo!BP$62-Capital_Trabajo!BO$62)+(Capital_Trabajo!BP$23+Capital_Trabajo!BP$32+Deuda_Tributos!BP$18-Capital_Trabajo!BP$43-Capital_Trabajo!BP$52))*Calendario!BP$13-BP$57,2)</f>
        <v>0</v>
      </c>
      <c r="BQ63" s="19" t="n">
        <f aca="false">ROUND((BQ$37+BQ$59-BQ$46-(Capital_Trabajo!BQ$62-Capital_Trabajo!BP$62)+(Capital_Trabajo!BQ$23+Capital_Trabajo!BQ$32+Deuda_Tributos!BQ$18-Capital_Trabajo!BQ$43-Capital_Trabajo!BQ$52))*Calendario!BQ$13-BQ$57,2)</f>
        <v>0</v>
      </c>
      <c r="BR63" s="19" t="n">
        <f aca="false">ROUND((BR$37+BR$59-BR$46-(Capital_Trabajo!BR$62-Capital_Trabajo!BQ$62)+(Capital_Trabajo!BR$23+Capital_Trabajo!BR$32+Deuda_Tributos!BR$18-Capital_Trabajo!BR$43-Capital_Trabajo!BR$52))*Calendario!BR$13-BR$57,2)</f>
        <v>0</v>
      </c>
      <c r="BS63" s="19" t="n">
        <f aca="false">ROUND((BS$37+BS$59-BS$46-(Capital_Trabajo!BS$62-Capital_Trabajo!BR$62)+(Capital_Trabajo!BS$23+Capital_Trabajo!BS$32+Deuda_Tributos!BS$18-Capital_Trabajo!BS$43-Capital_Trabajo!BS$52))*Calendario!BS$13-BS$57,2)</f>
        <v>0</v>
      </c>
      <c r="BT63" s="19" t="n">
        <f aca="false">ROUND((BT$37+BT$59-BT$46-(Capital_Trabajo!BT$62-Capital_Trabajo!BS$62)+(Capital_Trabajo!BT$23+Capital_Trabajo!BT$32+Deuda_Tributos!BT$18-Capital_Trabajo!BT$43-Capital_Trabajo!BT$52))*Calendario!BT$13-BT$57,2)</f>
        <v>0</v>
      </c>
      <c r="BU63" s="19" t="n">
        <f aca="false">ROUND((BU$37+BU$59-BU$46-(Capital_Trabajo!BU$62-Capital_Trabajo!BT$62)+(Capital_Trabajo!BU$23+Capital_Trabajo!BU$32+Deuda_Tributos!BU$18-Capital_Trabajo!BU$43-Capital_Trabajo!BU$52))*Calendario!BU$13-BU$57,2)</f>
        <v>0</v>
      </c>
      <c r="BV63" s="19" t="n">
        <f aca="false">ROUND((BV$37+BV$59-BV$46-(Capital_Trabajo!BV$62-Capital_Trabajo!BU$62)+(Capital_Trabajo!BV$23+Capital_Trabajo!BV$32+Deuda_Tributos!BV$18-Capital_Trabajo!BV$43-Capital_Trabajo!BV$52))*Calendario!BV$13-BV$57,2)</f>
        <v>0</v>
      </c>
      <c r="BW63" s="19" t="n">
        <f aca="false">ROUND((BW$37+BW$59-BW$46-(Capital_Trabajo!BW$62-Capital_Trabajo!BV$62)+(Capital_Trabajo!BW$23+Capital_Trabajo!BW$32+Deuda_Tributos!BW$18-Capital_Trabajo!BW$43-Capital_Trabajo!BW$52))*Calendario!BW$13-BW$57,2)</f>
        <v>0</v>
      </c>
      <c r="BX63" s="19" t="n">
        <f aca="false">ROUND((BX$37+BX$59-BX$46-(Capital_Trabajo!BX$62-Capital_Trabajo!BW$62)+(Capital_Trabajo!BX$23+Capital_Trabajo!BX$32+Deuda_Tributos!BX$18-Capital_Trabajo!BX$43-Capital_Trabajo!BX$52))*Calendario!BX$13-BX$57,2)</f>
        <v>0</v>
      </c>
      <c r="BY63" s="19" t="n">
        <f aca="false">ROUND((BY$37+BY$59-BY$46-(Capital_Trabajo!BY$62-Capital_Trabajo!BX$62)+(Capital_Trabajo!BY$23+Capital_Trabajo!BY$32+Deuda_Tributos!BY$18-Capital_Trabajo!BY$43-Capital_Trabajo!BY$52))*Calendario!BY$13-BY$57,2)</f>
        <v>0</v>
      </c>
      <c r="BZ63" s="19" t="n">
        <f aca="false">ROUND((BZ$37+BZ$59-BZ$46-(Capital_Trabajo!BZ$62-Capital_Trabajo!BY$62)+(Capital_Trabajo!BZ$23+Capital_Trabajo!BZ$32+Deuda_Tributos!BZ$18-Capital_Trabajo!BZ$43-Capital_Trabajo!BZ$52))*Calendario!BZ$13-BZ$57,2)</f>
        <v>0</v>
      </c>
      <c r="CA63" s="19" t="n">
        <f aca="false">ROUND((CA$37+CA$59-CA$46-(Capital_Trabajo!CA$62-Capital_Trabajo!BZ$62)+(Capital_Trabajo!CA$23+Capital_Trabajo!CA$32+Deuda_Tributos!CA$18-Capital_Trabajo!CA$43-Capital_Trabajo!CA$52))*Calendario!CA$13-CA$57,2)</f>
        <v>0</v>
      </c>
      <c r="CB63" s="19" t="n">
        <f aca="false">ROUND((CB$37+CB$59-CB$46-(Capital_Trabajo!CB$62-Capital_Trabajo!CA$62)+(Capital_Trabajo!CB$23+Capital_Trabajo!CB$32+Deuda_Tributos!CB$18-Capital_Trabajo!CB$43-Capital_Trabajo!CB$52))*Calendario!CB$13-CB$57,2)</f>
        <v>0</v>
      </c>
      <c r="CC63" s="19" t="n">
        <f aca="false">ROUND((CC$37+CC$59-CC$46-(Capital_Trabajo!CC$62-Capital_Trabajo!CB$62)+(Capital_Trabajo!CC$23+Capital_Trabajo!CC$32+Deuda_Tributos!CC$18-Capital_Trabajo!CC$43-Capital_Trabajo!CC$52))*Calendario!CC$13-CC$57,2)</f>
        <v>0</v>
      </c>
      <c r="CD63" s="19" t="n">
        <f aca="false">ROUND((CD$37+CD$59-CD$46-(Capital_Trabajo!CD$62-Capital_Trabajo!CC$62)+(Capital_Trabajo!CD$23+Capital_Trabajo!CD$32+Deuda_Tributos!CD$18-Capital_Trabajo!CD$43-Capital_Trabajo!CD$52))*Calendario!CD$13-CD$57,2)</f>
        <v>0</v>
      </c>
      <c r="CE63" s="19" t="n">
        <f aca="false">ROUND((CE$37+CE$59-CE$46-(Capital_Trabajo!CE$62-Capital_Trabajo!CD$62)+(Capital_Trabajo!CE$23+Capital_Trabajo!CE$32+Deuda_Tributos!CE$18-Capital_Trabajo!CE$43-Capital_Trabajo!CE$52))*Calendario!CE$13-CE$57,2)</f>
        <v>0</v>
      </c>
      <c r="CF63" s="19" t="n">
        <f aca="false">ROUND((CF$37+CF$59-CF$46-(Capital_Trabajo!CF$62-Capital_Trabajo!CE$62)+(Capital_Trabajo!CF$23+Capital_Trabajo!CF$32+Deuda_Tributos!CF$18-Capital_Trabajo!CF$43-Capital_Trabajo!CF$52))*Calendario!CF$13-CF$57,2)</f>
        <v>0</v>
      </c>
      <c r="CG63" s="19" t="n">
        <f aca="false">ROUND((CG$37+CG$59-CG$46-(Capital_Trabajo!CG$62-Capital_Trabajo!CF$62)+(Capital_Trabajo!CG$23+Capital_Trabajo!CG$32+Deuda_Tributos!CG$18-Capital_Trabajo!CG$43-Capital_Trabajo!CG$52))*Calendario!CG$13-CG$57,2)</f>
        <v>0</v>
      </c>
      <c r="CH63" s="19" t="n">
        <f aca="false">ROUND((CH$37+CH$59-CH$46-(Capital_Trabajo!CH$62-Capital_Trabajo!CG$62)+(Capital_Trabajo!CH$23+Capital_Trabajo!CH$32+Deuda_Tributos!CH$18-Capital_Trabajo!CH$43-Capital_Trabajo!CH$52))*Calendario!CH$13-CH$57,2)</f>
        <v>0</v>
      </c>
      <c r="CI63" s="19" t="n">
        <f aca="false">ROUND((CI$37+CI$59-CI$46-(Capital_Trabajo!CI$62-Capital_Trabajo!CH$62)+(Capital_Trabajo!CI$23+Capital_Trabajo!CI$32+Deuda_Tributos!CI$18-Capital_Trabajo!CI$43-Capital_Trabajo!CI$52))*Calendario!CI$13-CI$57,2)</f>
        <v>0</v>
      </c>
      <c r="CJ63" s="19" t="n">
        <f aca="false">ROUND((CJ$37+CJ$59-CJ$46-(Capital_Trabajo!CJ$62-Capital_Trabajo!CI$62)+(Capital_Trabajo!CJ$23+Capital_Trabajo!CJ$32+Deuda_Tributos!CJ$18-Capital_Trabajo!CJ$43-Capital_Trabajo!CJ$52))*Calendario!CJ$13-CJ$57,2)</f>
        <v>-0</v>
      </c>
      <c r="CK63" s="19" t="n">
        <f aca="false">ROUND((CK$37+CK$59-CK$46-(Capital_Trabajo!CK$62-Capital_Trabajo!CJ$62)+(Capital_Trabajo!CK$23+Capital_Trabajo!CK$32+Deuda_Tributos!CK$18-Capital_Trabajo!CK$43-Capital_Trabajo!CK$52))*Calendario!CK$13-CK$57,2)</f>
        <v>0</v>
      </c>
      <c r="CL63" s="19" t="n">
        <f aca="false">ROUND((CL$37+CL$59-CL$46-(Capital_Trabajo!CL$62-Capital_Trabajo!CK$62)+(Capital_Trabajo!CL$23+Capital_Trabajo!CL$32+Deuda_Tributos!CL$18-Capital_Trabajo!CL$43-Capital_Trabajo!CL$52))*Calendario!CL$13-CL$57,2)</f>
        <v>0</v>
      </c>
      <c r="CM63" s="19" t="n">
        <f aca="false">ROUND((CM$37+CM$59-CM$46-(Capital_Trabajo!CM$62-Capital_Trabajo!CL$62)+(Capital_Trabajo!CM$23+Capital_Trabajo!CM$32+Deuda_Tributos!CM$18-Capital_Trabajo!CM$43-Capital_Trabajo!CM$52))*Calendario!CM$13-CM$57,2)</f>
        <v>-0</v>
      </c>
      <c r="CN63" s="19" t="n">
        <f aca="false">ROUND((CN$37+CN$59-CN$46-(Capital_Trabajo!CN$62-Capital_Trabajo!CM$62)+(Capital_Trabajo!CN$23+Capital_Trabajo!CN$32+Deuda_Tributos!CN$18-Capital_Trabajo!CN$43-Capital_Trabajo!CN$52))*Calendario!CN$13-CN$57,2)</f>
        <v>0</v>
      </c>
      <c r="CO63" s="19" t="n">
        <f aca="false">ROUND((CO$37+CO$59-CO$46-(Capital_Trabajo!CO$62-Capital_Trabajo!CN$62)+(Capital_Trabajo!CO$23+Capital_Trabajo!CO$32+Deuda_Tributos!CO$18-Capital_Trabajo!CO$43-Capital_Trabajo!CO$52))*Calendario!CO$13-CO$57,2)</f>
        <v>0</v>
      </c>
      <c r="CP63" s="19" t="n">
        <f aca="false">ROUND((CP$37+CP$59-CP$46-(Capital_Trabajo!CP$62-Capital_Trabajo!CO$62)+(Capital_Trabajo!CP$23+Capital_Trabajo!CP$32+Deuda_Tributos!CP$18-Capital_Trabajo!CP$43-Capital_Trabajo!CP$52))*Calendario!CP$13-CP$57,2)</f>
        <v>0</v>
      </c>
      <c r="CQ63" s="19" t="n">
        <f aca="false">ROUND((CQ$37+CQ$59-CQ$46-(Capital_Trabajo!CQ$62-Capital_Trabajo!CP$62)+(Capital_Trabajo!CQ$23+Capital_Trabajo!CQ$32+Deuda_Tributos!CQ$18-Capital_Trabajo!CQ$43-Capital_Trabajo!CQ$52))*Calendario!CQ$13-CQ$57,2)</f>
        <v>0</v>
      </c>
      <c r="CR63" s="19" t="n">
        <f aca="false">ROUND((CR$37+CR$59-CR$46-(Capital_Trabajo!CR$62-Capital_Trabajo!CQ$62)+(Capital_Trabajo!CR$23+Capital_Trabajo!CR$32+Deuda_Tributos!CR$18-Capital_Trabajo!CR$43-Capital_Trabajo!CR$52))*Calendario!CR$13-CR$57,2)</f>
        <v>0</v>
      </c>
      <c r="CS63" s="19" t="n">
        <f aca="false">ROUND((CS$37+CS$59-CS$46-(Capital_Trabajo!CS$62-Capital_Trabajo!CR$62)+(Capital_Trabajo!CS$23+Capital_Trabajo!CS$32+Deuda_Tributos!CS$18-Capital_Trabajo!CS$43-Capital_Trabajo!CS$52))*Calendario!CS$13-CS$57,2)</f>
        <v>0</v>
      </c>
      <c r="CT63" s="19" t="n">
        <f aca="false">ROUND((CT$37+CT$59-CT$46-(Capital_Trabajo!CT$62-Capital_Trabajo!CS$62)+(Capital_Trabajo!CT$23+Capital_Trabajo!CT$32+Deuda_Tributos!CT$18-Capital_Trabajo!CT$43-Capital_Trabajo!CT$52))*Calendario!CT$13-CT$57,2)</f>
        <v>0</v>
      </c>
      <c r="CU63" s="19" t="n">
        <f aca="false">ROUND((CU$37+CU$59-CU$46-(Capital_Trabajo!CU$62-Capital_Trabajo!CT$62)+(Capital_Trabajo!CU$23+Capital_Trabajo!CU$32+Deuda_Tributos!CU$18-Capital_Trabajo!CU$43-Capital_Trabajo!CU$52))*Calendario!CU$13-CU$57,2)</f>
        <v>0</v>
      </c>
      <c r="CV63" s="19" t="n">
        <f aca="false">ROUND((CV$37+CV$59-CV$46-(Capital_Trabajo!CV$62-Capital_Trabajo!CU$62)+(Capital_Trabajo!CV$23+Capital_Trabajo!CV$32+Deuda_Tributos!CV$18-Capital_Trabajo!CV$43-Capital_Trabajo!CV$52))*Calendario!CV$13-CV$57,2)</f>
        <v>0</v>
      </c>
      <c r="CW63" s="19" t="n">
        <f aca="false">ROUND((CW$37+CW$59-CW$46-(Capital_Trabajo!CW$62-Capital_Trabajo!CV$62)+(Capital_Trabajo!CW$23+Capital_Trabajo!CW$32+Deuda_Tributos!CW$18-Capital_Trabajo!CW$43-Capital_Trabajo!CW$52))*Calendario!CW$13-CW$57,2)</f>
        <v>0</v>
      </c>
      <c r="CX63" s="19" t="n">
        <f aca="false">ROUND((CX$37+CX$59-CX$46-(Capital_Trabajo!CX$62-Capital_Trabajo!CW$62)+(Capital_Trabajo!CX$23+Capital_Trabajo!CX$32+Deuda_Tributos!CX$18-Capital_Trabajo!CX$43-Capital_Trabajo!CX$52))*Calendario!CX$13-CX$57,2)</f>
        <v>0</v>
      </c>
      <c r="CY63" s="19" t="n">
        <f aca="false">ROUND((CY$37+CY$59-CY$46-(Capital_Trabajo!CY$62-Capital_Trabajo!CX$62)+(Capital_Trabajo!CY$23+Capital_Trabajo!CY$32+Deuda_Tributos!CY$18-Capital_Trabajo!CY$43-Capital_Trabajo!CY$52))*Calendario!CY$13-CY$57,2)</f>
        <v>0</v>
      </c>
      <c r="CZ63" s="19" t="n">
        <f aca="false">ROUND((CZ$37+CZ$59-CZ$46-(Capital_Trabajo!CZ$62-Capital_Trabajo!CY$62)+(Capital_Trabajo!CZ$23+Capital_Trabajo!CZ$32+Deuda_Tributos!CZ$18-Capital_Trabajo!CZ$43-Capital_Trabajo!CZ$52))*Calendario!CZ$13-CZ$57,2)</f>
        <v>0</v>
      </c>
      <c r="DA63" s="19" t="n">
        <f aca="false">ROUND((DA$37+DA$59-DA$46-(Capital_Trabajo!DA$62-Capital_Trabajo!CZ$62)+(Capital_Trabajo!DA$23+Capital_Trabajo!DA$32+Deuda_Tributos!DA$18-Capital_Trabajo!DA$43-Capital_Trabajo!DA$52))*Calendario!DA$13-DA$57,2)</f>
        <v>0</v>
      </c>
      <c r="DB63" s="19" t="n">
        <f aca="false">ROUND((DB$37+DB$59-DB$46-(Capital_Trabajo!DB$62-Capital_Trabajo!DA$62)+(Capital_Trabajo!DB$23+Capital_Trabajo!DB$32+Deuda_Tributos!DB$18-Capital_Trabajo!DB$43-Capital_Trabajo!DB$52))*Calendario!DB$13-DB$57,2)</f>
        <v>-0</v>
      </c>
      <c r="DC63" s="19" t="n">
        <f aca="false">ROUND((DC$37+DC$59-DC$46-(Capital_Trabajo!DC$62-Capital_Trabajo!DB$62)+(Capital_Trabajo!DC$23+Capital_Trabajo!DC$32+Deuda_Tributos!DC$18-Capital_Trabajo!DC$43-Capital_Trabajo!DC$52))*Calendario!DC$13-DC$57,2)</f>
        <v>0</v>
      </c>
      <c r="DD63" s="19" t="n">
        <f aca="false">ROUND((DD$37+DD$59-DD$46-(Capital_Trabajo!DD$62-Capital_Trabajo!DC$62)+(Capital_Trabajo!DD$23+Capital_Trabajo!DD$32+Deuda_Tributos!DD$18-Capital_Trabajo!DD$43-Capital_Trabajo!DD$52))*Calendario!DD$13-DD$57,2)</f>
        <v>0</v>
      </c>
      <c r="DE63" s="19" t="n">
        <f aca="false">ROUND((DE$37+DE$59-DE$46-(Capital_Trabajo!DE$62-Capital_Trabajo!DD$62)+(Capital_Trabajo!DE$23+Capital_Trabajo!DE$32+Deuda_Tributos!DE$18-Capital_Trabajo!DE$43-Capital_Trabajo!DE$52))*Calendario!DE$13-DE$57,2)</f>
        <v>0</v>
      </c>
      <c r="DF63" s="19" t="n">
        <f aca="false">ROUND((DF$37+DF$59-DF$46-(Capital_Trabajo!DF$62-Capital_Trabajo!DE$62)+(Capital_Trabajo!DF$23+Capital_Trabajo!DF$32+Deuda_Tributos!DF$18-Capital_Trabajo!DF$43-Capital_Trabajo!DF$52))*Calendario!DF$13-DF$57,2)</f>
        <v>0</v>
      </c>
      <c r="DG63" s="19" t="n">
        <f aca="false">ROUND((DG$37+DG$59-DG$46-(Capital_Trabajo!DG$62-Capital_Trabajo!DF$62)+(Capital_Trabajo!DG$23+Capital_Trabajo!DG$32+Deuda_Tributos!DG$18-Capital_Trabajo!DG$43-Capital_Trabajo!DG$52))*Calendario!DG$13-DG$57,2)</f>
        <v>0</v>
      </c>
      <c r="DH63" s="19" t="n">
        <f aca="false">ROUND((DH$37+DH$59-DH$46-(Capital_Trabajo!DH$62-Capital_Trabajo!DG$62)+(Capital_Trabajo!DH$23+Capital_Trabajo!DH$32+Deuda_Tributos!DH$18-Capital_Trabajo!DH$43-Capital_Trabajo!DH$52))*Calendario!DH$13-DH$57,2)</f>
        <v>0</v>
      </c>
      <c r="DI63" s="19" t="n">
        <f aca="false">ROUND((DI$37+DI$59-DI$46-(Capital_Trabajo!DI$62-Capital_Trabajo!DH$62)+(Capital_Trabajo!DI$23+Capital_Trabajo!DI$32+Deuda_Tributos!DI$18-Capital_Trabajo!DI$43-Capital_Trabajo!DI$52))*Calendario!DI$13-DI$57,2)</f>
        <v>-0</v>
      </c>
      <c r="DJ63" s="19" t="n">
        <f aca="false">ROUND((DJ$37+DJ$59-DJ$46-(Capital_Trabajo!DJ$62-Capital_Trabajo!DI$62)+(Capital_Trabajo!DJ$23+Capital_Trabajo!DJ$32+Deuda_Tributos!DJ$18-Capital_Trabajo!DJ$43-Capital_Trabajo!DJ$52))*Calendario!DJ$13-DJ$57,2)</f>
        <v>0</v>
      </c>
      <c r="DK63" s="19" t="n">
        <f aca="false">ROUND((DK$37+DK$59-DK$46-(Capital_Trabajo!DK$62-Capital_Trabajo!DJ$62)+(Capital_Trabajo!DK$23+Capital_Trabajo!DK$32+Deuda_Tributos!DK$18-Capital_Trabajo!DK$43-Capital_Trabajo!DK$52))*Calendario!DK$13-DK$57,2)</f>
        <v>0</v>
      </c>
      <c r="DL63" s="19" t="n">
        <f aca="false">ROUND((DL$37+DL$59-DL$46-(Capital_Trabajo!DL$62-Capital_Trabajo!DK$62)+(Capital_Trabajo!DL$23+Capital_Trabajo!DL$32+Deuda_Tributos!DL$18-Capital_Trabajo!DL$43-Capital_Trabajo!DL$52))*Calendario!DL$13-DL$57,2)</f>
        <v>0</v>
      </c>
      <c r="DM63" s="19" t="n">
        <f aca="false">ROUND((DM$37+DM$59-DM$46-(Capital_Trabajo!DM$62-Capital_Trabajo!DL$62)+(Capital_Trabajo!DM$23+Capital_Trabajo!DM$32+Deuda_Tributos!DM$18-Capital_Trabajo!DM$43-Capital_Trabajo!DM$52))*Calendario!DM$13-DM$57,2)</f>
        <v>0</v>
      </c>
      <c r="DN63" s="19" t="n">
        <f aca="false">ROUND((DN$37+DN$59-DN$46-(Capital_Trabajo!DN$62-Capital_Trabajo!DM$62)+(Capital_Trabajo!DN$23+Capital_Trabajo!DN$32+Deuda_Tributos!DN$18-Capital_Trabajo!DN$43-Capital_Trabajo!DN$52))*Calendario!DN$13-DN$57,2)</f>
        <v>0</v>
      </c>
      <c r="DO63" s="19" t="n">
        <f aca="false">ROUND((DO$37+DO$59-DO$46-(Capital_Trabajo!DO$62-Capital_Trabajo!DN$62)+(Capital_Trabajo!DO$23+Capital_Trabajo!DO$32+Deuda_Tributos!DO$18-Capital_Trabajo!DO$43-Capital_Trabajo!DO$52))*Calendario!DO$13-DO$57,2)</f>
        <v>0</v>
      </c>
      <c r="DP63" s="19" t="n">
        <f aca="false">ROUND((DP$37+DP$59-DP$46-(Capital_Trabajo!DP$62-Capital_Trabajo!DO$62)+(Capital_Trabajo!DP$23+Capital_Trabajo!DP$32+Deuda_Tributos!DP$18-Capital_Trabajo!DP$43-Capital_Trabajo!DP$52))*Calendario!DP$13-DP$57,2)</f>
        <v>0</v>
      </c>
      <c r="DQ63" s="19" t="n">
        <f aca="false">ROUND((DQ$37+DQ$59-DQ$46-(Capital_Trabajo!DQ$62-Capital_Trabajo!DP$62)+(Capital_Trabajo!DQ$23+Capital_Trabajo!DQ$32+Deuda_Tributos!DQ$18-Capital_Trabajo!DQ$43-Capital_Trabajo!DQ$52))*Calendario!DQ$13-DQ$57,2)</f>
        <v>0</v>
      </c>
      <c r="DR63" s="19" t="n">
        <f aca="false">ROUND((DR$37+DR$59-DR$46-(Capital_Trabajo!DR$62-Capital_Trabajo!DQ$62)+(Capital_Trabajo!DR$23+Capital_Trabajo!DR$32+Deuda_Tributos!DR$18-Capital_Trabajo!DR$43-Capital_Trabajo!DR$52))*Calendario!DR$13-DR$57,2)</f>
        <v>0</v>
      </c>
      <c r="DS63" s="19" t="n">
        <f aca="false">ROUND((DS$37+DS$59-DS$46-(Capital_Trabajo!DS$62-Capital_Trabajo!DR$62)+(Capital_Trabajo!DS$23+Capital_Trabajo!DS$32+Deuda_Tributos!DS$18-Capital_Trabajo!DS$43-Capital_Trabajo!DS$52))*Calendario!DS$13-DS$57,2)</f>
        <v>0</v>
      </c>
      <c r="DT63" s="19" t="n">
        <f aca="false">ROUND((DT$37+DT$59-DT$46-(Capital_Trabajo!DT$62-Capital_Trabajo!DS$62)+(Capital_Trabajo!DT$23+Capital_Trabajo!DT$32+Deuda_Tributos!DT$18-Capital_Trabajo!DT$43-Capital_Trabajo!DT$52))*Calendario!DT$13-DT$57,2)</f>
        <v>0</v>
      </c>
      <c r="DU63" s="19" t="n">
        <f aca="false">ROUND((DU$37+DU$59-DU$46-(Capital_Trabajo!DU$62-Capital_Trabajo!DT$62)+(Capital_Trabajo!DU$23+Capital_Trabajo!DU$32+Deuda_Tributos!DU$18-Capital_Trabajo!DU$43-Capital_Trabajo!DU$52))*Calendario!DU$13-DU$57,2)</f>
        <v>0</v>
      </c>
      <c r="DV63" s="19" t="n">
        <f aca="false">ROUND((DV$37+DV$59-DV$46-(Capital_Trabajo!DV$62-Capital_Trabajo!DU$62)+(Capital_Trabajo!DV$23+Capital_Trabajo!DV$32+Deuda_Tributos!DV$18-Capital_Trabajo!DV$43-Capital_Trabajo!DV$52))*Calendario!DV$13-DV$57,2)</f>
        <v>0</v>
      </c>
      <c r="DW63" s="19" t="n">
        <f aca="false">ROUND((DW$37+DW$59-DW$46-(Capital_Trabajo!DW$62-Capital_Trabajo!DV$62)+(Capital_Trabajo!DW$23+Capital_Trabajo!DW$32+Deuda_Tributos!DW$18-Capital_Trabajo!DW$43-Capital_Trabajo!DW$52))*Calendario!DW$13-DW$57,2)</f>
        <v>0</v>
      </c>
      <c r="DX63" s="19" t="n">
        <f aca="false">ROUND((DX$37+DX$59-DX$46-(Capital_Trabajo!DX$62-Capital_Trabajo!DW$62)+(Capital_Trabajo!DX$23+Capital_Trabajo!DX$32+Deuda_Tributos!DX$18-Capital_Trabajo!DX$43-Capital_Trabajo!DX$52))*Calendario!DX$13-DX$57,2)</f>
        <v>0</v>
      </c>
      <c r="DY63" s="19" t="n">
        <f aca="false">ROUND((DY$37+DY$59-DY$46-(Capital_Trabajo!DY$62-Capital_Trabajo!DX$62)+(Capital_Trabajo!DY$23+Capital_Trabajo!DY$32+Deuda_Tributos!DY$18-Capital_Trabajo!DY$43-Capital_Trabajo!DY$52))*Calendario!DY$13-DY$57,2)</f>
        <v>0</v>
      </c>
      <c r="DZ63" s="19" t="n">
        <f aca="false">ROUND((DZ$37+DZ$59-DZ$46-(Capital_Trabajo!DZ$62-Capital_Trabajo!DY$62)+(Capital_Trabajo!DZ$23+Capital_Trabajo!DZ$32+Deuda_Tributos!DZ$18-Capital_Trabajo!DZ$43-Capital_Trabajo!DZ$52))*Calendario!DZ$13-DZ$57,2)</f>
        <v>0</v>
      </c>
      <c r="EA63" s="19" t="n">
        <f aca="false">ROUND((EA$37+EA$59-EA$46-(Capital_Trabajo!EA$62-Capital_Trabajo!DZ$62)+(Capital_Trabajo!EA$23+Capital_Trabajo!EA$32+Deuda_Tributos!EA$18-Capital_Trabajo!EA$43-Capital_Trabajo!EA$52))*Calendario!EA$13-EA$57,2)</f>
        <v>0</v>
      </c>
      <c r="EB63" s="19" t="n">
        <f aca="false">ROUND((EB$37+EB$59-EB$46-(Capital_Trabajo!EB$62-Capital_Trabajo!EA$62)+(Capital_Trabajo!EB$23+Capital_Trabajo!EB$32+Deuda_Tributos!EB$18-Capital_Trabajo!EB$43-Capital_Trabajo!EB$52))*Calendario!EB$13-EB$57,2)</f>
        <v>0</v>
      </c>
      <c r="EC63" s="19" t="n">
        <f aca="false">ROUND((EC$37+EC$59-EC$46-(Capital_Trabajo!EC$62-Capital_Trabajo!EB$62)+(Capital_Trabajo!EC$23+Capital_Trabajo!EC$32+Deuda_Tributos!EC$18-Capital_Trabajo!EC$43-Capital_Trabajo!EC$52))*Calendario!EC$13-EC$57,2)</f>
        <v>0</v>
      </c>
      <c r="ED63" s="19" t="n">
        <f aca="false">ROUND((ED$37+ED$59-ED$46-(Capital_Trabajo!ED$62-Capital_Trabajo!EC$62)+(Capital_Trabajo!ED$23+Capital_Trabajo!ED$32+Deuda_Tributos!ED$18-Capital_Trabajo!ED$43-Capital_Trabajo!ED$52))*Calendario!ED$13-ED$57,2)</f>
        <v>0</v>
      </c>
      <c r="EE63" s="19" t="n">
        <f aca="false">ROUND((EE$37+EE$59-EE$46-(Capital_Trabajo!EE$62-Capital_Trabajo!ED$62)+(Capital_Trabajo!EE$23+Capital_Trabajo!EE$32+Deuda_Tributos!EE$18-Capital_Trabajo!EE$43-Capital_Trabajo!EE$52))*Calendario!EE$13-EE$57,2)</f>
        <v>0</v>
      </c>
      <c r="EF63" s="19" t="n">
        <f aca="false">ROUND((EF$37+EF$59-EF$46-(Capital_Trabajo!EF$62-Capital_Trabajo!EE$62)+(Capital_Trabajo!EF$23+Capital_Trabajo!EF$32+Deuda_Tributos!EF$18-Capital_Trabajo!EF$43-Capital_Trabajo!EF$52))*Calendario!EF$13-EF$57,2)</f>
        <v>0</v>
      </c>
      <c r="EG63" s="19" t="n">
        <f aca="false">ROUND((EG$37+EG$59-EG$46-(Capital_Trabajo!EG$62-Capital_Trabajo!EF$62)+(Capital_Trabajo!EG$23+Capital_Trabajo!EG$32+Deuda_Tributos!EG$18-Capital_Trabajo!EG$43-Capital_Trabajo!EG$52))*Calendario!EG$13-EG$57,2)</f>
        <v>0</v>
      </c>
      <c r="EH63" s="19" t="n">
        <f aca="false">ROUND((EH$37+EH$59-EH$46-(Capital_Trabajo!EH$62-Capital_Trabajo!EG$62)+(Capital_Trabajo!EH$23+Capital_Trabajo!EH$32+Deuda_Tributos!EH$18-Capital_Trabajo!EH$43-Capital_Trabajo!EH$52))*Calendario!EH$13-EH$57,2)</f>
        <v>0</v>
      </c>
      <c r="EI63" s="19" t="n">
        <f aca="false">ROUND((EI$37+EI$59-EI$46-(Capital_Trabajo!EI$62-Capital_Trabajo!EH$62)+(Capital_Trabajo!EI$23+Capital_Trabajo!EI$32+Deuda_Tributos!EI$18-Capital_Trabajo!EI$43-Capital_Trabajo!EI$52))*Calendario!EI$13-EI$57,2)</f>
        <v>0</v>
      </c>
      <c r="EJ63" s="19" t="n">
        <f aca="false">ROUND((EJ$37+EJ$59-EJ$46-(Capital_Trabajo!EJ$62-Capital_Trabajo!EI$62)+(Capital_Trabajo!EJ$23+Capital_Trabajo!EJ$32+Deuda_Tributos!EJ$18-Capital_Trabajo!EJ$43-Capital_Trabajo!EJ$52))*Calendario!EJ$13-EJ$57,2)</f>
        <v>0</v>
      </c>
      <c r="EK63" s="19" t="n">
        <f aca="false">ROUND((EK$37+EK$59-EK$46-(Capital_Trabajo!EK$62-Capital_Trabajo!EJ$62)+(Capital_Trabajo!EK$23+Capital_Trabajo!EK$32+Deuda_Tributos!EK$18-Capital_Trabajo!EK$43-Capital_Trabajo!EK$52))*Calendario!EK$13-EK$57,2)</f>
        <v>0</v>
      </c>
      <c r="EL63" s="19" t="n">
        <f aca="false">ROUND((EL$37+EL$59-EL$46-(Capital_Trabajo!EL$62-Capital_Trabajo!EK$62)+(Capital_Trabajo!EL$23+Capital_Trabajo!EL$32+Deuda_Tributos!EL$18-Capital_Trabajo!EL$43-Capital_Trabajo!EL$52))*Calendario!EL$13-EL$57,2)</f>
        <v>0</v>
      </c>
      <c r="EM63" s="19" t="n">
        <f aca="false">ROUND((EM$37+EM$59-EM$46-(Capital_Trabajo!EM$62-Capital_Trabajo!EL$62)+(Capital_Trabajo!EM$23+Capital_Trabajo!EM$32+Deuda_Tributos!EM$18-Capital_Trabajo!EM$43-Capital_Trabajo!EM$52))*Calendario!EM$13-EM$57,2)</f>
        <v>0</v>
      </c>
      <c r="EN63" s="19" t="n">
        <f aca="false">ROUND((EN$37+EN$59-EN$46-(Capital_Trabajo!EN$62-Capital_Trabajo!EM$62)+(Capital_Trabajo!EN$23+Capital_Trabajo!EN$32+Deuda_Tributos!EN$18-Capital_Trabajo!EN$43-Capital_Trabajo!EN$52))*Calendario!EN$13-EN$57,2)</f>
        <v>0</v>
      </c>
      <c r="EO63" s="19" t="n">
        <f aca="false">ROUND((EO$37+EO$59-EO$46-(Capital_Trabajo!EO$62-Capital_Trabajo!EN$62)+(Capital_Trabajo!EO$23+Capital_Trabajo!EO$32+Deuda_Tributos!EO$18-Capital_Trabajo!EO$43-Capital_Trabajo!EO$52))*Calendario!EO$13-EO$57,2)</f>
        <v>0</v>
      </c>
      <c r="EP63" s="19" t="n">
        <f aca="false">ROUND((EP$37+EP$59-EP$46-(Capital_Trabajo!EP$62-Capital_Trabajo!EO$62)+(Capital_Trabajo!EP$23+Capital_Trabajo!EP$32+Deuda_Tributos!EP$18-Capital_Trabajo!EP$43-Capital_Trabajo!EP$52))*Calendario!EP$13-EP$57,2)</f>
        <v>0</v>
      </c>
      <c r="EQ63" s="19" t="n">
        <f aca="false">ROUND((EQ$37+EQ$59-EQ$46-(Capital_Trabajo!EQ$62-Capital_Trabajo!EP$62)+(Capital_Trabajo!EQ$23+Capital_Trabajo!EQ$32+Deuda_Tributos!EQ$18-Capital_Trabajo!EQ$43-Capital_Trabajo!EQ$52))*Calendario!EQ$13-EQ$57,2)</f>
        <v>0</v>
      </c>
      <c r="ER63" s="19" t="n">
        <f aca="false">ROUND((ER$37+ER$59-ER$46-(Capital_Trabajo!ER$62-Capital_Trabajo!EQ$62)+(Capital_Trabajo!ER$23+Capital_Trabajo!ER$32+Deuda_Tributos!ER$18-Capital_Trabajo!ER$43-Capital_Trabajo!ER$52))*Calendario!ER$13-ER$57,2)</f>
        <v>0</v>
      </c>
      <c r="ES63" s="19" t="n">
        <f aca="false">ROUND((ES$37+ES$59-ES$46-(Capital_Trabajo!ES$62-Capital_Trabajo!ER$62)+(Capital_Trabajo!ES$23+Capital_Trabajo!ES$32+Deuda_Tributos!ES$18-Capital_Trabajo!ES$43-Capital_Trabajo!ES$52))*Calendario!ES$13-ES$57,2)</f>
        <v>0</v>
      </c>
      <c r="ET63" s="19" t="n">
        <f aca="false">ROUND((ET$37+ET$59-ET$46-(Capital_Trabajo!ET$62-Capital_Trabajo!ES$62)+(Capital_Trabajo!ET$23+Capital_Trabajo!ET$32+Deuda_Tributos!ET$18-Capital_Trabajo!ET$43-Capital_Trabajo!ET$52))*Calendario!ET$13-ET$57,2)</f>
        <v>0</v>
      </c>
      <c r="EU63" s="19" t="n">
        <f aca="false">ROUND((EU$37+EU$59-EU$46-(Capital_Trabajo!EU$62-Capital_Trabajo!ET$62)+(Capital_Trabajo!EU$23+Capital_Trabajo!EU$32+Deuda_Tributos!EU$18-Capital_Trabajo!EU$43-Capital_Trabajo!EU$52))*Calendario!EU$13-EU$57,2)</f>
        <v>0</v>
      </c>
      <c r="EV63" s="19" t="n">
        <f aca="false">ROUND((EV$37+EV$59-EV$46-(Capital_Trabajo!EV$62-Capital_Trabajo!EU$62)+(Capital_Trabajo!EV$23+Capital_Trabajo!EV$32+Deuda_Tributos!EV$18-Capital_Trabajo!EV$43-Capital_Trabajo!EV$52))*Calendario!EV$13-EV$57,2)</f>
        <v>0</v>
      </c>
      <c r="EW63" s="19" t="n">
        <f aca="false">ROUND((EW$37+EW$59-EW$46-(Capital_Trabajo!EW$62-Capital_Trabajo!EV$62)+(Capital_Trabajo!EW$23+Capital_Trabajo!EW$32+Deuda_Tributos!EW$18-Capital_Trabajo!EW$43-Capital_Trabajo!EW$52))*Calendario!EW$13-EW$57,2)</f>
        <v>0</v>
      </c>
      <c r="EX63" s="19" t="n">
        <f aca="false">ROUND((EX$37+EX$59-EX$46-(Capital_Trabajo!EX$62-Capital_Trabajo!EW$62)+(Capital_Trabajo!EX$23+Capital_Trabajo!EX$32+Deuda_Tributos!EX$18-Capital_Trabajo!EX$43-Capital_Trabajo!EX$52))*Calendario!EX$13-EX$57,2)</f>
        <v>0</v>
      </c>
      <c r="EY63" s="19" t="n">
        <f aca="false">ROUND((EY$37+EY$59-EY$46-(Capital_Trabajo!EY$62-Capital_Trabajo!EX$62)+(Capital_Trabajo!EY$23+Capital_Trabajo!EY$32+Deuda_Tributos!EY$18-Capital_Trabajo!EY$43-Capital_Trabajo!EY$52))*Calendario!EY$13-EY$57,2)</f>
        <v>0</v>
      </c>
      <c r="EZ63" s="19" t="n">
        <f aca="false">ROUND((EZ$37+EZ$59-EZ$46-(Capital_Trabajo!EZ$62-Capital_Trabajo!EY$62)+(Capital_Trabajo!EZ$23+Capital_Trabajo!EZ$32+Deuda_Tributos!EZ$18-Capital_Trabajo!EZ$43-Capital_Trabajo!EZ$52))*Calendario!EZ$13-EZ$57,2)</f>
        <v>0</v>
      </c>
      <c r="FA63" s="19" t="n">
        <f aca="false">ROUND((FA$37+FA$59-FA$46-(Capital_Trabajo!FA$62-Capital_Trabajo!EZ$62)+(Capital_Trabajo!FA$23+Capital_Trabajo!FA$32+Deuda_Tributos!FA$18-Capital_Trabajo!FA$43-Capital_Trabajo!FA$52))*Calendario!FA$13-FA$57,2)</f>
        <v>0</v>
      </c>
      <c r="FB63" s="19" t="n">
        <f aca="false">ROUND((FB$37+FB$59-FB$46-(Capital_Trabajo!FB$62-Capital_Trabajo!FA$62)+(Capital_Trabajo!FB$23+Capital_Trabajo!FB$32+Deuda_Tributos!FB$18-Capital_Trabajo!FB$43-Capital_Trabajo!FB$52))*Calendario!FB$13-FB$57,2)</f>
        <v>0</v>
      </c>
      <c r="FC63" s="19" t="n">
        <f aca="false">ROUND((FC$37+FC$59-FC$46-(Capital_Trabajo!FC$62-Capital_Trabajo!FB$62)+(Capital_Trabajo!FC$23+Capital_Trabajo!FC$32+Deuda_Tributos!FC$18-Capital_Trabajo!FC$43-Capital_Trabajo!FC$52))*Calendario!FC$13-FC$57,2)</f>
        <v>0</v>
      </c>
      <c r="FD63" s="19" t="n">
        <f aca="false">ROUND((FD$37+FD$59-FD$46-(Capital_Trabajo!FD$62-Capital_Trabajo!FC$62)+(Capital_Trabajo!FD$23+Capital_Trabajo!FD$32+Deuda_Tributos!FD$18-Capital_Trabajo!FD$43-Capital_Trabajo!FD$52))*Calendario!FD$13-FD$57,2)</f>
        <v>0</v>
      </c>
      <c r="FE63" s="19" t="n">
        <f aca="false">ROUND((FE$37+FE$59-FE$46-(Capital_Trabajo!FE$62-Capital_Trabajo!FD$62)+(Capital_Trabajo!FE$23+Capital_Trabajo!FE$32+Deuda_Tributos!FE$18-Capital_Trabajo!FE$43-Capital_Trabajo!FE$52))*Calendario!FE$13-FE$57,2)</f>
        <v>0</v>
      </c>
      <c r="FF63" s="19" t="n">
        <f aca="false">ROUND((FF$37+FF$59-FF$46-(Capital_Trabajo!FF$62-Capital_Trabajo!FE$62)+(Capital_Trabajo!FF$23+Capital_Trabajo!FF$32+Deuda_Tributos!FF$18-Capital_Trabajo!FF$43-Capital_Trabajo!FF$52))*Calendario!FF$13-FF$57,2)</f>
        <v>0</v>
      </c>
    </row>
    <row r="64" customFormat="false" ht="15" hidden="false" customHeight="false" outlineLevel="0" collapsed="false">
      <c r="A64" s="4"/>
      <c r="B64" s="3" t="s">
        <v>1539</v>
      </c>
      <c r="C64" s="4"/>
      <c r="D64" s="4"/>
      <c r="E64" s="4"/>
    </row>
    <row r="65" customFormat="false" ht="15" hidden="false" customHeight="false" outlineLevel="0" collapsed="false">
      <c r="A65" s="2" t="s">
        <v>1540</v>
      </c>
      <c r="B65" s="8" t="s">
        <v>1541</v>
      </c>
      <c r="C65" s="8" t="s">
        <v>255</v>
      </c>
      <c r="E65" s="65" t="n">
        <f aca="false">SUM($F65:$FF65)</f>
        <v>2791587</v>
      </c>
      <c r="F65" s="13" t="n">
        <f aca="false">Deuda_Tributos!F$24+Deuda_Tributos!F$38</f>
        <v>2791587</v>
      </c>
      <c r="G65" s="13" t="n">
        <f aca="false">Deuda_Tributos!G$24+Deuda_Tributos!G$38</f>
        <v>0</v>
      </c>
      <c r="H65" s="13" t="n">
        <f aca="false">Deuda_Tributos!H$24+Deuda_Tributos!H$38</f>
        <v>0</v>
      </c>
      <c r="I65" s="13" t="n">
        <f aca="false">Deuda_Tributos!I$24+Deuda_Tributos!I$38</f>
        <v>0</v>
      </c>
      <c r="J65" s="13" t="n">
        <f aca="false">Deuda_Tributos!J$24+Deuda_Tributos!J$38</f>
        <v>0</v>
      </c>
      <c r="K65" s="13" t="n">
        <f aca="false">Deuda_Tributos!K$24+Deuda_Tributos!K$38</f>
        <v>0</v>
      </c>
      <c r="L65" s="13" t="n">
        <f aca="false">Deuda_Tributos!L$24+Deuda_Tributos!L$38</f>
        <v>0</v>
      </c>
      <c r="M65" s="13" t="n">
        <f aca="false">Deuda_Tributos!M$24+Deuda_Tributos!M$38</f>
        <v>0</v>
      </c>
      <c r="N65" s="13" t="n">
        <f aca="false">Deuda_Tributos!N$24+Deuda_Tributos!N$38</f>
        <v>0</v>
      </c>
      <c r="O65" s="13" t="n">
        <f aca="false">Deuda_Tributos!O$24+Deuda_Tributos!O$38</f>
        <v>0</v>
      </c>
      <c r="P65" s="13" t="n">
        <f aca="false">Deuda_Tributos!P$24+Deuda_Tributos!P$38</f>
        <v>0</v>
      </c>
      <c r="Q65" s="13" t="n">
        <f aca="false">Deuda_Tributos!Q$24+Deuda_Tributos!Q$38</f>
        <v>0</v>
      </c>
      <c r="R65" s="13" t="n">
        <f aca="false">Deuda_Tributos!R$24+Deuda_Tributos!R$38</f>
        <v>0</v>
      </c>
      <c r="S65" s="13" t="n">
        <f aca="false">Deuda_Tributos!S$24+Deuda_Tributos!S$38</f>
        <v>0</v>
      </c>
      <c r="T65" s="13" t="n">
        <f aca="false">Deuda_Tributos!T$24+Deuda_Tributos!T$38</f>
        <v>0</v>
      </c>
      <c r="U65" s="13" t="n">
        <f aca="false">Deuda_Tributos!U$24+Deuda_Tributos!U$38</f>
        <v>0</v>
      </c>
      <c r="V65" s="13" t="n">
        <f aca="false">Deuda_Tributos!V$24+Deuda_Tributos!V$38</f>
        <v>0</v>
      </c>
      <c r="W65" s="13" t="n">
        <f aca="false">Deuda_Tributos!W$24+Deuda_Tributos!W$38</f>
        <v>0</v>
      </c>
      <c r="X65" s="13" t="n">
        <f aca="false">Deuda_Tributos!X$24+Deuda_Tributos!X$38</f>
        <v>0</v>
      </c>
      <c r="Y65" s="13" t="n">
        <f aca="false">Deuda_Tributos!Y$24+Deuda_Tributos!Y$38</f>
        <v>0</v>
      </c>
      <c r="Z65" s="13" t="n">
        <f aca="false">Deuda_Tributos!Z$24+Deuda_Tributos!Z$38</f>
        <v>0</v>
      </c>
      <c r="AA65" s="13" t="n">
        <f aca="false">Deuda_Tributos!AA$24+Deuda_Tributos!AA$38</f>
        <v>0</v>
      </c>
      <c r="AB65" s="13" t="n">
        <f aca="false">Deuda_Tributos!AB$24+Deuda_Tributos!AB$38</f>
        <v>0</v>
      </c>
      <c r="AC65" s="13" t="n">
        <f aca="false">Deuda_Tributos!AC$24+Deuda_Tributos!AC$38</f>
        <v>0</v>
      </c>
      <c r="AD65" s="13" t="n">
        <f aca="false">Deuda_Tributos!AD$24+Deuda_Tributos!AD$38</f>
        <v>0</v>
      </c>
      <c r="AE65" s="13" t="n">
        <f aca="false">Deuda_Tributos!AE$24+Deuda_Tributos!AE$38</f>
        <v>0</v>
      </c>
      <c r="AF65" s="13" t="n">
        <f aca="false">Deuda_Tributos!AF$24+Deuda_Tributos!AF$38</f>
        <v>0</v>
      </c>
      <c r="AG65" s="13" t="n">
        <f aca="false">Deuda_Tributos!AG$24+Deuda_Tributos!AG$38</f>
        <v>0</v>
      </c>
      <c r="AH65" s="13" t="n">
        <f aca="false">Deuda_Tributos!AH$24+Deuda_Tributos!AH$38</f>
        <v>0</v>
      </c>
      <c r="AI65" s="13" t="n">
        <f aca="false">Deuda_Tributos!AI$24+Deuda_Tributos!AI$38</f>
        <v>0</v>
      </c>
      <c r="AJ65" s="13" t="n">
        <f aca="false">Deuda_Tributos!AJ$24+Deuda_Tributos!AJ$38</f>
        <v>0</v>
      </c>
      <c r="AK65" s="13" t="n">
        <f aca="false">Deuda_Tributos!AK$24+Deuda_Tributos!AK$38</f>
        <v>0</v>
      </c>
      <c r="AL65" s="13" t="n">
        <f aca="false">Deuda_Tributos!AL$24+Deuda_Tributos!AL$38</f>
        <v>0</v>
      </c>
      <c r="AM65" s="13" t="n">
        <f aca="false">Deuda_Tributos!AM$24+Deuda_Tributos!AM$38</f>
        <v>0</v>
      </c>
      <c r="AN65" s="13" t="n">
        <f aca="false">Deuda_Tributos!AN$24+Deuda_Tributos!AN$38</f>
        <v>0</v>
      </c>
      <c r="AO65" s="13" t="n">
        <f aca="false">Deuda_Tributos!AO$24+Deuda_Tributos!AO$38</f>
        <v>0</v>
      </c>
      <c r="AP65" s="13" t="n">
        <f aca="false">Deuda_Tributos!AP$24+Deuda_Tributos!AP$38</f>
        <v>0</v>
      </c>
      <c r="AQ65" s="13" t="n">
        <f aca="false">Deuda_Tributos!AQ$24+Deuda_Tributos!AQ$38</f>
        <v>0</v>
      </c>
      <c r="AR65" s="13" t="n">
        <f aca="false">Deuda_Tributos!AR$24+Deuda_Tributos!AR$38</f>
        <v>0</v>
      </c>
      <c r="AS65" s="13" t="n">
        <f aca="false">Deuda_Tributos!AS$24+Deuda_Tributos!AS$38</f>
        <v>0</v>
      </c>
      <c r="AT65" s="13" t="n">
        <f aca="false">Deuda_Tributos!AT$24+Deuda_Tributos!AT$38</f>
        <v>0</v>
      </c>
      <c r="AU65" s="13" t="n">
        <f aca="false">Deuda_Tributos!AU$24+Deuda_Tributos!AU$38</f>
        <v>0</v>
      </c>
      <c r="AV65" s="13" t="n">
        <f aca="false">Deuda_Tributos!AV$24+Deuda_Tributos!AV$38</f>
        <v>0</v>
      </c>
      <c r="AW65" s="13" t="n">
        <f aca="false">Deuda_Tributos!AW$24+Deuda_Tributos!AW$38</f>
        <v>0</v>
      </c>
      <c r="AX65" s="13" t="n">
        <f aca="false">Deuda_Tributos!AX$24+Deuda_Tributos!AX$38</f>
        <v>0</v>
      </c>
      <c r="AY65" s="13" t="n">
        <f aca="false">Deuda_Tributos!AY$24+Deuda_Tributos!AY$38</f>
        <v>0</v>
      </c>
      <c r="AZ65" s="13" t="n">
        <f aca="false">Deuda_Tributos!AZ$24+Deuda_Tributos!AZ$38</f>
        <v>0</v>
      </c>
      <c r="BA65" s="13" t="n">
        <f aca="false">Deuda_Tributos!BA$24+Deuda_Tributos!BA$38</f>
        <v>0</v>
      </c>
      <c r="BB65" s="13" t="n">
        <f aca="false">Deuda_Tributos!BB$24+Deuda_Tributos!BB$38</f>
        <v>0</v>
      </c>
      <c r="BC65" s="13" t="n">
        <f aca="false">Deuda_Tributos!BC$24+Deuda_Tributos!BC$38</f>
        <v>0</v>
      </c>
      <c r="BD65" s="13" t="n">
        <f aca="false">Deuda_Tributos!BD$24+Deuda_Tributos!BD$38</f>
        <v>0</v>
      </c>
      <c r="BE65" s="13" t="n">
        <f aca="false">Deuda_Tributos!BE$24+Deuda_Tributos!BE$38</f>
        <v>0</v>
      </c>
      <c r="BF65" s="13" t="n">
        <f aca="false">Deuda_Tributos!BF$24+Deuda_Tributos!BF$38</f>
        <v>0</v>
      </c>
      <c r="BG65" s="13" t="n">
        <f aca="false">Deuda_Tributos!BG$24+Deuda_Tributos!BG$38</f>
        <v>0</v>
      </c>
      <c r="BH65" s="13" t="n">
        <f aca="false">Deuda_Tributos!BH$24+Deuda_Tributos!BH$38</f>
        <v>0</v>
      </c>
      <c r="BI65" s="13" t="n">
        <f aca="false">Deuda_Tributos!BI$24+Deuda_Tributos!BI$38</f>
        <v>0</v>
      </c>
      <c r="BJ65" s="13" t="n">
        <f aca="false">Deuda_Tributos!BJ$24+Deuda_Tributos!BJ$38</f>
        <v>0</v>
      </c>
      <c r="BK65" s="13" t="n">
        <f aca="false">Deuda_Tributos!BK$24+Deuda_Tributos!BK$38</f>
        <v>0</v>
      </c>
      <c r="BL65" s="13" t="n">
        <f aca="false">Deuda_Tributos!BL$24+Deuda_Tributos!BL$38</f>
        <v>0</v>
      </c>
      <c r="BM65" s="13" t="n">
        <f aca="false">Deuda_Tributos!BM$24+Deuda_Tributos!BM$38</f>
        <v>0</v>
      </c>
      <c r="BN65" s="13" t="n">
        <f aca="false">Deuda_Tributos!BN$24+Deuda_Tributos!BN$38</f>
        <v>0</v>
      </c>
      <c r="BO65" s="13" t="n">
        <f aca="false">Deuda_Tributos!BO$24+Deuda_Tributos!BO$38</f>
        <v>0</v>
      </c>
      <c r="BP65" s="13" t="n">
        <f aca="false">Deuda_Tributos!BP$24+Deuda_Tributos!BP$38</f>
        <v>0</v>
      </c>
      <c r="BQ65" s="13" t="n">
        <f aca="false">Deuda_Tributos!BQ$24+Deuda_Tributos!BQ$38</f>
        <v>0</v>
      </c>
      <c r="BR65" s="13" t="n">
        <f aca="false">Deuda_Tributos!BR$24+Deuda_Tributos!BR$38</f>
        <v>0</v>
      </c>
      <c r="BS65" s="13" t="n">
        <f aca="false">Deuda_Tributos!BS$24+Deuda_Tributos!BS$38</f>
        <v>0</v>
      </c>
      <c r="BT65" s="13" t="n">
        <f aca="false">Deuda_Tributos!BT$24+Deuda_Tributos!BT$38</f>
        <v>0</v>
      </c>
      <c r="BU65" s="13" t="n">
        <f aca="false">Deuda_Tributos!BU$24+Deuda_Tributos!BU$38</f>
        <v>0</v>
      </c>
      <c r="BV65" s="13" t="n">
        <f aca="false">Deuda_Tributos!BV$24+Deuda_Tributos!BV$38</f>
        <v>0</v>
      </c>
      <c r="BW65" s="13" t="n">
        <f aca="false">Deuda_Tributos!BW$24+Deuda_Tributos!BW$38</f>
        <v>0</v>
      </c>
      <c r="BX65" s="13" t="n">
        <f aca="false">Deuda_Tributos!BX$24+Deuda_Tributos!BX$38</f>
        <v>0</v>
      </c>
      <c r="BY65" s="13" t="n">
        <f aca="false">Deuda_Tributos!BY$24+Deuda_Tributos!BY$38</f>
        <v>0</v>
      </c>
      <c r="BZ65" s="13" t="n">
        <f aca="false">Deuda_Tributos!BZ$24+Deuda_Tributos!BZ$38</f>
        <v>0</v>
      </c>
      <c r="CA65" s="13" t="n">
        <f aca="false">Deuda_Tributos!CA$24+Deuda_Tributos!CA$38</f>
        <v>0</v>
      </c>
      <c r="CB65" s="13" t="n">
        <f aca="false">Deuda_Tributos!CB$24+Deuda_Tributos!CB$38</f>
        <v>0</v>
      </c>
      <c r="CC65" s="13" t="n">
        <f aca="false">Deuda_Tributos!CC$24+Deuda_Tributos!CC$38</f>
        <v>0</v>
      </c>
      <c r="CD65" s="13" t="n">
        <f aca="false">Deuda_Tributos!CD$24+Deuda_Tributos!CD$38</f>
        <v>0</v>
      </c>
      <c r="CE65" s="13" t="n">
        <f aca="false">Deuda_Tributos!CE$24+Deuda_Tributos!CE$38</f>
        <v>0</v>
      </c>
      <c r="CF65" s="13" t="n">
        <f aca="false">Deuda_Tributos!CF$24+Deuda_Tributos!CF$38</f>
        <v>0</v>
      </c>
      <c r="CG65" s="13" t="n">
        <f aca="false">Deuda_Tributos!CG$24+Deuda_Tributos!CG$38</f>
        <v>0</v>
      </c>
      <c r="CH65" s="13" t="n">
        <f aca="false">Deuda_Tributos!CH$24+Deuda_Tributos!CH$38</f>
        <v>0</v>
      </c>
      <c r="CI65" s="13" t="n">
        <f aca="false">Deuda_Tributos!CI$24+Deuda_Tributos!CI$38</f>
        <v>0</v>
      </c>
      <c r="CJ65" s="13" t="n">
        <f aca="false">Deuda_Tributos!CJ$24+Deuda_Tributos!CJ$38</f>
        <v>0</v>
      </c>
      <c r="CK65" s="13" t="n">
        <f aca="false">Deuda_Tributos!CK$24+Deuda_Tributos!CK$38</f>
        <v>0</v>
      </c>
      <c r="CL65" s="13" t="n">
        <f aca="false">Deuda_Tributos!CL$24+Deuda_Tributos!CL$38</f>
        <v>0</v>
      </c>
      <c r="CM65" s="13" t="n">
        <f aca="false">Deuda_Tributos!CM$24+Deuda_Tributos!CM$38</f>
        <v>0</v>
      </c>
      <c r="CN65" s="13" t="n">
        <f aca="false">Deuda_Tributos!CN$24+Deuda_Tributos!CN$38</f>
        <v>0</v>
      </c>
      <c r="CO65" s="13" t="n">
        <f aca="false">Deuda_Tributos!CO$24+Deuda_Tributos!CO$38</f>
        <v>0</v>
      </c>
      <c r="CP65" s="13" t="n">
        <f aca="false">Deuda_Tributos!CP$24+Deuda_Tributos!CP$38</f>
        <v>0</v>
      </c>
      <c r="CQ65" s="13" t="n">
        <f aca="false">Deuda_Tributos!CQ$24+Deuda_Tributos!CQ$38</f>
        <v>0</v>
      </c>
      <c r="CR65" s="13" t="n">
        <f aca="false">Deuda_Tributos!CR$24+Deuda_Tributos!CR$38</f>
        <v>0</v>
      </c>
      <c r="CS65" s="13" t="n">
        <f aca="false">Deuda_Tributos!CS$24+Deuda_Tributos!CS$38</f>
        <v>0</v>
      </c>
      <c r="CT65" s="13" t="n">
        <f aca="false">Deuda_Tributos!CT$24+Deuda_Tributos!CT$38</f>
        <v>0</v>
      </c>
      <c r="CU65" s="13" t="n">
        <f aca="false">Deuda_Tributos!CU$24+Deuda_Tributos!CU$38</f>
        <v>0</v>
      </c>
      <c r="CV65" s="13" t="n">
        <f aca="false">Deuda_Tributos!CV$24+Deuda_Tributos!CV$38</f>
        <v>0</v>
      </c>
      <c r="CW65" s="13" t="n">
        <f aca="false">Deuda_Tributos!CW$24+Deuda_Tributos!CW$38</f>
        <v>0</v>
      </c>
      <c r="CX65" s="13" t="n">
        <f aca="false">Deuda_Tributos!CX$24+Deuda_Tributos!CX$38</f>
        <v>0</v>
      </c>
      <c r="CY65" s="13" t="n">
        <f aca="false">Deuda_Tributos!CY$24+Deuda_Tributos!CY$38</f>
        <v>0</v>
      </c>
      <c r="CZ65" s="13" t="n">
        <f aca="false">Deuda_Tributos!CZ$24+Deuda_Tributos!CZ$38</f>
        <v>0</v>
      </c>
      <c r="DA65" s="13" t="n">
        <f aca="false">Deuda_Tributos!DA$24+Deuda_Tributos!DA$38</f>
        <v>0</v>
      </c>
      <c r="DB65" s="13" t="n">
        <f aca="false">Deuda_Tributos!DB$24+Deuda_Tributos!DB$38</f>
        <v>0</v>
      </c>
      <c r="DC65" s="13" t="n">
        <f aca="false">Deuda_Tributos!DC$24+Deuda_Tributos!DC$38</f>
        <v>0</v>
      </c>
      <c r="DD65" s="13" t="n">
        <f aca="false">Deuda_Tributos!DD$24+Deuda_Tributos!DD$38</f>
        <v>0</v>
      </c>
      <c r="DE65" s="13" t="n">
        <f aca="false">Deuda_Tributos!DE$24+Deuda_Tributos!DE$38</f>
        <v>0</v>
      </c>
      <c r="DF65" s="13" t="n">
        <f aca="false">Deuda_Tributos!DF$24+Deuda_Tributos!DF$38</f>
        <v>0</v>
      </c>
      <c r="DG65" s="13" t="n">
        <f aca="false">Deuda_Tributos!DG$24+Deuda_Tributos!DG$38</f>
        <v>0</v>
      </c>
      <c r="DH65" s="13" t="n">
        <f aca="false">Deuda_Tributos!DH$24+Deuda_Tributos!DH$38</f>
        <v>0</v>
      </c>
      <c r="DI65" s="13" t="n">
        <f aca="false">Deuda_Tributos!DI$24+Deuda_Tributos!DI$38</f>
        <v>0</v>
      </c>
      <c r="DJ65" s="13" t="n">
        <f aca="false">Deuda_Tributos!DJ$24+Deuda_Tributos!DJ$38</f>
        <v>0</v>
      </c>
      <c r="DK65" s="13" t="n">
        <f aca="false">Deuda_Tributos!DK$24+Deuda_Tributos!DK$38</f>
        <v>0</v>
      </c>
      <c r="DL65" s="13" t="n">
        <f aca="false">Deuda_Tributos!DL$24+Deuda_Tributos!DL$38</f>
        <v>0</v>
      </c>
      <c r="DM65" s="13" t="n">
        <f aca="false">Deuda_Tributos!DM$24+Deuda_Tributos!DM$38</f>
        <v>0</v>
      </c>
      <c r="DN65" s="13" t="n">
        <f aca="false">Deuda_Tributos!DN$24+Deuda_Tributos!DN$38</f>
        <v>0</v>
      </c>
      <c r="DO65" s="13" t="n">
        <f aca="false">Deuda_Tributos!DO$24+Deuda_Tributos!DO$38</f>
        <v>0</v>
      </c>
      <c r="DP65" s="13" t="n">
        <f aca="false">Deuda_Tributos!DP$24+Deuda_Tributos!DP$38</f>
        <v>0</v>
      </c>
      <c r="DQ65" s="13" t="n">
        <f aca="false">Deuda_Tributos!DQ$24+Deuda_Tributos!DQ$38</f>
        <v>0</v>
      </c>
      <c r="DR65" s="13" t="n">
        <f aca="false">Deuda_Tributos!DR$24+Deuda_Tributos!DR$38</f>
        <v>0</v>
      </c>
      <c r="DS65" s="13" t="n">
        <f aca="false">Deuda_Tributos!DS$24+Deuda_Tributos!DS$38</f>
        <v>0</v>
      </c>
      <c r="DT65" s="13" t="n">
        <f aca="false">Deuda_Tributos!DT$24+Deuda_Tributos!DT$38</f>
        <v>0</v>
      </c>
      <c r="DU65" s="13" t="n">
        <f aca="false">Deuda_Tributos!DU$24+Deuda_Tributos!DU$38</f>
        <v>0</v>
      </c>
      <c r="DV65" s="13" t="n">
        <f aca="false">Deuda_Tributos!DV$24+Deuda_Tributos!DV$38</f>
        <v>0</v>
      </c>
      <c r="DW65" s="13" t="n">
        <f aca="false">Deuda_Tributos!DW$24+Deuda_Tributos!DW$38</f>
        <v>0</v>
      </c>
      <c r="DX65" s="13" t="n">
        <f aca="false">Deuda_Tributos!DX$24+Deuda_Tributos!DX$38</f>
        <v>0</v>
      </c>
      <c r="DY65" s="13" t="n">
        <f aca="false">Deuda_Tributos!DY$24+Deuda_Tributos!DY$38</f>
        <v>0</v>
      </c>
      <c r="DZ65" s="13" t="n">
        <f aca="false">Deuda_Tributos!DZ$24+Deuda_Tributos!DZ$38</f>
        <v>0</v>
      </c>
      <c r="EA65" s="13" t="n">
        <f aca="false">Deuda_Tributos!EA$24+Deuda_Tributos!EA$38</f>
        <v>0</v>
      </c>
      <c r="EB65" s="13" t="n">
        <f aca="false">Deuda_Tributos!EB$24+Deuda_Tributos!EB$38</f>
        <v>0</v>
      </c>
      <c r="EC65" s="13" t="n">
        <f aca="false">Deuda_Tributos!EC$24+Deuda_Tributos!EC$38</f>
        <v>0</v>
      </c>
      <c r="ED65" s="13" t="n">
        <f aca="false">Deuda_Tributos!ED$24+Deuda_Tributos!ED$38</f>
        <v>0</v>
      </c>
      <c r="EE65" s="13" t="n">
        <f aca="false">Deuda_Tributos!EE$24+Deuda_Tributos!EE$38</f>
        <v>0</v>
      </c>
      <c r="EF65" s="13" t="n">
        <f aca="false">Deuda_Tributos!EF$24+Deuda_Tributos!EF$38</f>
        <v>0</v>
      </c>
      <c r="EG65" s="13" t="n">
        <f aca="false">Deuda_Tributos!EG$24+Deuda_Tributos!EG$38</f>
        <v>0</v>
      </c>
      <c r="EH65" s="13" t="n">
        <f aca="false">Deuda_Tributos!EH$24+Deuda_Tributos!EH$38</f>
        <v>0</v>
      </c>
      <c r="EI65" s="13" t="n">
        <f aca="false">Deuda_Tributos!EI$24+Deuda_Tributos!EI$38</f>
        <v>0</v>
      </c>
      <c r="EJ65" s="13" t="n">
        <f aca="false">Deuda_Tributos!EJ$24+Deuda_Tributos!EJ$38</f>
        <v>0</v>
      </c>
      <c r="EK65" s="13" t="n">
        <f aca="false">Deuda_Tributos!EK$24+Deuda_Tributos!EK$38</f>
        <v>0</v>
      </c>
      <c r="EL65" s="13" t="n">
        <f aca="false">Deuda_Tributos!EL$24+Deuda_Tributos!EL$38</f>
        <v>0</v>
      </c>
      <c r="EM65" s="13" t="n">
        <f aca="false">Deuda_Tributos!EM$24+Deuda_Tributos!EM$38</f>
        <v>0</v>
      </c>
      <c r="EN65" s="13" t="n">
        <f aca="false">Deuda_Tributos!EN$24+Deuda_Tributos!EN$38</f>
        <v>0</v>
      </c>
      <c r="EO65" s="13" t="n">
        <f aca="false">Deuda_Tributos!EO$24+Deuda_Tributos!EO$38</f>
        <v>0</v>
      </c>
      <c r="EP65" s="13" t="n">
        <f aca="false">Deuda_Tributos!EP$24+Deuda_Tributos!EP$38</f>
        <v>0</v>
      </c>
      <c r="EQ65" s="13" t="n">
        <f aca="false">Deuda_Tributos!EQ$24+Deuda_Tributos!EQ$38</f>
        <v>0</v>
      </c>
      <c r="ER65" s="13" t="n">
        <f aca="false">Deuda_Tributos!ER$24+Deuda_Tributos!ER$38</f>
        <v>0</v>
      </c>
      <c r="ES65" s="13" t="n">
        <f aca="false">Deuda_Tributos!ES$24+Deuda_Tributos!ES$38</f>
        <v>0</v>
      </c>
      <c r="ET65" s="13" t="n">
        <f aca="false">Deuda_Tributos!ET$24+Deuda_Tributos!ET$38</f>
        <v>0</v>
      </c>
      <c r="EU65" s="13" t="n">
        <f aca="false">Deuda_Tributos!EU$24+Deuda_Tributos!EU$38</f>
        <v>0</v>
      </c>
      <c r="EV65" s="13" t="n">
        <f aca="false">Deuda_Tributos!EV$24+Deuda_Tributos!EV$38</f>
        <v>0</v>
      </c>
      <c r="EW65" s="13" t="n">
        <f aca="false">Deuda_Tributos!EW$24+Deuda_Tributos!EW$38</f>
        <v>0</v>
      </c>
      <c r="EX65" s="13" t="n">
        <f aca="false">Deuda_Tributos!EX$24+Deuda_Tributos!EX$38</f>
        <v>0</v>
      </c>
      <c r="EY65" s="13" t="n">
        <f aca="false">Deuda_Tributos!EY$24+Deuda_Tributos!EY$38</f>
        <v>0</v>
      </c>
      <c r="EZ65" s="13" t="n">
        <f aca="false">Deuda_Tributos!EZ$24+Deuda_Tributos!EZ$38</f>
        <v>0</v>
      </c>
      <c r="FA65" s="13" t="n">
        <f aca="false">Deuda_Tributos!FA$24+Deuda_Tributos!FA$38</f>
        <v>0</v>
      </c>
      <c r="FB65" s="13" t="n">
        <f aca="false">Deuda_Tributos!FB$24+Deuda_Tributos!FB$38</f>
        <v>0</v>
      </c>
      <c r="FC65" s="13" t="n">
        <f aca="false">Deuda_Tributos!FC$24+Deuda_Tributos!FC$38</f>
        <v>0</v>
      </c>
      <c r="FD65" s="13" t="n">
        <f aca="false">Deuda_Tributos!FD$24+Deuda_Tributos!FD$38</f>
        <v>0</v>
      </c>
      <c r="FE65" s="13" t="n">
        <f aca="false">Deuda_Tributos!FE$24+Deuda_Tributos!FE$38</f>
        <v>0</v>
      </c>
      <c r="FF65" s="13" t="n">
        <f aca="false">Deuda_Tributos!FF$24+Deuda_Tributos!FF$38</f>
        <v>0</v>
      </c>
    </row>
    <row r="66" customFormat="false" ht="15" hidden="false" customHeight="false" outlineLevel="0" collapsed="false">
      <c r="A66" s="2" t="s">
        <v>1542</v>
      </c>
      <c r="B66" s="8" t="s">
        <v>1543</v>
      </c>
      <c r="C66" s="8" t="s">
        <v>255</v>
      </c>
      <c r="E66" s="65" t="n">
        <f aca="false">SUM($F66:$FF66)</f>
        <v>2791587</v>
      </c>
      <c r="F66" s="13" t="n">
        <f aca="false">Deuda_Tributos!F$27+Deuda_Tributos!F$41</f>
        <v>0</v>
      </c>
      <c r="G66" s="13" t="n">
        <f aca="false">Deuda_Tributos!G$27+Deuda_Tributos!G$41</f>
        <v>0</v>
      </c>
      <c r="H66" s="13" t="n">
        <f aca="false">Deuda_Tributos!H$27+Deuda_Tributos!H$41</f>
        <v>0</v>
      </c>
      <c r="I66" s="13" t="n">
        <f aca="false">Deuda_Tributos!I$27+Deuda_Tributos!I$41</f>
        <v>0</v>
      </c>
      <c r="J66" s="13" t="n">
        <f aca="false">Deuda_Tributos!J$27+Deuda_Tributos!J$41</f>
        <v>0</v>
      </c>
      <c r="K66" s="13" t="n">
        <f aca="false">Deuda_Tributos!K$27+Deuda_Tributos!K$41</f>
        <v>0</v>
      </c>
      <c r="L66" s="13" t="n">
        <f aca="false">Deuda_Tributos!L$27+Deuda_Tributos!L$41</f>
        <v>0</v>
      </c>
      <c r="M66" s="13" t="n">
        <f aca="false">Deuda_Tributos!M$27+Deuda_Tributos!M$41</f>
        <v>42123.3040946878</v>
      </c>
      <c r="N66" s="13" t="n">
        <f aca="false">Deuda_Tributos!N$27+Deuda_Tributos!N$41</f>
        <v>42439.2288753979</v>
      </c>
      <c r="O66" s="13" t="n">
        <f aca="false">Deuda_Tributos!O$27+Deuda_Tributos!O$41</f>
        <v>42757.5230919634</v>
      </c>
      <c r="P66" s="13" t="n">
        <f aca="false">Deuda_Tributos!P$27+Deuda_Tributos!P$41</f>
        <v>43078.2045151531</v>
      </c>
      <c r="Q66" s="13" t="n">
        <f aca="false">Deuda_Tributos!Q$27+Deuda_Tributos!Q$41</f>
        <v>43401.2910490168</v>
      </c>
      <c r="R66" s="13" t="n">
        <f aca="false">Deuda_Tributos!R$27+Deuda_Tributos!R$41</f>
        <v>43726.8007318844</v>
      </c>
      <c r="S66" s="13" t="n">
        <f aca="false">Deuda_Tributos!S$27+Deuda_Tributos!S$41</f>
        <v>44054.7517373735</v>
      </c>
      <c r="T66" s="13" t="n">
        <f aca="false">Deuda_Tributos!T$27+Deuda_Tributos!T$41</f>
        <v>44385.1623754038</v>
      </c>
      <c r="U66" s="13" t="n">
        <f aca="false">Deuda_Tributos!U$27+Deuda_Tributos!U$41</f>
        <v>44718.0510932194</v>
      </c>
      <c r="V66" s="13" t="n">
        <f aca="false">Deuda_Tributos!V$27+Deuda_Tributos!V$41</f>
        <v>45053.4364764185</v>
      </c>
      <c r="W66" s="13" t="n">
        <f aca="false">Deuda_Tributos!W$27+Deuda_Tributos!W$41</f>
        <v>45391.3372499916</v>
      </c>
      <c r="X66" s="13" t="n">
        <f aca="false">Deuda_Tributos!X$27+Deuda_Tributos!X$41</f>
        <v>45731.7722793666</v>
      </c>
      <c r="Y66" s="13" t="n">
        <f aca="false">Deuda_Tributos!Y$27+Deuda_Tributos!Y$41</f>
        <v>46074.7605714618</v>
      </c>
      <c r="Z66" s="13" t="n">
        <f aca="false">Deuda_Tributos!Z$27+Deuda_Tributos!Z$41</f>
        <v>46420.3212757478</v>
      </c>
      <c r="AA66" s="13" t="n">
        <f aca="false">Deuda_Tributos!AA$27+Deuda_Tributos!AA$41</f>
        <v>46768.4736853159</v>
      </c>
      <c r="AB66" s="13" t="n">
        <f aca="false">Deuda_Tributos!AB$27+Deuda_Tributos!AB$41</f>
        <v>47119.2372379558</v>
      </c>
      <c r="AC66" s="13" t="n">
        <f aca="false">Deuda_Tributos!AC$27+Deuda_Tributos!AC$41</f>
        <v>47472.6315172404</v>
      </c>
      <c r="AD66" s="13" t="n">
        <f aca="false">Deuda_Tributos!AD$27+Deuda_Tributos!AD$41</f>
        <v>47828.6762536197</v>
      </c>
      <c r="AE66" s="13" t="n">
        <f aca="false">Deuda_Tributos!AE$27+Deuda_Tributos!AE$41</f>
        <v>48187.3913255219</v>
      </c>
      <c r="AF66" s="13" t="n">
        <f aca="false">Deuda_Tributos!AF$27+Deuda_Tributos!AF$41</f>
        <v>48548.7967604633</v>
      </c>
      <c r="AG66" s="13" t="n">
        <f aca="false">Deuda_Tributos!AG$27+Deuda_Tributos!AG$41</f>
        <v>48912.9127361668</v>
      </c>
      <c r="AH66" s="13" t="n">
        <f aca="false">Deuda_Tributos!AH$27+Deuda_Tributos!AH$41</f>
        <v>49279.759581688</v>
      </c>
      <c r="AI66" s="13" t="n">
        <f aca="false">Deuda_Tributos!AI$27+Deuda_Tributos!AI$41</f>
        <v>49649.3577785507</v>
      </c>
      <c r="AJ66" s="13" t="n">
        <f aca="false">Deuda_Tributos!AJ$27+Deuda_Tributos!AJ$41</f>
        <v>50021.7279618898</v>
      </c>
      <c r="AK66" s="13" t="n">
        <f aca="false">Deuda_Tributos!AK$27+Deuda_Tributos!AK$41</f>
        <v>50396.890921604</v>
      </c>
      <c r="AL66" s="13" t="n">
        <f aca="false">Deuda_Tributos!AL$27+Deuda_Tributos!AL$41</f>
        <v>50774.867603516</v>
      </c>
      <c r="AM66" s="13" t="n">
        <f aca="false">Deuda_Tributos!AM$27+Deuda_Tributos!AM$41</f>
        <v>51155.6791105424</v>
      </c>
      <c r="AN66" s="13" t="n">
        <f aca="false">Deuda_Tributos!AN$27+Deuda_Tributos!AN$41</f>
        <v>51539.3467038715</v>
      </c>
      <c r="AO66" s="13" t="n">
        <f aca="false">Deuda_Tributos!AO$27+Deuda_Tributos!AO$41</f>
        <v>51925.8918041505</v>
      </c>
      <c r="AP66" s="13" t="n">
        <f aca="false">Deuda_Tributos!AP$27+Deuda_Tributos!AP$41</f>
        <v>52315.3359926816</v>
      </c>
      <c r="AQ66" s="13" t="n">
        <f aca="false">Deuda_Tributos!AQ$27+Deuda_Tributos!AQ$41</f>
        <v>52707.7010126267</v>
      </c>
      <c r="AR66" s="13" t="n">
        <f aca="false">Deuda_Tributos!AR$27+Deuda_Tributos!AR$41</f>
        <v>53103.0087702214</v>
      </c>
      <c r="AS66" s="13" t="n">
        <f aca="false">Deuda_Tributos!AS$27+Deuda_Tributos!AS$41</f>
        <v>53501.2813359981</v>
      </c>
      <c r="AT66" s="13" t="n">
        <f aca="false">Deuda_Tributos!AT$27+Deuda_Tributos!AT$41</f>
        <v>53902.5409460181</v>
      </c>
      <c r="AU66" s="13" t="n">
        <f aca="false">Deuda_Tributos!AU$27+Deuda_Tributos!AU$41</f>
        <v>54306.8100031132</v>
      </c>
      <c r="AV66" s="13" t="n">
        <f aca="false">Deuda_Tributos!AV$27+Deuda_Tributos!AV$41</f>
        <v>54714.1110781366</v>
      </c>
      <c r="AW66" s="13" t="n">
        <f aca="false">Deuda_Tributos!AW$27+Deuda_Tributos!AW$41</f>
        <v>55124.4669112226</v>
      </c>
      <c r="AX66" s="13" t="n">
        <f aca="false">Deuda_Tributos!AX$27+Deuda_Tributos!AX$41</f>
        <v>55537.9004130568</v>
      </c>
      <c r="AY66" s="13" t="n">
        <f aca="false">Deuda_Tributos!AY$27+Deuda_Tributos!AY$41</f>
        <v>55954.4346661547</v>
      </c>
      <c r="AZ66" s="13" t="n">
        <f aca="false">Deuda_Tributos!AZ$27+Deuda_Tributos!AZ$41</f>
        <v>56374.0929261509</v>
      </c>
      <c r="BA66" s="13" t="n">
        <f aca="false">Deuda_Tributos!BA$27+Deuda_Tributos!BA$41</f>
        <v>56796.898623097</v>
      </c>
      <c r="BB66" s="13" t="n">
        <f aca="false">Deuda_Tributos!BB$27+Deuda_Tributos!BB$41</f>
        <v>57222.8753627702</v>
      </c>
      <c r="BC66" s="13" t="n">
        <f aca="false">Deuda_Tributos!BC$27+Deuda_Tributos!BC$41</f>
        <v>57652.046927991</v>
      </c>
      <c r="BD66" s="13" t="n">
        <f aca="false">Deuda_Tributos!BD$27+Deuda_Tributos!BD$41</f>
        <v>58084.4372799509</v>
      </c>
      <c r="BE66" s="13" t="n">
        <f aca="false">Deuda_Tributos!BE$27+Deuda_Tributos!BE$41</f>
        <v>58520.0705595506</v>
      </c>
      <c r="BF66" s="13" t="n">
        <f aca="false">Deuda_Tributos!BF$27+Deuda_Tributos!BF$41</f>
        <v>58958.9710887472</v>
      </c>
      <c r="BG66" s="13" t="n">
        <f aca="false">Deuda_Tributos!BG$27+Deuda_Tributos!BG$41</f>
        <v>59401.1633719128</v>
      </c>
      <c r="BH66" s="13" t="n">
        <f aca="false">Deuda_Tributos!BH$27+Deuda_Tributos!BH$41</f>
        <v>59846.6720972021</v>
      </c>
      <c r="BI66" s="13" t="n">
        <f aca="false">Deuda_Tributos!BI$27+Deuda_Tributos!BI$41</f>
        <v>60295.5221379312</v>
      </c>
      <c r="BJ66" s="13" t="n">
        <f aca="false">Deuda_Tributos!BJ$27+Deuda_Tributos!BJ$41</f>
        <v>60747.7385539656</v>
      </c>
      <c r="BK66" s="13" t="n">
        <f aca="false">Deuda_Tributos!BK$27+Deuda_Tributos!BK$41</f>
        <v>61203.3465931204</v>
      </c>
      <c r="BL66" s="13" t="n">
        <f aca="false">Deuda_Tributos!BL$27+Deuda_Tributos!BL$41</f>
        <v>61662.3716925688</v>
      </c>
      <c r="BM66" s="13" t="n">
        <f aca="false">Deuda_Tributos!BM$27+Deuda_Tributos!BM$41</f>
        <v>62124.839480263</v>
      </c>
      <c r="BN66" s="13" t="n">
        <f aca="false">Deuda_Tributos!BN$27+Deuda_Tributos!BN$41</f>
        <v>62590.7757763667</v>
      </c>
      <c r="BO66" s="13" t="n">
        <f aca="false">Deuda_Tributos!BO$27+Deuda_Tributos!BO$41</f>
        <v>0</v>
      </c>
      <c r="BP66" s="13" t="n">
        <f aca="false">Deuda_Tributos!BP$27+Deuda_Tributos!BP$41</f>
        <v>0</v>
      </c>
      <c r="BQ66" s="13" t="n">
        <f aca="false">Deuda_Tributos!BQ$27+Deuda_Tributos!BQ$41</f>
        <v>0</v>
      </c>
      <c r="BR66" s="13" t="n">
        <f aca="false">Deuda_Tributos!BR$27+Deuda_Tributos!BR$41</f>
        <v>0</v>
      </c>
      <c r="BS66" s="13" t="n">
        <f aca="false">Deuda_Tributos!BS$27+Deuda_Tributos!BS$41</f>
        <v>0</v>
      </c>
      <c r="BT66" s="13" t="n">
        <f aca="false">Deuda_Tributos!BT$27+Deuda_Tributos!BT$41</f>
        <v>0</v>
      </c>
      <c r="BU66" s="13" t="n">
        <f aca="false">Deuda_Tributos!BU$27+Deuda_Tributos!BU$41</f>
        <v>0</v>
      </c>
      <c r="BV66" s="13" t="n">
        <f aca="false">Deuda_Tributos!BV$27+Deuda_Tributos!BV$41</f>
        <v>0</v>
      </c>
      <c r="BW66" s="13" t="n">
        <f aca="false">Deuda_Tributos!BW$27+Deuda_Tributos!BW$41</f>
        <v>0</v>
      </c>
      <c r="BX66" s="13" t="n">
        <f aca="false">Deuda_Tributos!BX$27+Deuda_Tributos!BX$41</f>
        <v>0</v>
      </c>
      <c r="BY66" s="13" t="n">
        <f aca="false">Deuda_Tributos!BY$27+Deuda_Tributos!BY$41</f>
        <v>0</v>
      </c>
      <c r="BZ66" s="13" t="n">
        <f aca="false">Deuda_Tributos!BZ$27+Deuda_Tributos!BZ$41</f>
        <v>0</v>
      </c>
      <c r="CA66" s="13" t="n">
        <f aca="false">Deuda_Tributos!CA$27+Deuda_Tributos!CA$41</f>
        <v>0</v>
      </c>
      <c r="CB66" s="13" t="n">
        <f aca="false">Deuda_Tributos!CB$27+Deuda_Tributos!CB$41</f>
        <v>0</v>
      </c>
      <c r="CC66" s="13" t="n">
        <f aca="false">Deuda_Tributos!CC$27+Deuda_Tributos!CC$41</f>
        <v>0</v>
      </c>
      <c r="CD66" s="13" t="n">
        <f aca="false">Deuda_Tributos!CD$27+Deuda_Tributos!CD$41</f>
        <v>0</v>
      </c>
      <c r="CE66" s="13" t="n">
        <f aca="false">Deuda_Tributos!CE$27+Deuda_Tributos!CE$41</f>
        <v>0</v>
      </c>
      <c r="CF66" s="13" t="n">
        <f aca="false">Deuda_Tributos!CF$27+Deuda_Tributos!CF$41</f>
        <v>0</v>
      </c>
      <c r="CG66" s="13" t="n">
        <f aca="false">Deuda_Tributos!CG$27+Deuda_Tributos!CG$41</f>
        <v>0</v>
      </c>
      <c r="CH66" s="13" t="n">
        <f aca="false">Deuda_Tributos!CH$27+Deuda_Tributos!CH$41</f>
        <v>0</v>
      </c>
      <c r="CI66" s="13" t="n">
        <f aca="false">Deuda_Tributos!CI$27+Deuda_Tributos!CI$41</f>
        <v>0</v>
      </c>
      <c r="CJ66" s="13" t="n">
        <f aca="false">Deuda_Tributos!CJ$27+Deuda_Tributos!CJ$41</f>
        <v>0</v>
      </c>
      <c r="CK66" s="13" t="n">
        <f aca="false">Deuda_Tributos!CK$27+Deuda_Tributos!CK$41</f>
        <v>0</v>
      </c>
      <c r="CL66" s="13" t="n">
        <f aca="false">Deuda_Tributos!CL$27+Deuda_Tributos!CL$41</f>
        <v>0</v>
      </c>
      <c r="CM66" s="13" t="n">
        <f aca="false">Deuda_Tributos!CM$27+Deuda_Tributos!CM$41</f>
        <v>0</v>
      </c>
      <c r="CN66" s="13" t="n">
        <f aca="false">Deuda_Tributos!CN$27+Deuda_Tributos!CN$41</f>
        <v>0</v>
      </c>
      <c r="CO66" s="13" t="n">
        <f aca="false">Deuda_Tributos!CO$27+Deuda_Tributos!CO$41</f>
        <v>0</v>
      </c>
      <c r="CP66" s="13" t="n">
        <f aca="false">Deuda_Tributos!CP$27+Deuda_Tributos!CP$41</f>
        <v>0</v>
      </c>
      <c r="CQ66" s="13" t="n">
        <f aca="false">Deuda_Tributos!CQ$27+Deuda_Tributos!CQ$41</f>
        <v>0</v>
      </c>
      <c r="CR66" s="13" t="n">
        <f aca="false">Deuda_Tributos!CR$27+Deuda_Tributos!CR$41</f>
        <v>0</v>
      </c>
      <c r="CS66" s="13" t="n">
        <f aca="false">Deuda_Tributos!CS$27+Deuda_Tributos!CS$41</f>
        <v>0</v>
      </c>
      <c r="CT66" s="13" t="n">
        <f aca="false">Deuda_Tributos!CT$27+Deuda_Tributos!CT$41</f>
        <v>0</v>
      </c>
      <c r="CU66" s="13" t="n">
        <f aca="false">Deuda_Tributos!CU$27+Deuda_Tributos!CU$41</f>
        <v>0</v>
      </c>
      <c r="CV66" s="13" t="n">
        <f aca="false">Deuda_Tributos!CV$27+Deuda_Tributos!CV$41</f>
        <v>0</v>
      </c>
      <c r="CW66" s="13" t="n">
        <f aca="false">Deuda_Tributos!CW$27+Deuda_Tributos!CW$41</f>
        <v>0</v>
      </c>
      <c r="CX66" s="13" t="n">
        <f aca="false">Deuda_Tributos!CX$27+Deuda_Tributos!CX$41</f>
        <v>0</v>
      </c>
      <c r="CY66" s="13" t="n">
        <f aca="false">Deuda_Tributos!CY$27+Deuda_Tributos!CY$41</f>
        <v>0</v>
      </c>
      <c r="CZ66" s="13" t="n">
        <f aca="false">Deuda_Tributos!CZ$27+Deuda_Tributos!CZ$41</f>
        <v>0</v>
      </c>
      <c r="DA66" s="13" t="n">
        <f aca="false">Deuda_Tributos!DA$27+Deuda_Tributos!DA$41</f>
        <v>0</v>
      </c>
      <c r="DB66" s="13" t="n">
        <f aca="false">Deuda_Tributos!DB$27+Deuda_Tributos!DB$41</f>
        <v>0</v>
      </c>
      <c r="DC66" s="13" t="n">
        <f aca="false">Deuda_Tributos!DC$27+Deuda_Tributos!DC$41</f>
        <v>0</v>
      </c>
      <c r="DD66" s="13" t="n">
        <f aca="false">Deuda_Tributos!DD$27+Deuda_Tributos!DD$41</f>
        <v>0</v>
      </c>
      <c r="DE66" s="13" t="n">
        <f aca="false">Deuda_Tributos!DE$27+Deuda_Tributos!DE$41</f>
        <v>0</v>
      </c>
      <c r="DF66" s="13" t="n">
        <f aca="false">Deuda_Tributos!DF$27+Deuda_Tributos!DF$41</f>
        <v>0</v>
      </c>
      <c r="DG66" s="13" t="n">
        <f aca="false">Deuda_Tributos!DG$27+Deuda_Tributos!DG$41</f>
        <v>0</v>
      </c>
      <c r="DH66" s="13" t="n">
        <f aca="false">Deuda_Tributos!DH$27+Deuda_Tributos!DH$41</f>
        <v>0</v>
      </c>
      <c r="DI66" s="13" t="n">
        <f aca="false">Deuda_Tributos!DI$27+Deuda_Tributos!DI$41</f>
        <v>0</v>
      </c>
      <c r="DJ66" s="13" t="n">
        <f aca="false">Deuda_Tributos!DJ$27+Deuda_Tributos!DJ$41</f>
        <v>0</v>
      </c>
      <c r="DK66" s="13" t="n">
        <f aca="false">Deuda_Tributos!DK$27+Deuda_Tributos!DK$41</f>
        <v>0</v>
      </c>
      <c r="DL66" s="13" t="n">
        <f aca="false">Deuda_Tributos!DL$27+Deuda_Tributos!DL$41</f>
        <v>0</v>
      </c>
      <c r="DM66" s="13" t="n">
        <f aca="false">Deuda_Tributos!DM$27+Deuda_Tributos!DM$41</f>
        <v>0</v>
      </c>
      <c r="DN66" s="13" t="n">
        <f aca="false">Deuda_Tributos!DN$27+Deuda_Tributos!DN$41</f>
        <v>0</v>
      </c>
      <c r="DO66" s="13" t="n">
        <f aca="false">Deuda_Tributos!DO$27+Deuda_Tributos!DO$41</f>
        <v>0</v>
      </c>
      <c r="DP66" s="13" t="n">
        <f aca="false">Deuda_Tributos!DP$27+Deuda_Tributos!DP$41</f>
        <v>0</v>
      </c>
      <c r="DQ66" s="13" t="n">
        <f aca="false">Deuda_Tributos!DQ$27+Deuda_Tributos!DQ$41</f>
        <v>0</v>
      </c>
      <c r="DR66" s="13" t="n">
        <f aca="false">Deuda_Tributos!DR$27+Deuda_Tributos!DR$41</f>
        <v>0</v>
      </c>
      <c r="DS66" s="13" t="n">
        <f aca="false">Deuda_Tributos!DS$27+Deuda_Tributos!DS$41</f>
        <v>0</v>
      </c>
      <c r="DT66" s="13" t="n">
        <f aca="false">Deuda_Tributos!DT$27+Deuda_Tributos!DT$41</f>
        <v>0</v>
      </c>
      <c r="DU66" s="13" t="n">
        <f aca="false">Deuda_Tributos!DU$27+Deuda_Tributos!DU$41</f>
        <v>0</v>
      </c>
      <c r="DV66" s="13" t="n">
        <f aca="false">Deuda_Tributos!DV$27+Deuda_Tributos!DV$41</f>
        <v>0</v>
      </c>
      <c r="DW66" s="13" t="n">
        <f aca="false">Deuda_Tributos!DW$27+Deuda_Tributos!DW$41</f>
        <v>0</v>
      </c>
      <c r="DX66" s="13" t="n">
        <f aca="false">Deuda_Tributos!DX$27+Deuda_Tributos!DX$41</f>
        <v>0</v>
      </c>
      <c r="DY66" s="13" t="n">
        <f aca="false">Deuda_Tributos!DY$27+Deuda_Tributos!DY$41</f>
        <v>0</v>
      </c>
      <c r="DZ66" s="13" t="n">
        <f aca="false">Deuda_Tributos!DZ$27+Deuda_Tributos!DZ$41</f>
        <v>0</v>
      </c>
      <c r="EA66" s="13" t="n">
        <f aca="false">Deuda_Tributos!EA$27+Deuda_Tributos!EA$41</f>
        <v>0</v>
      </c>
      <c r="EB66" s="13" t="n">
        <f aca="false">Deuda_Tributos!EB$27+Deuda_Tributos!EB$41</f>
        <v>0</v>
      </c>
      <c r="EC66" s="13" t="n">
        <f aca="false">Deuda_Tributos!EC$27+Deuda_Tributos!EC$41</f>
        <v>0</v>
      </c>
      <c r="ED66" s="13" t="n">
        <f aca="false">Deuda_Tributos!ED$27+Deuda_Tributos!ED$41</f>
        <v>0</v>
      </c>
      <c r="EE66" s="13" t="n">
        <f aca="false">Deuda_Tributos!EE$27+Deuda_Tributos!EE$41</f>
        <v>0</v>
      </c>
      <c r="EF66" s="13" t="n">
        <f aca="false">Deuda_Tributos!EF$27+Deuda_Tributos!EF$41</f>
        <v>0</v>
      </c>
      <c r="EG66" s="13" t="n">
        <f aca="false">Deuda_Tributos!EG$27+Deuda_Tributos!EG$41</f>
        <v>0</v>
      </c>
      <c r="EH66" s="13" t="n">
        <f aca="false">Deuda_Tributos!EH$27+Deuda_Tributos!EH$41</f>
        <v>0</v>
      </c>
      <c r="EI66" s="13" t="n">
        <f aca="false">Deuda_Tributos!EI$27+Deuda_Tributos!EI$41</f>
        <v>0</v>
      </c>
      <c r="EJ66" s="13" t="n">
        <f aca="false">Deuda_Tributos!EJ$27+Deuda_Tributos!EJ$41</f>
        <v>0</v>
      </c>
      <c r="EK66" s="13" t="n">
        <f aca="false">Deuda_Tributos!EK$27+Deuda_Tributos!EK$41</f>
        <v>0</v>
      </c>
      <c r="EL66" s="13" t="n">
        <f aca="false">Deuda_Tributos!EL$27+Deuda_Tributos!EL$41</f>
        <v>0</v>
      </c>
      <c r="EM66" s="13" t="n">
        <f aca="false">Deuda_Tributos!EM$27+Deuda_Tributos!EM$41</f>
        <v>0</v>
      </c>
      <c r="EN66" s="13" t="n">
        <f aca="false">Deuda_Tributos!EN$27+Deuda_Tributos!EN$41</f>
        <v>0</v>
      </c>
      <c r="EO66" s="13" t="n">
        <f aca="false">Deuda_Tributos!EO$27+Deuda_Tributos!EO$41</f>
        <v>0</v>
      </c>
      <c r="EP66" s="13" t="n">
        <f aca="false">Deuda_Tributos!EP$27+Deuda_Tributos!EP$41</f>
        <v>0</v>
      </c>
      <c r="EQ66" s="13" t="n">
        <f aca="false">Deuda_Tributos!EQ$27+Deuda_Tributos!EQ$41</f>
        <v>0</v>
      </c>
      <c r="ER66" s="13" t="n">
        <f aca="false">Deuda_Tributos!ER$27+Deuda_Tributos!ER$41</f>
        <v>0</v>
      </c>
      <c r="ES66" s="13" t="n">
        <f aca="false">Deuda_Tributos!ES$27+Deuda_Tributos!ES$41</f>
        <v>0</v>
      </c>
      <c r="ET66" s="13" t="n">
        <f aca="false">Deuda_Tributos!ET$27+Deuda_Tributos!ET$41</f>
        <v>0</v>
      </c>
      <c r="EU66" s="13" t="n">
        <f aca="false">Deuda_Tributos!EU$27+Deuda_Tributos!EU$41</f>
        <v>0</v>
      </c>
      <c r="EV66" s="13" t="n">
        <f aca="false">Deuda_Tributos!EV$27+Deuda_Tributos!EV$41</f>
        <v>0</v>
      </c>
      <c r="EW66" s="13" t="n">
        <f aca="false">Deuda_Tributos!EW$27+Deuda_Tributos!EW$41</f>
        <v>0</v>
      </c>
      <c r="EX66" s="13" t="n">
        <f aca="false">Deuda_Tributos!EX$27+Deuda_Tributos!EX$41</f>
        <v>0</v>
      </c>
      <c r="EY66" s="13" t="n">
        <f aca="false">Deuda_Tributos!EY$27+Deuda_Tributos!EY$41</f>
        <v>0</v>
      </c>
      <c r="EZ66" s="13" t="n">
        <f aca="false">Deuda_Tributos!EZ$27+Deuda_Tributos!EZ$41</f>
        <v>0</v>
      </c>
      <c r="FA66" s="13" t="n">
        <f aca="false">Deuda_Tributos!FA$27+Deuda_Tributos!FA$41</f>
        <v>0</v>
      </c>
      <c r="FB66" s="13" t="n">
        <f aca="false">Deuda_Tributos!FB$27+Deuda_Tributos!FB$41</f>
        <v>0</v>
      </c>
      <c r="FC66" s="13" t="n">
        <f aca="false">Deuda_Tributos!FC$27+Deuda_Tributos!FC$41</f>
        <v>0</v>
      </c>
      <c r="FD66" s="13" t="n">
        <f aca="false">Deuda_Tributos!FD$27+Deuda_Tributos!FD$41</f>
        <v>0</v>
      </c>
      <c r="FE66" s="13" t="n">
        <f aca="false">Deuda_Tributos!FE$27+Deuda_Tributos!FE$41</f>
        <v>0</v>
      </c>
      <c r="FF66" s="13" t="n">
        <f aca="false">Deuda_Tributos!FF$27+Deuda_Tributos!FF$41</f>
        <v>0</v>
      </c>
    </row>
    <row r="67" customFormat="false" ht="15" hidden="false" customHeight="false" outlineLevel="0" collapsed="false">
      <c r="A67" s="2" t="s">
        <v>1544</v>
      </c>
      <c r="B67" s="8" t="s">
        <v>1545</v>
      </c>
      <c r="C67" s="8" t="s">
        <v>255</v>
      </c>
      <c r="E67" s="65" t="n">
        <f aca="false">SUM($F67:$FF67)</f>
        <v>813214.128224454</v>
      </c>
      <c r="F67" s="13" t="n">
        <f aca="false">Deuda_Tributos!F$26+Deuda_Tributos!F$40+Deuda_Tributos!F$28+Deuda_Tributos!F$42+Deuda_Tributos!F$29+Deuda_Tributos!F$43</f>
        <v>0</v>
      </c>
      <c r="G67" s="13" t="n">
        <f aca="false">Deuda_Tributos!G$26+Deuda_Tributos!G$40+Deuda_Tributos!G$28+Deuda_Tributos!G$42+Deuda_Tributos!G$29+Deuda_Tributos!G$43</f>
        <v>23030.59275</v>
      </c>
      <c r="H67" s="13" t="n">
        <f aca="false">Deuda_Tributos!H$26+Deuda_Tributos!H$40+Deuda_Tributos!H$28+Deuda_Tributos!H$42+Deuda_Tributos!H$29+Deuda_Tributos!H$43</f>
        <v>23030.59275</v>
      </c>
      <c r="I67" s="13" t="n">
        <f aca="false">Deuda_Tributos!I$26+Deuda_Tributos!I$40+Deuda_Tributos!I$28+Deuda_Tributos!I$42+Deuda_Tributos!I$29+Deuda_Tributos!I$43</f>
        <v>23030.59275</v>
      </c>
      <c r="J67" s="13" t="n">
        <f aca="false">Deuda_Tributos!J$26+Deuda_Tributos!J$40+Deuda_Tributos!J$28+Deuda_Tributos!J$42+Deuda_Tributos!J$29+Deuda_Tributos!J$43</f>
        <v>23030.59275</v>
      </c>
      <c r="K67" s="13" t="n">
        <f aca="false">Deuda_Tributos!K$26+Deuda_Tributos!K$40+Deuda_Tributos!K$28+Deuda_Tributos!K$42+Deuda_Tributos!K$29+Deuda_Tributos!K$43</f>
        <v>23030.59275</v>
      </c>
      <c r="L67" s="13" t="n">
        <f aca="false">Deuda_Tributos!L$26+Deuda_Tributos!L$40+Deuda_Tributos!L$28+Deuda_Tributos!L$42+Deuda_Tributos!L$29+Deuda_Tributos!L$43</f>
        <v>23030.59275</v>
      </c>
      <c r="M67" s="13" t="n">
        <f aca="false">Deuda_Tributos!M$26+Deuda_Tributos!M$40+Deuda_Tributos!M$28+Deuda_Tributos!M$42+Deuda_Tributos!M$29+Deuda_Tributos!M$43</f>
        <v>23030.59275</v>
      </c>
      <c r="N67" s="13" t="n">
        <f aca="false">Deuda_Tributos!N$26+Deuda_Tributos!N$40+Deuda_Tributos!N$28+Deuda_Tributos!N$42+Deuda_Tributos!N$29+Deuda_Tributos!N$43</f>
        <v>22683.0754912188</v>
      </c>
      <c r="O67" s="13" t="n">
        <f aca="false">Deuda_Tributos!O$26+Deuda_Tributos!O$40+Deuda_Tributos!O$28+Deuda_Tributos!O$42+Deuda_Tributos!O$29+Deuda_Tributos!O$43</f>
        <v>22332.9518529968</v>
      </c>
      <c r="P67" s="13" t="n">
        <f aca="false">Deuda_Tributos!P$26+Deuda_Tributos!P$40+Deuda_Tributos!P$28+Deuda_Tributos!P$42+Deuda_Tributos!P$29+Deuda_Tributos!P$43</f>
        <v>21980.2022874881</v>
      </c>
      <c r="Q67" s="13" t="n">
        <f aca="false">Deuda_Tributos!Q$26+Deuda_Tributos!Q$40+Deuda_Tributos!Q$28+Deuda_Tributos!Q$42+Deuda_Tributos!Q$29+Deuda_Tributos!Q$43</f>
        <v>21624.8071002381</v>
      </c>
      <c r="R67" s="13" t="n">
        <f aca="false">Deuda_Tributos!R$26+Deuda_Tributos!R$40+Deuda_Tributos!R$28+Deuda_Tributos!R$42+Deuda_Tributos!R$29+Deuda_Tributos!R$43</f>
        <v>21266.7464490837</v>
      </c>
      <c r="S67" s="13" t="n">
        <f aca="false">Deuda_Tributos!S$26+Deuda_Tributos!S$40+Deuda_Tributos!S$28+Deuda_Tributos!S$42+Deuda_Tributos!S$29+Deuda_Tributos!S$43</f>
        <v>20906.0003430457</v>
      </c>
      <c r="T67" s="13" t="n">
        <f aca="false">Deuda_Tributos!T$26+Deuda_Tributos!T$40+Deuda_Tributos!T$28+Deuda_Tributos!T$42+Deuda_Tributos!T$29+Deuda_Tributos!T$43</f>
        <v>20542.5486412123</v>
      </c>
      <c r="U67" s="13" t="n">
        <f aca="false">Deuda_Tributos!U$26+Deuda_Tributos!U$40+Deuda_Tributos!U$28+Deuda_Tributos!U$42+Deuda_Tributos!U$29+Deuda_Tributos!U$43</f>
        <v>20176.3710516152</v>
      </c>
      <c r="V67" s="13" t="n">
        <f aca="false">Deuda_Tributos!V$26+Deuda_Tributos!V$40+Deuda_Tributos!V$28+Deuda_Tributos!V$42+Deuda_Tributos!V$29+Deuda_Tributos!V$43</f>
        <v>19807.4471300962</v>
      </c>
      <c r="W67" s="13" t="n">
        <f aca="false">Deuda_Tributos!W$26+Deuda_Tributos!W$40+Deuda_Tributos!W$28+Deuda_Tributos!W$42+Deuda_Tributos!W$29+Deuda_Tributos!W$43</f>
        <v>19435.7562791657</v>
      </c>
      <c r="X67" s="13" t="n">
        <f aca="false">Deuda_Tributos!X$26+Deuda_Tributos!X$40+Deuda_Tributos!X$28+Deuda_Tributos!X$42+Deuda_Tributos!X$29+Deuda_Tributos!X$43</f>
        <v>19061.2777468533</v>
      </c>
      <c r="Y67" s="13" t="n">
        <f aca="false">Deuda_Tributos!Y$26+Deuda_Tributos!Y$40+Deuda_Tributos!Y$28+Deuda_Tributos!Y$42+Deuda_Tributos!Y$29+Deuda_Tributos!Y$43</f>
        <v>18683.9906255485</v>
      </c>
      <c r="Z67" s="13" t="n">
        <f aca="false">Deuda_Tributos!Z$26+Deuda_Tributos!Z$40+Deuda_Tributos!Z$28+Deuda_Tributos!Z$42+Deuda_Tributos!Z$29+Deuda_Tributos!Z$43</f>
        <v>18303.873850834</v>
      </c>
      <c r="AA67" s="13" t="n">
        <f aca="false">Deuda_Tributos!AA$26+Deuda_Tributos!AA$40+Deuda_Tributos!AA$28+Deuda_Tributos!AA$42+Deuda_Tributos!AA$29+Deuda_Tributos!AA$43</f>
        <v>17920.906200309</v>
      </c>
      <c r="AB67" s="13" t="n">
        <f aca="false">Deuda_Tributos!AB$26+Deuda_Tributos!AB$40+Deuda_Tributos!AB$28+Deuda_Tributos!AB$42+Deuda_Tributos!AB$29+Deuda_Tributos!AB$43</f>
        <v>17535.0662924052</v>
      </c>
      <c r="AC67" s="13" t="n">
        <f aca="false">Deuda_Tributos!AC$26+Deuda_Tributos!AC$40+Deuda_Tributos!AC$28+Deuda_Tributos!AC$42+Deuda_Tributos!AC$29+Deuda_Tributos!AC$43</f>
        <v>17146.3325851921</v>
      </c>
      <c r="AD67" s="13" t="n">
        <f aca="false">Deuda_Tributos!AD$26+Deuda_Tributos!AD$40+Deuda_Tributos!AD$28+Deuda_Tributos!AD$42+Deuda_Tributos!AD$29+Deuda_Tributos!AD$43</f>
        <v>16754.6833751748</v>
      </c>
      <c r="AE67" s="13" t="n">
        <f aca="false">Deuda_Tributos!AE$26+Deuda_Tributos!AE$40+Deuda_Tributos!AE$28+Deuda_Tributos!AE$42+Deuda_Tributos!AE$29+Deuda_Tributos!AE$43</f>
        <v>16360.0967960825</v>
      </c>
      <c r="AF67" s="13" t="n">
        <f aca="false">Deuda_Tributos!AF$26+Deuda_Tributos!AF$40+Deuda_Tributos!AF$28+Deuda_Tributos!AF$42+Deuda_Tributos!AF$29+Deuda_Tributos!AF$43</f>
        <v>15962.5508176469</v>
      </c>
      <c r="AG67" s="13" t="n">
        <f aca="false">Deuda_Tributos!AG$26+Deuda_Tributos!AG$40+Deuda_Tributos!AG$28+Deuda_Tributos!AG$42+Deuda_Tributos!AG$29+Deuda_Tributos!AG$43</f>
        <v>15562.0232443731</v>
      </c>
      <c r="AH67" s="13" t="n">
        <f aca="false">Deuda_Tributos!AH$26+Deuda_Tributos!AH$40+Deuda_Tributos!AH$28+Deuda_Tributos!AH$42+Deuda_Tributos!AH$29+Deuda_Tributos!AH$43</f>
        <v>15158.4917142997</v>
      </c>
      <c r="AI67" s="13" t="n">
        <f aca="false">Deuda_Tributos!AI$26+Deuda_Tributos!AI$40+Deuda_Tributos!AI$28+Deuda_Tributos!AI$42+Deuda_Tributos!AI$29+Deuda_Tributos!AI$43</f>
        <v>14751.9336977508</v>
      </c>
      <c r="AJ67" s="13" t="n">
        <f aca="false">Deuda_Tributos!AJ$26+Deuda_Tributos!AJ$40+Deuda_Tributos!AJ$28+Deuda_Tributos!AJ$42+Deuda_Tributos!AJ$29+Deuda_Tributos!AJ$43</f>
        <v>14342.3264960777</v>
      </c>
      <c r="AK67" s="13" t="n">
        <f aca="false">Deuda_Tributos!AK$26+Deuda_Tributos!AK$40+Deuda_Tributos!AK$28+Deuda_Tributos!AK$42+Deuda_Tributos!AK$29+Deuda_Tributos!AK$43</f>
        <v>13929.6472403921</v>
      </c>
      <c r="AL67" s="13" t="n">
        <f aca="false">Deuda_Tributos!AL$26+Deuda_Tributos!AL$40+Deuda_Tributos!AL$28+Deuda_Tributos!AL$42+Deuda_Tributos!AL$29+Deuda_Tributos!AL$43</f>
        <v>13513.8728902889</v>
      </c>
      <c r="AM67" s="13" t="n">
        <f aca="false">Deuda_Tributos!AM$26+Deuda_Tributos!AM$40+Deuda_Tributos!AM$28+Deuda_Tributos!AM$42+Deuda_Tributos!AM$29+Deuda_Tributos!AM$43</f>
        <v>13094.9802325599</v>
      </c>
      <c r="AN67" s="13" t="n">
        <f aca="false">Deuda_Tributos!AN$26+Deuda_Tributos!AN$40+Deuda_Tributos!AN$28+Deuda_Tributos!AN$42+Deuda_Tributos!AN$29+Deuda_Tributos!AN$43</f>
        <v>12672.9458798979</v>
      </c>
      <c r="AO67" s="13" t="n">
        <f aca="false">Deuda_Tributos!AO$26+Deuda_Tributos!AO$40+Deuda_Tributos!AO$28+Deuda_Tributos!AO$42+Deuda_Tributos!AO$29+Deuda_Tributos!AO$43</f>
        <v>12247.746269591</v>
      </c>
      <c r="AP67" s="13" t="n">
        <f aca="false">Deuda_Tributos!AP$26+Deuda_Tributos!AP$40+Deuda_Tributos!AP$28+Deuda_Tributos!AP$42+Deuda_Tributos!AP$29+Deuda_Tributos!AP$43</f>
        <v>11819.3576622067</v>
      </c>
      <c r="AQ67" s="13" t="n">
        <f aca="false">Deuda_Tributos!AQ$26+Deuda_Tributos!AQ$40+Deuda_Tributos!AQ$28+Deuda_Tributos!AQ$42+Deuda_Tributos!AQ$29+Deuda_Tributos!AQ$43</f>
        <v>11387.7561402671</v>
      </c>
      <c r="AR67" s="13" t="n">
        <f aca="false">Deuda_Tributos!AR$26+Deuda_Tributos!AR$40+Deuda_Tributos!AR$28+Deuda_Tributos!AR$42+Deuda_Tributos!AR$29+Deuda_Tributos!AR$43</f>
        <v>10952.917606913</v>
      </c>
      <c r="AS67" s="13" t="n">
        <f aca="false">Deuda_Tributos!AS$26+Deuda_Tributos!AS$40+Deuda_Tributos!AS$28+Deuda_Tributos!AS$42+Deuda_Tributos!AS$29+Deuda_Tributos!AS$43</f>
        <v>10514.8177845586</v>
      </c>
      <c r="AT67" s="13" t="n">
        <f aca="false">Deuda_Tributos!AT$26+Deuda_Tributos!AT$40+Deuda_Tributos!AT$28+Deuda_Tributos!AT$42+Deuda_Tributos!AT$29+Deuda_Tributos!AT$43</f>
        <v>10073.4322135366</v>
      </c>
      <c r="AU67" s="13" t="n">
        <f aca="false">Deuda_Tributos!AU$26+Deuda_Tributos!AU$40+Deuda_Tributos!AU$28+Deuda_Tributos!AU$42+Deuda_Tributos!AU$29+Deuda_Tributos!AU$43</f>
        <v>9628.736250732</v>
      </c>
      <c r="AV67" s="13" t="n">
        <f aca="false">Deuda_Tributos!AV$26+Deuda_Tributos!AV$40+Deuda_Tributos!AV$28+Deuda_Tributos!AV$42+Deuda_Tributos!AV$29+Deuda_Tributos!AV$43</f>
        <v>9180.70506820631</v>
      </c>
      <c r="AW67" s="13" t="n">
        <f aca="false">Deuda_Tributos!AW$26+Deuda_Tributos!AW$40+Deuda_Tributos!AW$28+Deuda_Tributos!AW$42+Deuda_Tributos!AW$29+Deuda_Tributos!AW$43</f>
        <v>8729.31365181168</v>
      </c>
      <c r="AX67" s="13" t="n">
        <f aca="false">Deuda_Tributos!AX$26+Deuda_Tributos!AX$40+Deuda_Tributos!AX$28+Deuda_Tributos!AX$42+Deuda_Tributos!AX$29+Deuda_Tributos!AX$43</f>
        <v>8274.5367997941</v>
      </c>
      <c r="AY67" s="13" t="n">
        <f aca="false">Deuda_Tributos!AY$26+Deuda_Tributos!AY$40+Deuda_Tributos!AY$28+Deuda_Tributos!AY$42+Deuda_Tributos!AY$29+Deuda_Tributos!AY$43</f>
        <v>7816.34912138638</v>
      </c>
      <c r="AZ67" s="13" t="n">
        <f aca="false">Deuda_Tributos!AZ$26+Deuda_Tributos!AZ$40+Deuda_Tributos!AZ$28+Deuda_Tributos!AZ$42+Deuda_Tributos!AZ$29+Deuda_Tributos!AZ$43</f>
        <v>7354.7250353906</v>
      </c>
      <c r="BA67" s="13" t="n">
        <f aca="false">Deuda_Tributos!BA$26+Deuda_Tributos!BA$40+Deuda_Tributos!BA$28+Deuda_Tributos!BA$42+Deuda_Tributos!BA$29+Deuda_Tributos!BA$43</f>
        <v>6889.63876874986</v>
      </c>
      <c r="BB67" s="13" t="n">
        <f aca="false">Deuda_Tributos!BB$26+Deuda_Tributos!BB$40+Deuda_Tributos!BB$28+Deuda_Tributos!BB$42+Deuda_Tributos!BB$29+Deuda_Tributos!BB$43</f>
        <v>6421.06435510931</v>
      </c>
      <c r="BC67" s="13" t="n">
        <f aca="false">Deuda_Tributos!BC$26+Deuda_Tributos!BC$40+Deuda_Tributos!BC$28+Deuda_Tributos!BC$42+Deuda_Tributos!BC$29+Deuda_Tributos!BC$43</f>
        <v>5948.97563336645</v>
      </c>
      <c r="BD67" s="13" t="n">
        <f aca="false">Deuda_Tributos!BD$26+Deuda_Tributos!BD$40+Deuda_Tributos!BD$28+Deuda_Tributos!BD$42+Deuda_Tributos!BD$29+Deuda_Tributos!BD$43</f>
        <v>5473.34624621053</v>
      </c>
      <c r="BE67" s="13" t="n">
        <f aca="false">Deuda_Tributos!BE$26+Deuda_Tributos!BE$40+Deuda_Tributos!BE$28+Deuda_Tributos!BE$42+Deuda_Tributos!BE$29+Deuda_Tributos!BE$43</f>
        <v>4994.14963865093</v>
      </c>
      <c r="BF67" s="13" t="n">
        <f aca="false">Deuda_Tributos!BF$26+Deuda_Tributos!BF$40+Deuda_Tributos!BF$28+Deuda_Tributos!BF$42+Deuda_Tributos!BF$29+Deuda_Tributos!BF$43</f>
        <v>4511.35905653464</v>
      </c>
      <c r="BG67" s="13" t="n">
        <f aca="false">Deuda_Tributos!BG$26+Deuda_Tributos!BG$40+Deuda_Tributos!BG$28+Deuda_Tributos!BG$42+Deuda_Tributos!BG$29+Deuda_Tributos!BG$43</f>
        <v>4024.94754505248</v>
      </c>
      <c r="BH67" s="13" t="n">
        <f aca="false">Deuda_Tributos!BH$26+Deuda_Tributos!BH$40+Deuda_Tributos!BH$28+Deuda_Tributos!BH$42+Deuda_Tributos!BH$29+Deuda_Tributos!BH$43</f>
        <v>3534.8879472342</v>
      </c>
      <c r="BI67" s="13" t="n">
        <f aca="false">Deuda_Tributos!BI$26+Deuda_Tributos!BI$40+Deuda_Tributos!BI$28+Deuda_Tributos!BI$42+Deuda_Tributos!BI$29+Deuda_Tributos!BI$43</f>
        <v>3041.15290243228</v>
      </c>
      <c r="BJ67" s="13" t="n">
        <f aca="false">Deuda_Tributos!BJ$26+Deuda_Tributos!BJ$40+Deuda_Tributos!BJ$28+Deuda_Tributos!BJ$42+Deuda_Tributos!BJ$29+Deuda_Tributos!BJ$43</f>
        <v>2543.71484479435</v>
      </c>
      <c r="BK67" s="13" t="n">
        <f aca="false">Deuda_Tributos!BK$26+Deuda_Tributos!BK$40+Deuda_Tributos!BK$28+Deuda_Tributos!BK$42+Deuda_Tributos!BK$29+Deuda_Tributos!BK$43</f>
        <v>2042.54600172413</v>
      </c>
      <c r="BL67" s="13" t="n">
        <f aca="false">Deuda_Tributos!BL$26+Deuda_Tributos!BL$40+Deuda_Tributos!BL$28+Deuda_Tributos!BL$42+Deuda_Tributos!BL$29+Deuda_Tributos!BL$43</f>
        <v>1537.61839233089</v>
      </c>
      <c r="BM67" s="13" t="n">
        <f aca="false">Deuda_Tributos!BM$26+Deuda_Tributos!BM$40+Deuda_Tributos!BM$28+Deuda_Tributos!BM$42+Deuda_Tributos!BM$29+Deuda_Tributos!BM$43</f>
        <v>1028.9038258672</v>
      </c>
      <c r="BN67" s="13" t="n">
        <f aca="false">Deuda_Tributos!BN$26+Deuda_Tributos!BN$40+Deuda_Tributos!BN$28+Deuda_Tributos!BN$42+Deuda_Tributos!BN$29+Deuda_Tributos!BN$43</f>
        <v>516.373900155025</v>
      </c>
      <c r="BO67" s="13" t="n">
        <f aca="false">Deuda_Tributos!BO$26+Deuda_Tributos!BO$40+Deuda_Tributos!BO$28+Deuda_Tributos!BO$42+Deuda_Tributos!BO$29+Deuda_Tributos!BO$43</f>
        <v>0</v>
      </c>
      <c r="BP67" s="13" t="n">
        <f aca="false">Deuda_Tributos!BP$26+Deuda_Tributos!BP$40+Deuda_Tributos!BP$28+Deuda_Tributos!BP$42+Deuda_Tributos!BP$29+Deuda_Tributos!BP$43</f>
        <v>0</v>
      </c>
      <c r="BQ67" s="13" t="n">
        <f aca="false">Deuda_Tributos!BQ$26+Deuda_Tributos!BQ$40+Deuda_Tributos!BQ$28+Deuda_Tributos!BQ$42+Deuda_Tributos!BQ$29+Deuda_Tributos!BQ$43</f>
        <v>0</v>
      </c>
      <c r="BR67" s="13" t="n">
        <f aca="false">Deuda_Tributos!BR$26+Deuda_Tributos!BR$40+Deuda_Tributos!BR$28+Deuda_Tributos!BR$42+Deuda_Tributos!BR$29+Deuda_Tributos!BR$43</f>
        <v>0</v>
      </c>
      <c r="BS67" s="13" t="n">
        <f aca="false">Deuda_Tributos!BS$26+Deuda_Tributos!BS$40+Deuda_Tributos!BS$28+Deuda_Tributos!BS$42+Deuda_Tributos!BS$29+Deuda_Tributos!BS$43</f>
        <v>0</v>
      </c>
      <c r="BT67" s="13" t="n">
        <f aca="false">Deuda_Tributos!BT$26+Deuda_Tributos!BT$40+Deuda_Tributos!BT$28+Deuda_Tributos!BT$42+Deuda_Tributos!BT$29+Deuda_Tributos!BT$43</f>
        <v>0</v>
      </c>
      <c r="BU67" s="13" t="n">
        <f aca="false">Deuda_Tributos!BU$26+Deuda_Tributos!BU$40+Deuda_Tributos!BU$28+Deuda_Tributos!BU$42+Deuda_Tributos!BU$29+Deuda_Tributos!BU$43</f>
        <v>0</v>
      </c>
      <c r="BV67" s="13" t="n">
        <f aca="false">Deuda_Tributos!BV$26+Deuda_Tributos!BV$40+Deuda_Tributos!BV$28+Deuda_Tributos!BV$42+Deuda_Tributos!BV$29+Deuda_Tributos!BV$43</f>
        <v>0</v>
      </c>
      <c r="BW67" s="13" t="n">
        <f aca="false">Deuda_Tributos!BW$26+Deuda_Tributos!BW$40+Deuda_Tributos!BW$28+Deuda_Tributos!BW$42+Deuda_Tributos!BW$29+Deuda_Tributos!BW$43</f>
        <v>0</v>
      </c>
      <c r="BX67" s="13" t="n">
        <f aca="false">Deuda_Tributos!BX$26+Deuda_Tributos!BX$40+Deuda_Tributos!BX$28+Deuda_Tributos!BX$42+Deuda_Tributos!BX$29+Deuda_Tributos!BX$43</f>
        <v>0</v>
      </c>
      <c r="BY67" s="13" t="n">
        <f aca="false">Deuda_Tributos!BY$26+Deuda_Tributos!BY$40+Deuda_Tributos!BY$28+Deuda_Tributos!BY$42+Deuda_Tributos!BY$29+Deuda_Tributos!BY$43</f>
        <v>0</v>
      </c>
      <c r="BZ67" s="13" t="n">
        <f aca="false">Deuda_Tributos!BZ$26+Deuda_Tributos!BZ$40+Deuda_Tributos!BZ$28+Deuda_Tributos!BZ$42+Deuda_Tributos!BZ$29+Deuda_Tributos!BZ$43</f>
        <v>0</v>
      </c>
      <c r="CA67" s="13" t="n">
        <f aca="false">Deuda_Tributos!CA$26+Deuda_Tributos!CA$40+Deuda_Tributos!CA$28+Deuda_Tributos!CA$42+Deuda_Tributos!CA$29+Deuda_Tributos!CA$43</f>
        <v>0</v>
      </c>
      <c r="CB67" s="13" t="n">
        <f aca="false">Deuda_Tributos!CB$26+Deuda_Tributos!CB$40+Deuda_Tributos!CB$28+Deuda_Tributos!CB$42+Deuda_Tributos!CB$29+Deuda_Tributos!CB$43</f>
        <v>0</v>
      </c>
      <c r="CC67" s="13" t="n">
        <f aca="false">Deuda_Tributos!CC$26+Deuda_Tributos!CC$40+Deuda_Tributos!CC$28+Deuda_Tributos!CC$42+Deuda_Tributos!CC$29+Deuda_Tributos!CC$43</f>
        <v>0</v>
      </c>
      <c r="CD67" s="13" t="n">
        <f aca="false">Deuda_Tributos!CD$26+Deuda_Tributos!CD$40+Deuda_Tributos!CD$28+Deuda_Tributos!CD$42+Deuda_Tributos!CD$29+Deuda_Tributos!CD$43</f>
        <v>0</v>
      </c>
      <c r="CE67" s="13" t="n">
        <f aca="false">Deuda_Tributos!CE$26+Deuda_Tributos!CE$40+Deuda_Tributos!CE$28+Deuda_Tributos!CE$42+Deuda_Tributos!CE$29+Deuda_Tributos!CE$43</f>
        <v>0</v>
      </c>
      <c r="CF67" s="13" t="n">
        <f aca="false">Deuda_Tributos!CF$26+Deuda_Tributos!CF$40+Deuda_Tributos!CF$28+Deuda_Tributos!CF$42+Deuda_Tributos!CF$29+Deuda_Tributos!CF$43</f>
        <v>0</v>
      </c>
      <c r="CG67" s="13" t="n">
        <f aca="false">Deuda_Tributos!CG$26+Deuda_Tributos!CG$40+Deuda_Tributos!CG$28+Deuda_Tributos!CG$42+Deuda_Tributos!CG$29+Deuda_Tributos!CG$43</f>
        <v>0</v>
      </c>
      <c r="CH67" s="13" t="n">
        <f aca="false">Deuda_Tributos!CH$26+Deuda_Tributos!CH$40+Deuda_Tributos!CH$28+Deuda_Tributos!CH$42+Deuda_Tributos!CH$29+Deuda_Tributos!CH$43</f>
        <v>0</v>
      </c>
      <c r="CI67" s="13" t="n">
        <f aca="false">Deuda_Tributos!CI$26+Deuda_Tributos!CI$40+Deuda_Tributos!CI$28+Deuda_Tributos!CI$42+Deuda_Tributos!CI$29+Deuda_Tributos!CI$43</f>
        <v>0</v>
      </c>
      <c r="CJ67" s="13" t="n">
        <f aca="false">Deuda_Tributos!CJ$26+Deuda_Tributos!CJ$40+Deuda_Tributos!CJ$28+Deuda_Tributos!CJ$42+Deuda_Tributos!CJ$29+Deuda_Tributos!CJ$43</f>
        <v>0</v>
      </c>
      <c r="CK67" s="13" t="n">
        <f aca="false">Deuda_Tributos!CK$26+Deuda_Tributos!CK$40+Deuda_Tributos!CK$28+Deuda_Tributos!CK$42+Deuda_Tributos!CK$29+Deuda_Tributos!CK$43</f>
        <v>0</v>
      </c>
      <c r="CL67" s="13" t="n">
        <f aca="false">Deuda_Tributos!CL$26+Deuda_Tributos!CL$40+Deuda_Tributos!CL$28+Deuda_Tributos!CL$42+Deuda_Tributos!CL$29+Deuda_Tributos!CL$43</f>
        <v>0</v>
      </c>
      <c r="CM67" s="13" t="n">
        <f aca="false">Deuda_Tributos!CM$26+Deuda_Tributos!CM$40+Deuda_Tributos!CM$28+Deuda_Tributos!CM$42+Deuda_Tributos!CM$29+Deuda_Tributos!CM$43</f>
        <v>0</v>
      </c>
      <c r="CN67" s="13" t="n">
        <f aca="false">Deuda_Tributos!CN$26+Deuda_Tributos!CN$40+Deuda_Tributos!CN$28+Deuda_Tributos!CN$42+Deuda_Tributos!CN$29+Deuda_Tributos!CN$43</f>
        <v>0</v>
      </c>
      <c r="CO67" s="13" t="n">
        <f aca="false">Deuda_Tributos!CO$26+Deuda_Tributos!CO$40+Deuda_Tributos!CO$28+Deuda_Tributos!CO$42+Deuda_Tributos!CO$29+Deuda_Tributos!CO$43</f>
        <v>0</v>
      </c>
      <c r="CP67" s="13" t="n">
        <f aca="false">Deuda_Tributos!CP$26+Deuda_Tributos!CP$40+Deuda_Tributos!CP$28+Deuda_Tributos!CP$42+Deuda_Tributos!CP$29+Deuda_Tributos!CP$43</f>
        <v>0</v>
      </c>
      <c r="CQ67" s="13" t="n">
        <f aca="false">Deuda_Tributos!CQ$26+Deuda_Tributos!CQ$40+Deuda_Tributos!CQ$28+Deuda_Tributos!CQ$42+Deuda_Tributos!CQ$29+Deuda_Tributos!CQ$43</f>
        <v>0</v>
      </c>
      <c r="CR67" s="13" t="n">
        <f aca="false">Deuda_Tributos!CR$26+Deuda_Tributos!CR$40+Deuda_Tributos!CR$28+Deuda_Tributos!CR$42+Deuda_Tributos!CR$29+Deuda_Tributos!CR$43</f>
        <v>0</v>
      </c>
      <c r="CS67" s="13" t="n">
        <f aca="false">Deuda_Tributos!CS$26+Deuda_Tributos!CS$40+Deuda_Tributos!CS$28+Deuda_Tributos!CS$42+Deuda_Tributos!CS$29+Deuda_Tributos!CS$43</f>
        <v>0</v>
      </c>
      <c r="CT67" s="13" t="n">
        <f aca="false">Deuda_Tributos!CT$26+Deuda_Tributos!CT$40+Deuda_Tributos!CT$28+Deuda_Tributos!CT$42+Deuda_Tributos!CT$29+Deuda_Tributos!CT$43</f>
        <v>0</v>
      </c>
      <c r="CU67" s="13" t="n">
        <f aca="false">Deuda_Tributos!CU$26+Deuda_Tributos!CU$40+Deuda_Tributos!CU$28+Deuda_Tributos!CU$42+Deuda_Tributos!CU$29+Deuda_Tributos!CU$43</f>
        <v>0</v>
      </c>
      <c r="CV67" s="13" t="n">
        <f aca="false">Deuda_Tributos!CV$26+Deuda_Tributos!CV$40+Deuda_Tributos!CV$28+Deuda_Tributos!CV$42+Deuda_Tributos!CV$29+Deuda_Tributos!CV$43</f>
        <v>0</v>
      </c>
      <c r="CW67" s="13" t="n">
        <f aca="false">Deuda_Tributos!CW$26+Deuda_Tributos!CW$40+Deuda_Tributos!CW$28+Deuda_Tributos!CW$42+Deuda_Tributos!CW$29+Deuda_Tributos!CW$43</f>
        <v>0</v>
      </c>
      <c r="CX67" s="13" t="n">
        <f aca="false">Deuda_Tributos!CX$26+Deuda_Tributos!CX$40+Deuda_Tributos!CX$28+Deuda_Tributos!CX$42+Deuda_Tributos!CX$29+Deuda_Tributos!CX$43</f>
        <v>0</v>
      </c>
      <c r="CY67" s="13" t="n">
        <f aca="false">Deuda_Tributos!CY$26+Deuda_Tributos!CY$40+Deuda_Tributos!CY$28+Deuda_Tributos!CY$42+Deuda_Tributos!CY$29+Deuda_Tributos!CY$43</f>
        <v>0</v>
      </c>
      <c r="CZ67" s="13" t="n">
        <f aca="false">Deuda_Tributos!CZ$26+Deuda_Tributos!CZ$40+Deuda_Tributos!CZ$28+Deuda_Tributos!CZ$42+Deuda_Tributos!CZ$29+Deuda_Tributos!CZ$43</f>
        <v>0</v>
      </c>
      <c r="DA67" s="13" t="n">
        <f aca="false">Deuda_Tributos!DA$26+Deuda_Tributos!DA$40+Deuda_Tributos!DA$28+Deuda_Tributos!DA$42+Deuda_Tributos!DA$29+Deuda_Tributos!DA$43</f>
        <v>0</v>
      </c>
      <c r="DB67" s="13" t="n">
        <f aca="false">Deuda_Tributos!DB$26+Deuda_Tributos!DB$40+Deuda_Tributos!DB$28+Deuda_Tributos!DB$42+Deuda_Tributos!DB$29+Deuda_Tributos!DB$43</f>
        <v>0</v>
      </c>
      <c r="DC67" s="13" t="n">
        <f aca="false">Deuda_Tributos!DC$26+Deuda_Tributos!DC$40+Deuda_Tributos!DC$28+Deuda_Tributos!DC$42+Deuda_Tributos!DC$29+Deuda_Tributos!DC$43</f>
        <v>0</v>
      </c>
      <c r="DD67" s="13" t="n">
        <f aca="false">Deuda_Tributos!DD$26+Deuda_Tributos!DD$40+Deuda_Tributos!DD$28+Deuda_Tributos!DD$42+Deuda_Tributos!DD$29+Deuda_Tributos!DD$43</f>
        <v>0</v>
      </c>
      <c r="DE67" s="13" t="n">
        <f aca="false">Deuda_Tributos!DE$26+Deuda_Tributos!DE$40+Deuda_Tributos!DE$28+Deuda_Tributos!DE$42+Deuda_Tributos!DE$29+Deuda_Tributos!DE$43</f>
        <v>0</v>
      </c>
      <c r="DF67" s="13" t="n">
        <f aca="false">Deuda_Tributos!DF$26+Deuda_Tributos!DF$40+Deuda_Tributos!DF$28+Deuda_Tributos!DF$42+Deuda_Tributos!DF$29+Deuda_Tributos!DF$43</f>
        <v>0</v>
      </c>
      <c r="DG67" s="13" t="n">
        <f aca="false">Deuda_Tributos!DG$26+Deuda_Tributos!DG$40+Deuda_Tributos!DG$28+Deuda_Tributos!DG$42+Deuda_Tributos!DG$29+Deuda_Tributos!DG$43</f>
        <v>0</v>
      </c>
      <c r="DH67" s="13" t="n">
        <f aca="false">Deuda_Tributos!DH$26+Deuda_Tributos!DH$40+Deuda_Tributos!DH$28+Deuda_Tributos!DH$42+Deuda_Tributos!DH$29+Deuda_Tributos!DH$43</f>
        <v>0</v>
      </c>
      <c r="DI67" s="13" t="n">
        <f aca="false">Deuda_Tributos!DI$26+Deuda_Tributos!DI$40+Deuda_Tributos!DI$28+Deuda_Tributos!DI$42+Deuda_Tributos!DI$29+Deuda_Tributos!DI$43</f>
        <v>0</v>
      </c>
      <c r="DJ67" s="13" t="n">
        <f aca="false">Deuda_Tributos!DJ$26+Deuda_Tributos!DJ$40+Deuda_Tributos!DJ$28+Deuda_Tributos!DJ$42+Deuda_Tributos!DJ$29+Deuda_Tributos!DJ$43</f>
        <v>0</v>
      </c>
      <c r="DK67" s="13" t="n">
        <f aca="false">Deuda_Tributos!DK$26+Deuda_Tributos!DK$40+Deuda_Tributos!DK$28+Deuda_Tributos!DK$42+Deuda_Tributos!DK$29+Deuda_Tributos!DK$43</f>
        <v>0</v>
      </c>
      <c r="DL67" s="13" t="n">
        <f aca="false">Deuda_Tributos!DL$26+Deuda_Tributos!DL$40+Deuda_Tributos!DL$28+Deuda_Tributos!DL$42+Deuda_Tributos!DL$29+Deuda_Tributos!DL$43</f>
        <v>0</v>
      </c>
      <c r="DM67" s="13" t="n">
        <f aca="false">Deuda_Tributos!DM$26+Deuda_Tributos!DM$40+Deuda_Tributos!DM$28+Deuda_Tributos!DM$42+Deuda_Tributos!DM$29+Deuda_Tributos!DM$43</f>
        <v>0</v>
      </c>
      <c r="DN67" s="13" t="n">
        <f aca="false">Deuda_Tributos!DN$26+Deuda_Tributos!DN$40+Deuda_Tributos!DN$28+Deuda_Tributos!DN$42+Deuda_Tributos!DN$29+Deuda_Tributos!DN$43</f>
        <v>0</v>
      </c>
      <c r="DO67" s="13" t="n">
        <f aca="false">Deuda_Tributos!DO$26+Deuda_Tributos!DO$40+Deuda_Tributos!DO$28+Deuda_Tributos!DO$42+Deuda_Tributos!DO$29+Deuda_Tributos!DO$43</f>
        <v>0</v>
      </c>
      <c r="DP67" s="13" t="n">
        <f aca="false">Deuda_Tributos!DP$26+Deuda_Tributos!DP$40+Deuda_Tributos!DP$28+Deuda_Tributos!DP$42+Deuda_Tributos!DP$29+Deuda_Tributos!DP$43</f>
        <v>0</v>
      </c>
      <c r="DQ67" s="13" t="n">
        <f aca="false">Deuda_Tributos!DQ$26+Deuda_Tributos!DQ$40+Deuda_Tributos!DQ$28+Deuda_Tributos!DQ$42+Deuda_Tributos!DQ$29+Deuda_Tributos!DQ$43</f>
        <v>0</v>
      </c>
      <c r="DR67" s="13" t="n">
        <f aca="false">Deuda_Tributos!DR$26+Deuda_Tributos!DR$40+Deuda_Tributos!DR$28+Deuda_Tributos!DR$42+Deuda_Tributos!DR$29+Deuda_Tributos!DR$43</f>
        <v>0</v>
      </c>
      <c r="DS67" s="13" t="n">
        <f aca="false">Deuda_Tributos!DS$26+Deuda_Tributos!DS$40+Deuda_Tributos!DS$28+Deuda_Tributos!DS$42+Deuda_Tributos!DS$29+Deuda_Tributos!DS$43</f>
        <v>0</v>
      </c>
      <c r="DT67" s="13" t="n">
        <f aca="false">Deuda_Tributos!DT$26+Deuda_Tributos!DT$40+Deuda_Tributos!DT$28+Deuda_Tributos!DT$42+Deuda_Tributos!DT$29+Deuda_Tributos!DT$43</f>
        <v>0</v>
      </c>
      <c r="DU67" s="13" t="n">
        <f aca="false">Deuda_Tributos!DU$26+Deuda_Tributos!DU$40+Deuda_Tributos!DU$28+Deuda_Tributos!DU$42+Deuda_Tributos!DU$29+Deuda_Tributos!DU$43</f>
        <v>0</v>
      </c>
      <c r="DV67" s="13" t="n">
        <f aca="false">Deuda_Tributos!DV$26+Deuda_Tributos!DV$40+Deuda_Tributos!DV$28+Deuda_Tributos!DV$42+Deuda_Tributos!DV$29+Deuda_Tributos!DV$43</f>
        <v>0</v>
      </c>
      <c r="DW67" s="13" t="n">
        <f aca="false">Deuda_Tributos!DW$26+Deuda_Tributos!DW$40+Deuda_Tributos!DW$28+Deuda_Tributos!DW$42+Deuda_Tributos!DW$29+Deuda_Tributos!DW$43</f>
        <v>0</v>
      </c>
      <c r="DX67" s="13" t="n">
        <f aca="false">Deuda_Tributos!DX$26+Deuda_Tributos!DX$40+Deuda_Tributos!DX$28+Deuda_Tributos!DX$42+Deuda_Tributos!DX$29+Deuda_Tributos!DX$43</f>
        <v>0</v>
      </c>
      <c r="DY67" s="13" t="n">
        <f aca="false">Deuda_Tributos!DY$26+Deuda_Tributos!DY$40+Deuda_Tributos!DY$28+Deuda_Tributos!DY$42+Deuda_Tributos!DY$29+Deuda_Tributos!DY$43</f>
        <v>0</v>
      </c>
      <c r="DZ67" s="13" t="n">
        <f aca="false">Deuda_Tributos!DZ$26+Deuda_Tributos!DZ$40+Deuda_Tributos!DZ$28+Deuda_Tributos!DZ$42+Deuda_Tributos!DZ$29+Deuda_Tributos!DZ$43</f>
        <v>0</v>
      </c>
      <c r="EA67" s="13" t="n">
        <f aca="false">Deuda_Tributos!EA$26+Deuda_Tributos!EA$40+Deuda_Tributos!EA$28+Deuda_Tributos!EA$42+Deuda_Tributos!EA$29+Deuda_Tributos!EA$43</f>
        <v>0</v>
      </c>
      <c r="EB67" s="13" t="n">
        <f aca="false">Deuda_Tributos!EB$26+Deuda_Tributos!EB$40+Deuda_Tributos!EB$28+Deuda_Tributos!EB$42+Deuda_Tributos!EB$29+Deuda_Tributos!EB$43</f>
        <v>0</v>
      </c>
      <c r="EC67" s="13" t="n">
        <f aca="false">Deuda_Tributos!EC$26+Deuda_Tributos!EC$40+Deuda_Tributos!EC$28+Deuda_Tributos!EC$42+Deuda_Tributos!EC$29+Deuda_Tributos!EC$43</f>
        <v>0</v>
      </c>
      <c r="ED67" s="13" t="n">
        <f aca="false">Deuda_Tributos!ED$26+Deuda_Tributos!ED$40+Deuda_Tributos!ED$28+Deuda_Tributos!ED$42+Deuda_Tributos!ED$29+Deuda_Tributos!ED$43</f>
        <v>0</v>
      </c>
      <c r="EE67" s="13" t="n">
        <f aca="false">Deuda_Tributos!EE$26+Deuda_Tributos!EE$40+Deuda_Tributos!EE$28+Deuda_Tributos!EE$42+Deuda_Tributos!EE$29+Deuda_Tributos!EE$43</f>
        <v>0</v>
      </c>
      <c r="EF67" s="13" t="n">
        <f aca="false">Deuda_Tributos!EF$26+Deuda_Tributos!EF$40+Deuda_Tributos!EF$28+Deuda_Tributos!EF$42+Deuda_Tributos!EF$29+Deuda_Tributos!EF$43</f>
        <v>0</v>
      </c>
      <c r="EG67" s="13" t="n">
        <f aca="false">Deuda_Tributos!EG$26+Deuda_Tributos!EG$40+Deuda_Tributos!EG$28+Deuda_Tributos!EG$42+Deuda_Tributos!EG$29+Deuda_Tributos!EG$43</f>
        <v>0</v>
      </c>
      <c r="EH67" s="13" t="n">
        <f aca="false">Deuda_Tributos!EH$26+Deuda_Tributos!EH$40+Deuda_Tributos!EH$28+Deuda_Tributos!EH$42+Deuda_Tributos!EH$29+Deuda_Tributos!EH$43</f>
        <v>0</v>
      </c>
      <c r="EI67" s="13" t="n">
        <f aca="false">Deuda_Tributos!EI$26+Deuda_Tributos!EI$40+Deuda_Tributos!EI$28+Deuda_Tributos!EI$42+Deuda_Tributos!EI$29+Deuda_Tributos!EI$43</f>
        <v>0</v>
      </c>
      <c r="EJ67" s="13" t="n">
        <f aca="false">Deuda_Tributos!EJ$26+Deuda_Tributos!EJ$40+Deuda_Tributos!EJ$28+Deuda_Tributos!EJ$42+Deuda_Tributos!EJ$29+Deuda_Tributos!EJ$43</f>
        <v>0</v>
      </c>
      <c r="EK67" s="13" t="n">
        <f aca="false">Deuda_Tributos!EK$26+Deuda_Tributos!EK$40+Deuda_Tributos!EK$28+Deuda_Tributos!EK$42+Deuda_Tributos!EK$29+Deuda_Tributos!EK$43</f>
        <v>0</v>
      </c>
      <c r="EL67" s="13" t="n">
        <f aca="false">Deuda_Tributos!EL$26+Deuda_Tributos!EL$40+Deuda_Tributos!EL$28+Deuda_Tributos!EL$42+Deuda_Tributos!EL$29+Deuda_Tributos!EL$43</f>
        <v>0</v>
      </c>
      <c r="EM67" s="13" t="n">
        <f aca="false">Deuda_Tributos!EM$26+Deuda_Tributos!EM$40+Deuda_Tributos!EM$28+Deuda_Tributos!EM$42+Deuda_Tributos!EM$29+Deuda_Tributos!EM$43</f>
        <v>0</v>
      </c>
      <c r="EN67" s="13" t="n">
        <f aca="false">Deuda_Tributos!EN$26+Deuda_Tributos!EN$40+Deuda_Tributos!EN$28+Deuda_Tributos!EN$42+Deuda_Tributos!EN$29+Deuda_Tributos!EN$43</f>
        <v>0</v>
      </c>
      <c r="EO67" s="13" t="n">
        <f aca="false">Deuda_Tributos!EO$26+Deuda_Tributos!EO$40+Deuda_Tributos!EO$28+Deuda_Tributos!EO$42+Deuda_Tributos!EO$29+Deuda_Tributos!EO$43</f>
        <v>0</v>
      </c>
      <c r="EP67" s="13" t="n">
        <f aca="false">Deuda_Tributos!EP$26+Deuda_Tributos!EP$40+Deuda_Tributos!EP$28+Deuda_Tributos!EP$42+Deuda_Tributos!EP$29+Deuda_Tributos!EP$43</f>
        <v>0</v>
      </c>
      <c r="EQ67" s="13" t="n">
        <f aca="false">Deuda_Tributos!EQ$26+Deuda_Tributos!EQ$40+Deuda_Tributos!EQ$28+Deuda_Tributos!EQ$42+Deuda_Tributos!EQ$29+Deuda_Tributos!EQ$43</f>
        <v>0</v>
      </c>
      <c r="ER67" s="13" t="n">
        <f aca="false">Deuda_Tributos!ER$26+Deuda_Tributos!ER$40+Deuda_Tributos!ER$28+Deuda_Tributos!ER$42+Deuda_Tributos!ER$29+Deuda_Tributos!ER$43</f>
        <v>0</v>
      </c>
      <c r="ES67" s="13" t="n">
        <f aca="false">Deuda_Tributos!ES$26+Deuda_Tributos!ES$40+Deuda_Tributos!ES$28+Deuda_Tributos!ES$42+Deuda_Tributos!ES$29+Deuda_Tributos!ES$43</f>
        <v>0</v>
      </c>
      <c r="ET67" s="13" t="n">
        <f aca="false">Deuda_Tributos!ET$26+Deuda_Tributos!ET$40+Deuda_Tributos!ET$28+Deuda_Tributos!ET$42+Deuda_Tributos!ET$29+Deuda_Tributos!ET$43</f>
        <v>0</v>
      </c>
      <c r="EU67" s="13" t="n">
        <f aca="false">Deuda_Tributos!EU$26+Deuda_Tributos!EU$40+Deuda_Tributos!EU$28+Deuda_Tributos!EU$42+Deuda_Tributos!EU$29+Deuda_Tributos!EU$43</f>
        <v>0</v>
      </c>
      <c r="EV67" s="13" t="n">
        <f aca="false">Deuda_Tributos!EV$26+Deuda_Tributos!EV$40+Deuda_Tributos!EV$28+Deuda_Tributos!EV$42+Deuda_Tributos!EV$29+Deuda_Tributos!EV$43</f>
        <v>0</v>
      </c>
      <c r="EW67" s="13" t="n">
        <f aca="false">Deuda_Tributos!EW$26+Deuda_Tributos!EW$40+Deuda_Tributos!EW$28+Deuda_Tributos!EW$42+Deuda_Tributos!EW$29+Deuda_Tributos!EW$43</f>
        <v>0</v>
      </c>
      <c r="EX67" s="13" t="n">
        <f aca="false">Deuda_Tributos!EX$26+Deuda_Tributos!EX$40+Deuda_Tributos!EX$28+Deuda_Tributos!EX$42+Deuda_Tributos!EX$29+Deuda_Tributos!EX$43</f>
        <v>0</v>
      </c>
      <c r="EY67" s="13" t="n">
        <f aca="false">Deuda_Tributos!EY$26+Deuda_Tributos!EY$40+Deuda_Tributos!EY$28+Deuda_Tributos!EY$42+Deuda_Tributos!EY$29+Deuda_Tributos!EY$43</f>
        <v>0</v>
      </c>
      <c r="EZ67" s="13" t="n">
        <f aca="false">Deuda_Tributos!EZ$26+Deuda_Tributos!EZ$40+Deuda_Tributos!EZ$28+Deuda_Tributos!EZ$42+Deuda_Tributos!EZ$29+Deuda_Tributos!EZ$43</f>
        <v>0</v>
      </c>
      <c r="FA67" s="13" t="n">
        <f aca="false">Deuda_Tributos!FA$26+Deuda_Tributos!FA$40+Deuda_Tributos!FA$28+Deuda_Tributos!FA$42+Deuda_Tributos!FA$29+Deuda_Tributos!FA$43</f>
        <v>0</v>
      </c>
      <c r="FB67" s="13" t="n">
        <f aca="false">Deuda_Tributos!FB$26+Deuda_Tributos!FB$40+Deuda_Tributos!FB$28+Deuda_Tributos!FB$42+Deuda_Tributos!FB$29+Deuda_Tributos!FB$43</f>
        <v>0</v>
      </c>
      <c r="FC67" s="13" t="n">
        <f aca="false">Deuda_Tributos!FC$26+Deuda_Tributos!FC$40+Deuda_Tributos!FC$28+Deuda_Tributos!FC$42+Deuda_Tributos!FC$29+Deuda_Tributos!FC$43</f>
        <v>0</v>
      </c>
      <c r="FD67" s="13" t="n">
        <f aca="false">Deuda_Tributos!FD$26+Deuda_Tributos!FD$40+Deuda_Tributos!FD$28+Deuda_Tributos!FD$42+Deuda_Tributos!FD$29+Deuda_Tributos!FD$43</f>
        <v>0</v>
      </c>
      <c r="FE67" s="13" t="n">
        <f aca="false">Deuda_Tributos!FE$26+Deuda_Tributos!FE$40+Deuda_Tributos!FE$28+Deuda_Tributos!FE$42+Deuda_Tributos!FE$29+Deuda_Tributos!FE$43</f>
        <v>0</v>
      </c>
      <c r="FF67" s="13" t="n">
        <f aca="false">Deuda_Tributos!FF$26+Deuda_Tributos!FF$40+Deuda_Tributos!FF$28+Deuda_Tributos!FF$42+Deuda_Tributos!FF$29+Deuda_Tributos!FF$43</f>
        <v>0</v>
      </c>
    </row>
    <row r="68" customFormat="false" ht="15" hidden="false" customHeight="false" outlineLevel="0" collapsed="false">
      <c r="A68" s="2" t="s">
        <v>1444</v>
      </c>
      <c r="B68" s="8" t="s">
        <v>1546</v>
      </c>
      <c r="C68" s="8" t="s">
        <v>255</v>
      </c>
      <c r="E68" s="65" t="n">
        <f aca="false">SUM($F68:$FF68)</f>
        <v>1139710</v>
      </c>
      <c r="F68" s="28" t="n">
        <f aca="false">Deuda_Tributos!F$52</f>
        <v>200000</v>
      </c>
      <c r="G68" s="28" t="n">
        <f aca="false">Deuda_Tributos!G$52</f>
        <v>567782</v>
      </c>
      <c r="H68" s="28" t="n">
        <f aca="false">Deuda_Tributos!H$52</f>
        <v>0</v>
      </c>
      <c r="I68" s="28" t="n">
        <f aca="false">Deuda_Tributos!I$52</f>
        <v>0</v>
      </c>
      <c r="J68" s="28" t="n">
        <f aca="false">Deuda_Tributos!J$52</f>
        <v>0</v>
      </c>
      <c r="K68" s="28" t="n">
        <f aca="false">Deuda_Tributos!K$52</f>
        <v>0</v>
      </c>
      <c r="L68" s="28" t="n">
        <f aca="false">Deuda_Tributos!L$52</f>
        <v>0</v>
      </c>
      <c r="M68" s="28" t="n">
        <f aca="false">Deuda_Tributos!M$52</f>
        <v>0</v>
      </c>
      <c r="N68" s="28" t="n">
        <f aca="false">Deuda_Tributos!N$52</f>
        <v>0</v>
      </c>
      <c r="O68" s="28" t="n">
        <f aca="false">Deuda_Tributos!O$52</f>
        <v>0</v>
      </c>
      <c r="P68" s="28" t="n">
        <f aca="false">Deuda_Tributos!P$52</f>
        <v>0</v>
      </c>
      <c r="Q68" s="28" t="n">
        <f aca="false">Deuda_Tributos!Q$52</f>
        <v>0</v>
      </c>
      <c r="R68" s="28" t="n">
        <f aca="false">Deuda_Tributos!R$52</f>
        <v>0</v>
      </c>
      <c r="S68" s="28" t="n">
        <f aca="false">Deuda_Tributos!S$52</f>
        <v>371928</v>
      </c>
      <c r="T68" s="28" t="n">
        <f aca="false">Deuda_Tributos!T$52</f>
        <v>0</v>
      </c>
      <c r="U68" s="28" t="n">
        <f aca="false">Deuda_Tributos!U$52</f>
        <v>0</v>
      </c>
      <c r="V68" s="28" t="n">
        <f aca="false">Deuda_Tributos!V$52</f>
        <v>0</v>
      </c>
      <c r="W68" s="28" t="n">
        <f aca="false">Deuda_Tributos!W$52</f>
        <v>0</v>
      </c>
      <c r="X68" s="28" t="n">
        <f aca="false">Deuda_Tributos!X$52</f>
        <v>0</v>
      </c>
      <c r="Y68" s="28" t="n">
        <f aca="false">Deuda_Tributos!Y$52</f>
        <v>0</v>
      </c>
      <c r="Z68" s="28" t="n">
        <f aca="false">Deuda_Tributos!Z$52</f>
        <v>0</v>
      </c>
      <c r="AA68" s="28" t="n">
        <f aca="false">Deuda_Tributos!AA$52</f>
        <v>0</v>
      </c>
      <c r="AB68" s="28" t="n">
        <f aca="false">Deuda_Tributos!AB$52</f>
        <v>0</v>
      </c>
      <c r="AC68" s="28" t="n">
        <f aca="false">Deuda_Tributos!AC$52</f>
        <v>0</v>
      </c>
      <c r="AD68" s="28" t="n">
        <f aca="false">Deuda_Tributos!AD$52</f>
        <v>0</v>
      </c>
      <c r="AE68" s="28" t="n">
        <f aca="false">Deuda_Tributos!AE$52</f>
        <v>0</v>
      </c>
      <c r="AF68" s="28" t="n">
        <f aca="false">Deuda_Tributos!AF$52</f>
        <v>0</v>
      </c>
      <c r="AG68" s="28" t="n">
        <f aca="false">Deuda_Tributos!AG$52</f>
        <v>0</v>
      </c>
      <c r="AH68" s="28" t="n">
        <f aca="false">Deuda_Tributos!AH$52</f>
        <v>0</v>
      </c>
      <c r="AI68" s="28" t="n">
        <f aca="false">Deuda_Tributos!AI$52</f>
        <v>0</v>
      </c>
      <c r="AJ68" s="28" t="n">
        <f aca="false">Deuda_Tributos!AJ$52</f>
        <v>0</v>
      </c>
      <c r="AK68" s="28" t="n">
        <f aca="false">Deuda_Tributos!AK$52</f>
        <v>0</v>
      </c>
      <c r="AL68" s="28" t="n">
        <f aca="false">Deuda_Tributos!AL$52</f>
        <v>0</v>
      </c>
      <c r="AM68" s="28" t="n">
        <f aca="false">Deuda_Tributos!AM$52</f>
        <v>0</v>
      </c>
      <c r="AN68" s="28" t="n">
        <f aca="false">Deuda_Tributos!AN$52</f>
        <v>0</v>
      </c>
      <c r="AO68" s="28" t="n">
        <f aca="false">Deuda_Tributos!AO$52</f>
        <v>0</v>
      </c>
      <c r="AP68" s="28" t="n">
        <f aca="false">Deuda_Tributos!AP$52</f>
        <v>0</v>
      </c>
      <c r="AQ68" s="28" t="n">
        <f aca="false">Deuda_Tributos!AQ$52</f>
        <v>0</v>
      </c>
      <c r="AR68" s="28" t="n">
        <f aca="false">Deuda_Tributos!AR$52</f>
        <v>0</v>
      </c>
      <c r="AS68" s="28" t="n">
        <f aca="false">Deuda_Tributos!AS$52</f>
        <v>0</v>
      </c>
      <c r="AT68" s="28" t="n">
        <f aca="false">Deuda_Tributos!AT$52</f>
        <v>0</v>
      </c>
      <c r="AU68" s="28" t="n">
        <f aca="false">Deuda_Tributos!AU$52</f>
        <v>0</v>
      </c>
      <c r="AV68" s="28" t="n">
        <f aca="false">Deuda_Tributos!AV$52</f>
        <v>0</v>
      </c>
      <c r="AW68" s="28" t="n">
        <f aca="false">Deuda_Tributos!AW$52</f>
        <v>0</v>
      </c>
      <c r="AX68" s="28" t="n">
        <f aca="false">Deuda_Tributos!AX$52</f>
        <v>0</v>
      </c>
      <c r="AY68" s="28" t="n">
        <f aca="false">Deuda_Tributos!AY$52</f>
        <v>0</v>
      </c>
      <c r="AZ68" s="28" t="n">
        <f aca="false">Deuda_Tributos!AZ$52</f>
        <v>0</v>
      </c>
      <c r="BA68" s="28" t="n">
        <f aca="false">Deuda_Tributos!BA$52</f>
        <v>0</v>
      </c>
      <c r="BB68" s="28" t="n">
        <f aca="false">Deuda_Tributos!BB$52</f>
        <v>0</v>
      </c>
      <c r="BC68" s="28" t="n">
        <f aca="false">Deuda_Tributos!BC$52</f>
        <v>0</v>
      </c>
      <c r="BD68" s="28" t="n">
        <f aca="false">Deuda_Tributos!BD$52</f>
        <v>0</v>
      </c>
      <c r="BE68" s="28" t="n">
        <f aca="false">Deuda_Tributos!BE$52</f>
        <v>0</v>
      </c>
      <c r="BF68" s="28" t="n">
        <f aca="false">Deuda_Tributos!BF$52</f>
        <v>0</v>
      </c>
      <c r="BG68" s="28" t="n">
        <f aca="false">Deuda_Tributos!BG$52</f>
        <v>0</v>
      </c>
      <c r="BH68" s="28" t="n">
        <f aca="false">Deuda_Tributos!BH$52</f>
        <v>0</v>
      </c>
      <c r="BI68" s="28" t="n">
        <f aca="false">Deuda_Tributos!BI$52</f>
        <v>0</v>
      </c>
      <c r="BJ68" s="28" t="n">
        <f aca="false">Deuda_Tributos!BJ$52</f>
        <v>0</v>
      </c>
      <c r="BK68" s="28" t="n">
        <f aca="false">Deuda_Tributos!BK$52</f>
        <v>0</v>
      </c>
      <c r="BL68" s="28" t="n">
        <f aca="false">Deuda_Tributos!BL$52</f>
        <v>0</v>
      </c>
      <c r="BM68" s="28" t="n">
        <f aca="false">Deuda_Tributos!BM$52</f>
        <v>0</v>
      </c>
      <c r="BN68" s="28" t="n">
        <f aca="false">Deuda_Tributos!BN$52</f>
        <v>0</v>
      </c>
      <c r="BO68" s="28" t="n">
        <f aca="false">Deuda_Tributos!BO$52</f>
        <v>0</v>
      </c>
      <c r="BP68" s="28" t="n">
        <f aca="false">Deuda_Tributos!BP$52</f>
        <v>0</v>
      </c>
      <c r="BQ68" s="28" t="n">
        <f aca="false">Deuda_Tributos!BQ$52</f>
        <v>0</v>
      </c>
      <c r="BR68" s="28" t="n">
        <f aca="false">Deuda_Tributos!BR$52</f>
        <v>0</v>
      </c>
      <c r="BS68" s="28" t="n">
        <f aca="false">Deuda_Tributos!BS$52</f>
        <v>0</v>
      </c>
      <c r="BT68" s="28" t="n">
        <f aca="false">Deuda_Tributos!BT$52</f>
        <v>0</v>
      </c>
      <c r="BU68" s="28" t="n">
        <f aca="false">Deuda_Tributos!BU$52</f>
        <v>0</v>
      </c>
      <c r="BV68" s="28" t="n">
        <f aca="false">Deuda_Tributos!BV$52</f>
        <v>0</v>
      </c>
      <c r="BW68" s="28" t="n">
        <f aca="false">Deuda_Tributos!BW$52</f>
        <v>0</v>
      </c>
      <c r="BX68" s="28" t="n">
        <f aca="false">Deuda_Tributos!BX$52</f>
        <v>0</v>
      </c>
      <c r="BY68" s="28" t="n">
        <f aca="false">Deuda_Tributos!BY$52</f>
        <v>0</v>
      </c>
      <c r="BZ68" s="28" t="n">
        <f aca="false">Deuda_Tributos!BZ$52</f>
        <v>0</v>
      </c>
      <c r="CA68" s="28" t="n">
        <f aca="false">Deuda_Tributos!CA$52</f>
        <v>0</v>
      </c>
      <c r="CB68" s="28" t="n">
        <f aca="false">Deuda_Tributos!CB$52</f>
        <v>0</v>
      </c>
      <c r="CC68" s="28" t="n">
        <f aca="false">Deuda_Tributos!CC$52</f>
        <v>0</v>
      </c>
      <c r="CD68" s="28" t="n">
        <f aca="false">Deuda_Tributos!CD$52</f>
        <v>0</v>
      </c>
      <c r="CE68" s="28" t="n">
        <f aca="false">Deuda_Tributos!CE$52</f>
        <v>0</v>
      </c>
      <c r="CF68" s="28" t="n">
        <f aca="false">Deuda_Tributos!CF$52</f>
        <v>0</v>
      </c>
      <c r="CG68" s="28" t="n">
        <f aca="false">Deuda_Tributos!CG$52</f>
        <v>0</v>
      </c>
      <c r="CH68" s="28" t="n">
        <f aca="false">Deuda_Tributos!CH$52</f>
        <v>0</v>
      </c>
      <c r="CI68" s="28" t="n">
        <f aca="false">Deuda_Tributos!CI$52</f>
        <v>0</v>
      </c>
      <c r="CJ68" s="28" t="n">
        <f aca="false">Deuda_Tributos!CJ$52</f>
        <v>0</v>
      </c>
      <c r="CK68" s="28" t="n">
        <f aca="false">Deuda_Tributos!CK$52</f>
        <v>0</v>
      </c>
      <c r="CL68" s="28" t="n">
        <f aca="false">Deuda_Tributos!CL$52</f>
        <v>0</v>
      </c>
      <c r="CM68" s="28" t="n">
        <f aca="false">Deuda_Tributos!CM$52</f>
        <v>0</v>
      </c>
      <c r="CN68" s="28" t="n">
        <f aca="false">Deuda_Tributos!CN$52</f>
        <v>0</v>
      </c>
      <c r="CO68" s="28" t="n">
        <f aca="false">Deuda_Tributos!CO$52</f>
        <v>0</v>
      </c>
      <c r="CP68" s="28" t="n">
        <f aca="false">Deuda_Tributos!CP$52</f>
        <v>0</v>
      </c>
      <c r="CQ68" s="28" t="n">
        <f aca="false">Deuda_Tributos!CQ$52</f>
        <v>0</v>
      </c>
      <c r="CR68" s="28" t="n">
        <f aca="false">Deuda_Tributos!CR$52</f>
        <v>0</v>
      </c>
      <c r="CS68" s="28" t="n">
        <f aca="false">Deuda_Tributos!CS$52</f>
        <v>0</v>
      </c>
      <c r="CT68" s="28" t="n">
        <f aca="false">Deuda_Tributos!CT$52</f>
        <v>0</v>
      </c>
      <c r="CU68" s="28" t="n">
        <f aca="false">Deuda_Tributos!CU$52</f>
        <v>0</v>
      </c>
      <c r="CV68" s="28" t="n">
        <f aca="false">Deuda_Tributos!CV$52</f>
        <v>0</v>
      </c>
      <c r="CW68" s="28" t="n">
        <f aca="false">Deuda_Tributos!CW$52</f>
        <v>0</v>
      </c>
      <c r="CX68" s="28" t="n">
        <f aca="false">Deuda_Tributos!CX$52</f>
        <v>0</v>
      </c>
      <c r="CY68" s="28" t="n">
        <f aca="false">Deuda_Tributos!CY$52</f>
        <v>0</v>
      </c>
      <c r="CZ68" s="28" t="n">
        <f aca="false">Deuda_Tributos!CZ$52</f>
        <v>0</v>
      </c>
      <c r="DA68" s="28" t="n">
        <f aca="false">Deuda_Tributos!DA$52</f>
        <v>0</v>
      </c>
      <c r="DB68" s="28" t="n">
        <f aca="false">Deuda_Tributos!DB$52</f>
        <v>0</v>
      </c>
      <c r="DC68" s="28" t="n">
        <f aca="false">Deuda_Tributos!DC$52</f>
        <v>0</v>
      </c>
      <c r="DD68" s="28" t="n">
        <f aca="false">Deuda_Tributos!DD$52</f>
        <v>0</v>
      </c>
      <c r="DE68" s="28" t="n">
        <f aca="false">Deuda_Tributos!DE$52</f>
        <v>0</v>
      </c>
      <c r="DF68" s="28" t="n">
        <f aca="false">Deuda_Tributos!DF$52</f>
        <v>0</v>
      </c>
      <c r="DG68" s="28" t="n">
        <f aca="false">Deuda_Tributos!DG$52</f>
        <v>0</v>
      </c>
      <c r="DH68" s="28" t="n">
        <f aca="false">Deuda_Tributos!DH$52</f>
        <v>0</v>
      </c>
      <c r="DI68" s="28" t="n">
        <f aca="false">Deuda_Tributos!DI$52</f>
        <v>0</v>
      </c>
      <c r="DJ68" s="28" t="n">
        <f aca="false">Deuda_Tributos!DJ$52</f>
        <v>0</v>
      </c>
      <c r="DK68" s="28" t="n">
        <f aca="false">Deuda_Tributos!DK$52</f>
        <v>0</v>
      </c>
      <c r="DL68" s="28" t="n">
        <f aca="false">Deuda_Tributos!DL$52</f>
        <v>0</v>
      </c>
      <c r="DM68" s="28" t="n">
        <f aca="false">Deuda_Tributos!DM$52</f>
        <v>0</v>
      </c>
      <c r="DN68" s="28" t="n">
        <f aca="false">Deuda_Tributos!DN$52</f>
        <v>0</v>
      </c>
      <c r="DO68" s="28" t="n">
        <f aca="false">Deuda_Tributos!DO$52</f>
        <v>0</v>
      </c>
      <c r="DP68" s="28" t="n">
        <f aca="false">Deuda_Tributos!DP$52</f>
        <v>0</v>
      </c>
      <c r="DQ68" s="28" t="n">
        <f aca="false">Deuda_Tributos!DQ$52</f>
        <v>0</v>
      </c>
      <c r="DR68" s="28" t="n">
        <f aca="false">Deuda_Tributos!DR$52</f>
        <v>0</v>
      </c>
      <c r="DS68" s="28" t="n">
        <f aca="false">Deuda_Tributos!DS$52</f>
        <v>0</v>
      </c>
      <c r="DT68" s="28" t="n">
        <f aca="false">Deuda_Tributos!DT$52</f>
        <v>0</v>
      </c>
      <c r="DU68" s="28" t="n">
        <f aca="false">Deuda_Tributos!DU$52</f>
        <v>0</v>
      </c>
      <c r="DV68" s="28" t="n">
        <f aca="false">Deuda_Tributos!DV$52</f>
        <v>0</v>
      </c>
      <c r="DW68" s="28" t="n">
        <f aca="false">Deuda_Tributos!DW$52</f>
        <v>0</v>
      </c>
      <c r="DX68" s="28" t="n">
        <f aca="false">Deuda_Tributos!DX$52</f>
        <v>0</v>
      </c>
      <c r="DY68" s="28" t="n">
        <f aca="false">Deuda_Tributos!DY$52</f>
        <v>0</v>
      </c>
      <c r="DZ68" s="28" t="n">
        <f aca="false">Deuda_Tributos!DZ$52</f>
        <v>0</v>
      </c>
      <c r="EA68" s="28" t="n">
        <f aca="false">Deuda_Tributos!EA$52</f>
        <v>0</v>
      </c>
      <c r="EB68" s="28" t="n">
        <f aca="false">Deuda_Tributos!EB$52</f>
        <v>0</v>
      </c>
      <c r="EC68" s="28" t="n">
        <f aca="false">Deuda_Tributos!EC$52</f>
        <v>0</v>
      </c>
      <c r="ED68" s="28" t="n">
        <f aca="false">Deuda_Tributos!ED$52</f>
        <v>0</v>
      </c>
      <c r="EE68" s="28" t="n">
        <f aca="false">Deuda_Tributos!EE$52</f>
        <v>0</v>
      </c>
      <c r="EF68" s="28" t="n">
        <f aca="false">Deuda_Tributos!EF$52</f>
        <v>0</v>
      </c>
      <c r="EG68" s="28" t="n">
        <f aca="false">Deuda_Tributos!EG$52</f>
        <v>0</v>
      </c>
      <c r="EH68" s="28" t="n">
        <f aca="false">Deuda_Tributos!EH$52</f>
        <v>0</v>
      </c>
      <c r="EI68" s="28" t="n">
        <f aca="false">Deuda_Tributos!EI$52</f>
        <v>0</v>
      </c>
      <c r="EJ68" s="28" t="n">
        <f aca="false">Deuda_Tributos!EJ$52</f>
        <v>0</v>
      </c>
      <c r="EK68" s="28" t="n">
        <f aca="false">Deuda_Tributos!EK$52</f>
        <v>0</v>
      </c>
      <c r="EL68" s="28" t="n">
        <f aca="false">Deuda_Tributos!EL$52</f>
        <v>0</v>
      </c>
      <c r="EM68" s="28" t="n">
        <f aca="false">Deuda_Tributos!EM$52</f>
        <v>0</v>
      </c>
      <c r="EN68" s="28" t="n">
        <f aca="false">Deuda_Tributos!EN$52</f>
        <v>0</v>
      </c>
      <c r="EO68" s="28" t="n">
        <f aca="false">Deuda_Tributos!EO$52</f>
        <v>0</v>
      </c>
      <c r="EP68" s="28" t="n">
        <f aca="false">Deuda_Tributos!EP$52</f>
        <v>0</v>
      </c>
      <c r="EQ68" s="28" t="n">
        <f aca="false">Deuda_Tributos!EQ$52</f>
        <v>0</v>
      </c>
      <c r="ER68" s="28" t="n">
        <f aca="false">Deuda_Tributos!ER$52</f>
        <v>0</v>
      </c>
      <c r="ES68" s="28" t="n">
        <f aca="false">Deuda_Tributos!ES$52</f>
        <v>0</v>
      </c>
      <c r="ET68" s="28" t="n">
        <f aca="false">Deuda_Tributos!ET$52</f>
        <v>0</v>
      </c>
      <c r="EU68" s="28" t="n">
        <f aca="false">Deuda_Tributos!EU$52</f>
        <v>0</v>
      </c>
      <c r="EV68" s="28" t="n">
        <f aca="false">Deuda_Tributos!EV$52</f>
        <v>0</v>
      </c>
      <c r="EW68" s="28" t="n">
        <f aca="false">Deuda_Tributos!EW$52</f>
        <v>0</v>
      </c>
      <c r="EX68" s="28" t="n">
        <f aca="false">Deuda_Tributos!EX$52</f>
        <v>0</v>
      </c>
      <c r="EY68" s="28" t="n">
        <f aca="false">Deuda_Tributos!EY$52</f>
        <v>0</v>
      </c>
      <c r="EZ68" s="28" t="n">
        <f aca="false">Deuda_Tributos!EZ$52</f>
        <v>0</v>
      </c>
      <c r="FA68" s="28" t="n">
        <f aca="false">Deuda_Tributos!FA$52</f>
        <v>0</v>
      </c>
      <c r="FB68" s="28" t="n">
        <f aca="false">Deuda_Tributos!FB$52</f>
        <v>0</v>
      </c>
      <c r="FC68" s="28" t="n">
        <f aca="false">Deuda_Tributos!FC$52</f>
        <v>0</v>
      </c>
      <c r="FD68" s="28" t="n">
        <f aca="false">Deuda_Tributos!FD$52</f>
        <v>0</v>
      </c>
      <c r="FE68" s="28" t="n">
        <f aca="false">Deuda_Tributos!FE$52</f>
        <v>0</v>
      </c>
      <c r="FF68" s="28" t="n">
        <f aca="false">Deuda_Tributos!FF$52</f>
        <v>0</v>
      </c>
    </row>
    <row r="69" customFormat="false" ht="15" hidden="false" customHeight="false" outlineLevel="0" collapsed="false">
      <c r="A69" s="2" t="s">
        <v>1547</v>
      </c>
      <c r="B69" s="8" t="s">
        <v>1548</v>
      </c>
      <c r="C69" s="8" t="s">
        <v>255</v>
      </c>
      <c r="F69" s="13" t="n">
        <f aca="false">0</f>
        <v>0</v>
      </c>
      <c r="G69" s="13" t="n">
        <f aca="false">F$91</f>
        <v>1272400.61780822</v>
      </c>
      <c r="H69" s="13" t="n">
        <f aca="false">G$91</f>
        <v>1485788.22538177</v>
      </c>
      <c r="I69" s="13" t="n">
        <f aca="false">H$91</f>
        <v>1096224.29621508</v>
      </c>
      <c r="J69" s="13" t="n">
        <f aca="false">I$91</f>
        <v>711524.53696845</v>
      </c>
      <c r="K69" s="13" t="n">
        <f aca="false">J$91</f>
        <v>348970.896443279</v>
      </c>
      <c r="L69" s="13" t="n">
        <f aca="false">K$91</f>
        <v>368437.803863314</v>
      </c>
      <c r="M69" s="13" t="n">
        <f aca="false">L$91</f>
        <v>387904.711283349</v>
      </c>
      <c r="N69" s="13" t="n">
        <f aca="false">M$91</f>
        <v>365248.314608697</v>
      </c>
      <c r="O69" s="13" t="n">
        <f aca="false">N$91</f>
        <v>322286.233662255</v>
      </c>
      <c r="P69" s="13" t="n">
        <f aca="false">O$91</f>
        <v>235108.20178445</v>
      </c>
      <c r="Q69" s="13" t="n">
        <f aca="false">P$91</f>
        <v>145465.495568511</v>
      </c>
      <c r="R69" s="13" t="n">
        <f aca="false">Q$91</f>
        <v>55855.0980059571</v>
      </c>
      <c r="S69" s="13" t="n">
        <f aca="false">R$91</f>
        <v>-33740.5062854385</v>
      </c>
      <c r="T69" s="13" t="n">
        <f aca="false">S$91</f>
        <v>147283.71499674</v>
      </c>
      <c r="U69" s="13" t="n">
        <f aca="false">T$91</f>
        <v>51919.0733168256</v>
      </c>
      <c r="V69" s="13" t="n">
        <f aca="false">U$91</f>
        <v>-43412.2794913074</v>
      </c>
      <c r="W69" s="13" t="n">
        <f aca="false">V$91</f>
        <v>-132631.554948335</v>
      </c>
      <c r="X69" s="13" t="n">
        <f aca="false">W$91</f>
        <v>-116962.245807457</v>
      </c>
      <c r="Y69" s="13" t="n">
        <f aca="false">X$91</f>
        <v>-101258.893163642</v>
      </c>
      <c r="Z69" s="13" t="n">
        <f aca="false">Y$91</f>
        <v>-85521.2416906175</v>
      </c>
      <c r="AA69" s="13" t="n">
        <f aca="false">Z$91</f>
        <v>-90191.9756765317</v>
      </c>
      <c r="AB69" s="13" t="n">
        <f aca="false">AA$91</f>
        <v>-139637.612212754</v>
      </c>
      <c r="AC69" s="13" t="n">
        <f aca="false">AB$91</f>
        <v>-191577.135856413</v>
      </c>
      <c r="AD69" s="13" t="n">
        <f aca="false">AC$91</f>
        <v>-243481.320072144</v>
      </c>
      <c r="AE69" s="13" t="n">
        <f aca="false">AD$91</f>
        <v>-295367.749691137</v>
      </c>
      <c r="AF69" s="13" t="n">
        <f aca="false">AE$91</f>
        <v>-352044.703551428</v>
      </c>
      <c r="AG69" s="13" t="n">
        <f aca="false">AF$91</f>
        <v>-412581.564158651</v>
      </c>
      <c r="AH69" s="13" t="n">
        <f aca="false">AG$91</f>
        <v>-473082.013168304</v>
      </c>
      <c r="AI69" s="13" t="n">
        <f aca="false">AH$91</f>
        <v>-527347.882516236</v>
      </c>
      <c r="AJ69" s="13" t="n">
        <f aca="false">AI$91</f>
        <v>-474663.103688318</v>
      </c>
      <c r="AK69" s="13" t="n">
        <f aca="false">AJ$91</f>
        <v>-421941.087842065</v>
      </c>
      <c r="AL69" s="13" t="n">
        <f aca="false">AK$91</f>
        <v>-369181.555699841</v>
      </c>
      <c r="AM69" s="13" t="n">
        <f aca="false">AL$91</f>
        <v>-332916.833087531</v>
      </c>
      <c r="AN69" s="13" t="n">
        <f aca="false">AM$91</f>
        <v>-333498.862608605</v>
      </c>
      <c r="AO69" s="13" t="n">
        <f aca="false">AN$91</f>
        <v>-336125.216458612</v>
      </c>
      <c r="AP69" s="13" t="n">
        <f aca="false">AO$91</f>
        <v>-338712.915798592</v>
      </c>
      <c r="AQ69" s="13" t="n">
        <f aca="false">AP$91</f>
        <v>-341276.106168287</v>
      </c>
      <c r="AR69" s="13" t="n">
        <f aca="false">AQ$91</f>
        <v>-347662.336531006</v>
      </c>
      <c r="AS69" s="13" t="n">
        <f aca="false">AR$91</f>
        <v>-357396.412415801</v>
      </c>
      <c r="AT69" s="13" t="n">
        <f aca="false">AS$91</f>
        <v>-367090.661044017</v>
      </c>
      <c r="AU69" s="13" t="n">
        <f aca="false">AT$91</f>
        <v>-371507.804578812</v>
      </c>
      <c r="AV69" s="13" t="n">
        <f aca="false">AU$91</f>
        <v>-285546.63117365</v>
      </c>
      <c r="AW69" s="13" t="n">
        <f aca="false">AV$91</f>
        <v>-199544.727660986</v>
      </c>
      <c r="AX69" s="13" t="n">
        <f aca="false">AW$91</f>
        <v>-113501.788565014</v>
      </c>
      <c r="AY69" s="13" t="n">
        <f aca="false">AX$91</f>
        <v>-27417.506118858</v>
      </c>
      <c r="AZ69" s="13" t="n">
        <f aca="false">AY$91</f>
        <v>56514.3580270376</v>
      </c>
      <c r="BA69" s="13" t="n">
        <f aca="false">AZ$91</f>
        <v>71387.1569589041</v>
      </c>
      <c r="BB69" s="13" t="n">
        <f aca="false">BA$91</f>
        <v>71387.1569589041</v>
      </c>
      <c r="BC69" s="13" t="n">
        <f aca="false">BB$91</f>
        <v>71387.1569589041</v>
      </c>
      <c r="BD69" s="13" t="n">
        <f aca="false">BC$91</f>
        <v>72101.0285284932</v>
      </c>
      <c r="BE69" s="13" t="n">
        <f aca="false">BD$91</f>
        <v>122968.157629744</v>
      </c>
      <c r="BF69" s="13" t="n">
        <f aca="false">BE$91</f>
        <v>203435.559779061</v>
      </c>
      <c r="BG69" s="13" t="n">
        <f aca="false">BF$91</f>
        <v>72101.0285284932</v>
      </c>
      <c r="BH69" s="13" t="n">
        <f aca="false">BG$91</f>
        <v>72101.0285284932</v>
      </c>
      <c r="BI69" s="13" t="n">
        <f aca="false">BH$91</f>
        <v>72101.0285284932</v>
      </c>
      <c r="BJ69" s="13" t="n">
        <f aca="false">BI$91</f>
        <v>72101.0285284932</v>
      </c>
      <c r="BK69" s="13" t="n">
        <f aca="false">BJ$91</f>
        <v>72101.0285284932</v>
      </c>
      <c r="BL69" s="13" t="n">
        <f aca="false">BK$91</f>
        <v>72101.0285284932</v>
      </c>
      <c r="BM69" s="13" t="n">
        <f aca="false">BL$91</f>
        <v>72101.0285284932</v>
      </c>
      <c r="BN69" s="13" t="n">
        <f aca="false">BM$91</f>
        <v>88125.641299422</v>
      </c>
      <c r="BO69" s="13" t="n">
        <f aca="false">BN$91</f>
        <v>173893.501563154</v>
      </c>
      <c r="BP69" s="13" t="n">
        <f aca="false">BO$91</f>
        <v>322756.536110597</v>
      </c>
      <c r="BQ69" s="13" t="n">
        <f aca="false">BP$91</f>
        <v>470757.342375654</v>
      </c>
      <c r="BR69" s="13" t="n">
        <f aca="false">BQ$91</f>
        <v>618758.148640712</v>
      </c>
      <c r="BS69" s="13" t="n">
        <f aca="false">BR$91</f>
        <v>72822.0388137781</v>
      </c>
      <c r="BT69" s="13" t="n">
        <f aca="false">BS$91</f>
        <v>72822.0388137781</v>
      </c>
      <c r="BU69" s="13" t="n">
        <f aca="false">BT$91</f>
        <v>72822.0388137781</v>
      </c>
      <c r="BV69" s="13" t="n">
        <f aca="false">BU$91</f>
        <v>72822.0388137781</v>
      </c>
      <c r="BW69" s="13" t="n">
        <f aca="false">BV$91</f>
        <v>72822.0388137781</v>
      </c>
      <c r="BX69" s="13" t="n">
        <f aca="false">BW$91</f>
        <v>72822.0388137781</v>
      </c>
      <c r="BY69" s="13" t="n">
        <f aca="false">BX$91</f>
        <v>72822.0388137781</v>
      </c>
      <c r="BZ69" s="13" t="n">
        <f aca="false">BY$91</f>
        <v>151874.636727263</v>
      </c>
      <c r="CA69" s="13" t="n">
        <f aca="false">BZ$91</f>
        <v>304817.764460983</v>
      </c>
      <c r="CB69" s="13" t="n">
        <f aca="false">CA$91</f>
        <v>457748.63970053</v>
      </c>
      <c r="CC69" s="13" t="n">
        <f aca="false">CB$91</f>
        <v>609797.335359622</v>
      </c>
      <c r="CD69" s="13" t="n">
        <f aca="false">CC$91</f>
        <v>761846.031018714</v>
      </c>
      <c r="CE69" s="13" t="n">
        <f aca="false">CD$91</f>
        <v>73550.2592019158</v>
      </c>
      <c r="CF69" s="13" t="n">
        <f aca="false">CE$91</f>
        <v>73550.2592019159</v>
      </c>
      <c r="CG69" s="13" t="n">
        <f aca="false">CF$91</f>
        <v>73550.2592019159</v>
      </c>
      <c r="CH69" s="13" t="n">
        <f aca="false">CG$91</f>
        <v>73550.2592019159</v>
      </c>
      <c r="CI69" s="13" t="n">
        <f aca="false">CH$91</f>
        <v>73550.2592019159</v>
      </c>
      <c r="CJ69" s="13" t="n">
        <f aca="false">CI$91</f>
        <v>73550.2592019159</v>
      </c>
      <c r="CK69" s="13" t="n">
        <f aca="false">CJ$91</f>
        <v>73550.2592019159</v>
      </c>
      <c r="CL69" s="13" t="n">
        <f aca="false">CK$91</f>
        <v>228169.294372476</v>
      </c>
      <c r="CM69" s="13" t="n">
        <f aca="false">CL$91</f>
        <v>385209.734714917</v>
      </c>
      <c r="CN69" s="13" t="n">
        <f aca="false">CM$91</f>
        <v>542237.637756734</v>
      </c>
      <c r="CO69" s="13" t="n">
        <f aca="false">CN$91</f>
        <v>698362.85515354</v>
      </c>
      <c r="CP69" s="13" t="n">
        <f aca="false">CO$91</f>
        <v>854488.072550346</v>
      </c>
      <c r="CQ69" s="13" t="n">
        <f aca="false">CP$91</f>
        <v>74285.761793935</v>
      </c>
      <c r="CR69" s="13" t="n">
        <f aca="false">CQ$91</f>
        <v>74285.761793935</v>
      </c>
      <c r="CS69" s="13" t="n">
        <f aca="false">CR$91</f>
        <v>74285.761793935</v>
      </c>
      <c r="CT69" s="13" t="n">
        <f aca="false">CS$91</f>
        <v>74285.761793935</v>
      </c>
      <c r="CU69" s="13" t="n">
        <f aca="false">CT$91</f>
        <v>74285.761793935</v>
      </c>
      <c r="CV69" s="13" t="n">
        <f aca="false">CU$91</f>
        <v>74285.761793935</v>
      </c>
      <c r="CW69" s="13" t="n">
        <f aca="false">CV$91</f>
        <v>143247.3879666</v>
      </c>
      <c r="CX69" s="13" t="n">
        <f aca="false">CW$91</f>
        <v>304414.267493589</v>
      </c>
      <c r="CY69" s="13" t="n">
        <f aca="false">CX$91</f>
        <v>465581.147020578</v>
      </c>
      <c r="CZ69" s="13" t="n">
        <f aca="false">CY$91</f>
        <v>626735.196510327</v>
      </c>
      <c r="DA69" s="13" t="n">
        <f aca="false">CZ$91</f>
        <v>786965.483318757</v>
      </c>
      <c r="DB69" s="13" t="n">
        <f aca="false">DA$91</f>
        <v>947195.770127187</v>
      </c>
      <c r="DC69" s="13" t="n">
        <f aca="false">DB$91</f>
        <v>75028.6194118743</v>
      </c>
      <c r="DD69" s="13" t="n">
        <f aca="false">DC$91</f>
        <v>75028.6194118744</v>
      </c>
      <c r="DE69" s="13" t="n">
        <f aca="false">DD$91</f>
        <v>75028.6194118744</v>
      </c>
      <c r="DF69" s="13" t="n">
        <f aca="false">DE$91</f>
        <v>75028.6194118744</v>
      </c>
      <c r="DG69" s="13" t="n">
        <f aca="false">DF$91</f>
        <v>75028.6194118744</v>
      </c>
      <c r="DH69" s="13" t="n">
        <f aca="false">DG$91</f>
        <v>75028.6194118744</v>
      </c>
      <c r="DI69" s="13" t="n">
        <f aca="false">DH$91</f>
        <v>215282.978671273</v>
      </c>
      <c r="DJ69" s="13" t="n">
        <f aca="false">DI$91</f>
        <v>380605.344231188</v>
      </c>
      <c r="DK69" s="13" t="n">
        <f aca="false">DJ$91</f>
        <v>545927.709791102</v>
      </c>
      <c r="DL69" s="13" t="n">
        <f aca="false">DK$91</f>
        <v>711236.944415233</v>
      </c>
      <c r="DM69" s="13" t="n">
        <f aca="false">DL$91</f>
        <v>875600.751662932</v>
      </c>
      <c r="DN69" s="13" t="n">
        <f aca="false">DM$91</f>
        <v>1039964.55891063</v>
      </c>
      <c r="DO69" s="13" t="n">
        <f aca="false">DN$91</f>
        <v>75778.905605993</v>
      </c>
      <c r="DP69" s="13" t="n">
        <f aca="false">DO$91</f>
        <v>75778.9056059931</v>
      </c>
      <c r="DQ69" s="13" t="n">
        <f aca="false">DP$91</f>
        <v>75778.9056059931</v>
      </c>
      <c r="DR69" s="13" t="n">
        <f aca="false">DQ$91</f>
        <v>75778.9056059931</v>
      </c>
      <c r="DS69" s="13" t="n">
        <f aca="false">DR$91</f>
        <v>89048.1334246718</v>
      </c>
      <c r="DT69" s="13" t="n">
        <f aca="false">DS$91</f>
        <v>697960.712106712</v>
      </c>
      <c r="DU69" s="13" t="n">
        <f aca="false">DT$91</f>
        <v>1323557.60284859</v>
      </c>
      <c r="DV69" s="13" t="n">
        <f aca="false">DU$91</f>
        <v>1949154.49359047</v>
      </c>
      <c r="DW69" s="13" t="n">
        <f aca="false">DV$91</f>
        <v>2574874.46451807</v>
      </c>
      <c r="DX69" s="13" t="n">
        <f aca="false">DW$91</f>
        <v>2574874.46451807</v>
      </c>
      <c r="DY69" s="13" t="n">
        <f aca="false">DX$91</f>
        <v>2574874.46451807</v>
      </c>
      <c r="DZ69" s="13" t="n">
        <f aca="false">DY$91</f>
        <v>2574874.46451807</v>
      </c>
      <c r="EA69" s="13" t="n">
        <f aca="false">DZ$91</f>
        <v>2574874.46451807</v>
      </c>
      <c r="EB69" s="13" t="n">
        <f aca="false">EA$91</f>
        <v>2574874.46451807</v>
      </c>
      <c r="EC69" s="13" t="n">
        <f aca="false">EB$91</f>
        <v>2574874.46451807</v>
      </c>
      <c r="ED69" s="13" t="n">
        <f aca="false">EC$91</f>
        <v>2574874.46451807</v>
      </c>
      <c r="EE69" s="13" t="n">
        <f aca="false">ED$91</f>
        <v>2574874.46451807</v>
      </c>
      <c r="EF69" s="13" t="n">
        <f aca="false">EE$91</f>
        <v>2574874.46451807</v>
      </c>
      <c r="EG69" s="13" t="n">
        <f aca="false">EF$91</f>
        <v>2574874.46451807</v>
      </c>
      <c r="EH69" s="13" t="n">
        <f aca="false">EG$91</f>
        <v>2574874.46451807</v>
      </c>
      <c r="EI69" s="13" t="n">
        <f aca="false">EH$91</f>
        <v>2574874.46451807</v>
      </c>
      <c r="EJ69" s="13" t="n">
        <f aca="false">EI$91</f>
        <v>2574874.46451807</v>
      </c>
      <c r="EK69" s="13" t="n">
        <f aca="false">EJ$91</f>
        <v>2574874.46451807</v>
      </c>
      <c r="EL69" s="13" t="n">
        <f aca="false">EK$91</f>
        <v>2574874.46451807</v>
      </c>
      <c r="EM69" s="13" t="n">
        <f aca="false">EL$91</f>
        <v>2574874.46451807</v>
      </c>
      <c r="EN69" s="13" t="n">
        <f aca="false">EM$91</f>
        <v>2574874.46451807</v>
      </c>
      <c r="EO69" s="13" t="n">
        <f aca="false">EN$91</f>
        <v>2574874.46451807</v>
      </c>
      <c r="EP69" s="13" t="n">
        <f aca="false">EO$91</f>
        <v>2574874.46451807</v>
      </c>
      <c r="EQ69" s="13" t="n">
        <f aca="false">EP$91</f>
        <v>2574874.46451807</v>
      </c>
      <c r="ER69" s="13" t="n">
        <f aca="false">EQ$91</f>
        <v>2574874.46451807</v>
      </c>
      <c r="ES69" s="13" t="n">
        <f aca="false">ER$91</f>
        <v>2574874.46451807</v>
      </c>
      <c r="ET69" s="13" t="n">
        <f aca="false">ES$91</f>
        <v>2574874.46451807</v>
      </c>
      <c r="EU69" s="13" t="n">
        <f aca="false">ET$91</f>
        <v>2574874.46451807</v>
      </c>
      <c r="EV69" s="13" t="n">
        <f aca="false">EU$91</f>
        <v>2574874.46451807</v>
      </c>
      <c r="EW69" s="13" t="n">
        <f aca="false">EV$91</f>
        <v>2574874.46451807</v>
      </c>
      <c r="EX69" s="13" t="n">
        <f aca="false">EW$91</f>
        <v>2574874.46451807</v>
      </c>
      <c r="EY69" s="13" t="n">
        <f aca="false">EX$91</f>
        <v>2574874.46451807</v>
      </c>
      <c r="EZ69" s="13" t="n">
        <f aca="false">EY$91</f>
        <v>2574874.46451807</v>
      </c>
      <c r="FA69" s="13" t="n">
        <f aca="false">EZ$91</f>
        <v>2574874.46451807</v>
      </c>
      <c r="FB69" s="13" t="n">
        <f aca="false">FA$91</f>
        <v>2574874.46451807</v>
      </c>
      <c r="FC69" s="13" t="n">
        <f aca="false">FB$91</f>
        <v>2574874.46451807</v>
      </c>
      <c r="FD69" s="13" t="n">
        <f aca="false">FC$91</f>
        <v>2574874.46451807</v>
      </c>
      <c r="FE69" s="13" t="n">
        <f aca="false">FD$91</f>
        <v>2574874.46451807</v>
      </c>
      <c r="FF69" s="13" t="n">
        <f aca="false">FE$91</f>
        <v>2574874.46451807</v>
      </c>
    </row>
    <row r="70" customFormat="false" ht="15" hidden="false" customHeight="false" outlineLevel="0" collapsed="false">
      <c r="A70" s="2" t="s">
        <v>1549</v>
      </c>
      <c r="B70" s="8" t="s">
        <v>1550</v>
      </c>
      <c r="C70" s="8" t="s">
        <v>255</v>
      </c>
      <c r="F70" s="13" t="n">
        <f aca="false">0</f>
        <v>0</v>
      </c>
      <c r="G70" s="13" t="n">
        <f aca="false">F$88</f>
        <v>0</v>
      </c>
      <c r="H70" s="13" t="n">
        <f aca="false">G$88</f>
        <v>0</v>
      </c>
      <c r="I70" s="13" t="n">
        <f aca="false">H$88</f>
        <v>0</v>
      </c>
      <c r="J70" s="13" t="n">
        <f aca="false">I$88</f>
        <v>0</v>
      </c>
      <c r="K70" s="13" t="n">
        <f aca="false">J$88</f>
        <v>0</v>
      </c>
      <c r="L70" s="13" t="n">
        <f aca="false">K$88</f>
        <v>0</v>
      </c>
      <c r="M70" s="13" t="n">
        <f aca="false">L$88</f>
        <v>0</v>
      </c>
      <c r="N70" s="13" t="n">
        <f aca="false">M$88</f>
        <v>0</v>
      </c>
      <c r="O70" s="13" t="n">
        <f aca="false">N$88</f>
        <v>0</v>
      </c>
      <c r="P70" s="13" t="n">
        <f aca="false">O$88</f>
        <v>0</v>
      </c>
      <c r="Q70" s="13" t="n">
        <f aca="false">P$88</f>
        <v>0</v>
      </c>
      <c r="R70" s="13" t="n">
        <f aca="false">Q$88</f>
        <v>0</v>
      </c>
      <c r="S70" s="13" t="n">
        <f aca="false">R$88</f>
        <v>0</v>
      </c>
      <c r="T70" s="13" t="n">
        <f aca="false">S$88</f>
        <v>0</v>
      </c>
      <c r="U70" s="13" t="n">
        <f aca="false">T$88</f>
        <v>0</v>
      </c>
      <c r="V70" s="13" t="n">
        <f aca="false">U$88</f>
        <v>0</v>
      </c>
      <c r="W70" s="13" t="n">
        <f aca="false">V$88</f>
        <v>0</v>
      </c>
      <c r="X70" s="13" t="n">
        <f aca="false">W$88</f>
        <v>0</v>
      </c>
      <c r="Y70" s="13" t="n">
        <f aca="false">X$88</f>
        <v>0</v>
      </c>
      <c r="Z70" s="13" t="n">
        <f aca="false">Y$88</f>
        <v>0</v>
      </c>
      <c r="AA70" s="13" t="n">
        <f aca="false">Z$88</f>
        <v>0</v>
      </c>
      <c r="AB70" s="13" t="n">
        <f aca="false">AA$88</f>
        <v>0</v>
      </c>
      <c r="AC70" s="13" t="n">
        <f aca="false">AB$88</f>
        <v>0</v>
      </c>
      <c r="AD70" s="13" t="n">
        <f aca="false">AC$88</f>
        <v>0</v>
      </c>
      <c r="AE70" s="13" t="n">
        <f aca="false">AD$88</f>
        <v>0</v>
      </c>
      <c r="AF70" s="13" t="n">
        <f aca="false">AE$88</f>
        <v>0</v>
      </c>
      <c r="AG70" s="13" t="n">
        <f aca="false">AF$88</f>
        <v>0</v>
      </c>
      <c r="AH70" s="13" t="n">
        <f aca="false">AG$88</f>
        <v>0</v>
      </c>
      <c r="AI70" s="13" t="n">
        <f aca="false">AH$88</f>
        <v>0</v>
      </c>
      <c r="AJ70" s="13" t="n">
        <f aca="false">AI$88</f>
        <v>0</v>
      </c>
      <c r="AK70" s="13" t="n">
        <f aca="false">AJ$88</f>
        <v>0</v>
      </c>
      <c r="AL70" s="13" t="n">
        <f aca="false">AK$88</f>
        <v>0</v>
      </c>
      <c r="AM70" s="13" t="n">
        <f aca="false">AL$88</f>
        <v>0</v>
      </c>
      <c r="AN70" s="13" t="n">
        <f aca="false">AM$88</f>
        <v>0</v>
      </c>
      <c r="AO70" s="13" t="n">
        <f aca="false">AN$88</f>
        <v>0</v>
      </c>
      <c r="AP70" s="13" t="n">
        <f aca="false">AO$88</f>
        <v>0</v>
      </c>
      <c r="AQ70" s="13" t="n">
        <f aca="false">AP$88</f>
        <v>0</v>
      </c>
      <c r="AR70" s="13" t="n">
        <f aca="false">AQ$88</f>
        <v>0</v>
      </c>
      <c r="AS70" s="13" t="n">
        <f aca="false">AR$88</f>
        <v>0</v>
      </c>
      <c r="AT70" s="13" t="n">
        <f aca="false">AS$88</f>
        <v>0</v>
      </c>
      <c r="AU70" s="13" t="n">
        <f aca="false">AT$88</f>
        <v>0</v>
      </c>
      <c r="AV70" s="13" t="n">
        <f aca="false">AU$88</f>
        <v>0</v>
      </c>
      <c r="AW70" s="13" t="n">
        <f aca="false">AV$88</f>
        <v>0</v>
      </c>
      <c r="AX70" s="13" t="n">
        <f aca="false">AW$88</f>
        <v>0</v>
      </c>
      <c r="AY70" s="13" t="n">
        <f aca="false">AX$88</f>
        <v>0</v>
      </c>
      <c r="AZ70" s="13" t="n">
        <f aca="false">AY$88</f>
        <v>0</v>
      </c>
      <c r="BA70" s="13" t="n">
        <f aca="false">AZ$88</f>
        <v>0</v>
      </c>
      <c r="BB70" s="13" t="n">
        <f aca="false">BA$88</f>
        <v>0</v>
      </c>
      <c r="BC70" s="13" t="n">
        <f aca="false">BB$88</f>
        <v>0</v>
      </c>
      <c r="BD70" s="13" t="n">
        <f aca="false">BC$88</f>
        <v>0</v>
      </c>
      <c r="BE70" s="13" t="n">
        <f aca="false">BD$88</f>
        <v>0</v>
      </c>
      <c r="BF70" s="13" t="n">
        <f aca="false">BE$88</f>
        <v>0</v>
      </c>
      <c r="BG70" s="13" t="n">
        <f aca="false">BF$88</f>
        <v>0</v>
      </c>
      <c r="BH70" s="13" t="n">
        <f aca="false">BG$88</f>
        <v>0</v>
      </c>
      <c r="BI70" s="13" t="n">
        <f aca="false">BH$88</f>
        <v>0</v>
      </c>
      <c r="BJ70" s="13" t="n">
        <f aca="false">BI$88</f>
        <v>0</v>
      </c>
      <c r="BK70" s="13" t="n">
        <f aca="false">BJ$88</f>
        <v>0</v>
      </c>
      <c r="BL70" s="13" t="n">
        <f aca="false">BK$88</f>
        <v>0</v>
      </c>
      <c r="BM70" s="13" t="n">
        <f aca="false">BL$88</f>
        <v>0</v>
      </c>
      <c r="BN70" s="13" t="n">
        <f aca="false">BM$88</f>
        <v>0</v>
      </c>
      <c r="BO70" s="13" t="n">
        <f aca="false">BN$88</f>
        <v>0</v>
      </c>
      <c r="BP70" s="13" t="n">
        <f aca="false">BO$88</f>
        <v>0</v>
      </c>
      <c r="BQ70" s="13" t="n">
        <f aca="false">BP$88</f>
        <v>0</v>
      </c>
      <c r="BR70" s="13" t="n">
        <f aca="false">BQ$88</f>
        <v>0</v>
      </c>
      <c r="BS70" s="13" t="n">
        <f aca="false">BR$88</f>
        <v>0</v>
      </c>
      <c r="BT70" s="13" t="n">
        <f aca="false">BS$88</f>
        <v>0</v>
      </c>
      <c r="BU70" s="13" t="n">
        <f aca="false">BT$88</f>
        <v>0</v>
      </c>
      <c r="BV70" s="13" t="n">
        <f aca="false">BU$88</f>
        <v>0</v>
      </c>
      <c r="BW70" s="13" t="n">
        <f aca="false">BV$88</f>
        <v>0</v>
      </c>
      <c r="BX70" s="13" t="n">
        <f aca="false">BW$88</f>
        <v>0</v>
      </c>
      <c r="BY70" s="13" t="n">
        <f aca="false">BX$88</f>
        <v>0</v>
      </c>
      <c r="BZ70" s="13" t="n">
        <f aca="false">BY$88</f>
        <v>0</v>
      </c>
      <c r="CA70" s="13" t="n">
        <f aca="false">BZ$88</f>
        <v>0</v>
      </c>
      <c r="CB70" s="13" t="n">
        <f aca="false">CA$88</f>
        <v>0</v>
      </c>
      <c r="CC70" s="13" t="n">
        <f aca="false">CB$88</f>
        <v>0</v>
      </c>
      <c r="CD70" s="13" t="n">
        <f aca="false">CC$88</f>
        <v>0</v>
      </c>
      <c r="CE70" s="13" t="n">
        <f aca="false">CD$88</f>
        <v>0</v>
      </c>
      <c r="CF70" s="13" t="n">
        <f aca="false">CE$88</f>
        <v>0</v>
      </c>
      <c r="CG70" s="13" t="n">
        <f aca="false">CF$88</f>
        <v>0</v>
      </c>
      <c r="CH70" s="13" t="n">
        <f aca="false">CG$88</f>
        <v>0</v>
      </c>
      <c r="CI70" s="13" t="n">
        <f aca="false">CH$88</f>
        <v>0</v>
      </c>
      <c r="CJ70" s="13" t="n">
        <f aca="false">CI$88</f>
        <v>0</v>
      </c>
      <c r="CK70" s="13" t="n">
        <f aca="false">CJ$88</f>
        <v>0</v>
      </c>
      <c r="CL70" s="13" t="n">
        <f aca="false">CK$88</f>
        <v>0</v>
      </c>
      <c r="CM70" s="13" t="n">
        <f aca="false">CL$88</f>
        <v>0</v>
      </c>
      <c r="CN70" s="13" t="n">
        <f aca="false">CM$88</f>
        <v>0</v>
      </c>
      <c r="CO70" s="13" t="n">
        <f aca="false">CN$88</f>
        <v>0</v>
      </c>
      <c r="CP70" s="13" t="n">
        <f aca="false">CO$88</f>
        <v>0</v>
      </c>
      <c r="CQ70" s="13" t="n">
        <f aca="false">CP$88</f>
        <v>0</v>
      </c>
      <c r="CR70" s="13" t="n">
        <f aca="false">CQ$88</f>
        <v>0</v>
      </c>
      <c r="CS70" s="13" t="n">
        <f aca="false">CR$88</f>
        <v>0</v>
      </c>
      <c r="CT70" s="13" t="n">
        <f aca="false">CS$88</f>
        <v>0</v>
      </c>
      <c r="CU70" s="13" t="n">
        <f aca="false">CT$88</f>
        <v>0</v>
      </c>
      <c r="CV70" s="13" t="n">
        <f aca="false">CU$88</f>
        <v>0</v>
      </c>
      <c r="CW70" s="13" t="n">
        <f aca="false">CV$88</f>
        <v>0</v>
      </c>
      <c r="CX70" s="13" t="n">
        <f aca="false">CW$88</f>
        <v>0</v>
      </c>
      <c r="CY70" s="13" t="n">
        <f aca="false">CX$88</f>
        <v>0</v>
      </c>
      <c r="CZ70" s="13" t="n">
        <f aca="false">CY$88</f>
        <v>0</v>
      </c>
      <c r="DA70" s="13" t="n">
        <f aca="false">CZ$88</f>
        <v>0</v>
      </c>
      <c r="DB70" s="13" t="n">
        <f aca="false">DA$88</f>
        <v>0</v>
      </c>
      <c r="DC70" s="13" t="n">
        <f aca="false">DB$88</f>
        <v>0</v>
      </c>
      <c r="DD70" s="13" t="n">
        <f aca="false">DC$88</f>
        <v>0</v>
      </c>
      <c r="DE70" s="13" t="n">
        <f aca="false">DD$88</f>
        <v>0</v>
      </c>
      <c r="DF70" s="13" t="n">
        <f aca="false">DE$88</f>
        <v>0</v>
      </c>
      <c r="DG70" s="13" t="n">
        <f aca="false">DF$88</f>
        <v>0</v>
      </c>
      <c r="DH70" s="13" t="n">
        <f aca="false">DG$88</f>
        <v>0</v>
      </c>
      <c r="DI70" s="13" t="n">
        <f aca="false">DH$88</f>
        <v>0</v>
      </c>
      <c r="DJ70" s="13" t="n">
        <f aca="false">DI$88</f>
        <v>0</v>
      </c>
      <c r="DK70" s="13" t="n">
        <f aca="false">DJ$88</f>
        <v>0</v>
      </c>
      <c r="DL70" s="13" t="n">
        <f aca="false">DK$88</f>
        <v>0</v>
      </c>
      <c r="DM70" s="13" t="n">
        <f aca="false">DL$88</f>
        <v>0</v>
      </c>
      <c r="DN70" s="13" t="n">
        <f aca="false">DM$88</f>
        <v>0</v>
      </c>
      <c r="DO70" s="13" t="n">
        <f aca="false">DN$88</f>
        <v>0</v>
      </c>
      <c r="DP70" s="13" t="n">
        <f aca="false">DO$88</f>
        <v>0</v>
      </c>
      <c r="DQ70" s="13" t="n">
        <f aca="false">DP$88</f>
        <v>0</v>
      </c>
      <c r="DR70" s="13" t="n">
        <f aca="false">DQ$88</f>
        <v>0</v>
      </c>
      <c r="DS70" s="13" t="n">
        <f aca="false">DR$88</f>
        <v>0</v>
      </c>
      <c r="DT70" s="13" t="n">
        <f aca="false">DS$88</f>
        <v>0</v>
      </c>
      <c r="DU70" s="13" t="n">
        <f aca="false">DT$88</f>
        <v>0</v>
      </c>
      <c r="DV70" s="13" t="n">
        <f aca="false">DU$88</f>
        <v>0</v>
      </c>
      <c r="DW70" s="13" t="n">
        <f aca="false">DV$88</f>
        <v>0</v>
      </c>
      <c r="DX70" s="13" t="n">
        <f aca="false">DW$88</f>
        <v>0</v>
      </c>
      <c r="DY70" s="13" t="n">
        <f aca="false">DX$88</f>
        <v>0</v>
      </c>
      <c r="DZ70" s="13" t="n">
        <f aca="false">DY$88</f>
        <v>0</v>
      </c>
      <c r="EA70" s="13" t="n">
        <f aca="false">DZ$88</f>
        <v>0</v>
      </c>
      <c r="EB70" s="13" t="n">
        <f aca="false">EA$88</f>
        <v>0</v>
      </c>
      <c r="EC70" s="13" t="n">
        <f aca="false">EB$88</f>
        <v>0</v>
      </c>
      <c r="ED70" s="13" t="n">
        <f aca="false">EC$88</f>
        <v>0</v>
      </c>
      <c r="EE70" s="13" t="n">
        <f aca="false">ED$88</f>
        <v>0</v>
      </c>
      <c r="EF70" s="13" t="n">
        <f aca="false">EE$88</f>
        <v>0</v>
      </c>
      <c r="EG70" s="13" t="n">
        <f aca="false">EF$88</f>
        <v>0</v>
      </c>
      <c r="EH70" s="13" t="n">
        <f aca="false">EG$88</f>
        <v>0</v>
      </c>
      <c r="EI70" s="13" t="n">
        <f aca="false">EH$88</f>
        <v>0</v>
      </c>
      <c r="EJ70" s="13" t="n">
        <f aca="false">EI$88</f>
        <v>0</v>
      </c>
      <c r="EK70" s="13" t="n">
        <f aca="false">EJ$88</f>
        <v>0</v>
      </c>
      <c r="EL70" s="13" t="n">
        <f aca="false">EK$88</f>
        <v>0</v>
      </c>
      <c r="EM70" s="13" t="n">
        <f aca="false">EL$88</f>
        <v>0</v>
      </c>
      <c r="EN70" s="13" t="n">
        <f aca="false">EM$88</f>
        <v>0</v>
      </c>
      <c r="EO70" s="13" t="n">
        <f aca="false">EN$88</f>
        <v>0</v>
      </c>
      <c r="EP70" s="13" t="n">
        <f aca="false">EO$88</f>
        <v>0</v>
      </c>
      <c r="EQ70" s="13" t="n">
        <f aca="false">EP$88</f>
        <v>0</v>
      </c>
      <c r="ER70" s="13" t="n">
        <f aca="false">EQ$88</f>
        <v>0</v>
      </c>
      <c r="ES70" s="13" t="n">
        <f aca="false">ER$88</f>
        <v>0</v>
      </c>
      <c r="ET70" s="13" t="n">
        <f aca="false">ES$88</f>
        <v>0</v>
      </c>
      <c r="EU70" s="13" t="n">
        <f aca="false">ET$88</f>
        <v>0</v>
      </c>
      <c r="EV70" s="13" t="n">
        <f aca="false">EU$88</f>
        <v>0</v>
      </c>
      <c r="EW70" s="13" t="n">
        <f aca="false">EV$88</f>
        <v>0</v>
      </c>
      <c r="EX70" s="13" t="n">
        <f aca="false">EW$88</f>
        <v>0</v>
      </c>
      <c r="EY70" s="13" t="n">
        <f aca="false">EX$88</f>
        <v>0</v>
      </c>
      <c r="EZ70" s="13" t="n">
        <f aca="false">EY$88</f>
        <v>0</v>
      </c>
      <c r="FA70" s="13" t="n">
        <f aca="false">EZ$88</f>
        <v>0</v>
      </c>
      <c r="FB70" s="13" t="n">
        <f aca="false">FA$88</f>
        <v>0</v>
      </c>
      <c r="FC70" s="13" t="n">
        <f aca="false">FB$88</f>
        <v>0</v>
      </c>
      <c r="FD70" s="13" t="n">
        <f aca="false">FC$88</f>
        <v>0</v>
      </c>
      <c r="FE70" s="13" t="n">
        <f aca="false">FD$88</f>
        <v>0</v>
      </c>
      <c r="FF70" s="13" t="n">
        <f aca="false">FE$88</f>
        <v>0</v>
      </c>
    </row>
    <row r="71" customFormat="false" ht="15" hidden="false" customHeight="false" outlineLevel="0" collapsed="false">
      <c r="A71" s="2" t="s">
        <v>1551</v>
      </c>
      <c r="B71" s="8" t="s">
        <v>1552</v>
      </c>
      <c r="C71" s="8" t="s">
        <v>255</v>
      </c>
      <c r="E71" s="65" t="n">
        <f aca="false">SUM($F71:$FF71)</f>
        <v>0</v>
      </c>
      <c r="F71" s="13" t="n">
        <f aca="false">F$70*e_TasaLinea/12*Calendario!F$13</f>
        <v>0</v>
      </c>
      <c r="G71" s="13" t="n">
        <f aca="false">G$70*e_TasaLinea/12*Calendario!G$13</f>
        <v>0</v>
      </c>
      <c r="H71" s="13" t="n">
        <f aca="false">H$70*e_TasaLinea/12*Calendario!H$13</f>
        <v>0</v>
      </c>
      <c r="I71" s="13" t="n">
        <f aca="false">I$70*e_TasaLinea/12*Calendario!I$13</f>
        <v>0</v>
      </c>
      <c r="J71" s="13" t="n">
        <f aca="false">J$70*e_TasaLinea/12*Calendario!J$13</f>
        <v>0</v>
      </c>
      <c r="K71" s="13" t="n">
        <f aca="false">K$70*e_TasaLinea/12*Calendario!K$13</f>
        <v>0</v>
      </c>
      <c r="L71" s="13" t="n">
        <f aca="false">L$70*e_TasaLinea/12*Calendario!L$13</f>
        <v>0</v>
      </c>
      <c r="M71" s="13" t="n">
        <f aca="false">M$70*e_TasaLinea/12*Calendario!M$13</f>
        <v>0</v>
      </c>
      <c r="N71" s="13" t="n">
        <f aca="false">N$70*e_TasaLinea/12*Calendario!N$13</f>
        <v>0</v>
      </c>
      <c r="O71" s="13" t="n">
        <f aca="false">O$70*e_TasaLinea/12*Calendario!O$13</f>
        <v>0</v>
      </c>
      <c r="P71" s="13" t="n">
        <f aca="false">P$70*e_TasaLinea/12*Calendario!P$13</f>
        <v>0</v>
      </c>
      <c r="Q71" s="13" t="n">
        <f aca="false">Q$70*e_TasaLinea/12*Calendario!Q$13</f>
        <v>0</v>
      </c>
      <c r="R71" s="13" t="n">
        <f aca="false">R$70*e_TasaLinea/12*Calendario!R$13</f>
        <v>0</v>
      </c>
      <c r="S71" s="13" t="n">
        <f aca="false">S$70*e_TasaLinea/12*Calendario!S$13</f>
        <v>0</v>
      </c>
      <c r="T71" s="13" t="n">
        <f aca="false">T$70*e_TasaLinea/12*Calendario!T$13</f>
        <v>0</v>
      </c>
      <c r="U71" s="13" t="n">
        <f aca="false">U$70*e_TasaLinea/12*Calendario!U$13</f>
        <v>0</v>
      </c>
      <c r="V71" s="13" t="n">
        <f aca="false">V$70*e_TasaLinea/12*Calendario!V$13</f>
        <v>0</v>
      </c>
      <c r="W71" s="13" t="n">
        <f aca="false">W$70*e_TasaLinea/12*Calendario!W$13</f>
        <v>0</v>
      </c>
      <c r="X71" s="13" t="n">
        <f aca="false">X$70*e_TasaLinea/12*Calendario!X$13</f>
        <v>0</v>
      </c>
      <c r="Y71" s="13" t="n">
        <f aca="false">Y$70*e_TasaLinea/12*Calendario!Y$13</f>
        <v>0</v>
      </c>
      <c r="Z71" s="13" t="n">
        <f aca="false">Z$70*e_TasaLinea/12*Calendario!Z$13</f>
        <v>0</v>
      </c>
      <c r="AA71" s="13" t="n">
        <f aca="false">AA$70*e_TasaLinea/12*Calendario!AA$13</f>
        <v>0</v>
      </c>
      <c r="AB71" s="13" t="n">
        <f aca="false">AB$70*e_TasaLinea/12*Calendario!AB$13</f>
        <v>0</v>
      </c>
      <c r="AC71" s="13" t="n">
        <f aca="false">AC$70*e_TasaLinea/12*Calendario!AC$13</f>
        <v>0</v>
      </c>
      <c r="AD71" s="13" t="n">
        <f aca="false">AD$70*e_TasaLinea/12*Calendario!AD$13</f>
        <v>0</v>
      </c>
      <c r="AE71" s="13" t="n">
        <f aca="false">AE$70*e_TasaLinea/12*Calendario!AE$13</f>
        <v>0</v>
      </c>
      <c r="AF71" s="13" t="n">
        <f aca="false">AF$70*e_TasaLinea/12*Calendario!AF$13</f>
        <v>0</v>
      </c>
      <c r="AG71" s="13" t="n">
        <f aca="false">AG$70*e_TasaLinea/12*Calendario!AG$13</f>
        <v>0</v>
      </c>
      <c r="AH71" s="13" t="n">
        <f aca="false">AH$70*e_TasaLinea/12*Calendario!AH$13</f>
        <v>0</v>
      </c>
      <c r="AI71" s="13" t="n">
        <f aca="false">AI$70*e_TasaLinea/12*Calendario!AI$13</f>
        <v>0</v>
      </c>
      <c r="AJ71" s="13" t="n">
        <f aca="false">AJ$70*e_TasaLinea/12*Calendario!AJ$13</f>
        <v>0</v>
      </c>
      <c r="AK71" s="13" t="n">
        <f aca="false">AK$70*e_TasaLinea/12*Calendario!AK$13</f>
        <v>0</v>
      </c>
      <c r="AL71" s="13" t="n">
        <f aca="false">AL$70*e_TasaLinea/12*Calendario!AL$13</f>
        <v>0</v>
      </c>
      <c r="AM71" s="13" t="n">
        <f aca="false">AM$70*e_TasaLinea/12*Calendario!AM$13</f>
        <v>0</v>
      </c>
      <c r="AN71" s="13" t="n">
        <f aca="false">AN$70*e_TasaLinea/12*Calendario!AN$13</f>
        <v>0</v>
      </c>
      <c r="AO71" s="13" t="n">
        <f aca="false">AO$70*e_TasaLinea/12*Calendario!AO$13</f>
        <v>0</v>
      </c>
      <c r="AP71" s="13" t="n">
        <f aca="false">AP$70*e_TasaLinea/12*Calendario!AP$13</f>
        <v>0</v>
      </c>
      <c r="AQ71" s="13" t="n">
        <f aca="false">AQ$70*e_TasaLinea/12*Calendario!AQ$13</f>
        <v>0</v>
      </c>
      <c r="AR71" s="13" t="n">
        <f aca="false">AR$70*e_TasaLinea/12*Calendario!AR$13</f>
        <v>0</v>
      </c>
      <c r="AS71" s="13" t="n">
        <f aca="false">AS$70*e_TasaLinea/12*Calendario!AS$13</f>
        <v>0</v>
      </c>
      <c r="AT71" s="13" t="n">
        <f aca="false">AT$70*e_TasaLinea/12*Calendario!AT$13</f>
        <v>0</v>
      </c>
      <c r="AU71" s="13" t="n">
        <f aca="false">AU$70*e_TasaLinea/12*Calendario!AU$13</f>
        <v>0</v>
      </c>
      <c r="AV71" s="13" t="n">
        <f aca="false">AV$70*e_TasaLinea/12*Calendario!AV$13</f>
        <v>0</v>
      </c>
      <c r="AW71" s="13" t="n">
        <f aca="false">AW$70*e_TasaLinea/12*Calendario!AW$13</f>
        <v>0</v>
      </c>
      <c r="AX71" s="13" t="n">
        <f aca="false">AX$70*e_TasaLinea/12*Calendario!AX$13</f>
        <v>0</v>
      </c>
      <c r="AY71" s="13" t="n">
        <f aca="false">AY$70*e_TasaLinea/12*Calendario!AY$13</f>
        <v>0</v>
      </c>
      <c r="AZ71" s="13" t="n">
        <f aca="false">AZ$70*e_TasaLinea/12*Calendario!AZ$13</f>
        <v>0</v>
      </c>
      <c r="BA71" s="13" t="n">
        <f aca="false">BA$70*e_TasaLinea/12*Calendario!BA$13</f>
        <v>0</v>
      </c>
      <c r="BB71" s="13" t="n">
        <f aca="false">BB$70*e_TasaLinea/12*Calendario!BB$13</f>
        <v>0</v>
      </c>
      <c r="BC71" s="13" t="n">
        <f aca="false">BC$70*e_TasaLinea/12*Calendario!BC$13</f>
        <v>0</v>
      </c>
      <c r="BD71" s="13" t="n">
        <f aca="false">BD$70*e_TasaLinea/12*Calendario!BD$13</f>
        <v>0</v>
      </c>
      <c r="BE71" s="13" t="n">
        <f aca="false">BE$70*e_TasaLinea/12*Calendario!BE$13</f>
        <v>0</v>
      </c>
      <c r="BF71" s="13" t="n">
        <f aca="false">BF$70*e_TasaLinea/12*Calendario!BF$13</f>
        <v>0</v>
      </c>
      <c r="BG71" s="13" t="n">
        <f aca="false">BG$70*e_TasaLinea/12*Calendario!BG$13</f>
        <v>0</v>
      </c>
      <c r="BH71" s="13" t="n">
        <f aca="false">BH$70*e_TasaLinea/12*Calendario!BH$13</f>
        <v>0</v>
      </c>
      <c r="BI71" s="13" t="n">
        <f aca="false">BI$70*e_TasaLinea/12*Calendario!BI$13</f>
        <v>0</v>
      </c>
      <c r="BJ71" s="13" t="n">
        <f aca="false">BJ$70*e_TasaLinea/12*Calendario!BJ$13</f>
        <v>0</v>
      </c>
      <c r="BK71" s="13" t="n">
        <f aca="false">BK$70*e_TasaLinea/12*Calendario!BK$13</f>
        <v>0</v>
      </c>
      <c r="BL71" s="13" t="n">
        <f aca="false">BL$70*e_TasaLinea/12*Calendario!BL$13</f>
        <v>0</v>
      </c>
      <c r="BM71" s="13" t="n">
        <f aca="false">BM$70*e_TasaLinea/12*Calendario!BM$13</f>
        <v>0</v>
      </c>
      <c r="BN71" s="13" t="n">
        <f aca="false">BN$70*e_TasaLinea/12*Calendario!BN$13</f>
        <v>0</v>
      </c>
      <c r="BO71" s="13" t="n">
        <f aca="false">BO$70*e_TasaLinea/12*Calendario!BO$13</f>
        <v>0</v>
      </c>
      <c r="BP71" s="13" t="n">
        <f aca="false">BP$70*e_TasaLinea/12*Calendario!BP$13</f>
        <v>0</v>
      </c>
      <c r="BQ71" s="13" t="n">
        <f aca="false">BQ$70*e_TasaLinea/12*Calendario!BQ$13</f>
        <v>0</v>
      </c>
      <c r="BR71" s="13" t="n">
        <f aca="false">BR$70*e_TasaLinea/12*Calendario!BR$13</f>
        <v>0</v>
      </c>
      <c r="BS71" s="13" t="n">
        <f aca="false">BS$70*e_TasaLinea/12*Calendario!BS$13</f>
        <v>0</v>
      </c>
      <c r="BT71" s="13" t="n">
        <f aca="false">BT$70*e_TasaLinea/12*Calendario!BT$13</f>
        <v>0</v>
      </c>
      <c r="BU71" s="13" t="n">
        <f aca="false">BU$70*e_TasaLinea/12*Calendario!BU$13</f>
        <v>0</v>
      </c>
      <c r="BV71" s="13" t="n">
        <f aca="false">BV$70*e_TasaLinea/12*Calendario!BV$13</f>
        <v>0</v>
      </c>
      <c r="BW71" s="13" t="n">
        <f aca="false">BW$70*e_TasaLinea/12*Calendario!BW$13</f>
        <v>0</v>
      </c>
      <c r="BX71" s="13" t="n">
        <f aca="false">BX$70*e_TasaLinea/12*Calendario!BX$13</f>
        <v>0</v>
      </c>
      <c r="BY71" s="13" t="n">
        <f aca="false">BY$70*e_TasaLinea/12*Calendario!BY$13</f>
        <v>0</v>
      </c>
      <c r="BZ71" s="13" t="n">
        <f aca="false">BZ$70*e_TasaLinea/12*Calendario!BZ$13</f>
        <v>0</v>
      </c>
      <c r="CA71" s="13" t="n">
        <f aca="false">CA$70*e_TasaLinea/12*Calendario!CA$13</f>
        <v>0</v>
      </c>
      <c r="CB71" s="13" t="n">
        <f aca="false">CB$70*e_TasaLinea/12*Calendario!CB$13</f>
        <v>0</v>
      </c>
      <c r="CC71" s="13" t="n">
        <f aca="false">CC$70*e_TasaLinea/12*Calendario!CC$13</f>
        <v>0</v>
      </c>
      <c r="CD71" s="13" t="n">
        <f aca="false">CD$70*e_TasaLinea/12*Calendario!CD$13</f>
        <v>0</v>
      </c>
      <c r="CE71" s="13" t="n">
        <f aca="false">CE$70*e_TasaLinea/12*Calendario!CE$13</f>
        <v>0</v>
      </c>
      <c r="CF71" s="13" t="n">
        <f aca="false">CF$70*e_TasaLinea/12*Calendario!CF$13</f>
        <v>0</v>
      </c>
      <c r="CG71" s="13" t="n">
        <f aca="false">CG$70*e_TasaLinea/12*Calendario!CG$13</f>
        <v>0</v>
      </c>
      <c r="CH71" s="13" t="n">
        <f aca="false">CH$70*e_TasaLinea/12*Calendario!CH$13</f>
        <v>0</v>
      </c>
      <c r="CI71" s="13" t="n">
        <f aca="false">CI$70*e_TasaLinea/12*Calendario!CI$13</f>
        <v>0</v>
      </c>
      <c r="CJ71" s="13" t="n">
        <f aca="false">CJ$70*e_TasaLinea/12*Calendario!CJ$13</f>
        <v>0</v>
      </c>
      <c r="CK71" s="13" t="n">
        <f aca="false">CK$70*e_TasaLinea/12*Calendario!CK$13</f>
        <v>0</v>
      </c>
      <c r="CL71" s="13" t="n">
        <f aca="false">CL$70*e_TasaLinea/12*Calendario!CL$13</f>
        <v>0</v>
      </c>
      <c r="CM71" s="13" t="n">
        <f aca="false">CM$70*e_TasaLinea/12*Calendario!CM$13</f>
        <v>0</v>
      </c>
      <c r="CN71" s="13" t="n">
        <f aca="false">CN$70*e_TasaLinea/12*Calendario!CN$13</f>
        <v>0</v>
      </c>
      <c r="CO71" s="13" t="n">
        <f aca="false">CO$70*e_TasaLinea/12*Calendario!CO$13</f>
        <v>0</v>
      </c>
      <c r="CP71" s="13" t="n">
        <f aca="false">CP$70*e_TasaLinea/12*Calendario!CP$13</f>
        <v>0</v>
      </c>
      <c r="CQ71" s="13" t="n">
        <f aca="false">CQ$70*e_TasaLinea/12*Calendario!CQ$13</f>
        <v>0</v>
      </c>
      <c r="CR71" s="13" t="n">
        <f aca="false">CR$70*e_TasaLinea/12*Calendario!CR$13</f>
        <v>0</v>
      </c>
      <c r="CS71" s="13" t="n">
        <f aca="false">CS$70*e_TasaLinea/12*Calendario!CS$13</f>
        <v>0</v>
      </c>
      <c r="CT71" s="13" t="n">
        <f aca="false">CT$70*e_TasaLinea/12*Calendario!CT$13</f>
        <v>0</v>
      </c>
      <c r="CU71" s="13" t="n">
        <f aca="false">CU$70*e_TasaLinea/12*Calendario!CU$13</f>
        <v>0</v>
      </c>
      <c r="CV71" s="13" t="n">
        <f aca="false">CV$70*e_TasaLinea/12*Calendario!CV$13</f>
        <v>0</v>
      </c>
      <c r="CW71" s="13" t="n">
        <f aca="false">CW$70*e_TasaLinea/12*Calendario!CW$13</f>
        <v>0</v>
      </c>
      <c r="CX71" s="13" t="n">
        <f aca="false">CX$70*e_TasaLinea/12*Calendario!CX$13</f>
        <v>0</v>
      </c>
      <c r="CY71" s="13" t="n">
        <f aca="false">CY$70*e_TasaLinea/12*Calendario!CY$13</f>
        <v>0</v>
      </c>
      <c r="CZ71" s="13" t="n">
        <f aca="false">CZ$70*e_TasaLinea/12*Calendario!CZ$13</f>
        <v>0</v>
      </c>
      <c r="DA71" s="13" t="n">
        <f aca="false">DA$70*e_TasaLinea/12*Calendario!DA$13</f>
        <v>0</v>
      </c>
      <c r="DB71" s="13" t="n">
        <f aca="false">DB$70*e_TasaLinea/12*Calendario!DB$13</f>
        <v>0</v>
      </c>
      <c r="DC71" s="13" t="n">
        <f aca="false">DC$70*e_TasaLinea/12*Calendario!DC$13</f>
        <v>0</v>
      </c>
      <c r="DD71" s="13" t="n">
        <f aca="false">DD$70*e_TasaLinea/12*Calendario!DD$13</f>
        <v>0</v>
      </c>
      <c r="DE71" s="13" t="n">
        <f aca="false">DE$70*e_TasaLinea/12*Calendario!DE$13</f>
        <v>0</v>
      </c>
      <c r="DF71" s="13" t="n">
        <f aca="false">DF$70*e_TasaLinea/12*Calendario!DF$13</f>
        <v>0</v>
      </c>
      <c r="DG71" s="13" t="n">
        <f aca="false">DG$70*e_TasaLinea/12*Calendario!DG$13</f>
        <v>0</v>
      </c>
      <c r="DH71" s="13" t="n">
        <f aca="false">DH$70*e_TasaLinea/12*Calendario!DH$13</f>
        <v>0</v>
      </c>
      <c r="DI71" s="13" t="n">
        <f aca="false">DI$70*e_TasaLinea/12*Calendario!DI$13</f>
        <v>0</v>
      </c>
      <c r="DJ71" s="13" t="n">
        <f aca="false">DJ$70*e_TasaLinea/12*Calendario!DJ$13</f>
        <v>0</v>
      </c>
      <c r="DK71" s="13" t="n">
        <f aca="false">DK$70*e_TasaLinea/12*Calendario!DK$13</f>
        <v>0</v>
      </c>
      <c r="DL71" s="13" t="n">
        <f aca="false">DL$70*e_TasaLinea/12*Calendario!DL$13</f>
        <v>0</v>
      </c>
      <c r="DM71" s="13" t="n">
        <f aca="false">DM$70*e_TasaLinea/12*Calendario!DM$13</f>
        <v>0</v>
      </c>
      <c r="DN71" s="13" t="n">
        <f aca="false">DN$70*e_TasaLinea/12*Calendario!DN$13</f>
        <v>0</v>
      </c>
      <c r="DO71" s="13" t="n">
        <f aca="false">DO$70*e_TasaLinea/12*Calendario!DO$13</f>
        <v>0</v>
      </c>
      <c r="DP71" s="13" t="n">
        <f aca="false">DP$70*e_TasaLinea/12*Calendario!DP$13</f>
        <v>0</v>
      </c>
      <c r="DQ71" s="13" t="n">
        <f aca="false">DQ$70*e_TasaLinea/12*Calendario!DQ$13</f>
        <v>0</v>
      </c>
      <c r="DR71" s="13" t="n">
        <f aca="false">DR$70*e_TasaLinea/12*Calendario!DR$13</f>
        <v>0</v>
      </c>
      <c r="DS71" s="13" t="n">
        <f aca="false">DS$70*e_TasaLinea/12*Calendario!DS$13</f>
        <v>0</v>
      </c>
      <c r="DT71" s="13" t="n">
        <f aca="false">DT$70*e_TasaLinea/12*Calendario!DT$13</f>
        <v>0</v>
      </c>
      <c r="DU71" s="13" t="n">
        <f aca="false">DU$70*e_TasaLinea/12*Calendario!DU$13</f>
        <v>0</v>
      </c>
      <c r="DV71" s="13" t="n">
        <f aca="false">DV$70*e_TasaLinea/12*Calendario!DV$13</f>
        <v>0</v>
      </c>
      <c r="DW71" s="13" t="n">
        <f aca="false">DW$70*e_TasaLinea/12*Calendario!DW$13</f>
        <v>0</v>
      </c>
      <c r="DX71" s="13" t="n">
        <f aca="false">DX$70*e_TasaLinea/12*Calendario!DX$13</f>
        <v>0</v>
      </c>
      <c r="DY71" s="13" t="n">
        <f aca="false">DY$70*e_TasaLinea/12*Calendario!DY$13</f>
        <v>0</v>
      </c>
      <c r="DZ71" s="13" t="n">
        <f aca="false">DZ$70*e_TasaLinea/12*Calendario!DZ$13</f>
        <v>0</v>
      </c>
      <c r="EA71" s="13" t="n">
        <f aca="false">EA$70*e_TasaLinea/12*Calendario!EA$13</f>
        <v>0</v>
      </c>
      <c r="EB71" s="13" t="n">
        <f aca="false">EB$70*e_TasaLinea/12*Calendario!EB$13</f>
        <v>0</v>
      </c>
      <c r="EC71" s="13" t="n">
        <f aca="false">EC$70*e_TasaLinea/12*Calendario!EC$13</f>
        <v>0</v>
      </c>
      <c r="ED71" s="13" t="n">
        <f aca="false">ED$70*e_TasaLinea/12*Calendario!ED$13</f>
        <v>0</v>
      </c>
      <c r="EE71" s="13" t="n">
        <f aca="false">EE$70*e_TasaLinea/12*Calendario!EE$13</f>
        <v>0</v>
      </c>
      <c r="EF71" s="13" t="n">
        <f aca="false">EF$70*e_TasaLinea/12*Calendario!EF$13</f>
        <v>0</v>
      </c>
      <c r="EG71" s="13" t="n">
        <f aca="false">EG$70*e_TasaLinea/12*Calendario!EG$13</f>
        <v>0</v>
      </c>
      <c r="EH71" s="13" t="n">
        <f aca="false">EH$70*e_TasaLinea/12*Calendario!EH$13</f>
        <v>0</v>
      </c>
      <c r="EI71" s="13" t="n">
        <f aca="false">EI$70*e_TasaLinea/12*Calendario!EI$13</f>
        <v>0</v>
      </c>
      <c r="EJ71" s="13" t="n">
        <f aca="false">EJ$70*e_TasaLinea/12*Calendario!EJ$13</f>
        <v>0</v>
      </c>
      <c r="EK71" s="13" t="n">
        <f aca="false">EK$70*e_TasaLinea/12*Calendario!EK$13</f>
        <v>0</v>
      </c>
      <c r="EL71" s="13" t="n">
        <f aca="false">EL$70*e_TasaLinea/12*Calendario!EL$13</f>
        <v>0</v>
      </c>
      <c r="EM71" s="13" t="n">
        <f aca="false">EM$70*e_TasaLinea/12*Calendario!EM$13</f>
        <v>0</v>
      </c>
      <c r="EN71" s="13" t="n">
        <f aca="false">EN$70*e_TasaLinea/12*Calendario!EN$13</f>
        <v>0</v>
      </c>
      <c r="EO71" s="13" t="n">
        <f aca="false">EO$70*e_TasaLinea/12*Calendario!EO$13</f>
        <v>0</v>
      </c>
      <c r="EP71" s="13" t="n">
        <f aca="false">EP$70*e_TasaLinea/12*Calendario!EP$13</f>
        <v>0</v>
      </c>
      <c r="EQ71" s="13" t="n">
        <f aca="false">EQ$70*e_TasaLinea/12*Calendario!EQ$13</f>
        <v>0</v>
      </c>
      <c r="ER71" s="13" t="n">
        <f aca="false">ER$70*e_TasaLinea/12*Calendario!ER$13</f>
        <v>0</v>
      </c>
      <c r="ES71" s="13" t="n">
        <f aca="false">ES$70*e_TasaLinea/12*Calendario!ES$13</f>
        <v>0</v>
      </c>
      <c r="ET71" s="13" t="n">
        <f aca="false">ET$70*e_TasaLinea/12*Calendario!ET$13</f>
        <v>0</v>
      </c>
      <c r="EU71" s="13" t="n">
        <f aca="false">EU$70*e_TasaLinea/12*Calendario!EU$13</f>
        <v>0</v>
      </c>
      <c r="EV71" s="13" t="n">
        <f aca="false">EV$70*e_TasaLinea/12*Calendario!EV$13</f>
        <v>0</v>
      </c>
      <c r="EW71" s="13" t="n">
        <f aca="false">EW$70*e_TasaLinea/12*Calendario!EW$13</f>
        <v>0</v>
      </c>
      <c r="EX71" s="13" t="n">
        <f aca="false">EX$70*e_TasaLinea/12*Calendario!EX$13</f>
        <v>0</v>
      </c>
      <c r="EY71" s="13" t="n">
        <f aca="false">EY$70*e_TasaLinea/12*Calendario!EY$13</f>
        <v>0</v>
      </c>
      <c r="EZ71" s="13" t="n">
        <f aca="false">EZ$70*e_TasaLinea/12*Calendario!EZ$13</f>
        <v>0</v>
      </c>
      <c r="FA71" s="13" t="n">
        <f aca="false">FA$70*e_TasaLinea/12*Calendario!FA$13</f>
        <v>0</v>
      </c>
      <c r="FB71" s="13" t="n">
        <f aca="false">FB$70*e_TasaLinea/12*Calendario!FB$13</f>
        <v>0</v>
      </c>
      <c r="FC71" s="13" t="n">
        <f aca="false">FC$70*e_TasaLinea/12*Calendario!FC$13</f>
        <v>0</v>
      </c>
      <c r="FD71" s="13" t="n">
        <f aca="false">FD$70*e_TasaLinea/12*Calendario!FD$13</f>
        <v>0</v>
      </c>
      <c r="FE71" s="13" t="n">
        <f aca="false">FE$70*e_TasaLinea/12*Calendario!FE$13</f>
        <v>0</v>
      </c>
      <c r="FF71" s="13" t="n">
        <f aca="false">FF$70*e_TasaLinea/12*Calendario!FF$13</f>
        <v>0</v>
      </c>
    </row>
    <row r="72" customFormat="false" ht="15" hidden="false" customHeight="false" outlineLevel="0" collapsed="false">
      <c r="A72" s="2" t="s">
        <v>1553</v>
      </c>
      <c r="B72" s="8" t="s">
        <v>1554</v>
      </c>
      <c r="C72" s="8" t="s">
        <v>255</v>
      </c>
      <c r="E72" s="65" t="n">
        <f aca="false">SUM($F72:$FF72)</f>
        <v>0</v>
      </c>
      <c r="F72" s="13" t="n">
        <f aca="false">F$71*p_IVAint</f>
        <v>0</v>
      </c>
      <c r="G72" s="13" t="n">
        <f aca="false">G$71*p_IVAint</f>
        <v>0</v>
      </c>
      <c r="H72" s="13" t="n">
        <f aca="false">H$71*p_IVAint</f>
        <v>0</v>
      </c>
      <c r="I72" s="13" t="n">
        <f aca="false">I$71*p_IVAint</f>
        <v>0</v>
      </c>
      <c r="J72" s="13" t="n">
        <f aca="false">J$71*p_IVAint</f>
        <v>0</v>
      </c>
      <c r="K72" s="13" t="n">
        <f aca="false">K$71*p_IVAint</f>
        <v>0</v>
      </c>
      <c r="L72" s="13" t="n">
        <f aca="false">L$71*p_IVAint</f>
        <v>0</v>
      </c>
      <c r="M72" s="13" t="n">
        <f aca="false">M$71*p_IVAint</f>
        <v>0</v>
      </c>
      <c r="N72" s="13" t="n">
        <f aca="false">N$71*p_IVAint</f>
        <v>0</v>
      </c>
      <c r="O72" s="13" t="n">
        <f aca="false">O$71*p_IVAint</f>
        <v>0</v>
      </c>
      <c r="P72" s="13" t="n">
        <f aca="false">P$71*p_IVAint</f>
        <v>0</v>
      </c>
      <c r="Q72" s="13" t="n">
        <f aca="false">Q$71*p_IVAint</f>
        <v>0</v>
      </c>
      <c r="R72" s="13" t="n">
        <f aca="false">R$71*p_IVAint</f>
        <v>0</v>
      </c>
      <c r="S72" s="13" t="n">
        <f aca="false">S$71*p_IVAint</f>
        <v>0</v>
      </c>
      <c r="T72" s="13" t="n">
        <f aca="false">T$71*p_IVAint</f>
        <v>0</v>
      </c>
      <c r="U72" s="13" t="n">
        <f aca="false">U$71*p_IVAint</f>
        <v>0</v>
      </c>
      <c r="V72" s="13" t="n">
        <f aca="false">V$71*p_IVAint</f>
        <v>0</v>
      </c>
      <c r="W72" s="13" t="n">
        <f aca="false">W$71*p_IVAint</f>
        <v>0</v>
      </c>
      <c r="X72" s="13" t="n">
        <f aca="false">X$71*p_IVAint</f>
        <v>0</v>
      </c>
      <c r="Y72" s="13" t="n">
        <f aca="false">Y$71*p_IVAint</f>
        <v>0</v>
      </c>
      <c r="Z72" s="13" t="n">
        <f aca="false">Z$71*p_IVAint</f>
        <v>0</v>
      </c>
      <c r="AA72" s="13" t="n">
        <f aca="false">AA$71*p_IVAint</f>
        <v>0</v>
      </c>
      <c r="AB72" s="13" t="n">
        <f aca="false">AB$71*p_IVAint</f>
        <v>0</v>
      </c>
      <c r="AC72" s="13" t="n">
        <f aca="false">AC$71*p_IVAint</f>
        <v>0</v>
      </c>
      <c r="AD72" s="13" t="n">
        <f aca="false">AD$71*p_IVAint</f>
        <v>0</v>
      </c>
      <c r="AE72" s="13" t="n">
        <f aca="false">AE$71*p_IVAint</f>
        <v>0</v>
      </c>
      <c r="AF72" s="13" t="n">
        <f aca="false">AF$71*p_IVAint</f>
        <v>0</v>
      </c>
      <c r="AG72" s="13" t="n">
        <f aca="false">AG$71*p_IVAint</f>
        <v>0</v>
      </c>
      <c r="AH72" s="13" t="n">
        <f aca="false">AH$71*p_IVAint</f>
        <v>0</v>
      </c>
      <c r="AI72" s="13" t="n">
        <f aca="false">AI$71*p_IVAint</f>
        <v>0</v>
      </c>
      <c r="AJ72" s="13" t="n">
        <f aca="false">AJ$71*p_IVAint</f>
        <v>0</v>
      </c>
      <c r="AK72" s="13" t="n">
        <f aca="false">AK$71*p_IVAint</f>
        <v>0</v>
      </c>
      <c r="AL72" s="13" t="n">
        <f aca="false">AL$71*p_IVAint</f>
        <v>0</v>
      </c>
      <c r="AM72" s="13" t="n">
        <f aca="false">AM$71*p_IVAint</f>
        <v>0</v>
      </c>
      <c r="AN72" s="13" t="n">
        <f aca="false">AN$71*p_IVAint</f>
        <v>0</v>
      </c>
      <c r="AO72" s="13" t="n">
        <f aca="false">AO$71*p_IVAint</f>
        <v>0</v>
      </c>
      <c r="AP72" s="13" t="n">
        <f aca="false">AP$71*p_IVAint</f>
        <v>0</v>
      </c>
      <c r="AQ72" s="13" t="n">
        <f aca="false">AQ$71*p_IVAint</f>
        <v>0</v>
      </c>
      <c r="AR72" s="13" t="n">
        <f aca="false">AR$71*p_IVAint</f>
        <v>0</v>
      </c>
      <c r="AS72" s="13" t="n">
        <f aca="false">AS$71*p_IVAint</f>
        <v>0</v>
      </c>
      <c r="AT72" s="13" t="n">
        <f aca="false">AT$71*p_IVAint</f>
        <v>0</v>
      </c>
      <c r="AU72" s="13" t="n">
        <f aca="false">AU$71*p_IVAint</f>
        <v>0</v>
      </c>
      <c r="AV72" s="13" t="n">
        <f aca="false">AV$71*p_IVAint</f>
        <v>0</v>
      </c>
      <c r="AW72" s="13" t="n">
        <f aca="false">AW$71*p_IVAint</f>
        <v>0</v>
      </c>
      <c r="AX72" s="13" t="n">
        <f aca="false">AX$71*p_IVAint</f>
        <v>0</v>
      </c>
      <c r="AY72" s="13" t="n">
        <f aca="false">AY$71*p_IVAint</f>
        <v>0</v>
      </c>
      <c r="AZ72" s="13" t="n">
        <f aca="false">AZ$71*p_IVAint</f>
        <v>0</v>
      </c>
      <c r="BA72" s="13" t="n">
        <f aca="false">BA$71*p_IVAint</f>
        <v>0</v>
      </c>
      <c r="BB72" s="13" t="n">
        <f aca="false">BB$71*p_IVAint</f>
        <v>0</v>
      </c>
      <c r="BC72" s="13" t="n">
        <f aca="false">BC$71*p_IVAint</f>
        <v>0</v>
      </c>
      <c r="BD72" s="13" t="n">
        <f aca="false">BD$71*p_IVAint</f>
        <v>0</v>
      </c>
      <c r="BE72" s="13" t="n">
        <f aca="false">BE$71*p_IVAint</f>
        <v>0</v>
      </c>
      <c r="BF72" s="13" t="n">
        <f aca="false">BF$71*p_IVAint</f>
        <v>0</v>
      </c>
      <c r="BG72" s="13" t="n">
        <f aca="false">BG$71*p_IVAint</f>
        <v>0</v>
      </c>
      <c r="BH72" s="13" t="n">
        <f aca="false">BH$71*p_IVAint</f>
        <v>0</v>
      </c>
      <c r="BI72" s="13" t="n">
        <f aca="false">BI$71*p_IVAint</f>
        <v>0</v>
      </c>
      <c r="BJ72" s="13" t="n">
        <f aca="false">BJ$71*p_IVAint</f>
        <v>0</v>
      </c>
      <c r="BK72" s="13" t="n">
        <f aca="false">BK$71*p_IVAint</f>
        <v>0</v>
      </c>
      <c r="BL72" s="13" t="n">
        <f aca="false">BL$71*p_IVAint</f>
        <v>0</v>
      </c>
      <c r="BM72" s="13" t="n">
        <f aca="false">BM$71*p_IVAint</f>
        <v>0</v>
      </c>
      <c r="BN72" s="13" t="n">
        <f aca="false">BN$71*p_IVAint</f>
        <v>0</v>
      </c>
      <c r="BO72" s="13" t="n">
        <f aca="false">BO$71*p_IVAint</f>
        <v>0</v>
      </c>
      <c r="BP72" s="13" t="n">
        <f aca="false">BP$71*p_IVAint</f>
        <v>0</v>
      </c>
      <c r="BQ72" s="13" t="n">
        <f aca="false">BQ$71*p_IVAint</f>
        <v>0</v>
      </c>
      <c r="BR72" s="13" t="n">
        <f aca="false">BR$71*p_IVAint</f>
        <v>0</v>
      </c>
      <c r="BS72" s="13" t="n">
        <f aca="false">BS$71*p_IVAint</f>
        <v>0</v>
      </c>
      <c r="BT72" s="13" t="n">
        <f aca="false">BT$71*p_IVAint</f>
        <v>0</v>
      </c>
      <c r="BU72" s="13" t="n">
        <f aca="false">BU$71*p_IVAint</f>
        <v>0</v>
      </c>
      <c r="BV72" s="13" t="n">
        <f aca="false">BV$71*p_IVAint</f>
        <v>0</v>
      </c>
      <c r="BW72" s="13" t="n">
        <f aca="false">BW$71*p_IVAint</f>
        <v>0</v>
      </c>
      <c r="BX72" s="13" t="n">
        <f aca="false">BX$71*p_IVAint</f>
        <v>0</v>
      </c>
      <c r="BY72" s="13" t="n">
        <f aca="false">BY$71*p_IVAint</f>
        <v>0</v>
      </c>
      <c r="BZ72" s="13" t="n">
        <f aca="false">BZ$71*p_IVAint</f>
        <v>0</v>
      </c>
      <c r="CA72" s="13" t="n">
        <f aca="false">CA$71*p_IVAint</f>
        <v>0</v>
      </c>
      <c r="CB72" s="13" t="n">
        <f aca="false">CB$71*p_IVAint</f>
        <v>0</v>
      </c>
      <c r="CC72" s="13" t="n">
        <f aca="false">CC$71*p_IVAint</f>
        <v>0</v>
      </c>
      <c r="CD72" s="13" t="n">
        <f aca="false">CD$71*p_IVAint</f>
        <v>0</v>
      </c>
      <c r="CE72" s="13" t="n">
        <f aca="false">CE$71*p_IVAint</f>
        <v>0</v>
      </c>
      <c r="CF72" s="13" t="n">
        <f aca="false">CF$71*p_IVAint</f>
        <v>0</v>
      </c>
      <c r="CG72" s="13" t="n">
        <f aca="false">CG$71*p_IVAint</f>
        <v>0</v>
      </c>
      <c r="CH72" s="13" t="n">
        <f aca="false">CH$71*p_IVAint</f>
        <v>0</v>
      </c>
      <c r="CI72" s="13" t="n">
        <f aca="false">CI$71*p_IVAint</f>
        <v>0</v>
      </c>
      <c r="CJ72" s="13" t="n">
        <f aca="false">CJ$71*p_IVAint</f>
        <v>0</v>
      </c>
      <c r="CK72" s="13" t="n">
        <f aca="false">CK$71*p_IVAint</f>
        <v>0</v>
      </c>
      <c r="CL72" s="13" t="n">
        <f aca="false">CL$71*p_IVAint</f>
        <v>0</v>
      </c>
      <c r="CM72" s="13" t="n">
        <f aca="false">CM$71*p_IVAint</f>
        <v>0</v>
      </c>
      <c r="CN72" s="13" t="n">
        <f aca="false">CN$71*p_IVAint</f>
        <v>0</v>
      </c>
      <c r="CO72" s="13" t="n">
        <f aca="false">CO$71*p_IVAint</f>
        <v>0</v>
      </c>
      <c r="CP72" s="13" t="n">
        <f aca="false">CP$71*p_IVAint</f>
        <v>0</v>
      </c>
      <c r="CQ72" s="13" t="n">
        <f aca="false">CQ$71*p_IVAint</f>
        <v>0</v>
      </c>
      <c r="CR72" s="13" t="n">
        <f aca="false">CR$71*p_IVAint</f>
        <v>0</v>
      </c>
      <c r="CS72" s="13" t="n">
        <f aca="false">CS$71*p_IVAint</f>
        <v>0</v>
      </c>
      <c r="CT72" s="13" t="n">
        <f aca="false">CT$71*p_IVAint</f>
        <v>0</v>
      </c>
      <c r="CU72" s="13" t="n">
        <f aca="false">CU$71*p_IVAint</f>
        <v>0</v>
      </c>
      <c r="CV72" s="13" t="n">
        <f aca="false">CV$71*p_IVAint</f>
        <v>0</v>
      </c>
      <c r="CW72" s="13" t="n">
        <f aca="false">CW$71*p_IVAint</f>
        <v>0</v>
      </c>
      <c r="CX72" s="13" t="n">
        <f aca="false">CX$71*p_IVAint</f>
        <v>0</v>
      </c>
      <c r="CY72" s="13" t="n">
        <f aca="false">CY$71*p_IVAint</f>
        <v>0</v>
      </c>
      <c r="CZ72" s="13" t="n">
        <f aca="false">CZ$71*p_IVAint</f>
        <v>0</v>
      </c>
      <c r="DA72" s="13" t="n">
        <f aca="false">DA$71*p_IVAint</f>
        <v>0</v>
      </c>
      <c r="DB72" s="13" t="n">
        <f aca="false">DB$71*p_IVAint</f>
        <v>0</v>
      </c>
      <c r="DC72" s="13" t="n">
        <f aca="false">DC$71*p_IVAint</f>
        <v>0</v>
      </c>
      <c r="DD72" s="13" t="n">
        <f aca="false">DD$71*p_IVAint</f>
        <v>0</v>
      </c>
      <c r="DE72" s="13" t="n">
        <f aca="false">DE$71*p_IVAint</f>
        <v>0</v>
      </c>
      <c r="DF72" s="13" t="n">
        <f aca="false">DF$71*p_IVAint</f>
        <v>0</v>
      </c>
      <c r="DG72" s="13" t="n">
        <f aca="false">DG$71*p_IVAint</f>
        <v>0</v>
      </c>
      <c r="DH72" s="13" t="n">
        <f aca="false">DH$71*p_IVAint</f>
        <v>0</v>
      </c>
      <c r="DI72" s="13" t="n">
        <f aca="false">DI$71*p_IVAint</f>
        <v>0</v>
      </c>
      <c r="DJ72" s="13" t="n">
        <f aca="false">DJ$71*p_IVAint</f>
        <v>0</v>
      </c>
      <c r="DK72" s="13" t="n">
        <f aca="false">DK$71*p_IVAint</f>
        <v>0</v>
      </c>
      <c r="DL72" s="13" t="n">
        <f aca="false">DL$71*p_IVAint</f>
        <v>0</v>
      </c>
      <c r="DM72" s="13" t="n">
        <f aca="false">DM$71*p_IVAint</f>
        <v>0</v>
      </c>
      <c r="DN72" s="13" t="n">
        <f aca="false">DN$71*p_IVAint</f>
        <v>0</v>
      </c>
      <c r="DO72" s="13" t="n">
        <f aca="false">DO$71*p_IVAint</f>
        <v>0</v>
      </c>
      <c r="DP72" s="13" t="n">
        <f aca="false">DP$71*p_IVAint</f>
        <v>0</v>
      </c>
      <c r="DQ72" s="13" t="n">
        <f aca="false">DQ$71*p_IVAint</f>
        <v>0</v>
      </c>
      <c r="DR72" s="13" t="n">
        <f aca="false">DR$71*p_IVAint</f>
        <v>0</v>
      </c>
      <c r="DS72" s="13" t="n">
        <f aca="false">DS$71*p_IVAint</f>
        <v>0</v>
      </c>
      <c r="DT72" s="13" t="n">
        <f aca="false">DT$71*p_IVAint</f>
        <v>0</v>
      </c>
      <c r="DU72" s="13" t="n">
        <f aca="false">DU$71*p_IVAint</f>
        <v>0</v>
      </c>
      <c r="DV72" s="13" t="n">
        <f aca="false">DV$71*p_IVAint</f>
        <v>0</v>
      </c>
      <c r="DW72" s="13" t="n">
        <f aca="false">DW$71*p_IVAint</f>
        <v>0</v>
      </c>
      <c r="DX72" s="13" t="n">
        <f aca="false">DX$71*p_IVAint</f>
        <v>0</v>
      </c>
      <c r="DY72" s="13" t="n">
        <f aca="false">DY$71*p_IVAint</f>
        <v>0</v>
      </c>
      <c r="DZ72" s="13" t="n">
        <f aca="false">DZ$71*p_IVAint</f>
        <v>0</v>
      </c>
      <c r="EA72" s="13" t="n">
        <f aca="false">EA$71*p_IVAint</f>
        <v>0</v>
      </c>
      <c r="EB72" s="13" t="n">
        <f aca="false">EB$71*p_IVAint</f>
        <v>0</v>
      </c>
      <c r="EC72" s="13" t="n">
        <f aca="false">EC$71*p_IVAint</f>
        <v>0</v>
      </c>
      <c r="ED72" s="13" t="n">
        <f aca="false">ED$71*p_IVAint</f>
        <v>0</v>
      </c>
      <c r="EE72" s="13" t="n">
        <f aca="false">EE$71*p_IVAint</f>
        <v>0</v>
      </c>
      <c r="EF72" s="13" t="n">
        <f aca="false">EF$71*p_IVAint</f>
        <v>0</v>
      </c>
      <c r="EG72" s="13" t="n">
        <f aca="false">EG$71*p_IVAint</f>
        <v>0</v>
      </c>
      <c r="EH72" s="13" t="n">
        <f aca="false">EH$71*p_IVAint</f>
        <v>0</v>
      </c>
      <c r="EI72" s="13" t="n">
        <f aca="false">EI$71*p_IVAint</f>
        <v>0</v>
      </c>
      <c r="EJ72" s="13" t="n">
        <f aca="false">EJ$71*p_IVAint</f>
        <v>0</v>
      </c>
      <c r="EK72" s="13" t="n">
        <f aca="false">EK$71*p_IVAint</f>
        <v>0</v>
      </c>
      <c r="EL72" s="13" t="n">
        <f aca="false">EL$71*p_IVAint</f>
        <v>0</v>
      </c>
      <c r="EM72" s="13" t="n">
        <f aca="false">EM$71*p_IVAint</f>
        <v>0</v>
      </c>
      <c r="EN72" s="13" t="n">
        <f aca="false">EN$71*p_IVAint</f>
        <v>0</v>
      </c>
      <c r="EO72" s="13" t="n">
        <f aca="false">EO$71*p_IVAint</f>
        <v>0</v>
      </c>
      <c r="EP72" s="13" t="n">
        <f aca="false">EP$71*p_IVAint</f>
        <v>0</v>
      </c>
      <c r="EQ72" s="13" t="n">
        <f aca="false">EQ$71*p_IVAint</f>
        <v>0</v>
      </c>
      <c r="ER72" s="13" t="n">
        <f aca="false">ER$71*p_IVAint</f>
        <v>0</v>
      </c>
      <c r="ES72" s="13" t="n">
        <f aca="false">ES$71*p_IVAint</f>
        <v>0</v>
      </c>
      <c r="ET72" s="13" t="n">
        <f aca="false">ET$71*p_IVAint</f>
        <v>0</v>
      </c>
      <c r="EU72" s="13" t="n">
        <f aca="false">EU$71*p_IVAint</f>
        <v>0</v>
      </c>
      <c r="EV72" s="13" t="n">
        <f aca="false">EV$71*p_IVAint</f>
        <v>0</v>
      </c>
      <c r="EW72" s="13" t="n">
        <f aca="false">EW$71*p_IVAint</f>
        <v>0</v>
      </c>
      <c r="EX72" s="13" t="n">
        <f aca="false">EX$71*p_IVAint</f>
        <v>0</v>
      </c>
      <c r="EY72" s="13" t="n">
        <f aca="false">EY$71*p_IVAint</f>
        <v>0</v>
      </c>
      <c r="EZ72" s="13" t="n">
        <f aca="false">EZ$71*p_IVAint</f>
        <v>0</v>
      </c>
      <c r="FA72" s="13" t="n">
        <f aca="false">FA$71*p_IVAint</f>
        <v>0</v>
      </c>
      <c r="FB72" s="13" t="n">
        <f aca="false">FB$71*p_IVAint</f>
        <v>0</v>
      </c>
      <c r="FC72" s="13" t="n">
        <f aca="false">FC$71*p_IVAint</f>
        <v>0</v>
      </c>
      <c r="FD72" s="13" t="n">
        <f aca="false">FD$71*p_IVAint</f>
        <v>0</v>
      </c>
      <c r="FE72" s="13" t="n">
        <f aca="false">FE$71*p_IVAint</f>
        <v>0</v>
      </c>
      <c r="FF72" s="13" t="n">
        <f aca="false">FF$71*p_IVAint</f>
        <v>0</v>
      </c>
    </row>
    <row r="73" customFormat="false" ht="15" hidden="false" customHeight="false" outlineLevel="0" collapsed="false">
      <c r="A73" s="2" t="s">
        <v>1555</v>
      </c>
      <c r="B73" s="8" t="s">
        <v>1556</v>
      </c>
      <c r="C73" s="8" t="s">
        <v>255</v>
      </c>
      <c r="E73" s="65" t="n">
        <f aca="false">MIN($F73:$FF73)</f>
        <v>-527347.882516236</v>
      </c>
      <c r="F73" s="13" t="n">
        <f aca="false">F$69+F$57-F$58+F$65-F$66-F$67+F$68-F$71-F$72</f>
        <v>1272400.61780822</v>
      </c>
      <c r="G73" s="13" t="n">
        <f aca="false">G$69+G$57-G$58+G$65-G$66-G$67+G$68-G$71-G$72</f>
        <v>1485788.22538177</v>
      </c>
      <c r="H73" s="13" t="n">
        <f aca="false">H$69+H$57-H$58+H$65-H$66-H$67+H$68-H$71-H$72</f>
        <v>1096224.29621508</v>
      </c>
      <c r="I73" s="13" t="n">
        <f aca="false">I$69+I$57-I$58+I$65-I$66-I$67+I$68-I$71-I$72</f>
        <v>711524.53696845</v>
      </c>
      <c r="J73" s="13" t="n">
        <f aca="false">J$69+J$57-J$58+J$65-J$66-J$67+J$68-J$71-J$72</f>
        <v>348970.896443279</v>
      </c>
      <c r="K73" s="13" t="n">
        <f aca="false">K$69+K$57-K$58+K$65-K$66-K$67+K$68-K$71-K$72</f>
        <v>368437.803863314</v>
      </c>
      <c r="L73" s="13" t="n">
        <f aca="false">L$69+L$57-L$58+L$65-L$66-L$67+L$68-L$71-L$72</f>
        <v>387904.711283349</v>
      </c>
      <c r="M73" s="13" t="n">
        <f aca="false">M$69+M$57-M$58+M$65-M$66-M$67+M$68-M$71-M$72</f>
        <v>365248.314608697</v>
      </c>
      <c r="N73" s="13" t="n">
        <f aca="false">N$69+N$57-N$58+N$65-N$66-N$67+N$68-N$71-N$72</f>
        <v>322286.233662255</v>
      </c>
      <c r="O73" s="13" t="n">
        <f aca="false">O$69+O$57-O$58+O$65-O$66-O$67+O$68-O$71-O$72</f>
        <v>235108.20178445</v>
      </c>
      <c r="P73" s="13" t="n">
        <f aca="false">P$69+P$57-P$58+P$65-P$66-P$67+P$68-P$71-P$72</f>
        <v>145465.495568511</v>
      </c>
      <c r="Q73" s="13" t="n">
        <f aca="false">Q$69+Q$57-Q$58+Q$65-Q$66-Q$67+Q$68-Q$71-Q$72</f>
        <v>55855.0980059571</v>
      </c>
      <c r="R73" s="13" t="n">
        <f aca="false">R$69+R$57-R$58+R$65-R$66-R$67+R$68-R$71-R$72</f>
        <v>-33740.5062854385</v>
      </c>
      <c r="S73" s="13" t="n">
        <f aca="false">S$69+S$57-S$58+S$65-S$66-S$67+S$68-S$71-S$72</f>
        <v>147283.71499674</v>
      </c>
      <c r="T73" s="13" t="n">
        <f aca="false">T$69+T$57-T$58+T$65-T$66-T$67+T$68-T$71-T$72</f>
        <v>51919.0733168256</v>
      </c>
      <c r="U73" s="13" t="n">
        <f aca="false">U$69+U$57-U$58+U$65-U$66-U$67+U$68-U$71-U$72</f>
        <v>-43412.2794913074</v>
      </c>
      <c r="V73" s="13" t="n">
        <f aca="false">V$69+V$57-V$58+V$65-V$66-V$67+V$68-V$71-V$72</f>
        <v>-132631.554948335</v>
      </c>
      <c r="W73" s="13" t="n">
        <f aca="false">W$69+W$57-W$58+W$65-W$66-W$67+W$68-W$71-W$72</f>
        <v>-116962.245807457</v>
      </c>
      <c r="X73" s="13" t="n">
        <f aca="false">X$69+X$57-X$58+X$65-X$66-X$67+X$68-X$71-X$72</f>
        <v>-101258.893163642</v>
      </c>
      <c r="Y73" s="13" t="n">
        <f aca="false">Y$69+Y$57-Y$58+Y$65-Y$66-Y$67+Y$68-Y$71-Y$72</f>
        <v>-85521.2416906175</v>
      </c>
      <c r="Z73" s="13" t="n">
        <f aca="false">Z$69+Z$57-Z$58+Z$65-Z$66-Z$67+Z$68-Z$71-Z$72</f>
        <v>-90191.9756765317</v>
      </c>
      <c r="AA73" s="13" t="n">
        <f aca="false">AA$69+AA$57-AA$58+AA$65-AA$66-AA$67+AA$68-AA$71-AA$72</f>
        <v>-139637.612212754</v>
      </c>
      <c r="AB73" s="13" t="n">
        <f aca="false">AB$69+AB$57-AB$58+AB$65-AB$66-AB$67+AB$68-AB$71-AB$72</f>
        <v>-191577.135856413</v>
      </c>
      <c r="AC73" s="13" t="n">
        <f aca="false">AC$69+AC$57-AC$58+AC$65-AC$66-AC$67+AC$68-AC$71-AC$72</f>
        <v>-243481.320072144</v>
      </c>
      <c r="AD73" s="13" t="n">
        <f aca="false">AD$69+AD$57-AD$58+AD$65-AD$66-AD$67+AD$68-AD$71-AD$72</f>
        <v>-295367.749691137</v>
      </c>
      <c r="AE73" s="13" t="n">
        <f aca="false">AE$69+AE$57-AE$58+AE$65-AE$66-AE$67+AE$68-AE$71-AE$72</f>
        <v>-352044.703551428</v>
      </c>
      <c r="AF73" s="13" t="n">
        <f aca="false">AF$69+AF$57-AF$58+AF$65-AF$66-AF$67+AF$68-AF$71-AF$72</f>
        <v>-412581.564158651</v>
      </c>
      <c r="AG73" s="13" t="n">
        <f aca="false">AG$69+AG$57-AG$58+AG$65-AG$66-AG$67+AG$68-AG$71-AG$72</f>
        <v>-473082.013168304</v>
      </c>
      <c r="AH73" s="13" t="n">
        <f aca="false">AH$69+AH$57-AH$58+AH$65-AH$66-AH$67+AH$68-AH$71-AH$72</f>
        <v>-527347.882516236</v>
      </c>
      <c r="AI73" s="13" t="n">
        <f aca="false">AI$69+AI$57-AI$58+AI$65-AI$66-AI$67+AI$68-AI$71-AI$72</f>
        <v>-474663.103688318</v>
      </c>
      <c r="AJ73" s="13" t="n">
        <f aca="false">AJ$69+AJ$57-AJ$58+AJ$65-AJ$66-AJ$67+AJ$68-AJ$71-AJ$72</f>
        <v>-421941.087842065</v>
      </c>
      <c r="AK73" s="13" t="n">
        <f aca="false">AK$69+AK$57-AK$58+AK$65-AK$66-AK$67+AK$68-AK$71-AK$72</f>
        <v>-369181.555699841</v>
      </c>
      <c r="AL73" s="13" t="n">
        <f aca="false">AL$69+AL$57-AL$58+AL$65-AL$66-AL$67+AL$68-AL$71-AL$72</f>
        <v>-332916.833087531</v>
      </c>
      <c r="AM73" s="13" t="n">
        <f aca="false">AM$69+AM$57-AM$58+AM$65-AM$66-AM$67+AM$68-AM$71-AM$72</f>
        <v>-333498.862608605</v>
      </c>
      <c r="AN73" s="13" t="n">
        <f aca="false">AN$69+AN$57-AN$58+AN$65-AN$66-AN$67+AN$68-AN$71-AN$72</f>
        <v>-336125.216458612</v>
      </c>
      <c r="AO73" s="13" t="n">
        <f aca="false">AO$69+AO$57-AO$58+AO$65-AO$66-AO$67+AO$68-AO$71-AO$72</f>
        <v>-338712.915798592</v>
      </c>
      <c r="AP73" s="13" t="n">
        <f aca="false">AP$69+AP$57-AP$58+AP$65-AP$66-AP$67+AP$68-AP$71-AP$72</f>
        <v>-341276.106168287</v>
      </c>
      <c r="AQ73" s="13" t="n">
        <f aca="false">AQ$69+AQ$57-AQ$58+AQ$65-AQ$66-AQ$67+AQ$68-AQ$71-AQ$72</f>
        <v>-347662.336531006</v>
      </c>
      <c r="AR73" s="13" t="n">
        <f aca="false">AR$69+AR$57-AR$58+AR$65-AR$66-AR$67+AR$68-AR$71-AR$72</f>
        <v>-357396.412415801</v>
      </c>
      <c r="AS73" s="13" t="n">
        <f aca="false">AS$69+AS$57-AS$58+AS$65-AS$66-AS$67+AS$68-AS$71-AS$72</f>
        <v>-367090.661044017</v>
      </c>
      <c r="AT73" s="13" t="n">
        <f aca="false">AT$69+AT$57-AT$58+AT$65-AT$66-AT$67+AT$68-AT$71-AT$72</f>
        <v>-371507.804578812</v>
      </c>
      <c r="AU73" s="13" t="n">
        <f aca="false">AU$69+AU$57-AU$58+AU$65-AU$66-AU$67+AU$68-AU$71-AU$72</f>
        <v>-285546.63117365</v>
      </c>
      <c r="AV73" s="13" t="n">
        <f aca="false">AV$69+AV$57-AV$58+AV$65-AV$66-AV$67+AV$68-AV$71-AV$72</f>
        <v>-199544.727660986</v>
      </c>
      <c r="AW73" s="13" t="n">
        <f aca="false">AW$69+AW$57-AW$58+AW$65-AW$66-AW$67+AW$68-AW$71-AW$72</f>
        <v>-113501.788565014</v>
      </c>
      <c r="AX73" s="13" t="n">
        <f aca="false">AX$69+AX$57-AX$58+AX$65-AX$66-AX$67+AX$68-AX$71-AX$72</f>
        <v>-27417.506118858</v>
      </c>
      <c r="AY73" s="13" t="n">
        <f aca="false">AY$69+AY$57-AY$58+AY$65-AY$66-AY$67+AY$68-AY$71-AY$72</f>
        <v>56514.3580270376</v>
      </c>
      <c r="AZ73" s="13" t="n">
        <f aca="false">AZ$69+AZ$57-AZ$58+AZ$65-AZ$66-AZ$67+AZ$68-AZ$71-AZ$72</f>
        <v>140360.995435132</v>
      </c>
      <c r="BA73" s="13" t="n">
        <f aca="false">BA$69+BA$57-BA$58+BA$65-BA$66-BA$67+BA$68-BA$71-BA$72</f>
        <v>155276.074936693</v>
      </c>
      <c r="BB73" s="13" t="n">
        <f aca="false">BB$69+BB$57-BB$58+BB$65-BB$66-BB$67+BB$68-BB$71-BB$72</f>
        <v>155318.67261066</v>
      </c>
      <c r="BC73" s="13" t="n">
        <f aca="false">BC$69+BC$57-BC$58+BC$65-BC$66-BC$67+BC$68-BC$71-BC$72</f>
        <v>151956.059588407</v>
      </c>
      <c r="BD73" s="13" t="n">
        <f aca="false">BD$69+BD$57-BD$58+BD$65-BD$66-BD$67+BD$68-BD$71-BD$72</f>
        <v>152524.86734985</v>
      </c>
      <c r="BE73" s="13" t="n">
        <f aca="false">BE$69+BE$57-BE$58+BE$65-BE$66-BE$67+BE$68-BE$71-BE$72</f>
        <v>203435.559779061</v>
      </c>
      <c r="BF73" s="13" t="n">
        <f aca="false">BF$69+BF$57-BF$58+BF$65-BF$66-BF$67+BF$68-BF$71-BF$72</f>
        <v>284343.447297736</v>
      </c>
      <c r="BG73" s="13" t="n">
        <f aca="false">BG$69+BG$57-BG$58+BG$65-BG$66-BG$67+BG$68-BG$71-BG$72</f>
        <v>159894.404484047</v>
      </c>
      <c r="BH73" s="13" t="n">
        <f aca="false">BH$69+BH$57-BH$58+BH$65-BH$66-BH$67+BH$68-BH$71-BH$72</f>
        <v>159938.955356575</v>
      </c>
      <c r="BI73" s="13" t="n">
        <f aca="false">BI$69+BI$57-BI$58+BI$65-BI$66-BI$67+BI$68-BI$71-BI$72</f>
        <v>159983.840360648</v>
      </c>
      <c r="BJ73" s="13" t="n">
        <f aca="false">BJ$69+BJ$57-BJ$58+BJ$65-BJ$66-BJ$67+BJ$68-BJ$71-BJ$72</f>
        <v>160029.062002252</v>
      </c>
      <c r="BK73" s="13" t="n">
        <f aca="false">BK$69+BK$57-BK$58+BK$65-BK$66-BK$67+BK$68-BK$71-BK$72</f>
        <v>157858.610363341</v>
      </c>
      <c r="BL73" s="13" t="n">
        <f aca="false">BL$69+BL$57-BL$58+BL$65-BL$66-BL$67+BL$68-BL$71-BL$72</f>
        <v>157776.048383847</v>
      </c>
      <c r="BM73" s="13" t="n">
        <f aca="false">BM$69+BM$57-BM$58+BM$65-BM$66-BM$67+BM$68-BM$71-BM$72</f>
        <v>157822.295162617</v>
      </c>
      <c r="BN73" s="13" t="n">
        <f aca="false">BN$69+BN$57-BN$58+BN$65-BN$66-BN$67+BN$68-BN$71-BN$72</f>
        <v>173893.501563154</v>
      </c>
      <c r="BO73" s="13" t="n">
        <f aca="false">BO$69+BO$57-BO$58+BO$65-BO$66-BO$67+BO$68-BO$71-BO$72</f>
        <v>322756.536110597</v>
      </c>
      <c r="BP73" s="13" t="n">
        <f aca="false">BP$69+BP$57-BP$58+BP$65-BP$66-BP$67+BP$68-BP$71-BP$72</f>
        <v>470757.342375654</v>
      </c>
      <c r="BQ73" s="13" t="n">
        <f aca="false">BQ$69+BQ$57-BQ$58+BQ$65-BQ$66-BQ$67+BQ$68-BQ$71-BQ$72</f>
        <v>618758.148640712</v>
      </c>
      <c r="BR73" s="13" t="n">
        <f aca="false">BR$69+BR$57-BR$58+BR$65-BR$66-BR$67+BR$68-BR$71-BR$72</f>
        <v>767159.516175372</v>
      </c>
      <c r="BS73" s="13" t="n">
        <f aca="false">BS$69+BS$57-BS$58+BS$65-BS$66-BS$67+BS$68-BS$71-BS$72</f>
        <v>228133.088249086</v>
      </c>
      <c r="BT73" s="13" t="n">
        <f aca="false">BT$69+BT$57-BT$58+BT$65-BT$66-BT$67+BT$68-BT$71-BT$72</f>
        <v>228133.088249086</v>
      </c>
      <c r="BU73" s="13" t="n">
        <f aca="false">BU$69+BU$57-BU$58+BU$65-BU$66-BU$67+BU$68-BU$71-BU$72</f>
        <v>228133.088249086</v>
      </c>
      <c r="BV73" s="13" t="n">
        <f aca="false">BV$69+BV$57-BV$58+BV$65-BV$66-BV$67+BV$68-BV$71-BV$72</f>
        <v>228133.088249086</v>
      </c>
      <c r="BW73" s="13" t="n">
        <f aca="false">BW$69+BW$57-BW$58+BW$65-BW$66-BW$67+BW$68-BW$71-BW$72</f>
        <v>225894.915681831</v>
      </c>
      <c r="BX73" s="13" t="n">
        <f aca="false">BX$69+BX$57-BX$58+BX$65-BX$66-BX$67+BX$68-BX$71-BX$72</f>
        <v>225765.166547498</v>
      </c>
      <c r="BY73" s="13" t="n">
        <f aca="false">BY$69+BY$57-BY$58+BY$65-BY$66-BY$67+BY$68-BY$71-BY$72</f>
        <v>225765.166547498</v>
      </c>
      <c r="BZ73" s="13" t="n">
        <f aca="false">BZ$69+BZ$57-BZ$58+BZ$65-BZ$66-BZ$67+BZ$68-BZ$71-BZ$72</f>
        <v>304817.764460983</v>
      </c>
      <c r="CA73" s="13" t="n">
        <f aca="false">CA$69+CA$57-CA$58+CA$65-CA$66-CA$67+CA$68-CA$71-CA$72</f>
        <v>457748.63970053</v>
      </c>
      <c r="CB73" s="13" t="n">
        <f aca="false">CB$69+CB$57-CB$58+CB$65-CB$66-CB$67+CB$68-CB$71-CB$72</f>
        <v>609797.335359622</v>
      </c>
      <c r="CC73" s="13" t="n">
        <f aca="false">CC$69+CC$57-CC$58+CC$65-CC$66-CC$67+CC$68-CC$71-CC$72</f>
        <v>761846.031018714</v>
      </c>
      <c r="CD73" s="13" t="n">
        <f aca="false">CD$69+CD$57-CD$58+CD$65-CD$66-CD$67+CD$68-CD$71-CD$72</f>
        <v>914299.293560104</v>
      </c>
      <c r="CE73" s="13" t="n">
        <f aca="false">CE$69+CE$57-CE$58+CE$65-CE$66-CE$67+CE$68-CE$71-CE$72</f>
        <v>232982.30046296</v>
      </c>
      <c r="CF73" s="13" t="n">
        <f aca="false">CF$69+CF$57-CF$58+CF$65-CF$66-CF$67+CF$68-CF$71-CF$72</f>
        <v>232982.30046296</v>
      </c>
      <c r="CG73" s="13" t="n">
        <f aca="false">CG$69+CG$57-CG$58+CG$65-CG$66-CG$67+CG$68-CG$71-CG$72</f>
        <v>232982.30046296</v>
      </c>
      <c r="CH73" s="13" t="n">
        <f aca="false">CH$69+CH$57-CH$58+CH$65-CH$66-CH$67+CH$68-CH$71-CH$72</f>
        <v>232982.30046296</v>
      </c>
      <c r="CI73" s="13" t="n">
        <f aca="false">CI$69+CI$57-CI$58+CI$65-CI$66-CI$67+CI$68-CI$71-CI$72</f>
        <v>230721.746170034</v>
      </c>
      <c r="CJ73" s="13" t="n">
        <f aca="false">CJ$69+CJ$57-CJ$58+CJ$65-CJ$66-CJ$67+CJ$68-CJ$71-CJ$72</f>
        <v>230590.699544357</v>
      </c>
      <c r="CK73" s="13" t="n">
        <f aca="false">CK$69+CK$57-CK$58+CK$65-CK$66-CK$67+CK$68-CK$71-CK$72</f>
        <v>230590.699544357</v>
      </c>
      <c r="CL73" s="13" t="n">
        <f aca="false">CL$69+CL$57-CL$58+CL$65-CL$66-CL$67+CL$68-CL$71-CL$72</f>
        <v>385209.734714917</v>
      </c>
      <c r="CM73" s="13" t="n">
        <f aca="false">CM$69+CM$57-CM$58+CM$65-CM$66-CM$67+CM$68-CM$71-CM$72</f>
        <v>542237.637756734</v>
      </c>
      <c r="CN73" s="13" t="n">
        <f aca="false">CN$69+CN$57-CN$58+CN$65-CN$66-CN$67+CN$68-CN$71-CN$72</f>
        <v>698362.85515354</v>
      </c>
      <c r="CO73" s="13" t="n">
        <f aca="false">CO$69+CO$57-CO$58+CO$65-CO$66-CO$67+CO$68-CO$71-CO$72</f>
        <v>854488.072550346</v>
      </c>
      <c r="CP73" s="13" t="n">
        <f aca="false">CP$69+CP$57-CP$58+CP$65-CP$66-CP$67+CP$68-CP$71-CP$72</f>
        <v>1011021.90249827</v>
      </c>
      <c r="CQ73" s="13" t="n">
        <f aca="false">CQ$69+CQ$57-CQ$58+CQ$65-CQ$66-CQ$67+CQ$68-CQ$71-CQ$72</f>
        <v>237868.158248713</v>
      </c>
      <c r="CR73" s="13" t="n">
        <f aca="false">CR$69+CR$57-CR$58+CR$65-CR$66-CR$67+CR$68-CR$71-CR$72</f>
        <v>237868.158248713</v>
      </c>
      <c r="CS73" s="13" t="n">
        <f aca="false">CS$69+CS$57-CS$58+CS$65-CS$66-CS$67+CS$68-CS$71-CS$72</f>
        <v>237868.158248713</v>
      </c>
      <c r="CT73" s="13" t="n">
        <f aca="false">CT$69+CT$57-CT$58+CT$65-CT$66-CT$67+CT$68-CT$71-CT$72</f>
        <v>237868.158248713</v>
      </c>
      <c r="CU73" s="13" t="n">
        <f aca="false">CU$69+CU$57-CU$58+CU$65-CU$66-CU$67+CU$68-CU$71-CU$72</f>
        <v>235584.998412858</v>
      </c>
      <c r="CV73" s="13" t="n">
        <f aca="false">CV$69+CV$57-CV$58+CV$65-CV$66-CV$67+CV$68-CV$71-CV$72</f>
        <v>235452.641320924</v>
      </c>
      <c r="CW73" s="13" t="n">
        <f aca="false">CW$69+CW$57-CW$58+CW$65-CW$66-CW$67+CW$68-CW$71-CW$72</f>
        <v>304414.267493589</v>
      </c>
      <c r="CX73" s="13" t="n">
        <f aca="false">CX$69+CX$57-CX$58+CX$65-CX$66-CX$67+CX$68-CX$71-CX$72</f>
        <v>465581.147020578</v>
      </c>
      <c r="CY73" s="13" t="n">
        <f aca="false">CY$69+CY$57-CY$58+CY$65-CY$66-CY$67+CY$68-CY$71-CY$72</f>
        <v>626735.196510327</v>
      </c>
      <c r="CZ73" s="13" t="n">
        <f aca="false">CZ$69+CZ$57-CZ$58+CZ$65-CZ$66-CZ$67+CZ$68-CZ$71-CZ$72</f>
        <v>786965.483318757</v>
      </c>
      <c r="DA73" s="13" t="n">
        <f aca="false">DA$69+DA$57-DA$58+DA$65-DA$66-DA$67+DA$68-DA$71-DA$72</f>
        <v>947195.770127187</v>
      </c>
      <c r="DB73" s="13" t="n">
        <f aca="false">DB$69+DB$57-DB$58+DB$65-DB$66-DB$67+DB$68-DB$71-DB$72</f>
        <v>1107838.75561225</v>
      </c>
      <c r="DC73" s="13" t="n">
        <f aca="false">DC$69+DC$57-DC$58+DC$65-DC$66-DC$67+DC$68-DC$71-DC$72</f>
        <v>242790.657068856</v>
      </c>
      <c r="DD73" s="13" t="n">
        <f aca="false">DD$69+DD$57-DD$58+DD$65-DD$66-DD$67+DD$68-DD$71-DD$72</f>
        <v>242790.657068856</v>
      </c>
      <c r="DE73" s="13" t="n">
        <f aca="false">DE$69+DE$57-DE$58+DE$65-DE$66-DE$67+DE$68-DE$71-DE$72</f>
        <v>242790.657068856</v>
      </c>
      <c r="DF73" s="13" t="n">
        <f aca="false">DF$69+DF$57-DF$58+DF$65-DF$66-DF$67+DF$68-DF$71-DF$72</f>
        <v>242790.657068856</v>
      </c>
      <c r="DG73" s="13" t="n">
        <f aca="false">DG$69+DG$57-DG$58+DG$65-DG$66-DG$67+DG$68-DG$71-DG$72</f>
        <v>240484.665634642</v>
      </c>
      <c r="DH73" s="13" t="n">
        <f aca="false">DH$69+DH$57-DH$58+DH$65-DH$66-DH$67+DH$68-DH$71-DH$72</f>
        <v>240350.984971789</v>
      </c>
      <c r="DI73" s="13" t="n">
        <f aca="false">DI$69+DI$57-DI$58+DI$65-DI$66-DI$67+DI$68-DI$71-DI$72</f>
        <v>380605.344231188</v>
      </c>
      <c r="DJ73" s="13" t="n">
        <f aca="false">DJ$69+DJ$57-DJ$58+DJ$65-DJ$66-DJ$67+DJ$68-DJ$71-DJ$72</f>
        <v>545927.709791102</v>
      </c>
      <c r="DK73" s="13" t="n">
        <f aca="false">DK$69+DK$57-DK$58+DK$65-DK$66-DK$67+DK$68-DK$71-DK$72</f>
        <v>711236.944415233</v>
      </c>
      <c r="DL73" s="13" t="n">
        <f aca="false">DL$69+DL$57-DL$58+DL$65-DL$66-DL$67+DL$68-DL$71-DL$72</f>
        <v>875600.751662932</v>
      </c>
      <c r="DM73" s="13" t="n">
        <f aca="false">DM$69+DM$57-DM$58+DM$65-DM$66-DM$67+DM$68-DM$71-DM$72</f>
        <v>1039964.55891063</v>
      </c>
      <c r="DN73" s="13" t="n">
        <f aca="false">DN$69+DN$57-DN$58+DN$65-DN$66-DN$67+DN$68-DN$71-DN$72</f>
        <v>1204745.19182173</v>
      </c>
      <c r="DO73" s="13" t="n">
        <f aca="false">DO$69+DO$57-DO$58+DO$65-DO$66-DO$67+DO$68-DO$71-DO$72</f>
        <v>247749.781210729</v>
      </c>
      <c r="DP73" s="13" t="n">
        <f aca="false">DP$69+DP$57-DP$58+DP$65-DP$66-DP$67+DP$68-DP$71-DP$72</f>
        <v>247749.781210729</v>
      </c>
      <c r="DQ73" s="13" t="n">
        <f aca="false">DQ$69+DQ$57-DQ$58+DQ$65-DQ$66-DQ$67+DQ$68-DQ$71-DQ$72</f>
        <v>247749.781210729</v>
      </c>
      <c r="DR73" s="13" t="n">
        <f aca="false">DR$69+DR$57-DR$58+DR$65-DR$66-DR$67+DR$68-DR$71-DR$72</f>
        <v>388715.19330814</v>
      </c>
      <c r="DS73" s="13" t="n">
        <f aca="false">DS$69+DS$57-DS$58+DS$65-DS$66-DS$67+DS$68-DS$71-DS$72</f>
        <v>697960.712106712</v>
      </c>
      <c r="DT73" s="13" t="n">
        <f aca="false">DT$69+DT$57-DT$58+DT$65-DT$66-DT$67+DT$68-DT$71-DT$72</f>
        <v>1323557.60284859</v>
      </c>
      <c r="DU73" s="13" t="n">
        <f aca="false">DU$69+DU$57-DU$58+DU$65-DU$66-DU$67+DU$68-DU$71-DU$72</f>
        <v>1949154.49359047</v>
      </c>
      <c r="DV73" s="13" t="n">
        <f aca="false">DV$69+DV$57-DV$58+DV$65-DV$66-DV$67+DV$68-DV$71-DV$72</f>
        <v>2574874.46451807</v>
      </c>
      <c r="DW73" s="13" t="n">
        <f aca="false">DW$69+DW$57-DW$58+DW$65-DW$66-DW$67+DW$68-DW$71-DW$72</f>
        <v>2574874.46451807</v>
      </c>
      <c r="DX73" s="13" t="n">
        <f aca="false">DX$69+DX$57-DX$58+DX$65-DX$66-DX$67+DX$68-DX$71-DX$72</f>
        <v>2574874.46451807</v>
      </c>
      <c r="DY73" s="13" t="n">
        <f aca="false">DY$69+DY$57-DY$58+DY$65-DY$66-DY$67+DY$68-DY$71-DY$72</f>
        <v>2574874.46451807</v>
      </c>
      <c r="DZ73" s="13" t="n">
        <f aca="false">DZ$69+DZ$57-DZ$58+DZ$65-DZ$66-DZ$67+DZ$68-DZ$71-DZ$72</f>
        <v>2574874.46451807</v>
      </c>
      <c r="EA73" s="13" t="n">
        <f aca="false">EA$69+EA$57-EA$58+EA$65-EA$66-EA$67+EA$68-EA$71-EA$72</f>
        <v>2574874.46451807</v>
      </c>
      <c r="EB73" s="13" t="n">
        <f aca="false">EB$69+EB$57-EB$58+EB$65-EB$66-EB$67+EB$68-EB$71-EB$72</f>
        <v>2574874.46451807</v>
      </c>
      <c r="EC73" s="13" t="n">
        <f aca="false">EC$69+EC$57-EC$58+EC$65-EC$66-EC$67+EC$68-EC$71-EC$72</f>
        <v>2574874.46451807</v>
      </c>
      <c r="ED73" s="13" t="n">
        <f aca="false">ED$69+ED$57-ED$58+ED$65-ED$66-ED$67+ED$68-ED$71-ED$72</f>
        <v>2574874.46451807</v>
      </c>
      <c r="EE73" s="13" t="n">
        <f aca="false">EE$69+EE$57-EE$58+EE$65-EE$66-EE$67+EE$68-EE$71-EE$72</f>
        <v>2574874.46451807</v>
      </c>
      <c r="EF73" s="13" t="n">
        <f aca="false">EF$69+EF$57-EF$58+EF$65-EF$66-EF$67+EF$68-EF$71-EF$72</f>
        <v>2574874.46451807</v>
      </c>
      <c r="EG73" s="13" t="n">
        <f aca="false">EG$69+EG$57-EG$58+EG$65-EG$66-EG$67+EG$68-EG$71-EG$72</f>
        <v>2574874.46451807</v>
      </c>
      <c r="EH73" s="13" t="n">
        <f aca="false">EH$69+EH$57-EH$58+EH$65-EH$66-EH$67+EH$68-EH$71-EH$72</f>
        <v>2574874.46451807</v>
      </c>
      <c r="EI73" s="13" t="n">
        <f aca="false">EI$69+EI$57-EI$58+EI$65-EI$66-EI$67+EI$68-EI$71-EI$72</f>
        <v>2574874.46451807</v>
      </c>
      <c r="EJ73" s="13" t="n">
        <f aca="false">EJ$69+EJ$57-EJ$58+EJ$65-EJ$66-EJ$67+EJ$68-EJ$71-EJ$72</f>
        <v>2574874.46451807</v>
      </c>
      <c r="EK73" s="13" t="n">
        <f aca="false">EK$69+EK$57-EK$58+EK$65-EK$66-EK$67+EK$68-EK$71-EK$72</f>
        <v>2574874.46451807</v>
      </c>
      <c r="EL73" s="13" t="n">
        <f aca="false">EL$69+EL$57-EL$58+EL$65-EL$66-EL$67+EL$68-EL$71-EL$72</f>
        <v>2574874.46451807</v>
      </c>
      <c r="EM73" s="13" t="n">
        <f aca="false">EM$69+EM$57-EM$58+EM$65-EM$66-EM$67+EM$68-EM$71-EM$72</f>
        <v>2574874.46451807</v>
      </c>
      <c r="EN73" s="13" t="n">
        <f aca="false">EN$69+EN$57-EN$58+EN$65-EN$66-EN$67+EN$68-EN$71-EN$72</f>
        <v>2574874.46451807</v>
      </c>
      <c r="EO73" s="13" t="n">
        <f aca="false">EO$69+EO$57-EO$58+EO$65-EO$66-EO$67+EO$68-EO$71-EO$72</f>
        <v>2574874.46451807</v>
      </c>
      <c r="EP73" s="13" t="n">
        <f aca="false">EP$69+EP$57-EP$58+EP$65-EP$66-EP$67+EP$68-EP$71-EP$72</f>
        <v>2574874.46451807</v>
      </c>
      <c r="EQ73" s="13" t="n">
        <f aca="false">EQ$69+EQ$57-EQ$58+EQ$65-EQ$66-EQ$67+EQ$68-EQ$71-EQ$72</f>
        <v>2574874.46451807</v>
      </c>
      <c r="ER73" s="13" t="n">
        <f aca="false">ER$69+ER$57-ER$58+ER$65-ER$66-ER$67+ER$68-ER$71-ER$72</f>
        <v>2574874.46451807</v>
      </c>
      <c r="ES73" s="13" t="n">
        <f aca="false">ES$69+ES$57-ES$58+ES$65-ES$66-ES$67+ES$68-ES$71-ES$72</f>
        <v>2574874.46451807</v>
      </c>
      <c r="ET73" s="13" t="n">
        <f aca="false">ET$69+ET$57-ET$58+ET$65-ET$66-ET$67+ET$68-ET$71-ET$72</f>
        <v>2574874.46451807</v>
      </c>
      <c r="EU73" s="13" t="n">
        <f aca="false">EU$69+EU$57-EU$58+EU$65-EU$66-EU$67+EU$68-EU$71-EU$72</f>
        <v>2574874.46451807</v>
      </c>
      <c r="EV73" s="13" t="n">
        <f aca="false">EV$69+EV$57-EV$58+EV$65-EV$66-EV$67+EV$68-EV$71-EV$72</f>
        <v>2574874.46451807</v>
      </c>
      <c r="EW73" s="13" t="n">
        <f aca="false">EW$69+EW$57-EW$58+EW$65-EW$66-EW$67+EW$68-EW$71-EW$72</f>
        <v>2574874.46451807</v>
      </c>
      <c r="EX73" s="13" t="n">
        <f aca="false">EX$69+EX$57-EX$58+EX$65-EX$66-EX$67+EX$68-EX$71-EX$72</f>
        <v>2574874.46451807</v>
      </c>
      <c r="EY73" s="13" t="n">
        <f aca="false">EY$69+EY$57-EY$58+EY$65-EY$66-EY$67+EY$68-EY$71-EY$72</f>
        <v>2574874.46451807</v>
      </c>
      <c r="EZ73" s="13" t="n">
        <f aca="false">EZ$69+EZ$57-EZ$58+EZ$65-EZ$66-EZ$67+EZ$68-EZ$71-EZ$72</f>
        <v>2574874.46451807</v>
      </c>
      <c r="FA73" s="13" t="n">
        <f aca="false">FA$69+FA$57-FA$58+FA$65-FA$66-FA$67+FA$68-FA$71-FA$72</f>
        <v>2574874.46451807</v>
      </c>
      <c r="FB73" s="13" t="n">
        <f aca="false">FB$69+FB$57-FB$58+FB$65-FB$66-FB$67+FB$68-FB$71-FB$72</f>
        <v>2574874.46451807</v>
      </c>
      <c r="FC73" s="13" t="n">
        <f aca="false">FC$69+FC$57-FC$58+FC$65-FC$66-FC$67+FC$68-FC$71-FC$72</f>
        <v>2574874.46451807</v>
      </c>
      <c r="FD73" s="13" t="n">
        <f aca="false">FD$69+FD$57-FD$58+FD$65-FD$66-FD$67+FD$68-FD$71-FD$72</f>
        <v>2574874.46451807</v>
      </c>
      <c r="FE73" s="13" t="n">
        <f aca="false">FE$69+FE$57-FE$58+FE$65-FE$66-FE$67+FE$68-FE$71-FE$72</f>
        <v>2574874.46451807</v>
      </c>
      <c r="FF73" s="13" t="n">
        <f aca="false">FF$69+FF$57-FF$58+FF$65-FF$66-FF$67+FF$68-FF$71-FF$72</f>
        <v>2574874.46451807</v>
      </c>
    </row>
    <row r="74" customFormat="false" ht="15" hidden="false" customHeight="false" outlineLevel="0" collapsed="false">
      <c r="A74" s="2" t="s">
        <v>1557</v>
      </c>
      <c r="B74" s="8" t="s">
        <v>1558</v>
      </c>
      <c r="C74" s="8" t="s">
        <v>255</v>
      </c>
      <c r="E74" s="65" t="n">
        <f aca="false">MAX($F74:$FF74)</f>
        <v>75778.9056059931</v>
      </c>
      <c r="F74" s="13" t="n">
        <f aca="false">(F$14*p_CajaMinDias/p_DiasMes+p_CajaMinFija)*Calendario!F$13</f>
        <v>0</v>
      </c>
      <c r="G74" s="13" t="n">
        <f aca="false">(G$14*p_CajaMinDias/p_DiasMes+p_CajaMinFija)*Calendario!G$13</f>
        <v>39863.0136986301</v>
      </c>
      <c r="H74" s="13" t="n">
        <f aca="false">(H$14*p_CajaMinDias/p_DiasMes+p_CajaMinFija)*Calendario!H$13</f>
        <v>39863.0136986301</v>
      </c>
      <c r="I74" s="13" t="n">
        <f aca="false">(I$14*p_CajaMinDias/p_DiasMes+p_CajaMinFija)*Calendario!I$13</f>
        <v>39863.0136986301</v>
      </c>
      <c r="J74" s="13" t="n">
        <f aca="false">(J$14*p_CajaMinDias/p_DiasMes+p_CajaMinFija)*Calendario!J$13</f>
        <v>39863.0136986301</v>
      </c>
      <c r="K74" s="13" t="n">
        <f aca="false">(K$14*p_CajaMinDias/p_DiasMes+p_CajaMinFija)*Calendario!K$13</f>
        <v>39863.0136986301</v>
      </c>
      <c r="L74" s="13" t="n">
        <f aca="false">(L$14*p_CajaMinDias/p_DiasMes+p_CajaMinFija)*Calendario!L$13</f>
        <v>39863.0136986301</v>
      </c>
      <c r="M74" s="13" t="n">
        <f aca="false">(M$14*p_CajaMinDias/p_DiasMes+p_CajaMinFija)*Calendario!M$13</f>
        <v>39863.0136986301</v>
      </c>
      <c r="N74" s="13" t="n">
        <f aca="false">(N$14*p_CajaMinDias/p_DiasMes+p_CajaMinFija)*Calendario!N$13</f>
        <v>39863.0136986301</v>
      </c>
      <c r="O74" s="13" t="n">
        <f aca="false">(O$14*p_CajaMinDias/p_DiasMes+p_CajaMinFija)*Calendario!O$13</f>
        <v>39863.0136986301</v>
      </c>
      <c r="P74" s="13" t="n">
        <f aca="false">(P$14*p_CajaMinDias/p_DiasMes+p_CajaMinFija)*Calendario!P$13</f>
        <v>39863.0136986301</v>
      </c>
      <c r="Q74" s="13" t="n">
        <f aca="false">(Q$14*p_CajaMinDias/p_DiasMes+p_CajaMinFija)*Calendario!Q$13</f>
        <v>39863.0136986301</v>
      </c>
      <c r="R74" s="13" t="n">
        <f aca="false">(R$14*p_CajaMinDias/p_DiasMes+p_CajaMinFija)*Calendario!R$13</f>
        <v>39863.0136986301</v>
      </c>
      <c r="S74" s="13" t="n">
        <f aca="false">(S$14*p_CajaMinDias/p_DiasMes+p_CajaMinFija)*Calendario!S$13</f>
        <v>50804.3835616438</v>
      </c>
      <c r="T74" s="13" t="n">
        <f aca="false">(T$14*p_CajaMinDias/p_DiasMes+p_CajaMinFija)*Calendario!T$13</f>
        <v>50804.3835616438</v>
      </c>
      <c r="U74" s="13" t="n">
        <f aca="false">(U$14*p_CajaMinDias/p_DiasMes+p_CajaMinFija)*Calendario!U$13</f>
        <v>50804.3835616438</v>
      </c>
      <c r="V74" s="13" t="n">
        <f aca="false">(V$14*p_CajaMinDias/p_DiasMes+p_CajaMinFija)*Calendario!V$13</f>
        <v>50804.3835616438</v>
      </c>
      <c r="W74" s="13" t="n">
        <f aca="false">(W$14*p_CajaMinDias/p_DiasMes+p_CajaMinFija)*Calendario!W$13</f>
        <v>50804.3835616438</v>
      </c>
      <c r="X74" s="13" t="n">
        <f aca="false">(X$14*p_CajaMinDias/p_DiasMes+p_CajaMinFija)*Calendario!X$13</f>
        <v>50804.3835616438</v>
      </c>
      <c r="Y74" s="13" t="n">
        <f aca="false">(Y$14*p_CajaMinDias/p_DiasMes+p_CajaMinFija)*Calendario!Y$13</f>
        <v>50804.3835616438</v>
      </c>
      <c r="Z74" s="13" t="n">
        <f aca="false">(Z$14*p_CajaMinDias/p_DiasMes+p_CajaMinFija)*Calendario!Z$13</f>
        <v>50804.3835616438</v>
      </c>
      <c r="AA74" s="13" t="n">
        <f aca="false">(AA$14*p_CajaMinDias/p_DiasMes+p_CajaMinFija)*Calendario!AA$13</f>
        <v>50804.3835616438</v>
      </c>
      <c r="AB74" s="13" t="n">
        <f aca="false">(AB$14*p_CajaMinDias/p_DiasMes+p_CajaMinFija)*Calendario!AB$13</f>
        <v>50804.3835616438</v>
      </c>
      <c r="AC74" s="13" t="n">
        <f aca="false">(AC$14*p_CajaMinDias/p_DiasMes+p_CajaMinFija)*Calendario!AC$13</f>
        <v>50804.3835616438</v>
      </c>
      <c r="AD74" s="13" t="n">
        <f aca="false">(AD$14*p_CajaMinDias/p_DiasMes+p_CajaMinFija)*Calendario!AD$13</f>
        <v>50804.3835616438</v>
      </c>
      <c r="AE74" s="13" t="n">
        <f aca="false">(AE$14*p_CajaMinDias/p_DiasMes+p_CajaMinFija)*Calendario!AE$13</f>
        <v>61960.5945205479</v>
      </c>
      <c r="AF74" s="13" t="n">
        <f aca="false">(AF$14*p_CajaMinDias/p_DiasMes+p_CajaMinFija)*Calendario!AF$13</f>
        <v>61960.5945205479</v>
      </c>
      <c r="AG74" s="13" t="n">
        <f aca="false">(AG$14*p_CajaMinDias/p_DiasMes+p_CajaMinFija)*Calendario!AG$13</f>
        <v>61960.5945205479</v>
      </c>
      <c r="AH74" s="13" t="n">
        <f aca="false">(AH$14*p_CajaMinDias/p_DiasMes+p_CajaMinFija)*Calendario!AH$13</f>
        <v>61960.5945205479</v>
      </c>
      <c r="AI74" s="13" t="n">
        <f aca="false">(AI$14*p_CajaMinDias/p_DiasMes+p_CajaMinFija)*Calendario!AI$13</f>
        <v>61960.5945205479</v>
      </c>
      <c r="AJ74" s="13" t="n">
        <f aca="false">(AJ$14*p_CajaMinDias/p_DiasMes+p_CajaMinFija)*Calendario!AJ$13</f>
        <v>61960.5945205479</v>
      </c>
      <c r="AK74" s="13" t="n">
        <f aca="false">(AK$14*p_CajaMinDias/p_DiasMes+p_CajaMinFija)*Calendario!AK$13</f>
        <v>61960.5945205479</v>
      </c>
      <c r="AL74" s="13" t="n">
        <f aca="false">(AL$14*p_CajaMinDias/p_DiasMes+p_CajaMinFija)*Calendario!AL$13</f>
        <v>61960.5945205479</v>
      </c>
      <c r="AM74" s="13" t="n">
        <f aca="false">(AM$14*p_CajaMinDias/p_DiasMes+p_CajaMinFija)*Calendario!AM$13</f>
        <v>61960.5945205479</v>
      </c>
      <c r="AN74" s="13" t="n">
        <f aca="false">(AN$14*p_CajaMinDias/p_DiasMes+p_CajaMinFija)*Calendario!AN$13</f>
        <v>61960.5945205479</v>
      </c>
      <c r="AO74" s="13" t="n">
        <f aca="false">(AO$14*p_CajaMinDias/p_DiasMes+p_CajaMinFija)*Calendario!AO$13</f>
        <v>61960.5945205479</v>
      </c>
      <c r="AP74" s="13" t="n">
        <f aca="false">(AP$14*p_CajaMinDias/p_DiasMes+p_CajaMinFija)*Calendario!AP$13</f>
        <v>61960.5945205479</v>
      </c>
      <c r="AQ74" s="13" t="n">
        <f aca="false">(AQ$14*p_CajaMinDias/p_DiasMes+p_CajaMinFija)*Calendario!AQ$13</f>
        <v>71387.1569589041</v>
      </c>
      <c r="AR74" s="13" t="n">
        <f aca="false">(AR$14*p_CajaMinDias/p_DiasMes+p_CajaMinFija)*Calendario!AR$13</f>
        <v>71387.1569589041</v>
      </c>
      <c r="AS74" s="13" t="n">
        <f aca="false">(AS$14*p_CajaMinDias/p_DiasMes+p_CajaMinFija)*Calendario!AS$13</f>
        <v>71387.1569589041</v>
      </c>
      <c r="AT74" s="13" t="n">
        <f aca="false">(AT$14*p_CajaMinDias/p_DiasMes+p_CajaMinFija)*Calendario!AT$13</f>
        <v>71387.1569589041</v>
      </c>
      <c r="AU74" s="13" t="n">
        <f aca="false">(AU$14*p_CajaMinDias/p_DiasMes+p_CajaMinFija)*Calendario!AU$13</f>
        <v>71387.1569589041</v>
      </c>
      <c r="AV74" s="13" t="n">
        <f aca="false">(AV$14*p_CajaMinDias/p_DiasMes+p_CajaMinFija)*Calendario!AV$13</f>
        <v>71387.1569589041</v>
      </c>
      <c r="AW74" s="13" t="n">
        <f aca="false">(AW$14*p_CajaMinDias/p_DiasMes+p_CajaMinFija)*Calendario!AW$13</f>
        <v>71387.1569589041</v>
      </c>
      <c r="AX74" s="13" t="n">
        <f aca="false">(AX$14*p_CajaMinDias/p_DiasMes+p_CajaMinFija)*Calendario!AX$13</f>
        <v>71387.1569589041</v>
      </c>
      <c r="AY74" s="13" t="n">
        <f aca="false">(AY$14*p_CajaMinDias/p_DiasMes+p_CajaMinFija)*Calendario!AY$13</f>
        <v>71387.1569589041</v>
      </c>
      <c r="AZ74" s="13" t="n">
        <f aca="false">(AZ$14*p_CajaMinDias/p_DiasMes+p_CajaMinFija)*Calendario!AZ$13</f>
        <v>71387.1569589041</v>
      </c>
      <c r="BA74" s="13" t="n">
        <f aca="false">(BA$14*p_CajaMinDias/p_DiasMes+p_CajaMinFija)*Calendario!BA$13</f>
        <v>71387.1569589041</v>
      </c>
      <c r="BB74" s="13" t="n">
        <f aca="false">(BB$14*p_CajaMinDias/p_DiasMes+p_CajaMinFija)*Calendario!BB$13</f>
        <v>71387.1569589041</v>
      </c>
      <c r="BC74" s="13" t="n">
        <f aca="false">(BC$14*p_CajaMinDias/p_DiasMes+p_CajaMinFija)*Calendario!BC$13</f>
        <v>72101.0285284932</v>
      </c>
      <c r="BD74" s="13" t="n">
        <f aca="false">(BD$14*p_CajaMinDias/p_DiasMes+p_CajaMinFija)*Calendario!BD$13</f>
        <v>72101.0285284932</v>
      </c>
      <c r="BE74" s="13" t="n">
        <f aca="false">(BE$14*p_CajaMinDias/p_DiasMes+p_CajaMinFija)*Calendario!BE$13</f>
        <v>72101.0285284932</v>
      </c>
      <c r="BF74" s="13" t="n">
        <f aca="false">(BF$14*p_CajaMinDias/p_DiasMes+p_CajaMinFija)*Calendario!BF$13</f>
        <v>72101.0285284932</v>
      </c>
      <c r="BG74" s="13" t="n">
        <f aca="false">(BG$14*p_CajaMinDias/p_DiasMes+p_CajaMinFija)*Calendario!BG$13</f>
        <v>72101.0285284932</v>
      </c>
      <c r="BH74" s="13" t="n">
        <f aca="false">(BH$14*p_CajaMinDias/p_DiasMes+p_CajaMinFija)*Calendario!BH$13</f>
        <v>72101.0285284932</v>
      </c>
      <c r="BI74" s="13" t="n">
        <f aca="false">(BI$14*p_CajaMinDias/p_DiasMes+p_CajaMinFija)*Calendario!BI$13</f>
        <v>72101.0285284932</v>
      </c>
      <c r="BJ74" s="13" t="n">
        <f aca="false">(BJ$14*p_CajaMinDias/p_DiasMes+p_CajaMinFija)*Calendario!BJ$13</f>
        <v>72101.0285284932</v>
      </c>
      <c r="BK74" s="13" t="n">
        <f aca="false">(BK$14*p_CajaMinDias/p_DiasMes+p_CajaMinFija)*Calendario!BK$13</f>
        <v>72101.0285284932</v>
      </c>
      <c r="BL74" s="13" t="n">
        <f aca="false">(BL$14*p_CajaMinDias/p_DiasMes+p_CajaMinFija)*Calendario!BL$13</f>
        <v>72101.0285284932</v>
      </c>
      <c r="BM74" s="13" t="n">
        <f aca="false">(BM$14*p_CajaMinDias/p_DiasMes+p_CajaMinFija)*Calendario!BM$13</f>
        <v>72101.0285284932</v>
      </c>
      <c r="BN74" s="13" t="n">
        <f aca="false">(BN$14*p_CajaMinDias/p_DiasMes+p_CajaMinFija)*Calendario!BN$13</f>
        <v>72101.0285284932</v>
      </c>
      <c r="BO74" s="13" t="n">
        <f aca="false">(BO$14*p_CajaMinDias/p_DiasMes+p_CajaMinFija)*Calendario!BO$13</f>
        <v>72822.0388137781</v>
      </c>
      <c r="BP74" s="13" t="n">
        <f aca="false">(BP$14*p_CajaMinDias/p_DiasMes+p_CajaMinFija)*Calendario!BP$13</f>
        <v>72822.0388137781</v>
      </c>
      <c r="BQ74" s="13" t="n">
        <f aca="false">(BQ$14*p_CajaMinDias/p_DiasMes+p_CajaMinFija)*Calendario!BQ$13</f>
        <v>72822.0388137781</v>
      </c>
      <c r="BR74" s="13" t="n">
        <f aca="false">(BR$14*p_CajaMinDias/p_DiasMes+p_CajaMinFija)*Calendario!BR$13</f>
        <v>72822.0388137781</v>
      </c>
      <c r="BS74" s="13" t="n">
        <f aca="false">(BS$14*p_CajaMinDias/p_DiasMes+p_CajaMinFija)*Calendario!BS$13</f>
        <v>72822.0388137781</v>
      </c>
      <c r="BT74" s="13" t="n">
        <f aca="false">(BT$14*p_CajaMinDias/p_DiasMes+p_CajaMinFija)*Calendario!BT$13</f>
        <v>72822.0388137781</v>
      </c>
      <c r="BU74" s="13" t="n">
        <f aca="false">(BU$14*p_CajaMinDias/p_DiasMes+p_CajaMinFija)*Calendario!BU$13</f>
        <v>72822.0388137781</v>
      </c>
      <c r="BV74" s="13" t="n">
        <f aca="false">(BV$14*p_CajaMinDias/p_DiasMes+p_CajaMinFija)*Calendario!BV$13</f>
        <v>72822.0388137781</v>
      </c>
      <c r="BW74" s="13" t="n">
        <f aca="false">(BW$14*p_CajaMinDias/p_DiasMes+p_CajaMinFija)*Calendario!BW$13</f>
        <v>72822.0388137781</v>
      </c>
      <c r="BX74" s="13" t="n">
        <f aca="false">(BX$14*p_CajaMinDias/p_DiasMes+p_CajaMinFija)*Calendario!BX$13</f>
        <v>72822.0388137781</v>
      </c>
      <c r="BY74" s="13" t="n">
        <f aca="false">(BY$14*p_CajaMinDias/p_DiasMes+p_CajaMinFija)*Calendario!BY$13</f>
        <v>72822.0388137781</v>
      </c>
      <c r="BZ74" s="13" t="n">
        <f aca="false">(BZ$14*p_CajaMinDias/p_DiasMes+p_CajaMinFija)*Calendario!BZ$13</f>
        <v>72822.0388137781</v>
      </c>
      <c r="CA74" s="13" t="n">
        <f aca="false">(CA$14*p_CajaMinDias/p_DiasMes+p_CajaMinFija)*Calendario!CA$13</f>
        <v>73550.2592019159</v>
      </c>
      <c r="CB74" s="13" t="n">
        <f aca="false">(CB$14*p_CajaMinDias/p_DiasMes+p_CajaMinFija)*Calendario!CB$13</f>
        <v>73550.2592019159</v>
      </c>
      <c r="CC74" s="13" t="n">
        <f aca="false">(CC$14*p_CajaMinDias/p_DiasMes+p_CajaMinFija)*Calendario!CC$13</f>
        <v>73550.2592019159</v>
      </c>
      <c r="CD74" s="13" t="n">
        <f aca="false">(CD$14*p_CajaMinDias/p_DiasMes+p_CajaMinFija)*Calendario!CD$13</f>
        <v>73550.2592019159</v>
      </c>
      <c r="CE74" s="13" t="n">
        <f aca="false">(CE$14*p_CajaMinDias/p_DiasMes+p_CajaMinFija)*Calendario!CE$13</f>
        <v>73550.2592019159</v>
      </c>
      <c r="CF74" s="13" t="n">
        <f aca="false">(CF$14*p_CajaMinDias/p_DiasMes+p_CajaMinFija)*Calendario!CF$13</f>
        <v>73550.2592019159</v>
      </c>
      <c r="CG74" s="13" t="n">
        <f aca="false">(CG$14*p_CajaMinDias/p_DiasMes+p_CajaMinFija)*Calendario!CG$13</f>
        <v>73550.2592019159</v>
      </c>
      <c r="CH74" s="13" t="n">
        <f aca="false">(CH$14*p_CajaMinDias/p_DiasMes+p_CajaMinFija)*Calendario!CH$13</f>
        <v>73550.2592019159</v>
      </c>
      <c r="CI74" s="13" t="n">
        <f aca="false">(CI$14*p_CajaMinDias/p_DiasMes+p_CajaMinFija)*Calendario!CI$13</f>
        <v>73550.2592019159</v>
      </c>
      <c r="CJ74" s="13" t="n">
        <f aca="false">(CJ$14*p_CajaMinDias/p_DiasMes+p_CajaMinFija)*Calendario!CJ$13</f>
        <v>73550.2592019159</v>
      </c>
      <c r="CK74" s="13" t="n">
        <f aca="false">(CK$14*p_CajaMinDias/p_DiasMes+p_CajaMinFija)*Calendario!CK$13</f>
        <v>73550.2592019159</v>
      </c>
      <c r="CL74" s="13" t="n">
        <f aca="false">(CL$14*p_CajaMinDias/p_DiasMes+p_CajaMinFija)*Calendario!CL$13</f>
        <v>73550.2592019159</v>
      </c>
      <c r="CM74" s="13" t="n">
        <f aca="false">(CM$14*p_CajaMinDias/p_DiasMes+p_CajaMinFija)*Calendario!CM$13</f>
        <v>74285.761793935</v>
      </c>
      <c r="CN74" s="13" t="n">
        <f aca="false">(CN$14*p_CajaMinDias/p_DiasMes+p_CajaMinFija)*Calendario!CN$13</f>
        <v>74285.761793935</v>
      </c>
      <c r="CO74" s="13" t="n">
        <f aca="false">(CO$14*p_CajaMinDias/p_DiasMes+p_CajaMinFija)*Calendario!CO$13</f>
        <v>74285.761793935</v>
      </c>
      <c r="CP74" s="13" t="n">
        <f aca="false">(CP$14*p_CajaMinDias/p_DiasMes+p_CajaMinFija)*Calendario!CP$13</f>
        <v>74285.761793935</v>
      </c>
      <c r="CQ74" s="13" t="n">
        <f aca="false">(CQ$14*p_CajaMinDias/p_DiasMes+p_CajaMinFija)*Calendario!CQ$13</f>
        <v>74285.761793935</v>
      </c>
      <c r="CR74" s="13" t="n">
        <f aca="false">(CR$14*p_CajaMinDias/p_DiasMes+p_CajaMinFija)*Calendario!CR$13</f>
        <v>74285.761793935</v>
      </c>
      <c r="CS74" s="13" t="n">
        <f aca="false">(CS$14*p_CajaMinDias/p_DiasMes+p_CajaMinFija)*Calendario!CS$13</f>
        <v>74285.761793935</v>
      </c>
      <c r="CT74" s="13" t="n">
        <f aca="false">(CT$14*p_CajaMinDias/p_DiasMes+p_CajaMinFija)*Calendario!CT$13</f>
        <v>74285.761793935</v>
      </c>
      <c r="CU74" s="13" t="n">
        <f aca="false">(CU$14*p_CajaMinDias/p_DiasMes+p_CajaMinFija)*Calendario!CU$13</f>
        <v>74285.761793935</v>
      </c>
      <c r="CV74" s="13" t="n">
        <f aca="false">(CV$14*p_CajaMinDias/p_DiasMes+p_CajaMinFija)*Calendario!CV$13</f>
        <v>74285.761793935</v>
      </c>
      <c r="CW74" s="13" t="n">
        <f aca="false">(CW$14*p_CajaMinDias/p_DiasMes+p_CajaMinFija)*Calendario!CW$13</f>
        <v>74285.761793935</v>
      </c>
      <c r="CX74" s="13" t="n">
        <f aca="false">(CX$14*p_CajaMinDias/p_DiasMes+p_CajaMinFija)*Calendario!CX$13</f>
        <v>74285.761793935</v>
      </c>
      <c r="CY74" s="13" t="n">
        <f aca="false">(CY$14*p_CajaMinDias/p_DiasMes+p_CajaMinFija)*Calendario!CY$13</f>
        <v>75028.6194118744</v>
      </c>
      <c r="CZ74" s="13" t="n">
        <f aca="false">(CZ$14*p_CajaMinDias/p_DiasMes+p_CajaMinFija)*Calendario!CZ$13</f>
        <v>75028.6194118744</v>
      </c>
      <c r="DA74" s="13" t="n">
        <f aca="false">(DA$14*p_CajaMinDias/p_DiasMes+p_CajaMinFija)*Calendario!DA$13</f>
        <v>75028.6194118744</v>
      </c>
      <c r="DB74" s="13" t="n">
        <f aca="false">(DB$14*p_CajaMinDias/p_DiasMes+p_CajaMinFija)*Calendario!DB$13</f>
        <v>75028.6194118744</v>
      </c>
      <c r="DC74" s="13" t="n">
        <f aca="false">(DC$14*p_CajaMinDias/p_DiasMes+p_CajaMinFija)*Calendario!DC$13</f>
        <v>75028.6194118744</v>
      </c>
      <c r="DD74" s="13" t="n">
        <f aca="false">(DD$14*p_CajaMinDias/p_DiasMes+p_CajaMinFija)*Calendario!DD$13</f>
        <v>75028.6194118744</v>
      </c>
      <c r="DE74" s="13" t="n">
        <f aca="false">(DE$14*p_CajaMinDias/p_DiasMes+p_CajaMinFija)*Calendario!DE$13</f>
        <v>75028.6194118744</v>
      </c>
      <c r="DF74" s="13" t="n">
        <f aca="false">(DF$14*p_CajaMinDias/p_DiasMes+p_CajaMinFija)*Calendario!DF$13</f>
        <v>75028.6194118744</v>
      </c>
      <c r="DG74" s="13" t="n">
        <f aca="false">(DG$14*p_CajaMinDias/p_DiasMes+p_CajaMinFija)*Calendario!DG$13</f>
        <v>75028.6194118744</v>
      </c>
      <c r="DH74" s="13" t="n">
        <f aca="false">(DH$14*p_CajaMinDias/p_DiasMes+p_CajaMinFija)*Calendario!DH$13</f>
        <v>75028.6194118744</v>
      </c>
      <c r="DI74" s="13" t="n">
        <f aca="false">(DI$14*p_CajaMinDias/p_DiasMes+p_CajaMinFija)*Calendario!DI$13</f>
        <v>75028.6194118744</v>
      </c>
      <c r="DJ74" s="13" t="n">
        <f aca="false">(DJ$14*p_CajaMinDias/p_DiasMes+p_CajaMinFija)*Calendario!DJ$13</f>
        <v>75028.6194118744</v>
      </c>
      <c r="DK74" s="13" t="n">
        <f aca="false">(DK$14*p_CajaMinDias/p_DiasMes+p_CajaMinFija)*Calendario!DK$13</f>
        <v>75778.9056059931</v>
      </c>
      <c r="DL74" s="13" t="n">
        <f aca="false">(DL$14*p_CajaMinDias/p_DiasMes+p_CajaMinFija)*Calendario!DL$13</f>
        <v>75778.9056059931</v>
      </c>
      <c r="DM74" s="13" t="n">
        <f aca="false">(DM$14*p_CajaMinDias/p_DiasMes+p_CajaMinFija)*Calendario!DM$13</f>
        <v>75778.9056059931</v>
      </c>
      <c r="DN74" s="13" t="n">
        <f aca="false">(DN$14*p_CajaMinDias/p_DiasMes+p_CajaMinFija)*Calendario!DN$13</f>
        <v>75778.9056059931</v>
      </c>
      <c r="DO74" s="13" t="n">
        <f aca="false">(DO$14*p_CajaMinDias/p_DiasMes+p_CajaMinFija)*Calendario!DO$13</f>
        <v>75778.9056059931</v>
      </c>
      <c r="DP74" s="13" t="n">
        <f aca="false">(DP$14*p_CajaMinDias/p_DiasMes+p_CajaMinFija)*Calendario!DP$13</f>
        <v>75778.9056059931</v>
      </c>
      <c r="DQ74" s="13" t="n">
        <f aca="false">(DQ$14*p_CajaMinDias/p_DiasMes+p_CajaMinFija)*Calendario!DQ$13</f>
        <v>75778.9056059931</v>
      </c>
      <c r="DR74" s="13" t="n">
        <f aca="false">(DR$14*p_CajaMinDias/p_DiasMes+p_CajaMinFija)*Calendario!DR$13</f>
        <v>75778.9056059931</v>
      </c>
      <c r="DS74" s="13" t="n">
        <f aca="false">(DS$14*p_CajaMinDias/p_DiasMes+p_CajaMinFija)*Calendario!DS$13</f>
        <v>75778.9056059931</v>
      </c>
      <c r="DT74" s="13" t="n">
        <f aca="false">(DT$14*p_CajaMinDias/p_DiasMes+p_CajaMinFija)*Calendario!DT$13</f>
        <v>75778.9056059931</v>
      </c>
      <c r="DU74" s="13" t="n">
        <f aca="false">(DU$14*p_CajaMinDias/p_DiasMes+p_CajaMinFija)*Calendario!DU$13</f>
        <v>75778.9056059931</v>
      </c>
      <c r="DV74" s="13" t="n">
        <f aca="false">(DV$14*p_CajaMinDias/p_DiasMes+p_CajaMinFija)*Calendario!DV$13</f>
        <v>75778.9056059931</v>
      </c>
      <c r="DW74" s="13" t="n">
        <f aca="false">(DW$14*p_CajaMinDias/p_DiasMes+p_CajaMinFija)*Calendario!DW$13</f>
        <v>0</v>
      </c>
      <c r="DX74" s="13" t="n">
        <f aca="false">(DX$14*p_CajaMinDias/p_DiasMes+p_CajaMinFija)*Calendario!DX$13</f>
        <v>0</v>
      </c>
      <c r="DY74" s="13" t="n">
        <f aca="false">(DY$14*p_CajaMinDias/p_DiasMes+p_CajaMinFija)*Calendario!DY$13</f>
        <v>0</v>
      </c>
      <c r="DZ74" s="13" t="n">
        <f aca="false">(DZ$14*p_CajaMinDias/p_DiasMes+p_CajaMinFija)*Calendario!DZ$13</f>
        <v>0</v>
      </c>
      <c r="EA74" s="13" t="n">
        <f aca="false">(EA$14*p_CajaMinDias/p_DiasMes+p_CajaMinFija)*Calendario!EA$13</f>
        <v>0</v>
      </c>
      <c r="EB74" s="13" t="n">
        <f aca="false">(EB$14*p_CajaMinDias/p_DiasMes+p_CajaMinFija)*Calendario!EB$13</f>
        <v>0</v>
      </c>
      <c r="EC74" s="13" t="n">
        <f aca="false">(EC$14*p_CajaMinDias/p_DiasMes+p_CajaMinFija)*Calendario!EC$13</f>
        <v>0</v>
      </c>
      <c r="ED74" s="13" t="n">
        <f aca="false">(ED$14*p_CajaMinDias/p_DiasMes+p_CajaMinFija)*Calendario!ED$13</f>
        <v>0</v>
      </c>
      <c r="EE74" s="13" t="n">
        <f aca="false">(EE$14*p_CajaMinDias/p_DiasMes+p_CajaMinFija)*Calendario!EE$13</f>
        <v>0</v>
      </c>
      <c r="EF74" s="13" t="n">
        <f aca="false">(EF$14*p_CajaMinDias/p_DiasMes+p_CajaMinFija)*Calendario!EF$13</f>
        <v>0</v>
      </c>
      <c r="EG74" s="13" t="n">
        <f aca="false">(EG$14*p_CajaMinDias/p_DiasMes+p_CajaMinFija)*Calendario!EG$13</f>
        <v>0</v>
      </c>
      <c r="EH74" s="13" t="n">
        <f aca="false">(EH$14*p_CajaMinDias/p_DiasMes+p_CajaMinFija)*Calendario!EH$13</f>
        <v>0</v>
      </c>
      <c r="EI74" s="13" t="n">
        <f aca="false">(EI$14*p_CajaMinDias/p_DiasMes+p_CajaMinFija)*Calendario!EI$13</f>
        <v>0</v>
      </c>
      <c r="EJ74" s="13" t="n">
        <f aca="false">(EJ$14*p_CajaMinDias/p_DiasMes+p_CajaMinFija)*Calendario!EJ$13</f>
        <v>0</v>
      </c>
      <c r="EK74" s="13" t="n">
        <f aca="false">(EK$14*p_CajaMinDias/p_DiasMes+p_CajaMinFija)*Calendario!EK$13</f>
        <v>0</v>
      </c>
      <c r="EL74" s="13" t="n">
        <f aca="false">(EL$14*p_CajaMinDias/p_DiasMes+p_CajaMinFija)*Calendario!EL$13</f>
        <v>0</v>
      </c>
      <c r="EM74" s="13" t="n">
        <f aca="false">(EM$14*p_CajaMinDias/p_DiasMes+p_CajaMinFija)*Calendario!EM$13</f>
        <v>0</v>
      </c>
      <c r="EN74" s="13" t="n">
        <f aca="false">(EN$14*p_CajaMinDias/p_DiasMes+p_CajaMinFija)*Calendario!EN$13</f>
        <v>0</v>
      </c>
      <c r="EO74" s="13" t="n">
        <f aca="false">(EO$14*p_CajaMinDias/p_DiasMes+p_CajaMinFija)*Calendario!EO$13</f>
        <v>0</v>
      </c>
      <c r="EP74" s="13" t="n">
        <f aca="false">(EP$14*p_CajaMinDias/p_DiasMes+p_CajaMinFija)*Calendario!EP$13</f>
        <v>0</v>
      </c>
      <c r="EQ74" s="13" t="n">
        <f aca="false">(EQ$14*p_CajaMinDias/p_DiasMes+p_CajaMinFija)*Calendario!EQ$13</f>
        <v>0</v>
      </c>
      <c r="ER74" s="13" t="n">
        <f aca="false">(ER$14*p_CajaMinDias/p_DiasMes+p_CajaMinFija)*Calendario!ER$13</f>
        <v>0</v>
      </c>
      <c r="ES74" s="13" t="n">
        <f aca="false">(ES$14*p_CajaMinDias/p_DiasMes+p_CajaMinFija)*Calendario!ES$13</f>
        <v>0</v>
      </c>
      <c r="ET74" s="13" t="n">
        <f aca="false">(ET$14*p_CajaMinDias/p_DiasMes+p_CajaMinFija)*Calendario!ET$13</f>
        <v>0</v>
      </c>
      <c r="EU74" s="13" t="n">
        <f aca="false">(EU$14*p_CajaMinDias/p_DiasMes+p_CajaMinFija)*Calendario!EU$13</f>
        <v>0</v>
      </c>
      <c r="EV74" s="13" t="n">
        <f aca="false">(EV$14*p_CajaMinDias/p_DiasMes+p_CajaMinFija)*Calendario!EV$13</f>
        <v>0</v>
      </c>
      <c r="EW74" s="13" t="n">
        <f aca="false">(EW$14*p_CajaMinDias/p_DiasMes+p_CajaMinFija)*Calendario!EW$13</f>
        <v>0</v>
      </c>
      <c r="EX74" s="13" t="n">
        <f aca="false">(EX$14*p_CajaMinDias/p_DiasMes+p_CajaMinFija)*Calendario!EX$13</f>
        <v>0</v>
      </c>
      <c r="EY74" s="13" t="n">
        <f aca="false">(EY$14*p_CajaMinDias/p_DiasMes+p_CajaMinFija)*Calendario!EY$13</f>
        <v>0</v>
      </c>
      <c r="EZ74" s="13" t="n">
        <f aca="false">(EZ$14*p_CajaMinDias/p_DiasMes+p_CajaMinFija)*Calendario!EZ$13</f>
        <v>0</v>
      </c>
      <c r="FA74" s="13" t="n">
        <f aca="false">(FA$14*p_CajaMinDias/p_DiasMes+p_CajaMinFija)*Calendario!FA$13</f>
        <v>0</v>
      </c>
      <c r="FB74" s="13" t="n">
        <f aca="false">(FB$14*p_CajaMinDias/p_DiasMes+p_CajaMinFija)*Calendario!FB$13</f>
        <v>0</v>
      </c>
      <c r="FC74" s="13" t="n">
        <f aca="false">(FC$14*p_CajaMinDias/p_DiasMes+p_CajaMinFija)*Calendario!FC$13</f>
        <v>0</v>
      </c>
      <c r="FD74" s="13" t="n">
        <f aca="false">(FD$14*p_CajaMinDias/p_DiasMes+p_CajaMinFija)*Calendario!FD$13</f>
        <v>0</v>
      </c>
      <c r="FE74" s="13" t="n">
        <f aca="false">(FE$14*p_CajaMinDias/p_DiasMes+p_CajaMinFija)*Calendario!FE$13</f>
        <v>0</v>
      </c>
      <c r="FF74" s="13" t="n">
        <f aca="false">(FF$14*p_CajaMinDias/p_DiasMes+p_CajaMinFija)*Calendario!FF$13</f>
        <v>0</v>
      </c>
    </row>
    <row r="75" customFormat="false" ht="15" hidden="false" customHeight="false" outlineLevel="0" collapsed="false">
      <c r="A75" s="2" t="s">
        <v>1559</v>
      </c>
      <c r="B75" s="8" t="s">
        <v>1560</v>
      </c>
      <c r="C75" s="8" t="s">
        <v>255</v>
      </c>
      <c r="E75" s="65" t="n">
        <f aca="false">SUM($F75:$FF75)</f>
        <v>0</v>
      </c>
      <c r="F75" s="13" t="n">
        <f aca="false">IF(e_Linea=1,MIN(F$70,MAX(0,F$73-F$74)),0)</f>
        <v>0</v>
      </c>
      <c r="G75" s="13" t="n">
        <f aca="false">IF(e_Linea=1,MIN(G$70,MAX(0,G$73-G$74)),0)</f>
        <v>0</v>
      </c>
      <c r="H75" s="13" t="n">
        <f aca="false">IF(e_Linea=1,MIN(H$70,MAX(0,H$73-H$74)),0)</f>
        <v>0</v>
      </c>
      <c r="I75" s="13" t="n">
        <f aca="false">IF(e_Linea=1,MIN(I$70,MAX(0,I$73-I$74)),0)</f>
        <v>0</v>
      </c>
      <c r="J75" s="13" t="n">
        <f aca="false">IF(e_Linea=1,MIN(J$70,MAX(0,J$73-J$74)),0)</f>
        <v>0</v>
      </c>
      <c r="K75" s="13" t="n">
        <f aca="false">IF(e_Linea=1,MIN(K$70,MAX(0,K$73-K$74)),0)</f>
        <v>0</v>
      </c>
      <c r="L75" s="13" t="n">
        <f aca="false">IF(e_Linea=1,MIN(L$70,MAX(0,L$73-L$74)),0)</f>
        <v>0</v>
      </c>
      <c r="M75" s="13" t="n">
        <f aca="false">IF(e_Linea=1,MIN(M$70,MAX(0,M$73-M$74)),0)</f>
        <v>0</v>
      </c>
      <c r="N75" s="13" t="n">
        <f aca="false">IF(e_Linea=1,MIN(N$70,MAX(0,N$73-N$74)),0)</f>
        <v>0</v>
      </c>
      <c r="O75" s="13" t="n">
        <f aca="false">IF(e_Linea=1,MIN(O$70,MAX(0,O$73-O$74)),0)</f>
        <v>0</v>
      </c>
      <c r="P75" s="13" t="n">
        <f aca="false">IF(e_Linea=1,MIN(P$70,MAX(0,P$73-P$74)),0)</f>
        <v>0</v>
      </c>
      <c r="Q75" s="13" t="n">
        <f aca="false">IF(e_Linea=1,MIN(Q$70,MAX(0,Q$73-Q$74)),0)</f>
        <v>0</v>
      </c>
      <c r="R75" s="13" t="n">
        <f aca="false">IF(e_Linea=1,MIN(R$70,MAX(0,R$73-R$74)),0)</f>
        <v>0</v>
      </c>
      <c r="S75" s="13" t="n">
        <f aca="false">IF(e_Linea=1,MIN(S$70,MAX(0,S$73-S$74)),0)</f>
        <v>0</v>
      </c>
      <c r="T75" s="13" t="n">
        <f aca="false">IF(e_Linea=1,MIN(T$70,MAX(0,T$73-T$74)),0)</f>
        <v>0</v>
      </c>
      <c r="U75" s="13" t="n">
        <f aca="false">IF(e_Linea=1,MIN(U$70,MAX(0,U$73-U$74)),0)</f>
        <v>0</v>
      </c>
      <c r="V75" s="13" t="n">
        <f aca="false">IF(e_Linea=1,MIN(V$70,MAX(0,V$73-V$74)),0)</f>
        <v>0</v>
      </c>
      <c r="W75" s="13" t="n">
        <f aca="false">IF(e_Linea=1,MIN(W$70,MAX(0,W$73-W$74)),0)</f>
        <v>0</v>
      </c>
      <c r="X75" s="13" t="n">
        <f aca="false">IF(e_Linea=1,MIN(X$70,MAX(0,X$73-X$74)),0)</f>
        <v>0</v>
      </c>
      <c r="Y75" s="13" t="n">
        <f aca="false">IF(e_Linea=1,MIN(Y$70,MAX(0,Y$73-Y$74)),0)</f>
        <v>0</v>
      </c>
      <c r="Z75" s="13" t="n">
        <f aca="false">IF(e_Linea=1,MIN(Z$70,MAX(0,Z$73-Z$74)),0)</f>
        <v>0</v>
      </c>
      <c r="AA75" s="13" t="n">
        <f aca="false">IF(e_Linea=1,MIN(AA$70,MAX(0,AA$73-AA$74)),0)</f>
        <v>0</v>
      </c>
      <c r="AB75" s="13" t="n">
        <f aca="false">IF(e_Linea=1,MIN(AB$70,MAX(0,AB$73-AB$74)),0)</f>
        <v>0</v>
      </c>
      <c r="AC75" s="13" t="n">
        <f aca="false">IF(e_Linea=1,MIN(AC$70,MAX(0,AC$73-AC$74)),0)</f>
        <v>0</v>
      </c>
      <c r="AD75" s="13" t="n">
        <f aca="false">IF(e_Linea=1,MIN(AD$70,MAX(0,AD$73-AD$74)),0)</f>
        <v>0</v>
      </c>
      <c r="AE75" s="13" t="n">
        <f aca="false">IF(e_Linea=1,MIN(AE$70,MAX(0,AE$73-AE$74)),0)</f>
        <v>0</v>
      </c>
      <c r="AF75" s="13" t="n">
        <f aca="false">IF(e_Linea=1,MIN(AF$70,MAX(0,AF$73-AF$74)),0)</f>
        <v>0</v>
      </c>
      <c r="AG75" s="13" t="n">
        <f aca="false">IF(e_Linea=1,MIN(AG$70,MAX(0,AG$73-AG$74)),0)</f>
        <v>0</v>
      </c>
      <c r="AH75" s="13" t="n">
        <f aca="false">IF(e_Linea=1,MIN(AH$70,MAX(0,AH$73-AH$74)),0)</f>
        <v>0</v>
      </c>
      <c r="AI75" s="13" t="n">
        <f aca="false">IF(e_Linea=1,MIN(AI$70,MAX(0,AI$73-AI$74)),0)</f>
        <v>0</v>
      </c>
      <c r="AJ75" s="13" t="n">
        <f aca="false">IF(e_Linea=1,MIN(AJ$70,MAX(0,AJ$73-AJ$74)),0)</f>
        <v>0</v>
      </c>
      <c r="AK75" s="13" t="n">
        <f aca="false">IF(e_Linea=1,MIN(AK$70,MAX(0,AK$73-AK$74)),0)</f>
        <v>0</v>
      </c>
      <c r="AL75" s="13" t="n">
        <f aca="false">IF(e_Linea=1,MIN(AL$70,MAX(0,AL$73-AL$74)),0)</f>
        <v>0</v>
      </c>
      <c r="AM75" s="13" t="n">
        <f aca="false">IF(e_Linea=1,MIN(AM$70,MAX(0,AM$73-AM$74)),0)</f>
        <v>0</v>
      </c>
      <c r="AN75" s="13" t="n">
        <f aca="false">IF(e_Linea=1,MIN(AN$70,MAX(0,AN$73-AN$74)),0)</f>
        <v>0</v>
      </c>
      <c r="AO75" s="13" t="n">
        <f aca="false">IF(e_Linea=1,MIN(AO$70,MAX(0,AO$73-AO$74)),0)</f>
        <v>0</v>
      </c>
      <c r="AP75" s="13" t="n">
        <f aca="false">IF(e_Linea=1,MIN(AP$70,MAX(0,AP$73-AP$74)),0)</f>
        <v>0</v>
      </c>
      <c r="AQ75" s="13" t="n">
        <f aca="false">IF(e_Linea=1,MIN(AQ$70,MAX(0,AQ$73-AQ$74)),0)</f>
        <v>0</v>
      </c>
      <c r="AR75" s="13" t="n">
        <f aca="false">IF(e_Linea=1,MIN(AR$70,MAX(0,AR$73-AR$74)),0)</f>
        <v>0</v>
      </c>
      <c r="AS75" s="13" t="n">
        <f aca="false">IF(e_Linea=1,MIN(AS$70,MAX(0,AS$73-AS$74)),0)</f>
        <v>0</v>
      </c>
      <c r="AT75" s="13" t="n">
        <f aca="false">IF(e_Linea=1,MIN(AT$70,MAX(0,AT$73-AT$74)),0)</f>
        <v>0</v>
      </c>
      <c r="AU75" s="13" t="n">
        <f aca="false">IF(e_Linea=1,MIN(AU$70,MAX(0,AU$73-AU$74)),0)</f>
        <v>0</v>
      </c>
      <c r="AV75" s="13" t="n">
        <f aca="false">IF(e_Linea=1,MIN(AV$70,MAX(0,AV$73-AV$74)),0)</f>
        <v>0</v>
      </c>
      <c r="AW75" s="13" t="n">
        <f aca="false">IF(e_Linea=1,MIN(AW$70,MAX(0,AW$73-AW$74)),0)</f>
        <v>0</v>
      </c>
      <c r="AX75" s="13" t="n">
        <f aca="false">IF(e_Linea=1,MIN(AX$70,MAX(0,AX$73-AX$74)),0)</f>
        <v>0</v>
      </c>
      <c r="AY75" s="13" t="n">
        <f aca="false">IF(e_Linea=1,MIN(AY$70,MAX(0,AY$73-AY$74)),0)</f>
        <v>0</v>
      </c>
      <c r="AZ75" s="13" t="n">
        <f aca="false">IF(e_Linea=1,MIN(AZ$70,MAX(0,AZ$73-AZ$74)),0)</f>
        <v>0</v>
      </c>
      <c r="BA75" s="13" t="n">
        <f aca="false">IF(e_Linea=1,MIN(BA$70,MAX(0,BA$73-BA$74)),0)</f>
        <v>0</v>
      </c>
      <c r="BB75" s="13" t="n">
        <f aca="false">IF(e_Linea=1,MIN(BB$70,MAX(0,BB$73-BB$74)),0)</f>
        <v>0</v>
      </c>
      <c r="BC75" s="13" t="n">
        <f aca="false">IF(e_Linea=1,MIN(BC$70,MAX(0,BC$73-BC$74)),0)</f>
        <v>0</v>
      </c>
      <c r="BD75" s="13" t="n">
        <f aca="false">IF(e_Linea=1,MIN(BD$70,MAX(0,BD$73-BD$74)),0)</f>
        <v>0</v>
      </c>
      <c r="BE75" s="13" t="n">
        <f aca="false">IF(e_Linea=1,MIN(BE$70,MAX(0,BE$73-BE$74)),0)</f>
        <v>0</v>
      </c>
      <c r="BF75" s="13" t="n">
        <f aca="false">IF(e_Linea=1,MIN(BF$70,MAX(0,BF$73-BF$74)),0)</f>
        <v>0</v>
      </c>
      <c r="BG75" s="13" t="n">
        <f aca="false">IF(e_Linea=1,MIN(BG$70,MAX(0,BG$73-BG$74)),0)</f>
        <v>0</v>
      </c>
      <c r="BH75" s="13" t="n">
        <f aca="false">IF(e_Linea=1,MIN(BH$70,MAX(0,BH$73-BH$74)),0)</f>
        <v>0</v>
      </c>
      <c r="BI75" s="13" t="n">
        <f aca="false">IF(e_Linea=1,MIN(BI$70,MAX(0,BI$73-BI$74)),0)</f>
        <v>0</v>
      </c>
      <c r="BJ75" s="13" t="n">
        <f aca="false">IF(e_Linea=1,MIN(BJ$70,MAX(0,BJ$73-BJ$74)),0)</f>
        <v>0</v>
      </c>
      <c r="BK75" s="13" t="n">
        <f aca="false">IF(e_Linea=1,MIN(BK$70,MAX(0,BK$73-BK$74)),0)</f>
        <v>0</v>
      </c>
      <c r="BL75" s="13" t="n">
        <f aca="false">IF(e_Linea=1,MIN(BL$70,MAX(0,BL$73-BL$74)),0)</f>
        <v>0</v>
      </c>
      <c r="BM75" s="13" t="n">
        <f aca="false">IF(e_Linea=1,MIN(BM$70,MAX(0,BM$73-BM$74)),0)</f>
        <v>0</v>
      </c>
      <c r="BN75" s="13" t="n">
        <f aca="false">IF(e_Linea=1,MIN(BN$70,MAX(0,BN$73-BN$74)),0)</f>
        <v>0</v>
      </c>
      <c r="BO75" s="13" t="n">
        <f aca="false">IF(e_Linea=1,MIN(BO$70,MAX(0,BO$73-BO$74)),0)</f>
        <v>0</v>
      </c>
      <c r="BP75" s="13" t="n">
        <f aca="false">IF(e_Linea=1,MIN(BP$70,MAX(0,BP$73-BP$74)),0)</f>
        <v>0</v>
      </c>
      <c r="BQ75" s="13" t="n">
        <f aca="false">IF(e_Linea=1,MIN(BQ$70,MAX(0,BQ$73-BQ$74)),0)</f>
        <v>0</v>
      </c>
      <c r="BR75" s="13" t="n">
        <f aca="false">IF(e_Linea=1,MIN(BR$70,MAX(0,BR$73-BR$74)),0)</f>
        <v>0</v>
      </c>
      <c r="BS75" s="13" t="n">
        <f aca="false">IF(e_Linea=1,MIN(BS$70,MAX(0,BS$73-BS$74)),0)</f>
        <v>0</v>
      </c>
      <c r="BT75" s="13" t="n">
        <f aca="false">IF(e_Linea=1,MIN(BT$70,MAX(0,BT$73-BT$74)),0)</f>
        <v>0</v>
      </c>
      <c r="BU75" s="13" t="n">
        <f aca="false">IF(e_Linea=1,MIN(BU$70,MAX(0,BU$73-BU$74)),0)</f>
        <v>0</v>
      </c>
      <c r="BV75" s="13" t="n">
        <f aca="false">IF(e_Linea=1,MIN(BV$70,MAX(0,BV$73-BV$74)),0)</f>
        <v>0</v>
      </c>
      <c r="BW75" s="13" t="n">
        <f aca="false">IF(e_Linea=1,MIN(BW$70,MAX(0,BW$73-BW$74)),0)</f>
        <v>0</v>
      </c>
      <c r="BX75" s="13" t="n">
        <f aca="false">IF(e_Linea=1,MIN(BX$70,MAX(0,BX$73-BX$74)),0)</f>
        <v>0</v>
      </c>
      <c r="BY75" s="13" t="n">
        <f aca="false">IF(e_Linea=1,MIN(BY$70,MAX(0,BY$73-BY$74)),0)</f>
        <v>0</v>
      </c>
      <c r="BZ75" s="13" t="n">
        <f aca="false">IF(e_Linea=1,MIN(BZ$70,MAX(0,BZ$73-BZ$74)),0)</f>
        <v>0</v>
      </c>
      <c r="CA75" s="13" t="n">
        <f aca="false">IF(e_Linea=1,MIN(CA$70,MAX(0,CA$73-CA$74)),0)</f>
        <v>0</v>
      </c>
      <c r="CB75" s="13" t="n">
        <f aca="false">IF(e_Linea=1,MIN(CB$70,MAX(0,CB$73-CB$74)),0)</f>
        <v>0</v>
      </c>
      <c r="CC75" s="13" t="n">
        <f aca="false">IF(e_Linea=1,MIN(CC$70,MAX(0,CC$73-CC$74)),0)</f>
        <v>0</v>
      </c>
      <c r="CD75" s="13" t="n">
        <f aca="false">IF(e_Linea=1,MIN(CD$70,MAX(0,CD$73-CD$74)),0)</f>
        <v>0</v>
      </c>
      <c r="CE75" s="13" t="n">
        <f aca="false">IF(e_Linea=1,MIN(CE$70,MAX(0,CE$73-CE$74)),0)</f>
        <v>0</v>
      </c>
      <c r="CF75" s="13" t="n">
        <f aca="false">IF(e_Linea=1,MIN(CF$70,MAX(0,CF$73-CF$74)),0)</f>
        <v>0</v>
      </c>
      <c r="CG75" s="13" t="n">
        <f aca="false">IF(e_Linea=1,MIN(CG$70,MAX(0,CG$73-CG$74)),0)</f>
        <v>0</v>
      </c>
      <c r="CH75" s="13" t="n">
        <f aca="false">IF(e_Linea=1,MIN(CH$70,MAX(0,CH$73-CH$74)),0)</f>
        <v>0</v>
      </c>
      <c r="CI75" s="13" t="n">
        <f aca="false">IF(e_Linea=1,MIN(CI$70,MAX(0,CI$73-CI$74)),0)</f>
        <v>0</v>
      </c>
      <c r="CJ75" s="13" t="n">
        <f aca="false">IF(e_Linea=1,MIN(CJ$70,MAX(0,CJ$73-CJ$74)),0)</f>
        <v>0</v>
      </c>
      <c r="CK75" s="13" t="n">
        <f aca="false">IF(e_Linea=1,MIN(CK$70,MAX(0,CK$73-CK$74)),0)</f>
        <v>0</v>
      </c>
      <c r="CL75" s="13" t="n">
        <f aca="false">IF(e_Linea=1,MIN(CL$70,MAX(0,CL$73-CL$74)),0)</f>
        <v>0</v>
      </c>
      <c r="CM75" s="13" t="n">
        <f aca="false">IF(e_Linea=1,MIN(CM$70,MAX(0,CM$73-CM$74)),0)</f>
        <v>0</v>
      </c>
      <c r="CN75" s="13" t="n">
        <f aca="false">IF(e_Linea=1,MIN(CN$70,MAX(0,CN$73-CN$74)),0)</f>
        <v>0</v>
      </c>
      <c r="CO75" s="13" t="n">
        <f aca="false">IF(e_Linea=1,MIN(CO$70,MAX(0,CO$73-CO$74)),0)</f>
        <v>0</v>
      </c>
      <c r="CP75" s="13" t="n">
        <f aca="false">IF(e_Linea=1,MIN(CP$70,MAX(0,CP$73-CP$74)),0)</f>
        <v>0</v>
      </c>
      <c r="CQ75" s="13" t="n">
        <f aca="false">IF(e_Linea=1,MIN(CQ$70,MAX(0,CQ$73-CQ$74)),0)</f>
        <v>0</v>
      </c>
      <c r="CR75" s="13" t="n">
        <f aca="false">IF(e_Linea=1,MIN(CR$70,MAX(0,CR$73-CR$74)),0)</f>
        <v>0</v>
      </c>
      <c r="CS75" s="13" t="n">
        <f aca="false">IF(e_Linea=1,MIN(CS$70,MAX(0,CS$73-CS$74)),0)</f>
        <v>0</v>
      </c>
      <c r="CT75" s="13" t="n">
        <f aca="false">IF(e_Linea=1,MIN(CT$70,MAX(0,CT$73-CT$74)),0)</f>
        <v>0</v>
      </c>
      <c r="CU75" s="13" t="n">
        <f aca="false">IF(e_Linea=1,MIN(CU$70,MAX(0,CU$73-CU$74)),0)</f>
        <v>0</v>
      </c>
      <c r="CV75" s="13" t="n">
        <f aca="false">IF(e_Linea=1,MIN(CV$70,MAX(0,CV$73-CV$74)),0)</f>
        <v>0</v>
      </c>
      <c r="CW75" s="13" t="n">
        <f aca="false">IF(e_Linea=1,MIN(CW$70,MAX(0,CW$73-CW$74)),0)</f>
        <v>0</v>
      </c>
      <c r="CX75" s="13" t="n">
        <f aca="false">IF(e_Linea=1,MIN(CX$70,MAX(0,CX$73-CX$74)),0)</f>
        <v>0</v>
      </c>
      <c r="CY75" s="13" t="n">
        <f aca="false">IF(e_Linea=1,MIN(CY$70,MAX(0,CY$73-CY$74)),0)</f>
        <v>0</v>
      </c>
      <c r="CZ75" s="13" t="n">
        <f aca="false">IF(e_Linea=1,MIN(CZ$70,MAX(0,CZ$73-CZ$74)),0)</f>
        <v>0</v>
      </c>
      <c r="DA75" s="13" t="n">
        <f aca="false">IF(e_Linea=1,MIN(DA$70,MAX(0,DA$73-DA$74)),0)</f>
        <v>0</v>
      </c>
      <c r="DB75" s="13" t="n">
        <f aca="false">IF(e_Linea=1,MIN(DB$70,MAX(0,DB$73-DB$74)),0)</f>
        <v>0</v>
      </c>
      <c r="DC75" s="13" t="n">
        <f aca="false">IF(e_Linea=1,MIN(DC$70,MAX(0,DC$73-DC$74)),0)</f>
        <v>0</v>
      </c>
      <c r="DD75" s="13" t="n">
        <f aca="false">IF(e_Linea=1,MIN(DD$70,MAX(0,DD$73-DD$74)),0)</f>
        <v>0</v>
      </c>
      <c r="DE75" s="13" t="n">
        <f aca="false">IF(e_Linea=1,MIN(DE$70,MAX(0,DE$73-DE$74)),0)</f>
        <v>0</v>
      </c>
      <c r="DF75" s="13" t="n">
        <f aca="false">IF(e_Linea=1,MIN(DF$70,MAX(0,DF$73-DF$74)),0)</f>
        <v>0</v>
      </c>
      <c r="DG75" s="13" t="n">
        <f aca="false">IF(e_Linea=1,MIN(DG$70,MAX(0,DG$73-DG$74)),0)</f>
        <v>0</v>
      </c>
      <c r="DH75" s="13" t="n">
        <f aca="false">IF(e_Linea=1,MIN(DH$70,MAX(0,DH$73-DH$74)),0)</f>
        <v>0</v>
      </c>
      <c r="DI75" s="13" t="n">
        <f aca="false">IF(e_Linea=1,MIN(DI$70,MAX(0,DI$73-DI$74)),0)</f>
        <v>0</v>
      </c>
      <c r="DJ75" s="13" t="n">
        <f aca="false">IF(e_Linea=1,MIN(DJ$70,MAX(0,DJ$73-DJ$74)),0)</f>
        <v>0</v>
      </c>
      <c r="DK75" s="13" t="n">
        <f aca="false">IF(e_Linea=1,MIN(DK$70,MAX(0,DK$73-DK$74)),0)</f>
        <v>0</v>
      </c>
      <c r="DL75" s="13" t="n">
        <f aca="false">IF(e_Linea=1,MIN(DL$70,MAX(0,DL$73-DL$74)),0)</f>
        <v>0</v>
      </c>
      <c r="DM75" s="13" t="n">
        <f aca="false">IF(e_Linea=1,MIN(DM$70,MAX(0,DM$73-DM$74)),0)</f>
        <v>0</v>
      </c>
      <c r="DN75" s="13" t="n">
        <f aca="false">IF(e_Linea=1,MIN(DN$70,MAX(0,DN$73-DN$74)),0)</f>
        <v>0</v>
      </c>
      <c r="DO75" s="13" t="n">
        <f aca="false">IF(e_Linea=1,MIN(DO$70,MAX(0,DO$73-DO$74)),0)</f>
        <v>0</v>
      </c>
      <c r="DP75" s="13" t="n">
        <f aca="false">IF(e_Linea=1,MIN(DP$70,MAX(0,DP$73-DP$74)),0)</f>
        <v>0</v>
      </c>
      <c r="DQ75" s="13" t="n">
        <f aca="false">IF(e_Linea=1,MIN(DQ$70,MAX(0,DQ$73-DQ$74)),0)</f>
        <v>0</v>
      </c>
      <c r="DR75" s="13" t="n">
        <f aca="false">IF(e_Linea=1,MIN(DR$70,MAX(0,DR$73-DR$74)),0)</f>
        <v>0</v>
      </c>
      <c r="DS75" s="13" t="n">
        <f aca="false">IF(e_Linea=1,MIN(DS$70,MAX(0,DS$73-DS$74)),0)</f>
        <v>0</v>
      </c>
      <c r="DT75" s="13" t="n">
        <f aca="false">IF(e_Linea=1,MIN(DT$70,MAX(0,DT$73-DT$74)),0)</f>
        <v>0</v>
      </c>
      <c r="DU75" s="13" t="n">
        <f aca="false">IF(e_Linea=1,MIN(DU$70,MAX(0,DU$73-DU$74)),0)</f>
        <v>0</v>
      </c>
      <c r="DV75" s="13" t="n">
        <f aca="false">IF(e_Linea=1,MIN(DV$70,MAX(0,DV$73-DV$74)),0)</f>
        <v>0</v>
      </c>
      <c r="DW75" s="13" t="n">
        <f aca="false">IF(e_Linea=1,MIN(DW$70,MAX(0,DW$73-DW$74)),0)</f>
        <v>0</v>
      </c>
      <c r="DX75" s="13" t="n">
        <f aca="false">IF(e_Linea=1,MIN(DX$70,MAX(0,DX$73-DX$74)),0)</f>
        <v>0</v>
      </c>
      <c r="DY75" s="13" t="n">
        <f aca="false">IF(e_Linea=1,MIN(DY$70,MAX(0,DY$73-DY$74)),0)</f>
        <v>0</v>
      </c>
      <c r="DZ75" s="13" t="n">
        <f aca="false">IF(e_Linea=1,MIN(DZ$70,MAX(0,DZ$73-DZ$74)),0)</f>
        <v>0</v>
      </c>
      <c r="EA75" s="13" t="n">
        <f aca="false">IF(e_Linea=1,MIN(EA$70,MAX(0,EA$73-EA$74)),0)</f>
        <v>0</v>
      </c>
      <c r="EB75" s="13" t="n">
        <f aca="false">IF(e_Linea=1,MIN(EB$70,MAX(0,EB$73-EB$74)),0)</f>
        <v>0</v>
      </c>
      <c r="EC75" s="13" t="n">
        <f aca="false">IF(e_Linea=1,MIN(EC$70,MAX(0,EC$73-EC$74)),0)</f>
        <v>0</v>
      </c>
      <c r="ED75" s="13" t="n">
        <f aca="false">IF(e_Linea=1,MIN(ED$70,MAX(0,ED$73-ED$74)),0)</f>
        <v>0</v>
      </c>
      <c r="EE75" s="13" t="n">
        <f aca="false">IF(e_Linea=1,MIN(EE$70,MAX(0,EE$73-EE$74)),0)</f>
        <v>0</v>
      </c>
      <c r="EF75" s="13" t="n">
        <f aca="false">IF(e_Linea=1,MIN(EF$70,MAX(0,EF$73-EF$74)),0)</f>
        <v>0</v>
      </c>
      <c r="EG75" s="13" t="n">
        <f aca="false">IF(e_Linea=1,MIN(EG$70,MAX(0,EG$73-EG$74)),0)</f>
        <v>0</v>
      </c>
      <c r="EH75" s="13" t="n">
        <f aca="false">IF(e_Linea=1,MIN(EH$70,MAX(0,EH$73-EH$74)),0)</f>
        <v>0</v>
      </c>
      <c r="EI75" s="13" t="n">
        <f aca="false">IF(e_Linea=1,MIN(EI$70,MAX(0,EI$73-EI$74)),0)</f>
        <v>0</v>
      </c>
      <c r="EJ75" s="13" t="n">
        <f aca="false">IF(e_Linea=1,MIN(EJ$70,MAX(0,EJ$73-EJ$74)),0)</f>
        <v>0</v>
      </c>
      <c r="EK75" s="13" t="n">
        <f aca="false">IF(e_Linea=1,MIN(EK$70,MAX(0,EK$73-EK$74)),0)</f>
        <v>0</v>
      </c>
      <c r="EL75" s="13" t="n">
        <f aca="false">IF(e_Linea=1,MIN(EL$70,MAX(0,EL$73-EL$74)),0)</f>
        <v>0</v>
      </c>
      <c r="EM75" s="13" t="n">
        <f aca="false">IF(e_Linea=1,MIN(EM$70,MAX(0,EM$73-EM$74)),0)</f>
        <v>0</v>
      </c>
      <c r="EN75" s="13" t="n">
        <f aca="false">IF(e_Linea=1,MIN(EN$70,MAX(0,EN$73-EN$74)),0)</f>
        <v>0</v>
      </c>
      <c r="EO75" s="13" t="n">
        <f aca="false">IF(e_Linea=1,MIN(EO$70,MAX(0,EO$73-EO$74)),0)</f>
        <v>0</v>
      </c>
      <c r="EP75" s="13" t="n">
        <f aca="false">IF(e_Linea=1,MIN(EP$70,MAX(0,EP$73-EP$74)),0)</f>
        <v>0</v>
      </c>
      <c r="EQ75" s="13" t="n">
        <f aca="false">IF(e_Linea=1,MIN(EQ$70,MAX(0,EQ$73-EQ$74)),0)</f>
        <v>0</v>
      </c>
      <c r="ER75" s="13" t="n">
        <f aca="false">IF(e_Linea=1,MIN(ER$70,MAX(0,ER$73-ER$74)),0)</f>
        <v>0</v>
      </c>
      <c r="ES75" s="13" t="n">
        <f aca="false">IF(e_Linea=1,MIN(ES$70,MAX(0,ES$73-ES$74)),0)</f>
        <v>0</v>
      </c>
      <c r="ET75" s="13" t="n">
        <f aca="false">IF(e_Linea=1,MIN(ET$70,MAX(0,ET$73-ET$74)),0)</f>
        <v>0</v>
      </c>
      <c r="EU75" s="13" t="n">
        <f aca="false">IF(e_Linea=1,MIN(EU$70,MAX(0,EU$73-EU$74)),0)</f>
        <v>0</v>
      </c>
      <c r="EV75" s="13" t="n">
        <f aca="false">IF(e_Linea=1,MIN(EV$70,MAX(0,EV$73-EV$74)),0)</f>
        <v>0</v>
      </c>
      <c r="EW75" s="13" t="n">
        <f aca="false">IF(e_Linea=1,MIN(EW$70,MAX(0,EW$73-EW$74)),0)</f>
        <v>0</v>
      </c>
      <c r="EX75" s="13" t="n">
        <f aca="false">IF(e_Linea=1,MIN(EX$70,MAX(0,EX$73-EX$74)),0)</f>
        <v>0</v>
      </c>
      <c r="EY75" s="13" t="n">
        <f aca="false">IF(e_Linea=1,MIN(EY$70,MAX(0,EY$73-EY$74)),0)</f>
        <v>0</v>
      </c>
      <c r="EZ75" s="13" t="n">
        <f aca="false">IF(e_Linea=1,MIN(EZ$70,MAX(0,EZ$73-EZ$74)),0)</f>
        <v>0</v>
      </c>
      <c r="FA75" s="13" t="n">
        <f aca="false">IF(e_Linea=1,MIN(FA$70,MAX(0,FA$73-FA$74)),0)</f>
        <v>0</v>
      </c>
      <c r="FB75" s="13" t="n">
        <f aca="false">IF(e_Linea=1,MIN(FB$70,MAX(0,FB$73-FB$74)),0)</f>
        <v>0</v>
      </c>
      <c r="FC75" s="13" t="n">
        <f aca="false">IF(e_Linea=1,MIN(FC$70,MAX(0,FC$73-FC$74)),0)</f>
        <v>0</v>
      </c>
      <c r="FD75" s="13" t="n">
        <f aca="false">IF(e_Linea=1,MIN(FD$70,MAX(0,FD$73-FD$74)),0)</f>
        <v>0</v>
      </c>
      <c r="FE75" s="13" t="n">
        <f aca="false">IF(e_Linea=1,MIN(FE$70,MAX(0,FE$73-FE$74)),0)</f>
        <v>0</v>
      </c>
      <c r="FF75" s="13" t="n">
        <f aca="false">IF(e_Linea=1,MIN(FF$70,MAX(0,FF$73-FF$74)),0)</f>
        <v>0</v>
      </c>
    </row>
    <row r="76" customFormat="false" ht="15" hidden="false" customHeight="false" outlineLevel="0" collapsed="false">
      <c r="A76" s="2" t="s">
        <v>1561</v>
      </c>
      <c r="B76" s="8" t="s">
        <v>1562</v>
      </c>
      <c r="C76" s="8" t="s">
        <v>255</v>
      </c>
      <c r="F76" s="13" t="n">
        <f aca="false">F$73-F$75</f>
        <v>1272400.61780822</v>
      </c>
      <c r="G76" s="13" t="n">
        <f aca="false">G$73-G$75</f>
        <v>1485788.22538177</v>
      </c>
      <c r="H76" s="13" t="n">
        <f aca="false">H$73-H$75</f>
        <v>1096224.29621508</v>
      </c>
      <c r="I76" s="13" t="n">
        <f aca="false">I$73-I$75</f>
        <v>711524.53696845</v>
      </c>
      <c r="J76" s="13" t="n">
        <f aca="false">J$73-J$75</f>
        <v>348970.896443279</v>
      </c>
      <c r="K76" s="13" t="n">
        <f aca="false">K$73-K$75</f>
        <v>368437.803863314</v>
      </c>
      <c r="L76" s="13" t="n">
        <f aca="false">L$73-L$75</f>
        <v>387904.711283349</v>
      </c>
      <c r="M76" s="13" t="n">
        <f aca="false">M$73-M$75</f>
        <v>365248.314608697</v>
      </c>
      <c r="N76" s="13" t="n">
        <f aca="false">N$73-N$75</f>
        <v>322286.233662255</v>
      </c>
      <c r="O76" s="13" t="n">
        <f aca="false">O$73-O$75</f>
        <v>235108.20178445</v>
      </c>
      <c r="P76" s="13" t="n">
        <f aca="false">P$73-P$75</f>
        <v>145465.495568511</v>
      </c>
      <c r="Q76" s="13" t="n">
        <f aca="false">Q$73-Q$75</f>
        <v>55855.0980059571</v>
      </c>
      <c r="R76" s="13" t="n">
        <f aca="false">R$73-R$75</f>
        <v>-33740.5062854385</v>
      </c>
      <c r="S76" s="13" t="n">
        <f aca="false">S$73-S$75</f>
        <v>147283.71499674</v>
      </c>
      <c r="T76" s="13" t="n">
        <f aca="false">T$73-T$75</f>
        <v>51919.0733168256</v>
      </c>
      <c r="U76" s="13" t="n">
        <f aca="false">U$73-U$75</f>
        <v>-43412.2794913074</v>
      </c>
      <c r="V76" s="13" t="n">
        <f aca="false">V$73-V$75</f>
        <v>-132631.554948335</v>
      </c>
      <c r="W76" s="13" t="n">
        <f aca="false">W$73-W$75</f>
        <v>-116962.245807457</v>
      </c>
      <c r="X76" s="13" t="n">
        <f aca="false">X$73-X$75</f>
        <v>-101258.893163642</v>
      </c>
      <c r="Y76" s="13" t="n">
        <f aca="false">Y$73-Y$75</f>
        <v>-85521.2416906175</v>
      </c>
      <c r="Z76" s="13" t="n">
        <f aca="false">Z$73-Z$75</f>
        <v>-90191.9756765317</v>
      </c>
      <c r="AA76" s="13" t="n">
        <f aca="false">AA$73-AA$75</f>
        <v>-139637.612212754</v>
      </c>
      <c r="AB76" s="13" t="n">
        <f aca="false">AB$73-AB$75</f>
        <v>-191577.135856413</v>
      </c>
      <c r="AC76" s="13" t="n">
        <f aca="false">AC$73-AC$75</f>
        <v>-243481.320072144</v>
      </c>
      <c r="AD76" s="13" t="n">
        <f aca="false">AD$73-AD$75</f>
        <v>-295367.749691137</v>
      </c>
      <c r="AE76" s="13" t="n">
        <f aca="false">AE$73-AE$75</f>
        <v>-352044.703551428</v>
      </c>
      <c r="AF76" s="13" t="n">
        <f aca="false">AF$73-AF$75</f>
        <v>-412581.564158651</v>
      </c>
      <c r="AG76" s="13" t="n">
        <f aca="false">AG$73-AG$75</f>
        <v>-473082.013168304</v>
      </c>
      <c r="AH76" s="13" t="n">
        <f aca="false">AH$73-AH$75</f>
        <v>-527347.882516236</v>
      </c>
      <c r="AI76" s="13" t="n">
        <f aca="false">AI$73-AI$75</f>
        <v>-474663.103688318</v>
      </c>
      <c r="AJ76" s="13" t="n">
        <f aca="false">AJ$73-AJ$75</f>
        <v>-421941.087842065</v>
      </c>
      <c r="AK76" s="13" t="n">
        <f aca="false">AK$73-AK$75</f>
        <v>-369181.555699841</v>
      </c>
      <c r="AL76" s="13" t="n">
        <f aca="false">AL$73-AL$75</f>
        <v>-332916.833087531</v>
      </c>
      <c r="AM76" s="13" t="n">
        <f aca="false">AM$73-AM$75</f>
        <v>-333498.862608605</v>
      </c>
      <c r="AN76" s="13" t="n">
        <f aca="false">AN$73-AN$75</f>
        <v>-336125.216458612</v>
      </c>
      <c r="AO76" s="13" t="n">
        <f aca="false">AO$73-AO$75</f>
        <v>-338712.915798592</v>
      </c>
      <c r="AP76" s="13" t="n">
        <f aca="false">AP$73-AP$75</f>
        <v>-341276.106168287</v>
      </c>
      <c r="AQ76" s="13" t="n">
        <f aca="false">AQ$73-AQ$75</f>
        <v>-347662.336531006</v>
      </c>
      <c r="AR76" s="13" t="n">
        <f aca="false">AR$73-AR$75</f>
        <v>-357396.412415801</v>
      </c>
      <c r="AS76" s="13" t="n">
        <f aca="false">AS$73-AS$75</f>
        <v>-367090.661044017</v>
      </c>
      <c r="AT76" s="13" t="n">
        <f aca="false">AT$73-AT$75</f>
        <v>-371507.804578812</v>
      </c>
      <c r="AU76" s="13" t="n">
        <f aca="false">AU$73-AU$75</f>
        <v>-285546.63117365</v>
      </c>
      <c r="AV76" s="13" t="n">
        <f aca="false">AV$73-AV$75</f>
        <v>-199544.727660986</v>
      </c>
      <c r="AW76" s="13" t="n">
        <f aca="false">AW$73-AW$75</f>
        <v>-113501.788565014</v>
      </c>
      <c r="AX76" s="13" t="n">
        <f aca="false">AX$73-AX$75</f>
        <v>-27417.506118858</v>
      </c>
      <c r="AY76" s="13" t="n">
        <f aca="false">AY$73-AY$75</f>
        <v>56514.3580270376</v>
      </c>
      <c r="AZ76" s="13" t="n">
        <f aca="false">AZ$73-AZ$75</f>
        <v>140360.995435132</v>
      </c>
      <c r="BA76" s="13" t="n">
        <f aca="false">BA$73-BA$75</f>
        <v>155276.074936693</v>
      </c>
      <c r="BB76" s="13" t="n">
        <f aca="false">BB$73-BB$75</f>
        <v>155318.67261066</v>
      </c>
      <c r="BC76" s="13" t="n">
        <f aca="false">BC$73-BC$75</f>
        <v>151956.059588407</v>
      </c>
      <c r="BD76" s="13" t="n">
        <f aca="false">BD$73-BD$75</f>
        <v>152524.86734985</v>
      </c>
      <c r="BE76" s="13" t="n">
        <f aca="false">BE$73-BE$75</f>
        <v>203435.559779061</v>
      </c>
      <c r="BF76" s="13" t="n">
        <f aca="false">BF$73-BF$75</f>
        <v>284343.447297736</v>
      </c>
      <c r="BG76" s="13" t="n">
        <f aca="false">BG$73-BG$75</f>
        <v>159894.404484047</v>
      </c>
      <c r="BH76" s="13" t="n">
        <f aca="false">BH$73-BH$75</f>
        <v>159938.955356575</v>
      </c>
      <c r="BI76" s="13" t="n">
        <f aca="false">BI$73-BI$75</f>
        <v>159983.840360648</v>
      </c>
      <c r="BJ76" s="13" t="n">
        <f aca="false">BJ$73-BJ$75</f>
        <v>160029.062002252</v>
      </c>
      <c r="BK76" s="13" t="n">
        <f aca="false">BK$73-BK$75</f>
        <v>157858.610363341</v>
      </c>
      <c r="BL76" s="13" t="n">
        <f aca="false">BL$73-BL$75</f>
        <v>157776.048383847</v>
      </c>
      <c r="BM76" s="13" t="n">
        <f aca="false">BM$73-BM$75</f>
        <v>157822.295162617</v>
      </c>
      <c r="BN76" s="13" t="n">
        <f aca="false">BN$73-BN$75</f>
        <v>173893.501563154</v>
      </c>
      <c r="BO76" s="13" t="n">
        <f aca="false">BO$73-BO$75</f>
        <v>322756.536110597</v>
      </c>
      <c r="BP76" s="13" t="n">
        <f aca="false">BP$73-BP$75</f>
        <v>470757.342375654</v>
      </c>
      <c r="BQ76" s="13" t="n">
        <f aca="false">BQ$73-BQ$75</f>
        <v>618758.148640712</v>
      </c>
      <c r="BR76" s="13" t="n">
        <f aca="false">BR$73-BR$75</f>
        <v>767159.516175372</v>
      </c>
      <c r="BS76" s="13" t="n">
        <f aca="false">BS$73-BS$75</f>
        <v>228133.088249086</v>
      </c>
      <c r="BT76" s="13" t="n">
        <f aca="false">BT$73-BT$75</f>
        <v>228133.088249086</v>
      </c>
      <c r="BU76" s="13" t="n">
        <f aca="false">BU$73-BU$75</f>
        <v>228133.088249086</v>
      </c>
      <c r="BV76" s="13" t="n">
        <f aca="false">BV$73-BV$75</f>
        <v>228133.088249086</v>
      </c>
      <c r="BW76" s="13" t="n">
        <f aca="false">BW$73-BW$75</f>
        <v>225894.915681831</v>
      </c>
      <c r="BX76" s="13" t="n">
        <f aca="false">BX$73-BX$75</f>
        <v>225765.166547498</v>
      </c>
      <c r="BY76" s="13" t="n">
        <f aca="false">BY$73-BY$75</f>
        <v>225765.166547498</v>
      </c>
      <c r="BZ76" s="13" t="n">
        <f aca="false">BZ$73-BZ$75</f>
        <v>304817.764460983</v>
      </c>
      <c r="CA76" s="13" t="n">
        <f aca="false">CA$73-CA$75</f>
        <v>457748.63970053</v>
      </c>
      <c r="CB76" s="13" t="n">
        <f aca="false">CB$73-CB$75</f>
        <v>609797.335359622</v>
      </c>
      <c r="CC76" s="13" t="n">
        <f aca="false">CC$73-CC$75</f>
        <v>761846.031018714</v>
      </c>
      <c r="CD76" s="13" t="n">
        <f aca="false">CD$73-CD$75</f>
        <v>914299.293560104</v>
      </c>
      <c r="CE76" s="13" t="n">
        <f aca="false">CE$73-CE$75</f>
        <v>232982.30046296</v>
      </c>
      <c r="CF76" s="13" t="n">
        <f aca="false">CF$73-CF$75</f>
        <v>232982.30046296</v>
      </c>
      <c r="CG76" s="13" t="n">
        <f aca="false">CG$73-CG$75</f>
        <v>232982.30046296</v>
      </c>
      <c r="CH76" s="13" t="n">
        <f aca="false">CH$73-CH$75</f>
        <v>232982.30046296</v>
      </c>
      <c r="CI76" s="13" t="n">
        <f aca="false">CI$73-CI$75</f>
        <v>230721.746170034</v>
      </c>
      <c r="CJ76" s="13" t="n">
        <f aca="false">CJ$73-CJ$75</f>
        <v>230590.699544357</v>
      </c>
      <c r="CK76" s="13" t="n">
        <f aca="false">CK$73-CK$75</f>
        <v>230590.699544357</v>
      </c>
      <c r="CL76" s="13" t="n">
        <f aca="false">CL$73-CL$75</f>
        <v>385209.734714917</v>
      </c>
      <c r="CM76" s="13" t="n">
        <f aca="false">CM$73-CM$75</f>
        <v>542237.637756734</v>
      </c>
      <c r="CN76" s="13" t="n">
        <f aca="false">CN$73-CN$75</f>
        <v>698362.85515354</v>
      </c>
      <c r="CO76" s="13" t="n">
        <f aca="false">CO$73-CO$75</f>
        <v>854488.072550346</v>
      </c>
      <c r="CP76" s="13" t="n">
        <f aca="false">CP$73-CP$75</f>
        <v>1011021.90249827</v>
      </c>
      <c r="CQ76" s="13" t="n">
        <f aca="false">CQ$73-CQ$75</f>
        <v>237868.158248713</v>
      </c>
      <c r="CR76" s="13" t="n">
        <f aca="false">CR$73-CR$75</f>
        <v>237868.158248713</v>
      </c>
      <c r="CS76" s="13" t="n">
        <f aca="false">CS$73-CS$75</f>
        <v>237868.158248713</v>
      </c>
      <c r="CT76" s="13" t="n">
        <f aca="false">CT$73-CT$75</f>
        <v>237868.158248713</v>
      </c>
      <c r="CU76" s="13" t="n">
        <f aca="false">CU$73-CU$75</f>
        <v>235584.998412858</v>
      </c>
      <c r="CV76" s="13" t="n">
        <f aca="false">CV$73-CV$75</f>
        <v>235452.641320924</v>
      </c>
      <c r="CW76" s="13" t="n">
        <f aca="false">CW$73-CW$75</f>
        <v>304414.267493589</v>
      </c>
      <c r="CX76" s="13" t="n">
        <f aca="false">CX$73-CX$75</f>
        <v>465581.147020578</v>
      </c>
      <c r="CY76" s="13" t="n">
        <f aca="false">CY$73-CY$75</f>
        <v>626735.196510327</v>
      </c>
      <c r="CZ76" s="13" t="n">
        <f aca="false">CZ$73-CZ$75</f>
        <v>786965.483318757</v>
      </c>
      <c r="DA76" s="13" t="n">
        <f aca="false">DA$73-DA$75</f>
        <v>947195.770127187</v>
      </c>
      <c r="DB76" s="13" t="n">
        <f aca="false">DB$73-DB$75</f>
        <v>1107838.75561225</v>
      </c>
      <c r="DC76" s="13" t="n">
        <f aca="false">DC$73-DC$75</f>
        <v>242790.657068856</v>
      </c>
      <c r="DD76" s="13" t="n">
        <f aca="false">DD$73-DD$75</f>
        <v>242790.657068856</v>
      </c>
      <c r="DE76" s="13" t="n">
        <f aca="false">DE$73-DE$75</f>
        <v>242790.657068856</v>
      </c>
      <c r="DF76" s="13" t="n">
        <f aca="false">DF$73-DF$75</f>
        <v>242790.657068856</v>
      </c>
      <c r="DG76" s="13" t="n">
        <f aca="false">DG$73-DG$75</f>
        <v>240484.665634642</v>
      </c>
      <c r="DH76" s="13" t="n">
        <f aca="false">DH$73-DH$75</f>
        <v>240350.984971789</v>
      </c>
      <c r="DI76" s="13" t="n">
        <f aca="false">DI$73-DI$75</f>
        <v>380605.344231188</v>
      </c>
      <c r="DJ76" s="13" t="n">
        <f aca="false">DJ$73-DJ$75</f>
        <v>545927.709791102</v>
      </c>
      <c r="DK76" s="13" t="n">
        <f aca="false">DK$73-DK$75</f>
        <v>711236.944415233</v>
      </c>
      <c r="DL76" s="13" t="n">
        <f aca="false">DL$73-DL$75</f>
        <v>875600.751662932</v>
      </c>
      <c r="DM76" s="13" t="n">
        <f aca="false">DM$73-DM$75</f>
        <v>1039964.55891063</v>
      </c>
      <c r="DN76" s="13" t="n">
        <f aca="false">DN$73-DN$75</f>
        <v>1204745.19182173</v>
      </c>
      <c r="DO76" s="13" t="n">
        <f aca="false">DO$73-DO$75</f>
        <v>247749.781210729</v>
      </c>
      <c r="DP76" s="13" t="n">
        <f aca="false">DP$73-DP$75</f>
        <v>247749.781210729</v>
      </c>
      <c r="DQ76" s="13" t="n">
        <f aca="false">DQ$73-DQ$75</f>
        <v>247749.781210729</v>
      </c>
      <c r="DR76" s="13" t="n">
        <f aca="false">DR$73-DR$75</f>
        <v>388715.19330814</v>
      </c>
      <c r="DS76" s="13" t="n">
        <f aca="false">DS$73-DS$75</f>
        <v>697960.712106712</v>
      </c>
      <c r="DT76" s="13" t="n">
        <f aca="false">DT$73-DT$75</f>
        <v>1323557.60284859</v>
      </c>
      <c r="DU76" s="13" t="n">
        <f aca="false">DU$73-DU$75</f>
        <v>1949154.49359047</v>
      </c>
      <c r="DV76" s="13" t="n">
        <f aca="false">DV$73-DV$75</f>
        <v>2574874.46451807</v>
      </c>
      <c r="DW76" s="13" t="n">
        <f aca="false">DW$73-DW$75</f>
        <v>2574874.46451807</v>
      </c>
      <c r="DX76" s="13" t="n">
        <f aca="false">DX$73-DX$75</f>
        <v>2574874.46451807</v>
      </c>
      <c r="DY76" s="13" t="n">
        <f aca="false">DY$73-DY$75</f>
        <v>2574874.46451807</v>
      </c>
      <c r="DZ76" s="13" t="n">
        <f aca="false">DZ$73-DZ$75</f>
        <v>2574874.46451807</v>
      </c>
      <c r="EA76" s="13" t="n">
        <f aca="false">EA$73-EA$75</f>
        <v>2574874.46451807</v>
      </c>
      <c r="EB76" s="13" t="n">
        <f aca="false">EB$73-EB$75</f>
        <v>2574874.46451807</v>
      </c>
      <c r="EC76" s="13" t="n">
        <f aca="false">EC$73-EC$75</f>
        <v>2574874.46451807</v>
      </c>
      <c r="ED76" s="13" t="n">
        <f aca="false">ED$73-ED$75</f>
        <v>2574874.46451807</v>
      </c>
      <c r="EE76" s="13" t="n">
        <f aca="false">EE$73-EE$75</f>
        <v>2574874.46451807</v>
      </c>
      <c r="EF76" s="13" t="n">
        <f aca="false">EF$73-EF$75</f>
        <v>2574874.46451807</v>
      </c>
      <c r="EG76" s="13" t="n">
        <f aca="false">EG$73-EG$75</f>
        <v>2574874.46451807</v>
      </c>
      <c r="EH76" s="13" t="n">
        <f aca="false">EH$73-EH$75</f>
        <v>2574874.46451807</v>
      </c>
      <c r="EI76" s="13" t="n">
        <f aca="false">EI$73-EI$75</f>
        <v>2574874.46451807</v>
      </c>
      <c r="EJ76" s="13" t="n">
        <f aca="false">EJ$73-EJ$75</f>
        <v>2574874.46451807</v>
      </c>
      <c r="EK76" s="13" t="n">
        <f aca="false">EK$73-EK$75</f>
        <v>2574874.46451807</v>
      </c>
      <c r="EL76" s="13" t="n">
        <f aca="false">EL$73-EL$75</f>
        <v>2574874.46451807</v>
      </c>
      <c r="EM76" s="13" t="n">
        <f aca="false">EM$73-EM$75</f>
        <v>2574874.46451807</v>
      </c>
      <c r="EN76" s="13" t="n">
        <f aca="false">EN$73-EN$75</f>
        <v>2574874.46451807</v>
      </c>
      <c r="EO76" s="13" t="n">
        <f aca="false">EO$73-EO$75</f>
        <v>2574874.46451807</v>
      </c>
      <c r="EP76" s="13" t="n">
        <f aca="false">EP$73-EP$75</f>
        <v>2574874.46451807</v>
      </c>
      <c r="EQ76" s="13" t="n">
        <f aca="false">EQ$73-EQ$75</f>
        <v>2574874.46451807</v>
      </c>
      <c r="ER76" s="13" t="n">
        <f aca="false">ER$73-ER$75</f>
        <v>2574874.46451807</v>
      </c>
      <c r="ES76" s="13" t="n">
        <f aca="false">ES$73-ES$75</f>
        <v>2574874.46451807</v>
      </c>
      <c r="ET76" s="13" t="n">
        <f aca="false">ET$73-ET$75</f>
        <v>2574874.46451807</v>
      </c>
      <c r="EU76" s="13" t="n">
        <f aca="false">EU$73-EU$75</f>
        <v>2574874.46451807</v>
      </c>
      <c r="EV76" s="13" t="n">
        <f aca="false">EV$73-EV$75</f>
        <v>2574874.46451807</v>
      </c>
      <c r="EW76" s="13" t="n">
        <f aca="false">EW$73-EW$75</f>
        <v>2574874.46451807</v>
      </c>
      <c r="EX76" s="13" t="n">
        <f aca="false">EX$73-EX$75</f>
        <v>2574874.46451807</v>
      </c>
      <c r="EY76" s="13" t="n">
        <f aca="false">EY$73-EY$75</f>
        <v>2574874.46451807</v>
      </c>
      <c r="EZ76" s="13" t="n">
        <f aca="false">EZ$73-EZ$75</f>
        <v>2574874.46451807</v>
      </c>
      <c r="FA76" s="13" t="n">
        <f aca="false">FA$73-FA$75</f>
        <v>2574874.46451807</v>
      </c>
      <c r="FB76" s="13" t="n">
        <f aca="false">FB$73-FB$75</f>
        <v>2574874.46451807</v>
      </c>
      <c r="FC76" s="13" t="n">
        <f aca="false">FC$73-FC$75</f>
        <v>2574874.46451807</v>
      </c>
      <c r="FD76" s="13" t="n">
        <f aca="false">FD$73-FD$75</f>
        <v>2574874.46451807</v>
      </c>
      <c r="FE76" s="13" t="n">
        <f aca="false">FE$73-FE$75</f>
        <v>2574874.46451807</v>
      </c>
      <c r="FF76" s="13" t="n">
        <f aca="false">FF$73-FF$75</f>
        <v>2574874.46451807</v>
      </c>
    </row>
    <row r="77" customFormat="false" ht="15" hidden="false" customHeight="false" outlineLevel="0" collapsed="false">
      <c r="A77" s="2" t="s">
        <v>1563</v>
      </c>
      <c r="B77" s="8" t="s">
        <v>1564</v>
      </c>
      <c r="C77" s="8" t="s">
        <v>255</v>
      </c>
      <c r="F77" s="13" t="n">
        <f aca="false">IF(OR(0=0,Calendario!F$8=1),F$47,0+F$47)</f>
        <v>0</v>
      </c>
      <c r="G77" s="13" t="n">
        <f aca="false">IF(OR(1=0,Calendario!G$8=1),G$47,F$77+G$47)</f>
        <v>23662.7899809864</v>
      </c>
      <c r="H77" s="13" t="n">
        <f aca="false">IF(OR(2=0,Calendario!H$8=1),H$47,G$77+H$47)</f>
        <v>41863.3077326571</v>
      </c>
      <c r="I77" s="13" t="n">
        <f aca="false">IF(OR(3=0,Calendario!I$8=1),I$47,H$77+I$47)</f>
        <v>55364.1976526921</v>
      </c>
      <c r="J77" s="13" t="n">
        <f aca="false">IF(OR(4=0,Calendario!J$8=1),J$47,I$77+J$47)</f>
        <v>68865.0875727271</v>
      </c>
      <c r="K77" s="13" t="n">
        <f aca="false">IF(OR(5=0,Calendario!K$8=1),K$47,J$77+K$47)</f>
        <v>82365.9774927621</v>
      </c>
      <c r="L77" s="13" t="n">
        <f aca="false">IF(OR(6=0,Calendario!L$8=1),L$47,K$77+L$47)</f>
        <v>95866.8674127971</v>
      </c>
      <c r="M77" s="13" t="n">
        <f aca="false">IF(OR(7=0,Calendario!M$8=1),M$47,L$77+M$47)</f>
        <v>109367.757332832</v>
      </c>
      <c r="N77" s="13" t="n">
        <f aca="false">IF(OR(8=0,Calendario!N$8=1),N$47,M$77+N$47)</f>
        <v>123216.164511648</v>
      </c>
      <c r="O77" s="13" t="n">
        <f aca="false">IF(OR(9=0,Calendario!O$8=1),O$47,N$77+O$47)</f>
        <v>137414.695328686</v>
      </c>
      <c r="P77" s="13" t="n">
        <f aca="false">IF(OR(10=0,Calendario!P$8=1),P$47,O$77+P$47)</f>
        <v>151965.975711233</v>
      </c>
      <c r="Q77" s="13" t="n">
        <f aca="false">IF(OR(11=0,Calendario!Q$8=1),Q$47,P$77+Q$47)</f>
        <v>166872.65128103</v>
      </c>
      <c r="R77" s="13" t="n">
        <f aca="false">IF(OR(12=0,Calendario!R$8=1),R$47,Q$77+R$47)</f>
        <v>184124.280857872</v>
      </c>
      <c r="S77" s="13" t="n">
        <f aca="false">IF(OR(13=0,Calendario!S$8=1),S$47,R$77+S$47)</f>
        <v>50277.3887131083</v>
      </c>
      <c r="T77" s="13" t="n">
        <f aca="false">IF(OR(14=0,Calendario!T$8=1),T$47,S$77+T$47)</f>
        <v>103431.891908598</v>
      </c>
      <c r="U77" s="13" t="n">
        <f aca="false">IF(OR(15=0,Calendario!U$8=1),U$47,T$77+U$47)</f>
        <v>156952.572693684</v>
      </c>
      <c r="V77" s="13" t="n">
        <f aca="false">IF(OR(16=0,Calendario!V$8=1),V$47,U$77+V$47)</f>
        <v>210842.17740029</v>
      </c>
      <c r="W77" s="13" t="n">
        <f aca="false">IF(OR(17=0,Calendario!W$8=1),W$47,V$77+W$47)</f>
        <v>265103.472957826</v>
      </c>
      <c r="X77" s="13" t="n">
        <f aca="false">IF(OR(18=0,Calendario!X$8=1),X$47,W$77+X$47)</f>
        <v>319739.247047674</v>
      </c>
      <c r="Y77" s="13" t="n">
        <f aca="false">IF(OR(19=0,Calendario!Y$8=1),Y$47,X$77+Y$47)</f>
        <v>374752.308258827</v>
      </c>
      <c r="Z77" s="13" t="n">
        <f aca="false">IF(OR(20=0,Calendario!Z$8=1),Z$47,Y$77+Z$47)</f>
        <v>430145.486244695</v>
      </c>
      <c r="AA77" s="13" t="n">
        <f aca="false">IF(OR(21=0,Calendario!AA$8=1),AA$47,Z$77+AA$47)</f>
        <v>485921.631881088</v>
      </c>
      <c r="AB77" s="13" t="n">
        <f aca="false">IF(OR(22=0,Calendario!AB$8=1),AB$47,AA$77+AB$47)</f>
        <v>542083.617425385</v>
      </c>
      <c r="AC77" s="13" t="n">
        <f aca="false">IF(OR(23=0,Calendario!AC$8=1),AC$47,AB$77+AC$47)</f>
        <v>598634.336676894</v>
      </c>
      <c r="AD77" s="13" t="n">
        <f aca="false">IF(OR(24=0,Calendario!AD$8=1),AD$47,AC$77+AD$47)</f>
        <v>656963.100925011</v>
      </c>
      <c r="AE77" s="13" t="n">
        <f aca="false">IF(OR(25=0,Calendario!AE$8=1),AE$47,AD$77+AE$47)</f>
        <v>93005.6743804461</v>
      </c>
      <c r="AF77" s="13" t="n">
        <f aca="false">IF(OR(26=0,Calendario!AF$8=1),AF$47,AE$77+AF$47)</f>
        <v>187329.843033686</v>
      </c>
      <c r="AG77" s="13" t="n">
        <f aca="false">IF(OR(27=0,Calendario!AG$8=1),AG$47,AF$77+AG$47)</f>
        <v>282054.539260199</v>
      </c>
      <c r="AH77" s="13" t="n">
        <f aca="false">IF(OR(28=0,Calendario!AH$8=1),AH$47,AG$77+AH$47)</f>
        <v>377182.767016786</v>
      </c>
      <c r="AI77" s="13" t="n">
        <f aca="false">IF(OR(29=0,Calendario!AI$8=1),AI$47,AH$77+AI$47)</f>
        <v>472717.552789922</v>
      </c>
      <c r="AJ77" s="13" t="n">
        <f aca="false">IF(OR(30=0,Calendario!AJ$8=1),AJ$47,AI$77+AJ$47)</f>
        <v>568661.945764731</v>
      </c>
      <c r="AK77" s="13" t="n">
        <f aca="false">IF(OR(31=0,Calendario!AK$8=1),AK$47,AJ$77+AK$47)</f>
        <v>665019.017995225</v>
      </c>
      <c r="AL77" s="13" t="n">
        <f aca="false">IF(OR(32=0,Calendario!AL$8=1),AL$47,AK$77+AL$47)</f>
        <v>761791.864575823</v>
      </c>
      <c r="AM77" s="13" t="n">
        <f aca="false">IF(OR(33=0,Calendario!AM$8=1),AM$47,AL$77+AM$47)</f>
        <v>858983.60381415</v>
      </c>
      <c r="AN77" s="13" t="n">
        <f aca="false">IF(OR(34=0,Calendario!AN$8=1),AN$47,AM$77+AN$47)</f>
        <v>956597.377405138</v>
      </c>
      <c r="AO77" s="13" t="n">
        <f aca="false">IF(OR(35=0,Calendario!AO$8=1),AO$47,AN$77+AO$47)</f>
        <v>1054636.35060643</v>
      </c>
      <c r="AP77" s="13" t="n">
        <f aca="false">IF(OR(36=0,Calendario!AP$8=1),AP$47,AO$77+AP$47)</f>
        <v>1154020.04295264</v>
      </c>
      <c r="AQ77" s="13" t="n">
        <f aca="false">IF(OR(37=0,Calendario!AQ$8=1),AQ$47,AP$77+AQ$47)</f>
        <v>131392.824398158</v>
      </c>
      <c r="AR77" s="13" t="n">
        <f aca="false">IF(OR(38=0,Calendario!AR$8=1),AR$47,AQ$77+AR$47)</f>
        <v>263537.275616919</v>
      </c>
      <c r="AS77" s="13" t="n">
        <f aca="false">IF(OR(39=0,Calendario!AS$8=1),AS$47,AR$77+AS$47)</f>
        <v>396119.826658034</v>
      </c>
      <c r="AT77" s="13" t="n">
        <f aca="false">IF(OR(40=0,Calendario!AT$8=1),AT$47,AS$77+AT$47)</f>
        <v>529143.763270171</v>
      </c>
      <c r="AU77" s="13" t="n">
        <f aca="false">IF(OR(41=0,Calendario!AU$8=1),AU$47,AT$77+AU$47)</f>
        <v>662612.395845112</v>
      </c>
      <c r="AV77" s="13" t="n">
        <f aca="false">IF(OR(42=0,Calendario!AV$8=1),AV$47,AU$77+AV$47)</f>
        <v>796529.059602579</v>
      </c>
      <c r="AW77" s="13" t="n">
        <f aca="false">IF(OR(43=0,Calendario!AW$8=1),AW$47,AV$77+AW$47)</f>
        <v>930897.114776441</v>
      </c>
      <c r="AX77" s="13" t="n">
        <f aca="false">IF(OR(44=0,Calendario!AX$8=1),AX$47,AW$77+AX$47)</f>
        <v>1065719.94680232</v>
      </c>
      <c r="AY77" s="13" t="n">
        <f aca="false">IF(OR(45=0,Calendario!AY$8=1),AY$47,AX$77+AY$47)</f>
        <v>1201000.96650661</v>
      </c>
      <c r="AZ77" s="13" t="n">
        <f aca="false">IF(OR(46=0,Calendario!AZ$8=1),AZ$47,AY$77+AZ$47)</f>
        <v>1336743.61029689</v>
      </c>
      <c r="BA77" s="13" t="n">
        <f aca="false">IF(OR(47=0,Calendario!BA$8=1),BA$47,AZ$77+BA$47)</f>
        <v>1472951.34035381</v>
      </c>
      <c r="BB77" s="13" t="n">
        <f aca="false">IF(OR(48=0,Calendario!BB$8=1),BB$47,BA$77+BB$47)</f>
        <v>1609627.64482438</v>
      </c>
      <c r="BC77" s="13" t="n">
        <f aca="false">IF(OR(49=0,Calendario!BC$8=1),BC$47,BB$77+BC$47)</f>
        <v>140115.713394781</v>
      </c>
      <c r="BD77" s="13" t="n">
        <f aca="false">IF(OR(50=0,Calendario!BD$8=1),BD$47,BC$77+BD$47)</f>
        <v>279062.503187755</v>
      </c>
      <c r="BE77" s="13" t="n">
        <f aca="false">IF(OR(51=0,Calendario!BE$8=1),BE$47,BD$77+BE$47)</f>
        <v>418488.48958829</v>
      </c>
      <c r="BF77" s="13" t="n">
        <f aca="false">IF(OR(52=0,Calendario!BF$8=1),BF$47,BE$77+BF$47)</f>
        <v>558397.26657094</v>
      </c>
      <c r="BG77" s="13" t="n">
        <f aca="false">IF(OR(53=0,Calendario!BG$8=1),BG$47,BF$77+BG$47)</f>
        <v>698792.455065073</v>
      </c>
      <c r="BH77" s="13" t="n">
        <f aca="false">IF(OR(54=0,Calendario!BH$8=1),BH$47,BG$77+BH$47)</f>
        <v>839677.703157024</v>
      </c>
      <c r="BI77" s="13" t="n">
        <f aca="false">IF(OR(55=0,Calendario!BI$8=1),BI$47,BH$77+BI$47)</f>
        <v>981056.686293777</v>
      </c>
      <c r="BJ77" s="13" t="n">
        <f aca="false">IF(OR(56=0,Calendario!BJ$8=1),BJ$47,BI$77+BJ$47)</f>
        <v>1122933.10748817</v>
      </c>
      <c r="BK77" s="13" t="n">
        <f aca="false">IF(OR(57=0,Calendario!BK$8=1),BK$47,BJ$77+BK$47)</f>
        <v>1265310.69752563</v>
      </c>
      <c r="BL77" s="13" t="n">
        <f aca="false">IF(OR(58=0,Calendario!BL$8=1),BL$47,BK$77+BL$47)</f>
        <v>1408193.21517248</v>
      </c>
      <c r="BM77" s="13" t="n">
        <f aca="false">IF(OR(59=0,Calendario!BM$8=1),BM$47,BL$77+BM$47)</f>
        <v>1551584.4473858</v>
      </c>
      <c r="BN77" s="13" t="n">
        <f aca="false">IF(OR(60=0,Calendario!BN$8=1),BN$47,BM$77+BN$47)</f>
        <v>1695488.20952483</v>
      </c>
      <c r="BO77" s="13" t="n">
        <f aca="false">IF(OR(61=0,Calendario!BO$8=1),BO$47,BN$77+BO$47)</f>
        <v>150320.880596424</v>
      </c>
      <c r="BP77" s="13" t="n">
        <f aca="false">IF(OR(62=0,Calendario!BP$8=1),BP$47,BO$77+BP$47)</f>
        <v>299847.212531731</v>
      </c>
      <c r="BQ77" s="13" t="n">
        <f aca="false">IF(OR(63=0,Calendario!BQ$8=1),BQ$47,BP$77+BQ$47)</f>
        <v>449373.544467039</v>
      </c>
      <c r="BR77" s="13" t="n">
        <f aca="false">IF(OR(64=0,Calendario!BR$8=1),BR$47,BQ$77+BR$47)</f>
        <v>598899.876402346</v>
      </c>
      <c r="BS77" s="13" t="n">
        <f aca="false">IF(OR(65=0,Calendario!BS$8=1),BS$47,BR$77+BS$47)</f>
        <v>748426.208337653</v>
      </c>
      <c r="BT77" s="13" t="n">
        <f aca="false">IF(OR(66=0,Calendario!BT$8=1),BT$47,BS$77+BT$47)</f>
        <v>897952.540272961</v>
      </c>
      <c r="BU77" s="13" t="n">
        <f aca="false">IF(OR(67=0,Calendario!BU$8=1),BU$47,BT$77+BU$47)</f>
        <v>1047478.87220827</v>
      </c>
      <c r="BV77" s="13" t="n">
        <f aca="false">IF(OR(68=0,Calendario!BV$8=1),BV$47,BU$77+BV$47)</f>
        <v>1197005.20414358</v>
      </c>
      <c r="BW77" s="13" t="n">
        <f aca="false">IF(OR(69=0,Calendario!BW$8=1),BW$47,BV$77+BW$47)</f>
        <v>1346531.53607888</v>
      </c>
      <c r="BX77" s="13" t="n">
        <f aca="false">IF(OR(70=0,Calendario!BX$8=1),BX$47,BW$77+BX$47)</f>
        <v>1496057.86801419</v>
      </c>
      <c r="BY77" s="13" t="n">
        <f aca="false">IF(OR(71=0,Calendario!BY$8=1),BY$47,BX$77+BY$47)</f>
        <v>1645584.1999495</v>
      </c>
      <c r="BZ77" s="13" t="n">
        <f aca="false">IF(OR(72=0,Calendario!BZ$8=1),BZ$47,BY$77+BZ$47)</f>
        <v>1795110.53188481</v>
      </c>
      <c r="CA77" s="13" t="n">
        <f aca="false">IF(OR(73=0,Calendario!CA$8=1),CA$47,BZ$77+CA$47)</f>
        <v>154449.65512521</v>
      </c>
      <c r="CB77" s="13" t="n">
        <f aca="false">IF(OR(74=0,Calendario!CB$8=1),CB$47,CA$77+CB$47)</f>
        <v>308096.978886255</v>
      </c>
      <c r="CC77" s="13" t="n">
        <f aca="false">IF(OR(75=0,Calendario!CC$8=1),CC$47,CB$77+CC$47)</f>
        <v>461744.302647299</v>
      </c>
      <c r="CD77" s="13" t="n">
        <f aca="false">IF(OR(76=0,Calendario!CD$8=1),CD$47,CC$77+CD$47)</f>
        <v>615391.626408344</v>
      </c>
      <c r="CE77" s="13" t="n">
        <f aca="false">IF(OR(77=0,Calendario!CE$8=1),CE$47,CD$77+CE$47)</f>
        <v>769038.950169388</v>
      </c>
      <c r="CF77" s="13" t="n">
        <f aca="false">IF(OR(78=0,Calendario!CF$8=1),CF$47,CE$77+CF$47)</f>
        <v>922686.273930432</v>
      </c>
      <c r="CG77" s="13" t="n">
        <f aca="false">IF(OR(79=0,Calendario!CG$8=1),CG$47,CF$77+CG$47)</f>
        <v>1076333.59769148</v>
      </c>
      <c r="CH77" s="13" t="n">
        <f aca="false">IF(OR(80=0,Calendario!CH$8=1),CH$47,CG$77+CH$47)</f>
        <v>1229980.92145252</v>
      </c>
      <c r="CI77" s="13" t="n">
        <f aca="false">IF(OR(81=0,Calendario!CI$8=1),CI$47,CH$77+CI$47)</f>
        <v>1383628.24521357</v>
      </c>
      <c r="CJ77" s="13" t="n">
        <f aca="false">IF(OR(82=0,Calendario!CJ$8=1),CJ$47,CI$77+CJ$47)</f>
        <v>1537275.56897461</v>
      </c>
      <c r="CK77" s="13" t="n">
        <f aca="false">IF(OR(83=0,Calendario!CK$8=1),CK$47,CJ$77+CK$47)</f>
        <v>1690922.89273566</v>
      </c>
      <c r="CL77" s="13" t="n">
        <f aca="false">IF(OR(84=0,Calendario!CL$8=1),CL$47,CK$77+CL$47)</f>
        <v>1844570.2164967</v>
      </c>
      <c r="CM77" s="13" t="n">
        <f aca="false">IF(OR(85=0,Calendario!CM$8=1),CM$47,CL$77+CM$47)</f>
        <v>158607.870849024</v>
      </c>
      <c r="CN77" s="13" t="n">
        <f aca="false">IF(OR(86=0,Calendario!CN$8=1),CN$47,CM$77+CN$47)</f>
        <v>316405.549803803</v>
      </c>
      <c r="CO77" s="13" t="n">
        <f aca="false">IF(OR(87=0,Calendario!CO$8=1),CO$47,CN$77+CO$47)</f>
        <v>474203.228758581</v>
      </c>
      <c r="CP77" s="13" t="n">
        <f aca="false">IF(OR(88=0,Calendario!CP$8=1),CP$47,CO$77+CP$47)</f>
        <v>632000.90771336</v>
      </c>
      <c r="CQ77" s="13" t="n">
        <f aca="false">IF(OR(89=0,Calendario!CQ$8=1),CQ$47,CP$77+CQ$47)</f>
        <v>789798.586668138</v>
      </c>
      <c r="CR77" s="13" t="n">
        <f aca="false">IF(OR(90=0,Calendario!CR$8=1),CR$47,CQ$77+CR$47)</f>
        <v>947596.265622916</v>
      </c>
      <c r="CS77" s="13" t="n">
        <f aca="false">IF(OR(91=0,Calendario!CS$8=1),CS$47,CR$77+CS$47)</f>
        <v>1105393.94457769</v>
      </c>
      <c r="CT77" s="13" t="n">
        <f aca="false">IF(OR(92=0,Calendario!CT$8=1),CT$47,CS$77+CT$47)</f>
        <v>1263191.62353247</v>
      </c>
      <c r="CU77" s="13" t="n">
        <f aca="false">IF(OR(93=0,Calendario!CU$8=1),CU$47,CT$77+CU$47)</f>
        <v>1420989.30248725</v>
      </c>
      <c r="CV77" s="13" t="n">
        <f aca="false">IF(OR(94=0,Calendario!CV$8=1),CV$47,CU$77+CV$47)</f>
        <v>1578786.98144203</v>
      </c>
      <c r="CW77" s="13" t="n">
        <f aca="false">IF(OR(95=0,Calendario!CW$8=1),CW$47,CV$77+CW$47)</f>
        <v>1736584.66039681</v>
      </c>
      <c r="CX77" s="13" t="n">
        <f aca="false">IF(OR(96=0,Calendario!CX$8=1),CX$47,CW$77+CX$47)</f>
        <v>1894382.33935159</v>
      </c>
      <c r="CY77" s="13" t="n">
        <f aca="false">IF(OR(97=0,Calendario!CY$8=1),CY$47,CX$77+CY$47)</f>
        <v>162795.451186609</v>
      </c>
      <c r="CZ77" s="13" t="n">
        <f aca="false">IF(OR(98=0,Calendario!CZ$8=1),CZ$47,CY$77+CZ$47)</f>
        <v>324772.771343591</v>
      </c>
      <c r="DA77" s="13" t="n">
        <f aca="false">IF(OR(99=0,Calendario!DA$8=1),DA$47,CZ$77+DA$47)</f>
        <v>486750.091500573</v>
      </c>
      <c r="DB77" s="13" t="n">
        <f aca="false">IF(OR(100=0,Calendario!DB$8=1),DB$47,DA$77+DB$47)</f>
        <v>648727.411657555</v>
      </c>
      <c r="DC77" s="13" t="n">
        <f aca="false">IF(OR(101=0,Calendario!DC$8=1),DC$47,DB$77+DC$47)</f>
        <v>810704.731814537</v>
      </c>
      <c r="DD77" s="13" t="n">
        <f aca="false">IF(OR(102=0,Calendario!DD$8=1),DD$47,DC$77+DD$47)</f>
        <v>972682.051971518</v>
      </c>
      <c r="DE77" s="13" t="n">
        <f aca="false">IF(OR(103=0,Calendario!DE$8=1),DE$47,DD$77+DE$47)</f>
        <v>1134659.3721285</v>
      </c>
      <c r="DF77" s="13" t="n">
        <f aca="false">IF(OR(104=0,Calendario!DF$8=1),DF$47,DE$77+DF$47)</f>
        <v>1296636.69228548</v>
      </c>
      <c r="DG77" s="13" t="n">
        <f aca="false">IF(OR(105=0,Calendario!DG$8=1),DG$47,DF$77+DG$47)</f>
        <v>1458614.01244246</v>
      </c>
      <c r="DH77" s="13" t="n">
        <f aca="false">IF(OR(106=0,Calendario!DH$8=1),DH$47,DG$77+DH$47)</f>
        <v>1620591.33259945</v>
      </c>
      <c r="DI77" s="13" t="n">
        <f aca="false">IF(OR(107=0,Calendario!DI$8=1),DI$47,DH$77+DI$47)</f>
        <v>1782568.65275643</v>
      </c>
      <c r="DJ77" s="13" t="n">
        <f aca="false">IF(OR(108=0,Calendario!DJ$8=1),DJ$47,DI$77+DJ$47)</f>
        <v>1944545.97291341</v>
      </c>
      <c r="DK77" s="13" t="n">
        <f aca="false">IF(OR(109=0,Calendario!DK$8=1),DK$47,DJ$77+DK$47)</f>
        <v>167012.307661097</v>
      </c>
      <c r="DL77" s="13" t="n">
        <f aca="false">IF(OR(110=0,Calendario!DL$8=1),DL$47,DK$77+DL$47)</f>
        <v>333198.465765832</v>
      </c>
      <c r="DM77" s="13" t="n">
        <f aca="false">IF(OR(111=0,Calendario!DM$8=1),DM$47,DL$77+DM$47)</f>
        <v>499384.623870568</v>
      </c>
      <c r="DN77" s="13" t="n">
        <f aca="false">IF(OR(112=0,Calendario!DN$8=1),DN$47,DM$77+DN$47)</f>
        <v>665570.781975304</v>
      </c>
      <c r="DO77" s="13" t="n">
        <f aca="false">IF(OR(113=0,Calendario!DO$8=1),DO$47,DN$77+DO$47)</f>
        <v>831756.940080039</v>
      </c>
      <c r="DP77" s="13" t="n">
        <f aca="false">IF(OR(114=0,Calendario!DP$8=1),DP$47,DO$77+DP$47)</f>
        <v>997943.098184775</v>
      </c>
      <c r="DQ77" s="13" t="n">
        <f aca="false">IF(OR(115=0,Calendario!DQ$8=1),DQ$47,DP$77+DQ$47)</f>
        <v>1164129.25628951</v>
      </c>
      <c r="DR77" s="13" t="n">
        <f aca="false">IF(OR(116=0,Calendario!DR$8=1),DR$47,DQ$77+DR$47)</f>
        <v>1330315.41439425</v>
      </c>
      <c r="DS77" s="13" t="n">
        <f aca="false">IF(OR(117=0,Calendario!DS$8=1),DS$47,DR$77+DS$47)</f>
        <v>1496501.57249898</v>
      </c>
      <c r="DT77" s="13" t="n">
        <f aca="false">IF(OR(118=0,Calendario!DT$8=1),DT$47,DS$77+DT$47)</f>
        <v>1662687.73060372</v>
      </c>
      <c r="DU77" s="13" t="n">
        <f aca="false">IF(OR(119=0,Calendario!DU$8=1),DU$47,DT$77+DU$47)</f>
        <v>1828873.88870845</v>
      </c>
      <c r="DV77" s="13" t="n">
        <f aca="false">IF(OR(120=0,Calendario!DV$8=1),DV$47,DU$77+DV$47)</f>
        <v>1981009.29148202</v>
      </c>
      <c r="DW77" s="13" t="n">
        <f aca="false">IF(OR(121=0,Calendario!DW$8=1),DW$47,DV$77+DW$47)</f>
        <v>0</v>
      </c>
      <c r="DX77" s="13" t="n">
        <f aca="false">IF(OR(122=0,Calendario!DX$8=1),DX$47,DW$77+DX$47)</f>
        <v>0</v>
      </c>
      <c r="DY77" s="13" t="n">
        <f aca="false">IF(OR(123=0,Calendario!DY$8=1),DY$47,DX$77+DY$47)</f>
        <v>0</v>
      </c>
      <c r="DZ77" s="13" t="n">
        <f aca="false">IF(OR(124=0,Calendario!DZ$8=1),DZ$47,DY$77+DZ$47)</f>
        <v>0</v>
      </c>
      <c r="EA77" s="13" t="n">
        <f aca="false">IF(OR(125=0,Calendario!EA$8=1),EA$47,DZ$77+EA$47)</f>
        <v>0</v>
      </c>
      <c r="EB77" s="13" t="n">
        <f aca="false">IF(OR(126=0,Calendario!EB$8=1),EB$47,EA$77+EB$47)</f>
        <v>0</v>
      </c>
      <c r="EC77" s="13" t="n">
        <f aca="false">IF(OR(127=0,Calendario!EC$8=1),EC$47,EB$77+EC$47)</f>
        <v>0</v>
      </c>
      <c r="ED77" s="13" t="n">
        <f aca="false">IF(OR(128=0,Calendario!ED$8=1),ED$47,EC$77+ED$47)</f>
        <v>0</v>
      </c>
      <c r="EE77" s="13" t="n">
        <f aca="false">IF(OR(129=0,Calendario!EE$8=1),EE$47,ED$77+EE$47)</f>
        <v>0</v>
      </c>
      <c r="EF77" s="13" t="n">
        <f aca="false">IF(OR(130=0,Calendario!EF$8=1),EF$47,EE$77+EF$47)</f>
        <v>0</v>
      </c>
      <c r="EG77" s="13" t="n">
        <f aca="false">IF(OR(131=0,Calendario!EG$8=1),EG$47,EF$77+EG$47)</f>
        <v>0</v>
      </c>
      <c r="EH77" s="13" t="n">
        <f aca="false">IF(OR(132=0,Calendario!EH$8=1),EH$47,EG$77+EH$47)</f>
        <v>0</v>
      </c>
      <c r="EI77" s="13" t="n">
        <f aca="false">IF(OR(133=0,Calendario!EI$8=1),EI$47,EH$77+EI$47)</f>
        <v>0</v>
      </c>
      <c r="EJ77" s="13" t="n">
        <f aca="false">IF(OR(134=0,Calendario!EJ$8=1),EJ$47,EI$77+EJ$47)</f>
        <v>0</v>
      </c>
      <c r="EK77" s="13" t="n">
        <f aca="false">IF(OR(135=0,Calendario!EK$8=1),EK$47,EJ$77+EK$47)</f>
        <v>0</v>
      </c>
      <c r="EL77" s="13" t="n">
        <f aca="false">IF(OR(136=0,Calendario!EL$8=1),EL$47,EK$77+EL$47)</f>
        <v>0</v>
      </c>
      <c r="EM77" s="13" t="n">
        <f aca="false">IF(OR(137=0,Calendario!EM$8=1),EM$47,EL$77+EM$47)</f>
        <v>0</v>
      </c>
      <c r="EN77" s="13" t="n">
        <f aca="false">IF(OR(138=0,Calendario!EN$8=1),EN$47,EM$77+EN$47)</f>
        <v>0</v>
      </c>
      <c r="EO77" s="13" t="n">
        <f aca="false">IF(OR(139=0,Calendario!EO$8=1),EO$47,EN$77+EO$47)</f>
        <v>0</v>
      </c>
      <c r="EP77" s="13" t="n">
        <f aca="false">IF(OR(140=0,Calendario!EP$8=1),EP$47,EO$77+EP$47)</f>
        <v>0</v>
      </c>
      <c r="EQ77" s="13" t="n">
        <f aca="false">IF(OR(141=0,Calendario!EQ$8=1),EQ$47,EP$77+EQ$47)</f>
        <v>0</v>
      </c>
      <c r="ER77" s="13" t="n">
        <f aca="false">IF(OR(142=0,Calendario!ER$8=1),ER$47,EQ$77+ER$47)</f>
        <v>0</v>
      </c>
      <c r="ES77" s="13" t="n">
        <f aca="false">IF(OR(143=0,Calendario!ES$8=1),ES$47,ER$77+ES$47)</f>
        <v>0</v>
      </c>
      <c r="ET77" s="13" t="n">
        <f aca="false">IF(OR(144=0,Calendario!ET$8=1),ET$47,ES$77+ET$47)</f>
        <v>0</v>
      </c>
      <c r="EU77" s="13" t="n">
        <f aca="false">IF(OR(145=0,Calendario!EU$8=1),EU$47,ET$77+EU$47)</f>
        <v>0</v>
      </c>
      <c r="EV77" s="13" t="n">
        <f aca="false">IF(OR(146=0,Calendario!EV$8=1),EV$47,EU$77+EV$47)</f>
        <v>0</v>
      </c>
      <c r="EW77" s="13" t="n">
        <f aca="false">IF(OR(147=0,Calendario!EW$8=1),EW$47,EV$77+EW$47)</f>
        <v>0</v>
      </c>
      <c r="EX77" s="13" t="n">
        <f aca="false">IF(OR(148=0,Calendario!EX$8=1),EX$47,EW$77+EX$47)</f>
        <v>0</v>
      </c>
      <c r="EY77" s="13" t="n">
        <f aca="false">IF(OR(149=0,Calendario!EY$8=1),EY$47,EX$77+EY$47)</f>
        <v>0</v>
      </c>
      <c r="EZ77" s="13" t="n">
        <f aca="false">IF(OR(150=0,Calendario!EZ$8=1),EZ$47,EY$77+EZ$47)</f>
        <v>0</v>
      </c>
      <c r="FA77" s="13" t="n">
        <f aca="false">IF(OR(151=0,Calendario!FA$8=1),FA$47,EZ$77+FA$47)</f>
        <v>0</v>
      </c>
      <c r="FB77" s="13" t="n">
        <f aca="false">IF(OR(152=0,Calendario!FB$8=1),FB$47,FA$77+FB$47)</f>
        <v>0</v>
      </c>
      <c r="FC77" s="13" t="n">
        <f aca="false">IF(OR(153=0,Calendario!FC$8=1),FC$47,FB$77+FC$47)</f>
        <v>0</v>
      </c>
      <c r="FD77" s="13" t="n">
        <f aca="false">IF(OR(154=0,Calendario!FD$8=1),FD$47,FC$77+FD$47)</f>
        <v>0</v>
      </c>
      <c r="FE77" s="13" t="n">
        <f aca="false">IF(OR(155=0,Calendario!FE$8=1),FE$47,FD$77+FE$47)</f>
        <v>0</v>
      </c>
      <c r="FF77" s="13" t="n">
        <f aca="false">IF(OR(156=0,Calendario!FF$8=1),FF$47,FE$77+FF$47)</f>
        <v>0</v>
      </c>
    </row>
    <row r="78" customFormat="false" ht="15" hidden="false" customHeight="false" outlineLevel="0" collapsed="false">
      <c r="A78" s="2" t="s">
        <v>1565</v>
      </c>
      <c r="B78" s="8" t="s">
        <v>1566</v>
      </c>
      <c r="C78" s="8" t="s">
        <v>255</v>
      </c>
      <c r="E78" s="65" t="n">
        <f aca="false">SUM($F78:$FF78)</f>
        <v>12306126.3969513</v>
      </c>
      <c r="F78" s="13" t="n">
        <f aca="false">IF(Calendario!F$9=1,MAX(0,MIN(INDEX(p_Payout,MIN(13,Calendario!F$7))*F$77,0+F$47)),0)</f>
        <v>0</v>
      </c>
      <c r="G78" s="13" t="n">
        <f aca="false">IF(Calendario!G$9=1,MAX(0,MIN(INDEX(p_Payout,MIN(13,Calendario!G$7))*G$77,F$79+G$47)),0)</f>
        <v>0</v>
      </c>
      <c r="H78" s="13" t="n">
        <f aca="false">IF(Calendario!H$9=1,MAX(0,MIN(INDEX(p_Payout,MIN(13,Calendario!H$7))*H$77,G$79+H$47)),0)</f>
        <v>0</v>
      </c>
      <c r="I78" s="13" t="n">
        <f aca="false">IF(Calendario!I$9=1,MAX(0,MIN(INDEX(p_Payout,MIN(13,Calendario!I$7))*I$77,H$79+I$47)),0)</f>
        <v>0</v>
      </c>
      <c r="J78" s="13" t="n">
        <f aca="false">IF(Calendario!J$9=1,MAX(0,MIN(INDEX(p_Payout,MIN(13,Calendario!J$7))*J$77,I$79+J$47)),0)</f>
        <v>0</v>
      </c>
      <c r="K78" s="13" t="n">
        <f aca="false">IF(Calendario!K$9=1,MAX(0,MIN(INDEX(p_Payout,MIN(13,Calendario!K$7))*K$77,J$79+K$47)),0)</f>
        <v>0</v>
      </c>
      <c r="L78" s="13" t="n">
        <f aca="false">IF(Calendario!L$9=1,MAX(0,MIN(INDEX(p_Payout,MIN(13,Calendario!L$7))*L$77,K$79+L$47)),0)</f>
        <v>0</v>
      </c>
      <c r="M78" s="13" t="n">
        <f aca="false">IF(Calendario!M$9=1,MAX(0,MIN(INDEX(p_Payout,MIN(13,Calendario!M$7))*M$77,L$79+M$47)),0)</f>
        <v>0</v>
      </c>
      <c r="N78" s="13" t="n">
        <f aca="false">IF(Calendario!N$9=1,MAX(0,MIN(INDEX(p_Payout,MIN(13,Calendario!N$7))*N$77,M$79+N$47)),0)</f>
        <v>0</v>
      </c>
      <c r="O78" s="13" t="n">
        <f aca="false">IF(Calendario!O$9=1,MAX(0,MIN(INDEX(p_Payout,MIN(13,Calendario!O$7))*O$77,N$79+O$47)),0)</f>
        <v>0</v>
      </c>
      <c r="P78" s="13" t="n">
        <f aca="false">IF(Calendario!P$9=1,MAX(0,MIN(INDEX(p_Payout,MIN(13,Calendario!P$7))*P$77,O$79+P$47)),0)</f>
        <v>0</v>
      </c>
      <c r="Q78" s="13" t="n">
        <f aca="false">IF(Calendario!Q$9=1,MAX(0,MIN(INDEX(p_Payout,MIN(13,Calendario!Q$7))*Q$77,P$79+Q$47)),0)</f>
        <v>0</v>
      </c>
      <c r="R78" s="13" t="n">
        <f aca="false">IF(Calendario!R$9=1,MAX(0,MIN(INDEX(p_Payout,MIN(13,Calendario!R$7))*R$77,Q$79+R$47)),0)</f>
        <v>0</v>
      </c>
      <c r="S78" s="13" t="n">
        <f aca="false">IF(Calendario!S$9=1,MAX(0,MIN(INDEX(p_Payout,MIN(13,Calendario!S$7))*S$77,R$79+S$47)),0)</f>
        <v>0</v>
      </c>
      <c r="T78" s="13" t="n">
        <f aca="false">IF(Calendario!T$9=1,MAX(0,MIN(INDEX(p_Payout,MIN(13,Calendario!T$7))*T$77,S$79+T$47)),0)</f>
        <v>0</v>
      </c>
      <c r="U78" s="13" t="n">
        <f aca="false">IF(Calendario!U$9=1,MAX(0,MIN(INDEX(p_Payout,MIN(13,Calendario!U$7))*U$77,T$79+U$47)),0)</f>
        <v>0</v>
      </c>
      <c r="V78" s="13" t="n">
        <f aca="false">IF(Calendario!V$9=1,MAX(0,MIN(INDEX(p_Payout,MIN(13,Calendario!V$7))*V$77,U$79+V$47)),0)</f>
        <v>0</v>
      </c>
      <c r="W78" s="13" t="n">
        <f aca="false">IF(Calendario!W$9=1,MAX(0,MIN(INDEX(p_Payout,MIN(13,Calendario!W$7))*W$77,V$79+W$47)),0)</f>
        <v>0</v>
      </c>
      <c r="X78" s="13" t="n">
        <f aca="false">IF(Calendario!X$9=1,MAX(0,MIN(INDEX(p_Payout,MIN(13,Calendario!X$7))*X$77,W$79+X$47)),0)</f>
        <v>0</v>
      </c>
      <c r="Y78" s="13" t="n">
        <f aca="false">IF(Calendario!Y$9=1,MAX(0,MIN(INDEX(p_Payout,MIN(13,Calendario!Y$7))*Y$77,X$79+Y$47)),0)</f>
        <v>0</v>
      </c>
      <c r="Z78" s="13" t="n">
        <f aca="false">IF(Calendario!Z$9=1,MAX(0,MIN(INDEX(p_Payout,MIN(13,Calendario!Z$7))*Z$77,Y$79+Z$47)),0)</f>
        <v>0</v>
      </c>
      <c r="AA78" s="13" t="n">
        <f aca="false">IF(Calendario!AA$9=1,MAX(0,MIN(INDEX(p_Payout,MIN(13,Calendario!AA$7))*AA$77,Z$79+AA$47)),0)</f>
        <v>0</v>
      </c>
      <c r="AB78" s="13" t="n">
        <f aca="false">IF(Calendario!AB$9=1,MAX(0,MIN(INDEX(p_Payout,MIN(13,Calendario!AB$7))*AB$77,AA$79+AB$47)),0)</f>
        <v>0</v>
      </c>
      <c r="AC78" s="13" t="n">
        <f aca="false">IF(Calendario!AC$9=1,MAX(0,MIN(INDEX(p_Payout,MIN(13,Calendario!AC$7))*AC$77,AB$79+AC$47)),0)</f>
        <v>0</v>
      </c>
      <c r="AD78" s="13" t="n">
        <f aca="false">IF(Calendario!AD$9=1,MAX(0,MIN(INDEX(p_Payout,MIN(13,Calendario!AD$7))*AD$77,AC$79+AD$47)),0)</f>
        <v>0</v>
      </c>
      <c r="AE78" s="13" t="n">
        <f aca="false">IF(Calendario!AE$9=1,MAX(0,MIN(INDEX(p_Payout,MIN(13,Calendario!AE$7))*AE$77,AD$79+AE$47)),0)</f>
        <v>0</v>
      </c>
      <c r="AF78" s="13" t="n">
        <f aca="false">IF(Calendario!AF$9=1,MAX(0,MIN(INDEX(p_Payout,MIN(13,Calendario!AF$7))*AF$77,AE$79+AF$47)),0)</f>
        <v>0</v>
      </c>
      <c r="AG78" s="13" t="n">
        <f aca="false">IF(Calendario!AG$9=1,MAX(0,MIN(INDEX(p_Payout,MIN(13,Calendario!AG$7))*AG$77,AF$79+AG$47)),0)</f>
        <v>0</v>
      </c>
      <c r="AH78" s="13" t="n">
        <f aca="false">IF(Calendario!AH$9=1,MAX(0,MIN(INDEX(p_Payout,MIN(13,Calendario!AH$7))*AH$77,AG$79+AH$47)),0)</f>
        <v>0</v>
      </c>
      <c r="AI78" s="13" t="n">
        <f aca="false">IF(Calendario!AI$9=1,MAX(0,MIN(INDEX(p_Payout,MIN(13,Calendario!AI$7))*AI$77,AH$79+AI$47)),0)</f>
        <v>0</v>
      </c>
      <c r="AJ78" s="13" t="n">
        <f aca="false">IF(Calendario!AJ$9=1,MAX(0,MIN(INDEX(p_Payout,MIN(13,Calendario!AJ$7))*AJ$77,AI$79+AJ$47)),0)</f>
        <v>0</v>
      </c>
      <c r="AK78" s="13" t="n">
        <f aca="false">IF(Calendario!AK$9=1,MAX(0,MIN(INDEX(p_Payout,MIN(13,Calendario!AK$7))*AK$77,AJ$79+AK$47)),0)</f>
        <v>0</v>
      </c>
      <c r="AL78" s="13" t="n">
        <f aca="false">IF(Calendario!AL$9=1,MAX(0,MIN(INDEX(p_Payout,MIN(13,Calendario!AL$7))*AL$77,AK$79+AL$47)),0)</f>
        <v>0</v>
      </c>
      <c r="AM78" s="13" t="n">
        <f aca="false">IF(Calendario!AM$9=1,MAX(0,MIN(INDEX(p_Payout,MIN(13,Calendario!AM$7))*AM$77,AL$79+AM$47)),0)</f>
        <v>0</v>
      </c>
      <c r="AN78" s="13" t="n">
        <f aca="false">IF(Calendario!AN$9=1,MAX(0,MIN(INDEX(p_Payout,MIN(13,Calendario!AN$7))*AN$77,AM$79+AN$47)),0)</f>
        <v>0</v>
      </c>
      <c r="AO78" s="13" t="n">
        <f aca="false">IF(Calendario!AO$9=1,MAX(0,MIN(INDEX(p_Payout,MIN(13,Calendario!AO$7))*AO$77,AN$79+AO$47)),0)</f>
        <v>0</v>
      </c>
      <c r="AP78" s="13" t="n">
        <f aca="false">IF(Calendario!AP$9=1,MAX(0,MIN(INDEX(p_Payout,MIN(13,Calendario!AP$7))*AP$77,AO$79+AP$47)),0)</f>
        <v>346206.012885793</v>
      </c>
      <c r="AQ78" s="13" t="n">
        <f aca="false">IF(Calendario!AQ$9=1,MAX(0,MIN(INDEX(p_Payout,MIN(13,Calendario!AQ$7))*AQ$77,AP$79+AQ$47)),0)</f>
        <v>0</v>
      </c>
      <c r="AR78" s="13" t="n">
        <f aca="false">IF(Calendario!AR$9=1,MAX(0,MIN(INDEX(p_Payout,MIN(13,Calendario!AR$7))*AR$77,AQ$79+AR$47)),0)</f>
        <v>0</v>
      </c>
      <c r="AS78" s="13" t="n">
        <f aca="false">IF(Calendario!AS$9=1,MAX(0,MIN(INDEX(p_Payout,MIN(13,Calendario!AS$7))*AS$77,AR$79+AS$47)),0)</f>
        <v>0</v>
      </c>
      <c r="AT78" s="13" t="n">
        <f aca="false">IF(Calendario!AT$9=1,MAX(0,MIN(INDEX(p_Payout,MIN(13,Calendario!AT$7))*AT$77,AS$79+AT$47)),0)</f>
        <v>0</v>
      </c>
      <c r="AU78" s="13" t="n">
        <f aca="false">IF(Calendario!AU$9=1,MAX(0,MIN(INDEX(p_Payout,MIN(13,Calendario!AU$7))*AU$77,AT$79+AU$47)),0)</f>
        <v>0</v>
      </c>
      <c r="AV78" s="13" t="n">
        <f aca="false">IF(Calendario!AV$9=1,MAX(0,MIN(INDEX(p_Payout,MIN(13,Calendario!AV$7))*AV$77,AU$79+AV$47)),0)</f>
        <v>0</v>
      </c>
      <c r="AW78" s="13" t="n">
        <f aca="false">IF(Calendario!AW$9=1,MAX(0,MIN(INDEX(p_Payout,MIN(13,Calendario!AW$7))*AW$77,AV$79+AW$47)),0)</f>
        <v>0</v>
      </c>
      <c r="AX78" s="13" t="n">
        <f aca="false">IF(Calendario!AX$9=1,MAX(0,MIN(INDEX(p_Payout,MIN(13,Calendario!AX$7))*AX$77,AW$79+AX$47)),0)</f>
        <v>0</v>
      </c>
      <c r="AY78" s="13" t="n">
        <f aca="false">IF(Calendario!AY$9=1,MAX(0,MIN(INDEX(p_Payout,MIN(13,Calendario!AY$7))*AY$77,AX$79+AY$47)),0)</f>
        <v>0</v>
      </c>
      <c r="AZ78" s="13" t="n">
        <f aca="false">IF(Calendario!AZ$9=1,MAX(0,MIN(INDEX(p_Payout,MIN(13,Calendario!AZ$7))*AZ$77,AY$79+AZ$47)),0)</f>
        <v>0</v>
      </c>
      <c r="BA78" s="13" t="n">
        <f aca="false">IF(Calendario!BA$9=1,MAX(0,MIN(INDEX(p_Payout,MIN(13,Calendario!BA$7))*BA$77,AZ$79+BA$47)),0)</f>
        <v>0</v>
      </c>
      <c r="BB78" s="13" t="n">
        <f aca="false">IF(Calendario!BB$9=1,MAX(0,MIN(INDEX(p_Payout,MIN(13,Calendario!BB$7))*BB$77,BA$79+BB$47)),0)</f>
        <v>804813.822412189</v>
      </c>
      <c r="BC78" s="13" t="n">
        <f aca="false">IF(Calendario!BC$9=1,MAX(0,MIN(INDEX(p_Payout,MIN(13,Calendario!BC$7))*BC$77,BB$79+BC$47)),0)</f>
        <v>0</v>
      </c>
      <c r="BD78" s="13" t="n">
        <f aca="false">IF(Calendario!BD$9=1,MAX(0,MIN(INDEX(p_Payout,MIN(13,Calendario!BD$7))*BD$77,BC$79+BD$47)),0)</f>
        <v>0</v>
      </c>
      <c r="BE78" s="13" t="n">
        <f aca="false">IF(Calendario!BE$9=1,MAX(0,MIN(INDEX(p_Payout,MIN(13,Calendario!BE$7))*BE$77,BD$79+BE$47)),0)</f>
        <v>0</v>
      </c>
      <c r="BF78" s="13" t="n">
        <f aca="false">IF(Calendario!BF$9=1,MAX(0,MIN(INDEX(p_Payout,MIN(13,Calendario!BF$7))*BF$77,BE$79+BF$47)),0)</f>
        <v>0</v>
      </c>
      <c r="BG78" s="13" t="n">
        <f aca="false">IF(Calendario!BG$9=1,MAX(0,MIN(INDEX(p_Payout,MIN(13,Calendario!BG$7))*BG$77,BF$79+BG$47)),0)</f>
        <v>0</v>
      </c>
      <c r="BH78" s="13" t="n">
        <f aca="false">IF(Calendario!BH$9=1,MAX(0,MIN(INDEX(p_Payout,MIN(13,Calendario!BH$7))*BH$77,BG$79+BH$47)),0)</f>
        <v>0</v>
      </c>
      <c r="BI78" s="13" t="n">
        <f aca="false">IF(Calendario!BI$9=1,MAX(0,MIN(INDEX(p_Payout,MIN(13,Calendario!BI$7))*BI$77,BH$79+BI$47)),0)</f>
        <v>0</v>
      </c>
      <c r="BJ78" s="13" t="n">
        <f aca="false">IF(Calendario!BJ$9=1,MAX(0,MIN(INDEX(p_Payout,MIN(13,Calendario!BJ$7))*BJ$77,BI$79+BJ$47)),0)</f>
        <v>0</v>
      </c>
      <c r="BK78" s="13" t="n">
        <f aca="false">IF(Calendario!BK$9=1,MAX(0,MIN(INDEX(p_Payout,MIN(13,Calendario!BK$7))*BK$77,BJ$79+BK$47)),0)</f>
        <v>0</v>
      </c>
      <c r="BL78" s="13" t="n">
        <f aca="false">IF(Calendario!BL$9=1,MAX(0,MIN(INDEX(p_Payout,MIN(13,Calendario!BL$7))*BL$77,BK$79+BL$47)),0)</f>
        <v>0</v>
      </c>
      <c r="BM78" s="13" t="n">
        <f aca="false">IF(Calendario!BM$9=1,MAX(0,MIN(INDEX(p_Payout,MIN(13,Calendario!BM$7))*BM$77,BL$79+BM$47)),0)</f>
        <v>0</v>
      </c>
      <c r="BN78" s="13" t="n">
        <f aca="false">IF(Calendario!BN$9=1,MAX(0,MIN(INDEX(p_Payout,MIN(13,Calendario!BN$7))*BN$77,BM$79+BN$47)),0)</f>
        <v>1695488.20952483</v>
      </c>
      <c r="BO78" s="13" t="n">
        <f aca="false">IF(Calendario!BO$9=1,MAX(0,MIN(INDEX(p_Payout,MIN(13,Calendario!BO$7))*BO$77,BN$79+BO$47)),0)</f>
        <v>0</v>
      </c>
      <c r="BP78" s="13" t="n">
        <f aca="false">IF(Calendario!BP$9=1,MAX(0,MIN(INDEX(p_Payout,MIN(13,Calendario!BP$7))*BP$77,BO$79+BP$47)),0)</f>
        <v>0</v>
      </c>
      <c r="BQ78" s="13" t="n">
        <f aca="false">IF(Calendario!BQ$9=1,MAX(0,MIN(INDEX(p_Payout,MIN(13,Calendario!BQ$7))*BQ$77,BP$79+BQ$47)),0)</f>
        <v>0</v>
      </c>
      <c r="BR78" s="13" t="n">
        <f aca="false">IF(Calendario!BR$9=1,MAX(0,MIN(INDEX(p_Payout,MIN(13,Calendario!BR$7))*BR$77,BQ$79+BR$47)),0)</f>
        <v>0</v>
      </c>
      <c r="BS78" s="13" t="n">
        <f aca="false">IF(Calendario!BS$9=1,MAX(0,MIN(INDEX(p_Payout,MIN(13,Calendario!BS$7))*BS$77,BR$79+BS$47)),0)</f>
        <v>0</v>
      </c>
      <c r="BT78" s="13" t="n">
        <f aca="false">IF(Calendario!BT$9=1,MAX(0,MIN(INDEX(p_Payout,MIN(13,Calendario!BT$7))*BT$77,BS$79+BT$47)),0)</f>
        <v>0</v>
      </c>
      <c r="BU78" s="13" t="n">
        <f aca="false">IF(Calendario!BU$9=1,MAX(0,MIN(INDEX(p_Payout,MIN(13,Calendario!BU$7))*BU$77,BT$79+BU$47)),0)</f>
        <v>0</v>
      </c>
      <c r="BV78" s="13" t="n">
        <f aca="false">IF(Calendario!BV$9=1,MAX(0,MIN(INDEX(p_Payout,MIN(13,Calendario!BV$7))*BV$77,BU$79+BV$47)),0)</f>
        <v>0</v>
      </c>
      <c r="BW78" s="13" t="n">
        <f aca="false">IF(Calendario!BW$9=1,MAX(0,MIN(INDEX(p_Payout,MIN(13,Calendario!BW$7))*BW$77,BV$79+BW$47)),0)</f>
        <v>0</v>
      </c>
      <c r="BX78" s="13" t="n">
        <f aca="false">IF(Calendario!BX$9=1,MAX(0,MIN(INDEX(p_Payout,MIN(13,Calendario!BX$7))*BX$77,BW$79+BX$47)),0)</f>
        <v>0</v>
      </c>
      <c r="BY78" s="13" t="n">
        <f aca="false">IF(Calendario!BY$9=1,MAX(0,MIN(INDEX(p_Payout,MIN(13,Calendario!BY$7))*BY$77,BX$79+BY$47)),0)</f>
        <v>0</v>
      </c>
      <c r="BZ78" s="13" t="n">
        <f aca="false">IF(Calendario!BZ$9=1,MAX(0,MIN(INDEX(p_Payout,MIN(13,Calendario!BZ$7))*BZ$77,BY$79+BZ$47)),0)</f>
        <v>1795110.53188481</v>
      </c>
      <c r="CA78" s="13" t="n">
        <f aca="false">IF(Calendario!CA$9=1,MAX(0,MIN(INDEX(p_Payout,MIN(13,Calendario!CA$7))*CA$77,BZ$79+CA$47)),0)</f>
        <v>0</v>
      </c>
      <c r="CB78" s="13" t="n">
        <f aca="false">IF(Calendario!CB$9=1,MAX(0,MIN(INDEX(p_Payout,MIN(13,Calendario!CB$7))*CB$77,CA$79+CB$47)),0)</f>
        <v>0</v>
      </c>
      <c r="CC78" s="13" t="n">
        <f aca="false">IF(Calendario!CC$9=1,MAX(0,MIN(INDEX(p_Payout,MIN(13,Calendario!CC$7))*CC$77,CB$79+CC$47)),0)</f>
        <v>0</v>
      </c>
      <c r="CD78" s="13" t="n">
        <f aca="false">IF(Calendario!CD$9=1,MAX(0,MIN(INDEX(p_Payout,MIN(13,Calendario!CD$7))*CD$77,CC$79+CD$47)),0)</f>
        <v>0</v>
      </c>
      <c r="CE78" s="13" t="n">
        <f aca="false">IF(Calendario!CE$9=1,MAX(0,MIN(INDEX(p_Payout,MIN(13,Calendario!CE$7))*CE$77,CD$79+CE$47)),0)</f>
        <v>0</v>
      </c>
      <c r="CF78" s="13" t="n">
        <f aca="false">IF(Calendario!CF$9=1,MAX(0,MIN(INDEX(p_Payout,MIN(13,Calendario!CF$7))*CF$77,CE$79+CF$47)),0)</f>
        <v>0</v>
      </c>
      <c r="CG78" s="13" t="n">
        <f aca="false">IF(Calendario!CG$9=1,MAX(0,MIN(INDEX(p_Payout,MIN(13,Calendario!CG$7))*CG$77,CF$79+CG$47)),0)</f>
        <v>0</v>
      </c>
      <c r="CH78" s="13" t="n">
        <f aca="false">IF(Calendario!CH$9=1,MAX(0,MIN(INDEX(p_Payout,MIN(13,Calendario!CH$7))*CH$77,CG$79+CH$47)),0)</f>
        <v>0</v>
      </c>
      <c r="CI78" s="13" t="n">
        <f aca="false">IF(Calendario!CI$9=1,MAX(0,MIN(INDEX(p_Payout,MIN(13,Calendario!CI$7))*CI$77,CH$79+CI$47)),0)</f>
        <v>0</v>
      </c>
      <c r="CJ78" s="13" t="n">
        <f aca="false">IF(Calendario!CJ$9=1,MAX(0,MIN(INDEX(p_Payout,MIN(13,Calendario!CJ$7))*CJ$77,CI$79+CJ$47)),0)</f>
        <v>0</v>
      </c>
      <c r="CK78" s="13" t="n">
        <f aca="false">IF(Calendario!CK$9=1,MAX(0,MIN(INDEX(p_Payout,MIN(13,Calendario!CK$7))*CK$77,CJ$79+CK$47)),0)</f>
        <v>0</v>
      </c>
      <c r="CL78" s="13" t="n">
        <f aca="false">IF(Calendario!CL$9=1,MAX(0,MIN(INDEX(p_Payout,MIN(13,Calendario!CL$7))*CL$77,CK$79+CL$47)),0)</f>
        <v>1844570.2164967</v>
      </c>
      <c r="CM78" s="13" t="n">
        <f aca="false">IF(Calendario!CM$9=1,MAX(0,MIN(INDEX(p_Payout,MIN(13,Calendario!CM$7))*CM$77,CL$79+CM$47)),0)</f>
        <v>0</v>
      </c>
      <c r="CN78" s="13" t="n">
        <f aca="false">IF(Calendario!CN$9=1,MAX(0,MIN(INDEX(p_Payout,MIN(13,Calendario!CN$7))*CN$77,CM$79+CN$47)),0)</f>
        <v>0</v>
      </c>
      <c r="CO78" s="13" t="n">
        <f aca="false">IF(Calendario!CO$9=1,MAX(0,MIN(INDEX(p_Payout,MIN(13,Calendario!CO$7))*CO$77,CN$79+CO$47)),0)</f>
        <v>0</v>
      </c>
      <c r="CP78" s="13" t="n">
        <f aca="false">IF(Calendario!CP$9=1,MAX(0,MIN(INDEX(p_Payout,MIN(13,Calendario!CP$7))*CP$77,CO$79+CP$47)),0)</f>
        <v>0</v>
      </c>
      <c r="CQ78" s="13" t="n">
        <f aca="false">IF(Calendario!CQ$9=1,MAX(0,MIN(INDEX(p_Payout,MIN(13,Calendario!CQ$7))*CQ$77,CP$79+CQ$47)),0)</f>
        <v>0</v>
      </c>
      <c r="CR78" s="13" t="n">
        <f aca="false">IF(Calendario!CR$9=1,MAX(0,MIN(INDEX(p_Payout,MIN(13,Calendario!CR$7))*CR$77,CQ$79+CR$47)),0)</f>
        <v>0</v>
      </c>
      <c r="CS78" s="13" t="n">
        <f aca="false">IF(Calendario!CS$9=1,MAX(0,MIN(INDEX(p_Payout,MIN(13,Calendario!CS$7))*CS$77,CR$79+CS$47)),0)</f>
        <v>0</v>
      </c>
      <c r="CT78" s="13" t="n">
        <f aca="false">IF(Calendario!CT$9=1,MAX(0,MIN(INDEX(p_Payout,MIN(13,Calendario!CT$7))*CT$77,CS$79+CT$47)),0)</f>
        <v>0</v>
      </c>
      <c r="CU78" s="13" t="n">
        <f aca="false">IF(Calendario!CU$9=1,MAX(0,MIN(INDEX(p_Payout,MIN(13,Calendario!CU$7))*CU$77,CT$79+CU$47)),0)</f>
        <v>0</v>
      </c>
      <c r="CV78" s="13" t="n">
        <f aca="false">IF(Calendario!CV$9=1,MAX(0,MIN(INDEX(p_Payout,MIN(13,Calendario!CV$7))*CV$77,CU$79+CV$47)),0)</f>
        <v>0</v>
      </c>
      <c r="CW78" s="13" t="n">
        <f aca="false">IF(Calendario!CW$9=1,MAX(0,MIN(INDEX(p_Payout,MIN(13,Calendario!CW$7))*CW$77,CV$79+CW$47)),0)</f>
        <v>0</v>
      </c>
      <c r="CX78" s="13" t="n">
        <f aca="false">IF(Calendario!CX$9=1,MAX(0,MIN(INDEX(p_Payout,MIN(13,Calendario!CX$7))*CX$77,CW$79+CX$47)),0)</f>
        <v>1894382.33935159</v>
      </c>
      <c r="CY78" s="13" t="n">
        <f aca="false">IF(Calendario!CY$9=1,MAX(0,MIN(INDEX(p_Payout,MIN(13,Calendario!CY$7))*CY$77,CX$79+CY$47)),0)</f>
        <v>0</v>
      </c>
      <c r="CZ78" s="13" t="n">
        <f aca="false">IF(Calendario!CZ$9=1,MAX(0,MIN(INDEX(p_Payout,MIN(13,Calendario!CZ$7))*CZ$77,CY$79+CZ$47)),0)</f>
        <v>0</v>
      </c>
      <c r="DA78" s="13" t="n">
        <f aca="false">IF(Calendario!DA$9=1,MAX(0,MIN(INDEX(p_Payout,MIN(13,Calendario!DA$7))*DA$77,CZ$79+DA$47)),0)</f>
        <v>0</v>
      </c>
      <c r="DB78" s="13" t="n">
        <f aca="false">IF(Calendario!DB$9=1,MAX(0,MIN(INDEX(p_Payout,MIN(13,Calendario!DB$7))*DB$77,DA$79+DB$47)),0)</f>
        <v>0</v>
      </c>
      <c r="DC78" s="13" t="n">
        <f aca="false">IF(Calendario!DC$9=1,MAX(0,MIN(INDEX(p_Payout,MIN(13,Calendario!DC$7))*DC$77,DB$79+DC$47)),0)</f>
        <v>0</v>
      </c>
      <c r="DD78" s="13" t="n">
        <f aca="false">IF(Calendario!DD$9=1,MAX(0,MIN(INDEX(p_Payout,MIN(13,Calendario!DD$7))*DD$77,DC$79+DD$47)),0)</f>
        <v>0</v>
      </c>
      <c r="DE78" s="13" t="n">
        <f aca="false">IF(Calendario!DE$9=1,MAX(0,MIN(INDEX(p_Payout,MIN(13,Calendario!DE$7))*DE$77,DD$79+DE$47)),0)</f>
        <v>0</v>
      </c>
      <c r="DF78" s="13" t="n">
        <f aca="false">IF(Calendario!DF$9=1,MAX(0,MIN(INDEX(p_Payout,MIN(13,Calendario!DF$7))*DF$77,DE$79+DF$47)),0)</f>
        <v>0</v>
      </c>
      <c r="DG78" s="13" t="n">
        <f aca="false">IF(Calendario!DG$9=1,MAX(0,MIN(INDEX(p_Payout,MIN(13,Calendario!DG$7))*DG$77,DF$79+DG$47)),0)</f>
        <v>0</v>
      </c>
      <c r="DH78" s="13" t="n">
        <f aca="false">IF(Calendario!DH$9=1,MAX(0,MIN(INDEX(p_Payout,MIN(13,Calendario!DH$7))*DH$77,DG$79+DH$47)),0)</f>
        <v>0</v>
      </c>
      <c r="DI78" s="13" t="n">
        <f aca="false">IF(Calendario!DI$9=1,MAX(0,MIN(INDEX(p_Payout,MIN(13,Calendario!DI$7))*DI$77,DH$79+DI$47)),0)</f>
        <v>0</v>
      </c>
      <c r="DJ78" s="13" t="n">
        <f aca="false">IF(Calendario!DJ$9=1,MAX(0,MIN(INDEX(p_Payout,MIN(13,Calendario!DJ$7))*DJ$77,DI$79+DJ$47)),0)</f>
        <v>1944545.97291341</v>
      </c>
      <c r="DK78" s="13" t="n">
        <f aca="false">IF(Calendario!DK$9=1,MAX(0,MIN(INDEX(p_Payout,MIN(13,Calendario!DK$7))*DK$77,DJ$79+DK$47)),0)</f>
        <v>0</v>
      </c>
      <c r="DL78" s="13" t="n">
        <f aca="false">IF(Calendario!DL$9=1,MAX(0,MIN(INDEX(p_Payout,MIN(13,Calendario!DL$7))*DL$77,DK$79+DL$47)),0)</f>
        <v>0</v>
      </c>
      <c r="DM78" s="13" t="n">
        <f aca="false">IF(Calendario!DM$9=1,MAX(0,MIN(INDEX(p_Payout,MIN(13,Calendario!DM$7))*DM$77,DL$79+DM$47)),0)</f>
        <v>0</v>
      </c>
      <c r="DN78" s="13" t="n">
        <f aca="false">IF(Calendario!DN$9=1,MAX(0,MIN(INDEX(p_Payout,MIN(13,Calendario!DN$7))*DN$77,DM$79+DN$47)),0)</f>
        <v>0</v>
      </c>
      <c r="DO78" s="13" t="n">
        <f aca="false">IF(Calendario!DO$9=1,MAX(0,MIN(INDEX(p_Payout,MIN(13,Calendario!DO$7))*DO$77,DN$79+DO$47)),0)</f>
        <v>0</v>
      </c>
      <c r="DP78" s="13" t="n">
        <f aca="false">IF(Calendario!DP$9=1,MAX(0,MIN(INDEX(p_Payout,MIN(13,Calendario!DP$7))*DP$77,DO$79+DP$47)),0)</f>
        <v>0</v>
      </c>
      <c r="DQ78" s="13" t="n">
        <f aca="false">IF(Calendario!DQ$9=1,MAX(0,MIN(INDEX(p_Payout,MIN(13,Calendario!DQ$7))*DQ$77,DP$79+DQ$47)),0)</f>
        <v>0</v>
      </c>
      <c r="DR78" s="13" t="n">
        <f aca="false">IF(Calendario!DR$9=1,MAX(0,MIN(INDEX(p_Payout,MIN(13,Calendario!DR$7))*DR$77,DQ$79+DR$47)),0)</f>
        <v>0</v>
      </c>
      <c r="DS78" s="13" t="n">
        <f aca="false">IF(Calendario!DS$9=1,MAX(0,MIN(INDEX(p_Payout,MIN(13,Calendario!DS$7))*DS$77,DR$79+DS$47)),0)</f>
        <v>0</v>
      </c>
      <c r="DT78" s="13" t="n">
        <f aca="false">IF(Calendario!DT$9=1,MAX(0,MIN(INDEX(p_Payout,MIN(13,Calendario!DT$7))*DT$77,DS$79+DT$47)),0)</f>
        <v>0</v>
      </c>
      <c r="DU78" s="13" t="n">
        <f aca="false">IF(Calendario!DU$9=1,MAX(0,MIN(INDEX(p_Payout,MIN(13,Calendario!DU$7))*DU$77,DT$79+DU$47)),0)</f>
        <v>0</v>
      </c>
      <c r="DV78" s="13" t="n">
        <f aca="false">IF(Calendario!DV$9=1,MAX(0,MIN(INDEX(p_Payout,MIN(13,Calendario!DV$7))*DV$77,DU$79+DV$47)),0)</f>
        <v>1981009.29148202</v>
      </c>
      <c r="DW78" s="13" t="n">
        <f aca="false">IF(Calendario!DW$9=1,MAX(0,MIN(INDEX(p_Payout,MIN(13,Calendario!DW$7))*DW$77,DV$79+DW$47)),0)</f>
        <v>0</v>
      </c>
      <c r="DX78" s="13" t="n">
        <f aca="false">IF(Calendario!DX$9=1,MAX(0,MIN(INDEX(p_Payout,MIN(13,Calendario!DX$7))*DX$77,DW$79+DX$47)),0)</f>
        <v>0</v>
      </c>
      <c r="DY78" s="13" t="n">
        <f aca="false">IF(Calendario!DY$9=1,MAX(0,MIN(INDEX(p_Payout,MIN(13,Calendario!DY$7))*DY$77,DX$79+DY$47)),0)</f>
        <v>0</v>
      </c>
      <c r="DZ78" s="13" t="n">
        <f aca="false">IF(Calendario!DZ$9=1,MAX(0,MIN(INDEX(p_Payout,MIN(13,Calendario!DZ$7))*DZ$77,DY$79+DZ$47)),0)</f>
        <v>0</v>
      </c>
      <c r="EA78" s="13" t="n">
        <f aca="false">IF(Calendario!EA$9=1,MAX(0,MIN(INDEX(p_Payout,MIN(13,Calendario!EA$7))*EA$77,DZ$79+EA$47)),0)</f>
        <v>0</v>
      </c>
      <c r="EB78" s="13" t="n">
        <f aca="false">IF(Calendario!EB$9=1,MAX(0,MIN(INDEX(p_Payout,MIN(13,Calendario!EB$7))*EB$77,EA$79+EB$47)),0)</f>
        <v>0</v>
      </c>
      <c r="EC78" s="13" t="n">
        <f aca="false">IF(Calendario!EC$9=1,MAX(0,MIN(INDEX(p_Payout,MIN(13,Calendario!EC$7))*EC$77,EB$79+EC$47)),0)</f>
        <v>0</v>
      </c>
      <c r="ED78" s="13" t="n">
        <f aca="false">IF(Calendario!ED$9=1,MAX(0,MIN(INDEX(p_Payout,MIN(13,Calendario!ED$7))*ED$77,EC$79+ED$47)),0)</f>
        <v>0</v>
      </c>
      <c r="EE78" s="13" t="n">
        <f aca="false">IF(Calendario!EE$9=1,MAX(0,MIN(INDEX(p_Payout,MIN(13,Calendario!EE$7))*EE$77,ED$79+EE$47)),0)</f>
        <v>0</v>
      </c>
      <c r="EF78" s="13" t="n">
        <f aca="false">IF(Calendario!EF$9=1,MAX(0,MIN(INDEX(p_Payout,MIN(13,Calendario!EF$7))*EF$77,EE$79+EF$47)),0)</f>
        <v>0</v>
      </c>
      <c r="EG78" s="13" t="n">
        <f aca="false">IF(Calendario!EG$9=1,MAX(0,MIN(INDEX(p_Payout,MIN(13,Calendario!EG$7))*EG$77,EF$79+EG$47)),0)</f>
        <v>0</v>
      </c>
      <c r="EH78" s="13" t="n">
        <f aca="false">IF(Calendario!EH$9=1,MAX(0,MIN(INDEX(p_Payout,MIN(13,Calendario!EH$7))*EH$77,EG$79+EH$47)),0)</f>
        <v>0</v>
      </c>
      <c r="EI78" s="13" t="n">
        <f aca="false">IF(Calendario!EI$9=1,MAX(0,MIN(INDEX(p_Payout,MIN(13,Calendario!EI$7))*EI$77,EH$79+EI$47)),0)</f>
        <v>0</v>
      </c>
      <c r="EJ78" s="13" t="n">
        <f aca="false">IF(Calendario!EJ$9=1,MAX(0,MIN(INDEX(p_Payout,MIN(13,Calendario!EJ$7))*EJ$77,EI$79+EJ$47)),0)</f>
        <v>0</v>
      </c>
      <c r="EK78" s="13" t="n">
        <f aca="false">IF(Calendario!EK$9=1,MAX(0,MIN(INDEX(p_Payout,MIN(13,Calendario!EK$7))*EK$77,EJ$79+EK$47)),0)</f>
        <v>0</v>
      </c>
      <c r="EL78" s="13" t="n">
        <f aca="false">IF(Calendario!EL$9=1,MAX(0,MIN(INDEX(p_Payout,MIN(13,Calendario!EL$7))*EL$77,EK$79+EL$47)),0)</f>
        <v>0</v>
      </c>
      <c r="EM78" s="13" t="n">
        <f aca="false">IF(Calendario!EM$9=1,MAX(0,MIN(INDEX(p_Payout,MIN(13,Calendario!EM$7))*EM$77,EL$79+EM$47)),0)</f>
        <v>0</v>
      </c>
      <c r="EN78" s="13" t="n">
        <f aca="false">IF(Calendario!EN$9=1,MAX(0,MIN(INDEX(p_Payout,MIN(13,Calendario!EN$7))*EN$77,EM$79+EN$47)),0)</f>
        <v>0</v>
      </c>
      <c r="EO78" s="13" t="n">
        <f aca="false">IF(Calendario!EO$9=1,MAX(0,MIN(INDEX(p_Payout,MIN(13,Calendario!EO$7))*EO$77,EN$79+EO$47)),0)</f>
        <v>0</v>
      </c>
      <c r="EP78" s="13" t="n">
        <f aca="false">IF(Calendario!EP$9=1,MAX(0,MIN(INDEX(p_Payout,MIN(13,Calendario!EP$7))*EP$77,EO$79+EP$47)),0)</f>
        <v>0</v>
      </c>
      <c r="EQ78" s="13" t="n">
        <f aca="false">IF(Calendario!EQ$9=1,MAX(0,MIN(INDEX(p_Payout,MIN(13,Calendario!EQ$7))*EQ$77,EP$79+EQ$47)),0)</f>
        <v>0</v>
      </c>
      <c r="ER78" s="13" t="n">
        <f aca="false">IF(Calendario!ER$9=1,MAX(0,MIN(INDEX(p_Payout,MIN(13,Calendario!ER$7))*ER$77,EQ$79+ER$47)),0)</f>
        <v>0</v>
      </c>
      <c r="ES78" s="13" t="n">
        <f aca="false">IF(Calendario!ES$9=1,MAX(0,MIN(INDEX(p_Payout,MIN(13,Calendario!ES$7))*ES$77,ER$79+ES$47)),0)</f>
        <v>0</v>
      </c>
      <c r="ET78" s="13" t="n">
        <f aca="false">IF(Calendario!ET$9=1,MAX(0,MIN(INDEX(p_Payout,MIN(13,Calendario!ET$7))*ET$77,ES$79+ET$47)),0)</f>
        <v>0</v>
      </c>
      <c r="EU78" s="13" t="n">
        <f aca="false">IF(Calendario!EU$9=1,MAX(0,MIN(INDEX(p_Payout,MIN(13,Calendario!EU$7))*EU$77,ET$79+EU$47)),0)</f>
        <v>0</v>
      </c>
      <c r="EV78" s="13" t="n">
        <f aca="false">IF(Calendario!EV$9=1,MAX(0,MIN(INDEX(p_Payout,MIN(13,Calendario!EV$7))*EV$77,EU$79+EV$47)),0)</f>
        <v>0</v>
      </c>
      <c r="EW78" s="13" t="n">
        <f aca="false">IF(Calendario!EW$9=1,MAX(0,MIN(INDEX(p_Payout,MIN(13,Calendario!EW$7))*EW$77,EV$79+EW$47)),0)</f>
        <v>0</v>
      </c>
      <c r="EX78" s="13" t="n">
        <f aca="false">IF(Calendario!EX$9=1,MAX(0,MIN(INDEX(p_Payout,MIN(13,Calendario!EX$7))*EX$77,EW$79+EX$47)),0)</f>
        <v>0</v>
      </c>
      <c r="EY78" s="13" t="n">
        <f aca="false">IF(Calendario!EY$9=1,MAX(0,MIN(INDEX(p_Payout,MIN(13,Calendario!EY$7))*EY$77,EX$79+EY$47)),0)</f>
        <v>0</v>
      </c>
      <c r="EZ78" s="13" t="n">
        <f aca="false">IF(Calendario!EZ$9=1,MAX(0,MIN(INDEX(p_Payout,MIN(13,Calendario!EZ$7))*EZ$77,EY$79+EZ$47)),0)</f>
        <v>0</v>
      </c>
      <c r="FA78" s="13" t="n">
        <f aca="false">IF(Calendario!FA$9=1,MAX(0,MIN(INDEX(p_Payout,MIN(13,Calendario!FA$7))*FA$77,EZ$79+FA$47)),0)</f>
        <v>0</v>
      </c>
      <c r="FB78" s="13" t="n">
        <f aca="false">IF(Calendario!FB$9=1,MAX(0,MIN(INDEX(p_Payout,MIN(13,Calendario!FB$7))*FB$77,FA$79+FB$47)),0)</f>
        <v>0</v>
      </c>
      <c r="FC78" s="13" t="n">
        <f aca="false">IF(Calendario!FC$9=1,MAX(0,MIN(INDEX(p_Payout,MIN(13,Calendario!FC$7))*FC$77,FB$79+FC$47)),0)</f>
        <v>0</v>
      </c>
      <c r="FD78" s="13" t="n">
        <f aca="false">IF(Calendario!FD$9=1,MAX(0,MIN(INDEX(p_Payout,MIN(13,Calendario!FD$7))*FD$77,FC$79+FD$47)),0)</f>
        <v>0</v>
      </c>
      <c r="FE78" s="13" t="n">
        <f aca="false">IF(Calendario!FE$9=1,MAX(0,MIN(INDEX(p_Payout,MIN(13,Calendario!FE$7))*FE$77,FD$79+FE$47)),0)</f>
        <v>0</v>
      </c>
      <c r="FF78" s="13" t="n">
        <f aca="false">IF(Calendario!FF$9=1,MAX(0,MIN(INDEX(p_Payout,MIN(13,Calendario!FF$7))*FF$77,FE$79+FF$47)),0)</f>
        <v>0</v>
      </c>
    </row>
    <row r="79" customFormat="false" ht="15" hidden="false" customHeight="false" outlineLevel="0" collapsed="false">
      <c r="A79" s="2" t="s">
        <v>1567</v>
      </c>
      <c r="B79" s="8" t="s">
        <v>1568</v>
      </c>
      <c r="C79" s="8" t="s">
        <v>255</v>
      </c>
      <c r="E79" s="65" t="n">
        <f aca="false">INDEX($F79:$FF79,1,p_MesFin+1)</f>
        <v>2453715.23426192</v>
      </c>
      <c r="F79" s="13" t="n">
        <f aca="false">0+F$47-F$78</f>
        <v>0</v>
      </c>
      <c r="G79" s="13" t="n">
        <f aca="false">F$79+G$47-G$78</f>
        <v>23662.7899809864</v>
      </c>
      <c r="H79" s="13" t="n">
        <f aca="false">G$79+H$47-H$78</f>
        <v>41863.3077326571</v>
      </c>
      <c r="I79" s="13" t="n">
        <f aca="false">H$79+I$47-I$78</f>
        <v>55364.1976526921</v>
      </c>
      <c r="J79" s="13" t="n">
        <f aca="false">I$79+J$47-J$78</f>
        <v>68865.0875727271</v>
      </c>
      <c r="K79" s="13" t="n">
        <f aca="false">J$79+K$47-K$78</f>
        <v>82365.9774927621</v>
      </c>
      <c r="L79" s="13" t="n">
        <f aca="false">K$79+L$47-L$78</f>
        <v>95866.8674127971</v>
      </c>
      <c r="M79" s="13" t="n">
        <f aca="false">L$79+M$47-M$78</f>
        <v>109367.757332832</v>
      </c>
      <c r="N79" s="13" t="n">
        <f aca="false">M$79+N$47-N$78</f>
        <v>123216.164511648</v>
      </c>
      <c r="O79" s="13" t="n">
        <f aca="false">N$79+O$47-O$78</f>
        <v>137414.695328686</v>
      </c>
      <c r="P79" s="13" t="n">
        <f aca="false">O$79+P$47-P$78</f>
        <v>151965.975711233</v>
      </c>
      <c r="Q79" s="13" t="n">
        <f aca="false">P$79+Q$47-Q$78</f>
        <v>166872.65128103</v>
      </c>
      <c r="R79" s="13" t="n">
        <f aca="false">Q$79+R$47-R$78</f>
        <v>184124.280857872</v>
      </c>
      <c r="S79" s="13" t="n">
        <f aca="false">R$79+S$47-S$78</f>
        <v>234401.66957098</v>
      </c>
      <c r="T79" s="13" t="n">
        <f aca="false">S$79+T$47-T$78</f>
        <v>287556.172766469</v>
      </c>
      <c r="U79" s="13" t="n">
        <f aca="false">T$79+U$47-U$78</f>
        <v>341076.853551556</v>
      </c>
      <c r="V79" s="13" t="n">
        <f aca="false">U$79+V$47-V$78</f>
        <v>394966.458258161</v>
      </c>
      <c r="W79" s="13" t="n">
        <f aca="false">V$79+W$47-W$78</f>
        <v>449227.753815697</v>
      </c>
      <c r="X79" s="13" t="n">
        <f aca="false">W$79+X$47-X$78</f>
        <v>503863.527905546</v>
      </c>
      <c r="Y79" s="13" t="n">
        <f aca="false">X$79+Y$47-Y$78</f>
        <v>558876.589116699</v>
      </c>
      <c r="Z79" s="13" t="n">
        <f aca="false">Y$79+Z$47-Z$78</f>
        <v>614269.767102567</v>
      </c>
      <c r="AA79" s="13" t="n">
        <f aca="false">Z$79+AA$47-AA$78</f>
        <v>670045.912738959</v>
      </c>
      <c r="AB79" s="13" t="n">
        <f aca="false">AA$79+AB$47-AB$78</f>
        <v>726207.898283256</v>
      </c>
      <c r="AC79" s="13" t="n">
        <f aca="false">AB$79+AC$47-AC$78</f>
        <v>782758.617534766</v>
      </c>
      <c r="AD79" s="13" t="n">
        <f aca="false">AC$79+AD$47-AD$78</f>
        <v>841087.381782882</v>
      </c>
      <c r="AE79" s="13" t="n">
        <f aca="false">AD$79+AE$47-AE$78</f>
        <v>934093.056163328</v>
      </c>
      <c r="AF79" s="13" t="n">
        <f aca="false">AE$79+AF$47-AF$78</f>
        <v>1028417.22481657</v>
      </c>
      <c r="AG79" s="13" t="n">
        <f aca="false">AF$79+AG$47-AG$78</f>
        <v>1123141.92104308</v>
      </c>
      <c r="AH79" s="13" t="n">
        <f aca="false">AG$79+AH$47-AH$78</f>
        <v>1218270.14879967</v>
      </c>
      <c r="AI79" s="13" t="n">
        <f aca="false">AH$79+AI$47-AI$78</f>
        <v>1313804.9345728</v>
      </c>
      <c r="AJ79" s="13" t="n">
        <f aca="false">AI$79+AJ$47-AJ$78</f>
        <v>1409749.32754761</v>
      </c>
      <c r="AK79" s="13" t="n">
        <f aca="false">AJ$79+AK$47-AK$78</f>
        <v>1506106.39977811</v>
      </c>
      <c r="AL79" s="13" t="n">
        <f aca="false">AK$79+AL$47-AL$78</f>
        <v>1602879.2463587</v>
      </c>
      <c r="AM79" s="13" t="n">
        <f aca="false">AL$79+AM$47-AM$78</f>
        <v>1700070.98559703</v>
      </c>
      <c r="AN79" s="13" t="n">
        <f aca="false">AM$79+AN$47-AN$78</f>
        <v>1797684.75918802</v>
      </c>
      <c r="AO79" s="13" t="n">
        <f aca="false">AN$79+AO$47-AO$78</f>
        <v>1895723.73238932</v>
      </c>
      <c r="AP79" s="13" t="n">
        <f aca="false">AO$79+AP$47-AP$78</f>
        <v>1648901.41184973</v>
      </c>
      <c r="AQ79" s="13" t="n">
        <f aca="false">AP$79+AQ$47-AQ$78</f>
        <v>1780294.23624789</v>
      </c>
      <c r="AR79" s="13" t="n">
        <f aca="false">AQ$79+AR$47-AR$78</f>
        <v>1912438.68746665</v>
      </c>
      <c r="AS79" s="13" t="n">
        <f aca="false">AR$79+AS$47-AS$78</f>
        <v>2045021.23850777</v>
      </c>
      <c r="AT79" s="13" t="n">
        <f aca="false">AS$79+AT$47-AT$78</f>
        <v>2178045.1751199</v>
      </c>
      <c r="AU79" s="13" t="n">
        <f aca="false">AT$79+AU$47-AU$78</f>
        <v>2311513.80769484</v>
      </c>
      <c r="AV79" s="13" t="n">
        <f aca="false">AU$79+AV$47-AV$78</f>
        <v>2445430.47145231</v>
      </c>
      <c r="AW79" s="13" t="n">
        <f aca="false">AV$79+AW$47-AW$78</f>
        <v>2579798.52662617</v>
      </c>
      <c r="AX79" s="13" t="n">
        <f aca="false">AW$79+AX$47-AX$78</f>
        <v>2714621.35865205</v>
      </c>
      <c r="AY79" s="13" t="n">
        <f aca="false">AX$79+AY$47-AY$78</f>
        <v>2849902.37835634</v>
      </c>
      <c r="AZ79" s="13" t="n">
        <f aca="false">AY$79+AZ$47-AZ$78</f>
        <v>2985645.02214662</v>
      </c>
      <c r="BA79" s="13" t="n">
        <f aca="false">AZ$79+BA$47-BA$78</f>
        <v>3121852.75220355</v>
      </c>
      <c r="BB79" s="13" t="n">
        <f aca="false">BA$79+BB$47-BB$78</f>
        <v>2453715.23426192</v>
      </c>
      <c r="BC79" s="13" t="n">
        <f aca="false">BB$79+BC$47-BC$78</f>
        <v>2593830.9476567</v>
      </c>
      <c r="BD79" s="13" t="n">
        <f aca="false">BC$79+BD$47-BD$78</f>
        <v>2732777.73744968</v>
      </c>
      <c r="BE79" s="13" t="n">
        <f aca="false">BD$79+BE$47-BE$78</f>
        <v>2872203.72385021</v>
      </c>
      <c r="BF79" s="13" t="n">
        <f aca="false">BE$79+BF$47-BF$78</f>
        <v>3012112.50083286</v>
      </c>
      <c r="BG79" s="13" t="n">
        <f aca="false">BF$79+BG$47-BG$78</f>
        <v>3152507.68932699</v>
      </c>
      <c r="BH79" s="13" t="n">
        <f aca="false">BG$79+BH$47-BH$78</f>
        <v>3293392.93741895</v>
      </c>
      <c r="BI79" s="13" t="n">
        <f aca="false">BH$79+BI$47-BI$78</f>
        <v>3434771.9205557</v>
      </c>
      <c r="BJ79" s="13" t="n">
        <f aca="false">BI$79+BJ$47-BJ$78</f>
        <v>3576648.34175009</v>
      </c>
      <c r="BK79" s="13" t="n">
        <f aca="false">BJ$79+BK$47-BK$78</f>
        <v>3719025.93178755</v>
      </c>
      <c r="BL79" s="13" t="n">
        <f aca="false">BK$79+BL$47-BL$78</f>
        <v>3861908.4494344</v>
      </c>
      <c r="BM79" s="13" t="n">
        <f aca="false">BL$79+BM$47-BM$78</f>
        <v>4005299.68164772</v>
      </c>
      <c r="BN79" s="13" t="n">
        <f aca="false">BM$79+BN$47-BN$78</f>
        <v>2453715.23426192</v>
      </c>
      <c r="BO79" s="13" t="n">
        <f aca="false">BN$79+BO$47-BO$78</f>
        <v>2604036.11485835</v>
      </c>
      <c r="BP79" s="13" t="n">
        <f aca="false">BO$79+BP$47-BP$78</f>
        <v>2753562.44679365</v>
      </c>
      <c r="BQ79" s="13" t="n">
        <f aca="false">BP$79+BQ$47-BQ$78</f>
        <v>2903088.77872896</v>
      </c>
      <c r="BR79" s="13" t="n">
        <f aca="false">BQ$79+BR$47-BR$78</f>
        <v>3052615.11066427</v>
      </c>
      <c r="BS79" s="13" t="n">
        <f aca="false">BR$79+BS$47-BS$78</f>
        <v>3202141.44259958</v>
      </c>
      <c r="BT79" s="13" t="n">
        <f aca="false">BS$79+BT$47-BT$78</f>
        <v>3351667.77453488</v>
      </c>
      <c r="BU79" s="13" t="n">
        <f aca="false">BT$79+BU$47-BU$78</f>
        <v>3501194.10647019</v>
      </c>
      <c r="BV79" s="13" t="n">
        <f aca="false">BU$79+BV$47-BV$78</f>
        <v>3650720.4384055</v>
      </c>
      <c r="BW79" s="13" t="n">
        <f aca="false">BV$79+BW$47-BW$78</f>
        <v>3800246.77034081</v>
      </c>
      <c r="BX79" s="13" t="n">
        <f aca="false">BW$79+BX$47-BX$78</f>
        <v>3949773.10227611</v>
      </c>
      <c r="BY79" s="13" t="n">
        <f aca="false">BX$79+BY$47-BY$78</f>
        <v>4099299.43421142</v>
      </c>
      <c r="BZ79" s="13" t="n">
        <f aca="false">BY$79+BZ$47-BZ$78</f>
        <v>2453715.23426192</v>
      </c>
      <c r="CA79" s="13" t="n">
        <f aca="false">BZ$79+CA$47-CA$78</f>
        <v>2608164.88938713</v>
      </c>
      <c r="CB79" s="13" t="n">
        <f aca="false">CA$79+CB$47-CB$78</f>
        <v>2761812.21314818</v>
      </c>
      <c r="CC79" s="13" t="n">
        <f aca="false">CB$79+CC$47-CC$78</f>
        <v>2915459.53690922</v>
      </c>
      <c r="CD79" s="13" t="n">
        <f aca="false">CC$79+CD$47-CD$78</f>
        <v>3069106.86067027</v>
      </c>
      <c r="CE79" s="13" t="n">
        <f aca="false">CD$79+CE$47-CE$78</f>
        <v>3222754.18443131</v>
      </c>
      <c r="CF79" s="13" t="n">
        <f aca="false">CE$79+CF$47-CF$78</f>
        <v>3376401.50819235</v>
      </c>
      <c r="CG79" s="13" t="n">
        <f aca="false">CF$79+CG$47-CG$78</f>
        <v>3530048.8319534</v>
      </c>
      <c r="CH79" s="13" t="n">
        <f aca="false">CG$79+CH$47-CH$78</f>
        <v>3683696.15571444</v>
      </c>
      <c r="CI79" s="13" t="n">
        <f aca="false">CH$79+CI$47-CI$78</f>
        <v>3837343.47947549</v>
      </c>
      <c r="CJ79" s="13" t="n">
        <f aca="false">CI$79+CJ$47-CJ$78</f>
        <v>3990990.80323653</v>
      </c>
      <c r="CK79" s="13" t="n">
        <f aca="false">CJ$79+CK$47-CK$78</f>
        <v>4144638.12699758</v>
      </c>
      <c r="CL79" s="13" t="n">
        <f aca="false">CK$79+CL$47-CL$78</f>
        <v>2453715.23426192</v>
      </c>
      <c r="CM79" s="13" t="n">
        <f aca="false">CL$79+CM$47-CM$78</f>
        <v>2612323.10511095</v>
      </c>
      <c r="CN79" s="13" t="n">
        <f aca="false">CM$79+CN$47-CN$78</f>
        <v>2770120.78406572</v>
      </c>
      <c r="CO79" s="13" t="n">
        <f aca="false">CN$79+CO$47-CO$78</f>
        <v>2927918.4630205</v>
      </c>
      <c r="CP79" s="13" t="n">
        <f aca="false">CO$79+CP$47-CP$78</f>
        <v>3085716.14197528</v>
      </c>
      <c r="CQ79" s="13" t="n">
        <f aca="false">CP$79+CQ$47-CQ$78</f>
        <v>3243513.82093006</v>
      </c>
      <c r="CR79" s="13" t="n">
        <f aca="false">CQ$79+CR$47-CR$78</f>
        <v>3401311.49988484</v>
      </c>
      <c r="CS79" s="13" t="n">
        <f aca="false">CR$79+CS$47-CS$78</f>
        <v>3559109.17883962</v>
      </c>
      <c r="CT79" s="13" t="n">
        <f aca="false">CS$79+CT$47-CT$78</f>
        <v>3716906.85779439</v>
      </c>
      <c r="CU79" s="13" t="n">
        <f aca="false">CT$79+CU$47-CU$78</f>
        <v>3874704.53674917</v>
      </c>
      <c r="CV79" s="13" t="n">
        <f aca="false">CU$79+CV$47-CV$78</f>
        <v>4032502.21570395</v>
      </c>
      <c r="CW79" s="13" t="n">
        <f aca="false">CV$79+CW$47-CW$78</f>
        <v>4190299.89465873</v>
      </c>
      <c r="CX79" s="13" t="n">
        <f aca="false">CW$79+CX$47-CX$78</f>
        <v>2453715.23426192</v>
      </c>
      <c r="CY79" s="13" t="n">
        <f aca="false">CX$79+CY$47-CY$78</f>
        <v>2616510.68544853</v>
      </c>
      <c r="CZ79" s="13" t="n">
        <f aca="false">CY$79+CZ$47-CZ$78</f>
        <v>2778488.00560551</v>
      </c>
      <c r="DA79" s="13" t="n">
        <f aca="false">CZ$79+DA$47-DA$78</f>
        <v>2940465.32576249</v>
      </c>
      <c r="DB79" s="13" t="n">
        <f aca="false">DA$79+DB$47-DB$78</f>
        <v>3102442.64591948</v>
      </c>
      <c r="DC79" s="13" t="n">
        <f aca="false">DB$79+DC$47-DC$78</f>
        <v>3264419.96607646</v>
      </c>
      <c r="DD79" s="13" t="n">
        <f aca="false">DC$79+DD$47-DD$78</f>
        <v>3426397.28623344</v>
      </c>
      <c r="DE79" s="13" t="n">
        <f aca="false">DD$79+DE$47-DE$78</f>
        <v>3588374.60639042</v>
      </c>
      <c r="DF79" s="13" t="n">
        <f aca="false">DE$79+DF$47-DF$78</f>
        <v>3750351.9265474</v>
      </c>
      <c r="DG79" s="13" t="n">
        <f aca="false">DF$79+DG$47-DG$78</f>
        <v>3912329.24670439</v>
      </c>
      <c r="DH79" s="13" t="n">
        <f aca="false">DG$79+DH$47-DH$78</f>
        <v>4074306.56686137</v>
      </c>
      <c r="DI79" s="13" t="n">
        <f aca="false">DH$79+DI$47-DI$78</f>
        <v>4236283.88701835</v>
      </c>
      <c r="DJ79" s="13" t="n">
        <f aca="false">DI$79+DJ$47-DJ$78</f>
        <v>2453715.23426192</v>
      </c>
      <c r="DK79" s="13" t="n">
        <f aca="false">DJ$79+DK$47-DK$78</f>
        <v>2620727.54192302</v>
      </c>
      <c r="DL79" s="13" t="n">
        <f aca="false">DK$79+DL$47-DL$78</f>
        <v>2786913.70002775</v>
      </c>
      <c r="DM79" s="13" t="n">
        <f aca="false">DL$79+DM$47-DM$78</f>
        <v>2953099.85813249</v>
      </c>
      <c r="DN79" s="13" t="n">
        <f aca="false">DM$79+DN$47-DN$78</f>
        <v>3119286.01623723</v>
      </c>
      <c r="DO79" s="13" t="n">
        <f aca="false">DN$79+DO$47-DO$78</f>
        <v>3285472.17434196</v>
      </c>
      <c r="DP79" s="13" t="n">
        <f aca="false">DO$79+DP$47-DP$78</f>
        <v>3451658.3324467</v>
      </c>
      <c r="DQ79" s="13" t="n">
        <f aca="false">DP$79+DQ$47-DQ$78</f>
        <v>3617844.49055143</v>
      </c>
      <c r="DR79" s="13" t="n">
        <f aca="false">DQ$79+DR$47-DR$78</f>
        <v>3784030.64865617</v>
      </c>
      <c r="DS79" s="13" t="n">
        <f aca="false">DR$79+DS$47-DS$78</f>
        <v>3950216.8067609</v>
      </c>
      <c r="DT79" s="13" t="n">
        <f aca="false">DS$79+DT$47-DT$78</f>
        <v>4116402.96486564</v>
      </c>
      <c r="DU79" s="13" t="n">
        <f aca="false">DT$79+DU$47-DU$78</f>
        <v>4282589.12297037</v>
      </c>
      <c r="DV79" s="13" t="n">
        <f aca="false">DU$79+DV$47-DV$78</f>
        <v>2453715.23426192</v>
      </c>
      <c r="DW79" s="13" t="n">
        <f aca="false">DV$79+DW$47-DW$78</f>
        <v>2453715.23426192</v>
      </c>
      <c r="DX79" s="13" t="n">
        <f aca="false">DW$79+DX$47-DX$78</f>
        <v>2453715.23426192</v>
      </c>
      <c r="DY79" s="13" t="n">
        <f aca="false">DX$79+DY$47-DY$78</f>
        <v>2453715.23426192</v>
      </c>
      <c r="DZ79" s="13" t="n">
        <f aca="false">DY$79+DZ$47-DZ$78</f>
        <v>2453715.23426192</v>
      </c>
      <c r="EA79" s="13" t="n">
        <f aca="false">DZ$79+EA$47-EA$78</f>
        <v>2453715.23426192</v>
      </c>
      <c r="EB79" s="13" t="n">
        <f aca="false">EA$79+EB$47-EB$78</f>
        <v>2453715.23426192</v>
      </c>
      <c r="EC79" s="13" t="n">
        <f aca="false">EB$79+EC$47-EC$78</f>
        <v>2453715.23426192</v>
      </c>
      <c r="ED79" s="13" t="n">
        <f aca="false">EC$79+ED$47-ED$78</f>
        <v>2453715.23426192</v>
      </c>
      <c r="EE79" s="13" t="n">
        <f aca="false">ED$79+EE$47-EE$78</f>
        <v>2453715.23426192</v>
      </c>
      <c r="EF79" s="13" t="n">
        <f aca="false">EE$79+EF$47-EF$78</f>
        <v>2453715.23426192</v>
      </c>
      <c r="EG79" s="13" t="n">
        <f aca="false">EF$79+EG$47-EG$78</f>
        <v>2453715.23426192</v>
      </c>
      <c r="EH79" s="13" t="n">
        <f aca="false">EG$79+EH$47-EH$78</f>
        <v>2453715.23426192</v>
      </c>
      <c r="EI79" s="13" t="n">
        <f aca="false">EH$79+EI$47-EI$78</f>
        <v>2453715.23426192</v>
      </c>
      <c r="EJ79" s="13" t="n">
        <f aca="false">EI$79+EJ$47-EJ$78</f>
        <v>2453715.23426192</v>
      </c>
      <c r="EK79" s="13" t="n">
        <f aca="false">EJ$79+EK$47-EK$78</f>
        <v>2453715.23426192</v>
      </c>
      <c r="EL79" s="13" t="n">
        <f aca="false">EK$79+EL$47-EL$78</f>
        <v>2453715.23426192</v>
      </c>
      <c r="EM79" s="13" t="n">
        <f aca="false">EL$79+EM$47-EM$78</f>
        <v>2453715.23426192</v>
      </c>
      <c r="EN79" s="13" t="n">
        <f aca="false">EM$79+EN$47-EN$78</f>
        <v>2453715.23426192</v>
      </c>
      <c r="EO79" s="13" t="n">
        <f aca="false">EN$79+EO$47-EO$78</f>
        <v>2453715.23426192</v>
      </c>
      <c r="EP79" s="13" t="n">
        <f aca="false">EO$79+EP$47-EP$78</f>
        <v>2453715.23426192</v>
      </c>
      <c r="EQ79" s="13" t="n">
        <f aca="false">EP$79+EQ$47-EQ$78</f>
        <v>2453715.23426192</v>
      </c>
      <c r="ER79" s="13" t="n">
        <f aca="false">EQ$79+ER$47-ER$78</f>
        <v>2453715.23426192</v>
      </c>
      <c r="ES79" s="13" t="n">
        <f aca="false">ER$79+ES$47-ES$78</f>
        <v>2453715.23426192</v>
      </c>
      <c r="ET79" s="13" t="n">
        <f aca="false">ES$79+ET$47-ET$78</f>
        <v>2453715.23426192</v>
      </c>
      <c r="EU79" s="13" t="n">
        <f aca="false">ET$79+EU$47-EU$78</f>
        <v>2453715.23426192</v>
      </c>
      <c r="EV79" s="13" t="n">
        <f aca="false">EU$79+EV$47-EV$78</f>
        <v>2453715.23426192</v>
      </c>
      <c r="EW79" s="13" t="n">
        <f aca="false">EV$79+EW$47-EW$78</f>
        <v>2453715.23426192</v>
      </c>
      <c r="EX79" s="13" t="n">
        <f aca="false">EW$79+EX$47-EX$78</f>
        <v>2453715.23426192</v>
      </c>
      <c r="EY79" s="13" t="n">
        <f aca="false">EX$79+EY$47-EY$78</f>
        <v>2453715.23426192</v>
      </c>
      <c r="EZ79" s="13" t="n">
        <f aca="false">EY$79+EZ$47-EZ$78</f>
        <v>2453715.23426192</v>
      </c>
      <c r="FA79" s="13" t="n">
        <f aca="false">EZ$79+FA$47-FA$78</f>
        <v>2453715.23426192</v>
      </c>
      <c r="FB79" s="13" t="n">
        <f aca="false">FA$79+FB$47-FB$78</f>
        <v>2453715.23426192</v>
      </c>
      <c r="FC79" s="13" t="n">
        <f aca="false">FB$79+FC$47-FC$78</f>
        <v>2453715.23426192</v>
      </c>
      <c r="FD79" s="13" t="n">
        <f aca="false">FC$79+FD$47-FD$78</f>
        <v>2453715.23426192</v>
      </c>
      <c r="FE79" s="13" t="n">
        <f aca="false">FD$79+FE$47-FE$78</f>
        <v>2453715.23426192</v>
      </c>
      <c r="FF79" s="13" t="n">
        <f aca="false">FE$79+FF$47-FF$78</f>
        <v>2453715.23426192</v>
      </c>
    </row>
    <row r="80" customFormat="false" ht="15" hidden="false" customHeight="false" outlineLevel="0" collapsed="false">
      <c r="A80" s="2" t="s">
        <v>1569</v>
      </c>
      <c r="B80" s="8" t="s">
        <v>1570</v>
      </c>
      <c r="C80" s="8" t="s">
        <v>771</v>
      </c>
      <c r="F80" s="31" t="n">
        <f aca="false">IF(F$78&gt;0,0,IF(0&gt;0,0+1,0))</f>
        <v>0</v>
      </c>
      <c r="G80" s="31" t="n">
        <f aca="false">IF(G$78&gt;0,0,IF(F$82&gt;0,F$80+1,0))</f>
        <v>0</v>
      </c>
      <c r="H80" s="31" t="n">
        <f aca="false">IF(H$78&gt;0,0,IF(G$82&gt;0,G$80+1,0))</f>
        <v>0</v>
      </c>
      <c r="I80" s="31" t="n">
        <f aca="false">IF(I$78&gt;0,0,IF(H$82&gt;0,H$80+1,0))</f>
        <v>0</v>
      </c>
      <c r="J80" s="31" t="n">
        <f aca="false">IF(J$78&gt;0,0,IF(I$82&gt;0,I$80+1,0))</f>
        <v>0</v>
      </c>
      <c r="K80" s="31" t="n">
        <f aca="false">IF(K$78&gt;0,0,IF(J$82&gt;0,J$80+1,0))</f>
        <v>0</v>
      </c>
      <c r="L80" s="31" t="n">
        <f aca="false">IF(L$78&gt;0,0,IF(K$82&gt;0,K$80+1,0))</f>
        <v>0</v>
      </c>
      <c r="M80" s="31" t="n">
        <f aca="false">IF(M$78&gt;0,0,IF(L$82&gt;0,L$80+1,0))</f>
        <v>0</v>
      </c>
      <c r="N80" s="31" t="n">
        <f aca="false">IF(N$78&gt;0,0,IF(M$82&gt;0,M$80+1,0))</f>
        <v>0</v>
      </c>
      <c r="O80" s="31" t="n">
        <f aca="false">IF(O$78&gt;0,0,IF(N$82&gt;0,N$80+1,0))</f>
        <v>0</v>
      </c>
      <c r="P80" s="31" t="n">
        <f aca="false">IF(P$78&gt;0,0,IF(O$82&gt;0,O$80+1,0))</f>
        <v>0</v>
      </c>
      <c r="Q80" s="31" t="n">
        <f aca="false">IF(Q$78&gt;0,0,IF(P$82&gt;0,P$80+1,0))</f>
        <v>0</v>
      </c>
      <c r="R80" s="31" t="n">
        <f aca="false">IF(R$78&gt;0,0,IF(Q$82&gt;0,Q$80+1,0))</f>
        <v>0</v>
      </c>
      <c r="S80" s="31" t="n">
        <f aca="false">IF(S$78&gt;0,0,IF(R$82&gt;0,R$80+1,0))</f>
        <v>0</v>
      </c>
      <c r="T80" s="31" t="n">
        <f aca="false">IF(T$78&gt;0,0,IF(S$82&gt;0,S$80+1,0))</f>
        <v>0</v>
      </c>
      <c r="U80" s="31" t="n">
        <f aca="false">IF(U$78&gt;0,0,IF(T$82&gt;0,T$80+1,0))</f>
        <v>0</v>
      </c>
      <c r="V80" s="31" t="n">
        <f aca="false">IF(V$78&gt;0,0,IF(U$82&gt;0,U$80+1,0))</f>
        <v>0</v>
      </c>
      <c r="W80" s="31" t="n">
        <f aca="false">IF(W$78&gt;0,0,IF(V$82&gt;0,V$80+1,0))</f>
        <v>0</v>
      </c>
      <c r="X80" s="31" t="n">
        <f aca="false">IF(X$78&gt;0,0,IF(W$82&gt;0,W$80+1,0))</f>
        <v>0</v>
      </c>
      <c r="Y80" s="31" t="n">
        <f aca="false">IF(Y$78&gt;0,0,IF(X$82&gt;0,X$80+1,0))</f>
        <v>0</v>
      </c>
      <c r="Z80" s="31" t="n">
        <f aca="false">IF(Z$78&gt;0,0,IF(Y$82&gt;0,Y$80+1,0))</f>
        <v>0</v>
      </c>
      <c r="AA80" s="31" t="n">
        <f aca="false">IF(AA$78&gt;0,0,IF(Z$82&gt;0,Z$80+1,0))</f>
        <v>0</v>
      </c>
      <c r="AB80" s="31" t="n">
        <f aca="false">IF(AB$78&gt;0,0,IF(AA$82&gt;0,AA$80+1,0))</f>
        <v>0</v>
      </c>
      <c r="AC80" s="31" t="n">
        <f aca="false">IF(AC$78&gt;0,0,IF(AB$82&gt;0,AB$80+1,0))</f>
        <v>0</v>
      </c>
      <c r="AD80" s="31" t="n">
        <f aca="false">IF(AD$78&gt;0,0,IF(AC$82&gt;0,AC$80+1,0))</f>
        <v>0</v>
      </c>
      <c r="AE80" s="31" t="n">
        <f aca="false">IF(AE$78&gt;0,0,IF(AD$82&gt;0,AD$80+1,0))</f>
        <v>0</v>
      </c>
      <c r="AF80" s="31" t="n">
        <f aca="false">IF(AF$78&gt;0,0,IF(AE$82&gt;0,AE$80+1,0))</f>
        <v>0</v>
      </c>
      <c r="AG80" s="31" t="n">
        <f aca="false">IF(AG$78&gt;0,0,IF(AF$82&gt;0,AF$80+1,0))</f>
        <v>0</v>
      </c>
      <c r="AH80" s="31" t="n">
        <f aca="false">IF(AH$78&gt;0,0,IF(AG$82&gt;0,AG$80+1,0))</f>
        <v>0</v>
      </c>
      <c r="AI80" s="31" t="n">
        <f aca="false">IF(AI$78&gt;0,0,IF(AH$82&gt;0,AH$80+1,0))</f>
        <v>0</v>
      </c>
      <c r="AJ80" s="31" t="n">
        <f aca="false">IF(AJ$78&gt;0,0,IF(AI$82&gt;0,AI$80+1,0))</f>
        <v>0</v>
      </c>
      <c r="AK80" s="31" t="n">
        <f aca="false">IF(AK$78&gt;0,0,IF(AJ$82&gt;0,AJ$80+1,0))</f>
        <v>0</v>
      </c>
      <c r="AL80" s="31" t="n">
        <f aca="false">IF(AL$78&gt;0,0,IF(AK$82&gt;0,AK$80+1,0))</f>
        <v>0</v>
      </c>
      <c r="AM80" s="31" t="n">
        <f aca="false">IF(AM$78&gt;0,0,IF(AL$82&gt;0,AL$80+1,0))</f>
        <v>0</v>
      </c>
      <c r="AN80" s="31" t="n">
        <f aca="false">IF(AN$78&gt;0,0,IF(AM$82&gt;0,AM$80+1,0))</f>
        <v>0</v>
      </c>
      <c r="AO80" s="31" t="n">
        <f aca="false">IF(AO$78&gt;0,0,IF(AN$82&gt;0,AN$80+1,0))</f>
        <v>0</v>
      </c>
      <c r="AP80" s="31" t="n">
        <f aca="false">IF(AP$78&gt;0,0,IF(AO$82&gt;0,AO$80+1,0))</f>
        <v>0</v>
      </c>
      <c r="AQ80" s="31" t="n">
        <f aca="false">IF(AQ$78&gt;0,0,IF(AP$82&gt;0,AP$80+1,0))</f>
        <v>1</v>
      </c>
      <c r="AR80" s="31" t="n">
        <f aca="false">IF(AR$78&gt;0,0,IF(AQ$82&gt;0,AQ$80+1,0))</f>
        <v>2</v>
      </c>
      <c r="AS80" s="31" t="n">
        <f aca="false">IF(AS$78&gt;0,0,IF(AR$82&gt;0,AR$80+1,0))</f>
        <v>3</v>
      </c>
      <c r="AT80" s="31" t="n">
        <f aca="false">IF(AT$78&gt;0,0,IF(AS$82&gt;0,AS$80+1,0))</f>
        <v>4</v>
      </c>
      <c r="AU80" s="31" t="n">
        <f aca="false">IF(AU$78&gt;0,0,IF(AT$82&gt;0,AT$80+1,0))</f>
        <v>0</v>
      </c>
      <c r="AV80" s="31" t="n">
        <f aca="false">IF(AV$78&gt;0,0,IF(AU$82&gt;0,AU$80+1,0))</f>
        <v>0</v>
      </c>
      <c r="AW80" s="31" t="n">
        <f aca="false">IF(AW$78&gt;0,0,IF(AV$82&gt;0,AV$80+1,0))</f>
        <v>0</v>
      </c>
      <c r="AX80" s="31" t="n">
        <f aca="false">IF(AX$78&gt;0,0,IF(AW$82&gt;0,AW$80+1,0))</f>
        <v>0</v>
      </c>
      <c r="AY80" s="31" t="n">
        <f aca="false">IF(AY$78&gt;0,0,IF(AX$82&gt;0,AX$80+1,0))</f>
        <v>0</v>
      </c>
      <c r="AZ80" s="31" t="n">
        <f aca="false">IF(AZ$78&gt;0,0,IF(AY$82&gt;0,AY$80+1,0))</f>
        <v>0</v>
      </c>
      <c r="BA80" s="31" t="n">
        <f aca="false">IF(BA$78&gt;0,0,IF(AZ$82&gt;0,AZ$80+1,0))</f>
        <v>0</v>
      </c>
      <c r="BB80" s="31" t="n">
        <f aca="false">IF(BB$78&gt;0,0,IF(BA$82&gt;0,BA$80+1,0))</f>
        <v>0</v>
      </c>
      <c r="BC80" s="31" t="n">
        <f aca="false">IF(BC$78&gt;0,0,IF(BB$82&gt;0,BB$80+1,0))</f>
        <v>1</v>
      </c>
      <c r="BD80" s="31" t="n">
        <f aca="false">IF(BD$78&gt;0,0,IF(BC$82&gt;0,BC$80+1,0))</f>
        <v>2</v>
      </c>
      <c r="BE80" s="31" t="n">
        <f aca="false">IF(BE$78&gt;0,0,IF(BD$82&gt;0,BD$80+1,0))</f>
        <v>3</v>
      </c>
      <c r="BF80" s="31" t="n">
        <f aca="false">IF(BF$78&gt;0,0,IF(BE$82&gt;0,BE$80+1,0))</f>
        <v>4</v>
      </c>
      <c r="BG80" s="31" t="n">
        <f aca="false">IF(BG$78&gt;0,0,IF(BF$82&gt;0,BF$80+1,0))</f>
        <v>0</v>
      </c>
      <c r="BH80" s="31" t="n">
        <f aca="false">IF(BH$78&gt;0,0,IF(BG$82&gt;0,BG$80+1,0))</f>
        <v>0</v>
      </c>
      <c r="BI80" s="31" t="n">
        <f aca="false">IF(BI$78&gt;0,0,IF(BH$82&gt;0,BH$80+1,0))</f>
        <v>0</v>
      </c>
      <c r="BJ80" s="31" t="n">
        <f aca="false">IF(BJ$78&gt;0,0,IF(BI$82&gt;0,BI$80+1,0))</f>
        <v>0</v>
      </c>
      <c r="BK80" s="31" t="n">
        <f aca="false">IF(BK$78&gt;0,0,IF(BJ$82&gt;0,BJ$80+1,0))</f>
        <v>0</v>
      </c>
      <c r="BL80" s="31" t="n">
        <f aca="false">IF(BL$78&gt;0,0,IF(BK$82&gt;0,BK$80+1,0))</f>
        <v>0</v>
      </c>
      <c r="BM80" s="31" t="n">
        <f aca="false">IF(BM$78&gt;0,0,IF(BL$82&gt;0,BL$80+1,0))</f>
        <v>0</v>
      </c>
      <c r="BN80" s="31" t="n">
        <f aca="false">IF(BN$78&gt;0,0,IF(BM$82&gt;0,BM$80+1,0))</f>
        <v>0</v>
      </c>
      <c r="BO80" s="31" t="n">
        <f aca="false">IF(BO$78&gt;0,0,IF(BN$82&gt;0,BN$80+1,0))</f>
        <v>1</v>
      </c>
      <c r="BP80" s="31" t="n">
        <f aca="false">IF(BP$78&gt;0,0,IF(BO$82&gt;0,BO$80+1,0))</f>
        <v>2</v>
      </c>
      <c r="BQ80" s="31" t="n">
        <f aca="false">IF(BQ$78&gt;0,0,IF(BP$82&gt;0,BP$80+1,0))</f>
        <v>3</v>
      </c>
      <c r="BR80" s="31" t="n">
        <f aca="false">IF(BR$78&gt;0,0,IF(BQ$82&gt;0,BQ$80+1,0))</f>
        <v>4</v>
      </c>
      <c r="BS80" s="31" t="n">
        <f aca="false">IF(BS$78&gt;0,0,IF(BR$82&gt;0,BR$80+1,0))</f>
        <v>0</v>
      </c>
      <c r="BT80" s="31" t="n">
        <f aca="false">IF(BT$78&gt;0,0,IF(BS$82&gt;0,BS$80+1,0))</f>
        <v>0</v>
      </c>
      <c r="BU80" s="31" t="n">
        <f aca="false">IF(BU$78&gt;0,0,IF(BT$82&gt;0,BT$80+1,0))</f>
        <v>0</v>
      </c>
      <c r="BV80" s="31" t="n">
        <f aca="false">IF(BV$78&gt;0,0,IF(BU$82&gt;0,BU$80+1,0))</f>
        <v>0</v>
      </c>
      <c r="BW80" s="31" t="n">
        <f aca="false">IF(BW$78&gt;0,0,IF(BV$82&gt;0,BV$80+1,0))</f>
        <v>0</v>
      </c>
      <c r="BX80" s="31" t="n">
        <f aca="false">IF(BX$78&gt;0,0,IF(BW$82&gt;0,BW$80+1,0))</f>
        <v>0</v>
      </c>
      <c r="BY80" s="31" t="n">
        <f aca="false">IF(BY$78&gt;0,0,IF(BX$82&gt;0,BX$80+1,0))</f>
        <v>0</v>
      </c>
      <c r="BZ80" s="31" t="n">
        <f aca="false">IF(BZ$78&gt;0,0,IF(BY$82&gt;0,BY$80+1,0))</f>
        <v>0</v>
      </c>
      <c r="CA80" s="31" t="n">
        <f aca="false">IF(CA$78&gt;0,0,IF(BZ$82&gt;0,BZ$80+1,0))</f>
        <v>1</v>
      </c>
      <c r="CB80" s="31" t="n">
        <f aca="false">IF(CB$78&gt;0,0,IF(CA$82&gt;0,CA$80+1,0))</f>
        <v>2</v>
      </c>
      <c r="CC80" s="31" t="n">
        <f aca="false">IF(CC$78&gt;0,0,IF(CB$82&gt;0,CB$80+1,0))</f>
        <v>3</v>
      </c>
      <c r="CD80" s="31" t="n">
        <f aca="false">IF(CD$78&gt;0,0,IF(CC$82&gt;0,CC$80+1,0))</f>
        <v>4</v>
      </c>
      <c r="CE80" s="31" t="n">
        <f aca="false">IF(CE$78&gt;0,0,IF(CD$82&gt;0,CD$80+1,0))</f>
        <v>0</v>
      </c>
      <c r="CF80" s="31" t="n">
        <f aca="false">IF(CF$78&gt;0,0,IF(CE$82&gt;0,CE$80+1,0))</f>
        <v>0</v>
      </c>
      <c r="CG80" s="31" t="n">
        <f aca="false">IF(CG$78&gt;0,0,IF(CF$82&gt;0,CF$80+1,0))</f>
        <v>0</v>
      </c>
      <c r="CH80" s="31" t="n">
        <f aca="false">IF(CH$78&gt;0,0,IF(CG$82&gt;0,CG$80+1,0))</f>
        <v>0</v>
      </c>
      <c r="CI80" s="31" t="n">
        <f aca="false">IF(CI$78&gt;0,0,IF(CH$82&gt;0,CH$80+1,0))</f>
        <v>0</v>
      </c>
      <c r="CJ80" s="31" t="n">
        <f aca="false">IF(CJ$78&gt;0,0,IF(CI$82&gt;0,CI$80+1,0))</f>
        <v>0</v>
      </c>
      <c r="CK80" s="31" t="n">
        <f aca="false">IF(CK$78&gt;0,0,IF(CJ$82&gt;0,CJ$80+1,0))</f>
        <v>0</v>
      </c>
      <c r="CL80" s="31" t="n">
        <f aca="false">IF(CL$78&gt;0,0,IF(CK$82&gt;0,CK$80+1,0))</f>
        <v>0</v>
      </c>
      <c r="CM80" s="31" t="n">
        <f aca="false">IF(CM$78&gt;0,0,IF(CL$82&gt;0,CL$80+1,0))</f>
        <v>1</v>
      </c>
      <c r="CN80" s="31" t="n">
        <f aca="false">IF(CN$78&gt;0,0,IF(CM$82&gt;0,CM$80+1,0))</f>
        <v>2</v>
      </c>
      <c r="CO80" s="31" t="n">
        <f aca="false">IF(CO$78&gt;0,0,IF(CN$82&gt;0,CN$80+1,0))</f>
        <v>3</v>
      </c>
      <c r="CP80" s="31" t="n">
        <f aca="false">IF(CP$78&gt;0,0,IF(CO$82&gt;0,CO$80+1,0))</f>
        <v>4</v>
      </c>
      <c r="CQ80" s="31" t="n">
        <f aca="false">IF(CQ$78&gt;0,0,IF(CP$82&gt;0,CP$80+1,0))</f>
        <v>0</v>
      </c>
      <c r="CR80" s="31" t="n">
        <f aca="false">IF(CR$78&gt;0,0,IF(CQ$82&gt;0,CQ$80+1,0))</f>
        <v>0</v>
      </c>
      <c r="CS80" s="31" t="n">
        <f aca="false">IF(CS$78&gt;0,0,IF(CR$82&gt;0,CR$80+1,0))</f>
        <v>0</v>
      </c>
      <c r="CT80" s="31" t="n">
        <f aca="false">IF(CT$78&gt;0,0,IF(CS$82&gt;0,CS$80+1,0))</f>
        <v>0</v>
      </c>
      <c r="CU80" s="31" t="n">
        <f aca="false">IF(CU$78&gt;0,0,IF(CT$82&gt;0,CT$80+1,0))</f>
        <v>0</v>
      </c>
      <c r="CV80" s="31" t="n">
        <f aca="false">IF(CV$78&gt;0,0,IF(CU$82&gt;0,CU$80+1,0))</f>
        <v>0</v>
      </c>
      <c r="CW80" s="31" t="n">
        <f aca="false">IF(CW$78&gt;0,0,IF(CV$82&gt;0,CV$80+1,0))</f>
        <v>0</v>
      </c>
      <c r="CX80" s="31" t="n">
        <f aca="false">IF(CX$78&gt;0,0,IF(CW$82&gt;0,CW$80+1,0))</f>
        <v>0</v>
      </c>
      <c r="CY80" s="31" t="n">
        <f aca="false">IF(CY$78&gt;0,0,IF(CX$82&gt;0,CX$80+1,0))</f>
        <v>1</v>
      </c>
      <c r="CZ80" s="31" t="n">
        <f aca="false">IF(CZ$78&gt;0,0,IF(CY$82&gt;0,CY$80+1,0))</f>
        <v>2</v>
      </c>
      <c r="DA80" s="31" t="n">
        <f aca="false">IF(DA$78&gt;0,0,IF(CZ$82&gt;0,CZ$80+1,0))</f>
        <v>3</v>
      </c>
      <c r="DB80" s="31" t="n">
        <f aca="false">IF(DB$78&gt;0,0,IF(DA$82&gt;0,DA$80+1,0))</f>
        <v>4</v>
      </c>
      <c r="DC80" s="31" t="n">
        <f aca="false">IF(DC$78&gt;0,0,IF(DB$82&gt;0,DB$80+1,0))</f>
        <v>0</v>
      </c>
      <c r="DD80" s="31" t="n">
        <f aca="false">IF(DD$78&gt;0,0,IF(DC$82&gt;0,DC$80+1,0))</f>
        <v>0</v>
      </c>
      <c r="DE80" s="31" t="n">
        <f aca="false">IF(DE$78&gt;0,0,IF(DD$82&gt;0,DD$80+1,0))</f>
        <v>0</v>
      </c>
      <c r="DF80" s="31" t="n">
        <f aca="false">IF(DF$78&gt;0,0,IF(DE$82&gt;0,DE$80+1,0))</f>
        <v>0</v>
      </c>
      <c r="DG80" s="31" t="n">
        <f aca="false">IF(DG$78&gt;0,0,IF(DF$82&gt;0,DF$80+1,0))</f>
        <v>0</v>
      </c>
      <c r="DH80" s="31" t="n">
        <f aca="false">IF(DH$78&gt;0,0,IF(DG$82&gt;0,DG$80+1,0))</f>
        <v>0</v>
      </c>
      <c r="DI80" s="31" t="n">
        <f aca="false">IF(DI$78&gt;0,0,IF(DH$82&gt;0,DH$80+1,0))</f>
        <v>0</v>
      </c>
      <c r="DJ80" s="31" t="n">
        <f aca="false">IF(DJ$78&gt;0,0,IF(DI$82&gt;0,DI$80+1,0))</f>
        <v>0</v>
      </c>
      <c r="DK80" s="31" t="n">
        <f aca="false">IF(DK$78&gt;0,0,IF(DJ$82&gt;0,DJ$80+1,0))</f>
        <v>1</v>
      </c>
      <c r="DL80" s="31" t="n">
        <f aca="false">IF(DL$78&gt;0,0,IF(DK$82&gt;0,DK$80+1,0))</f>
        <v>2</v>
      </c>
      <c r="DM80" s="31" t="n">
        <f aca="false">IF(DM$78&gt;0,0,IF(DL$82&gt;0,DL$80+1,0))</f>
        <v>3</v>
      </c>
      <c r="DN80" s="31" t="n">
        <f aca="false">IF(DN$78&gt;0,0,IF(DM$82&gt;0,DM$80+1,0))</f>
        <v>4</v>
      </c>
      <c r="DO80" s="31" t="n">
        <f aca="false">IF(DO$78&gt;0,0,IF(DN$82&gt;0,DN$80+1,0))</f>
        <v>0</v>
      </c>
      <c r="DP80" s="31" t="n">
        <f aca="false">IF(DP$78&gt;0,0,IF(DO$82&gt;0,DO$80+1,0))</f>
        <v>0</v>
      </c>
      <c r="DQ80" s="31" t="n">
        <f aca="false">IF(DQ$78&gt;0,0,IF(DP$82&gt;0,DP$80+1,0))</f>
        <v>0</v>
      </c>
      <c r="DR80" s="31" t="n">
        <f aca="false">IF(DR$78&gt;0,0,IF(DQ$82&gt;0,DQ$80+1,0))</f>
        <v>0</v>
      </c>
      <c r="DS80" s="31" t="n">
        <f aca="false">IF(DS$78&gt;0,0,IF(DR$82&gt;0,DR$80+1,0))</f>
        <v>0</v>
      </c>
      <c r="DT80" s="31" t="n">
        <f aca="false">IF(DT$78&gt;0,0,IF(DS$82&gt;0,DS$80+1,0))</f>
        <v>0</v>
      </c>
      <c r="DU80" s="31" t="n">
        <f aca="false">IF(DU$78&gt;0,0,IF(DT$82&gt;0,DT$80+1,0))</f>
        <v>0</v>
      </c>
      <c r="DV80" s="31" t="n">
        <f aca="false">IF(DV$78&gt;0,0,IF(DU$82&gt;0,DU$80+1,0))</f>
        <v>0</v>
      </c>
      <c r="DW80" s="31" t="n">
        <f aca="false">IF(DW$78&gt;0,0,IF(DV$82&gt;0,DV$80+1,0))</f>
        <v>1</v>
      </c>
      <c r="DX80" s="31" t="n">
        <f aca="false">IF(DX$78&gt;0,0,IF(DW$82&gt;0,DW$80+1,0))</f>
        <v>2</v>
      </c>
      <c r="DY80" s="31" t="n">
        <f aca="false">IF(DY$78&gt;0,0,IF(DX$82&gt;0,DX$80+1,0))</f>
        <v>3</v>
      </c>
      <c r="DZ80" s="31" t="n">
        <f aca="false">IF(DZ$78&gt;0,0,IF(DY$82&gt;0,DY$80+1,0))</f>
        <v>4</v>
      </c>
      <c r="EA80" s="31" t="n">
        <f aca="false">IF(EA$78&gt;0,0,IF(DZ$82&gt;0,DZ$80+1,0))</f>
        <v>0</v>
      </c>
      <c r="EB80" s="31" t="n">
        <f aca="false">IF(EB$78&gt;0,0,IF(EA$82&gt;0,EA$80+1,0))</f>
        <v>0</v>
      </c>
      <c r="EC80" s="31" t="n">
        <f aca="false">IF(EC$78&gt;0,0,IF(EB$82&gt;0,EB$80+1,0))</f>
        <v>0</v>
      </c>
      <c r="ED80" s="31" t="n">
        <f aca="false">IF(ED$78&gt;0,0,IF(EC$82&gt;0,EC$80+1,0))</f>
        <v>0</v>
      </c>
      <c r="EE80" s="31" t="n">
        <f aca="false">IF(EE$78&gt;0,0,IF(ED$82&gt;0,ED$80+1,0))</f>
        <v>0</v>
      </c>
      <c r="EF80" s="31" t="n">
        <f aca="false">IF(EF$78&gt;0,0,IF(EE$82&gt;0,EE$80+1,0))</f>
        <v>0</v>
      </c>
      <c r="EG80" s="31" t="n">
        <f aca="false">IF(EG$78&gt;0,0,IF(EF$82&gt;0,EF$80+1,0))</f>
        <v>0</v>
      </c>
      <c r="EH80" s="31" t="n">
        <f aca="false">IF(EH$78&gt;0,0,IF(EG$82&gt;0,EG$80+1,0))</f>
        <v>0</v>
      </c>
      <c r="EI80" s="31" t="n">
        <f aca="false">IF(EI$78&gt;0,0,IF(EH$82&gt;0,EH$80+1,0))</f>
        <v>0</v>
      </c>
      <c r="EJ80" s="31" t="n">
        <f aca="false">IF(EJ$78&gt;0,0,IF(EI$82&gt;0,EI$80+1,0))</f>
        <v>0</v>
      </c>
      <c r="EK80" s="31" t="n">
        <f aca="false">IF(EK$78&gt;0,0,IF(EJ$82&gt;0,EJ$80+1,0))</f>
        <v>0</v>
      </c>
      <c r="EL80" s="31" t="n">
        <f aca="false">IF(EL$78&gt;0,0,IF(EK$82&gt;0,EK$80+1,0))</f>
        <v>0</v>
      </c>
      <c r="EM80" s="31" t="n">
        <f aca="false">IF(EM$78&gt;0,0,IF(EL$82&gt;0,EL$80+1,0))</f>
        <v>0</v>
      </c>
      <c r="EN80" s="31" t="n">
        <f aca="false">IF(EN$78&gt;0,0,IF(EM$82&gt;0,EM$80+1,0))</f>
        <v>0</v>
      </c>
      <c r="EO80" s="31" t="n">
        <f aca="false">IF(EO$78&gt;0,0,IF(EN$82&gt;0,EN$80+1,0))</f>
        <v>0</v>
      </c>
      <c r="EP80" s="31" t="n">
        <f aca="false">IF(EP$78&gt;0,0,IF(EO$82&gt;0,EO$80+1,0))</f>
        <v>0</v>
      </c>
      <c r="EQ80" s="31" t="n">
        <f aca="false">IF(EQ$78&gt;0,0,IF(EP$82&gt;0,EP$80+1,0))</f>
        <v>0</v>
      </c>
      <c r="ER80" s="31" t="n">
        <f aca="false">IF(ER$78&gt;0,0,IF(EQ$82&gt;0,EQ$80+1,0))</f>
        <v>0</v>
      </c>
      <c r="ES80" s="31" t="n">
        <f aca="false">IF(ES$78&gt;0,0,IF(ER$82&gt;0,ER$80+1,0))</f>
        <v>0</v>
      </c>
      <c r="ET80" s="31" t="n">
        <f aca="false">IF(ET$78&gt;0,0,IF(ES$82&gt;0,ES$80+1,0))</f>
        <v>0</v>
      </c>
      <c r="EU80" s="31" t="n">
        <f aca="false">IF(EU$78&gt;0,0,IF(ET$82&gt;0,ET$80+1,0))</f>
        <v>0</v>
      </c>
      <c r="EV80" s="31" t="n">
        <f aca="false">IF(EV$78&gt;0,0,IF(EU$82&gt;0,EU$80+1,0))</f>
        <v>0</v>
      </c>
      <c r="EW80" s="31" t="n">
        <f aca="false">IF(EW$78&gt;0,0,IF(EV$82&gt;0,EV$80+1,0))</f>
        <v>0</v>
      </c>
      <c r="EX80" s="31" t="n">
        <f aca="false">IF(EX$78&gt;0,0,IF(EW$82&gt;0,EW$80+1,0))</f>
        <v>0</v>
      </c>
      <c r="EY80" s="31" t="n">
        <f aca="false">IF(EY$78&gt;0,0,IF(EX$82&gt;0,EX$80+1,0))</f>
        <v>0</v>
      </c>
      <c r="EZ80" s="31" t="n">
        <f aca="false">IF(EZ$78&gt;0,0,IF(EY$82&gt;0,EY$80+1,0))</f>
        <v>0</v>
      </c>
      <c r="FA80" s="31" t="n">
        <f aca="false">IF(FA$78&gt;0,0,IF(EZ$82&gt;0,EZ$80+1,0))</f>
        <v>0</v>
      </c>
      <c r="FB80" s="31" t="n">
        <f aca="false">IF(FB$78&gt;0,0,IF(FA$82&gt;0,FA$80+1,0))</f>
        <v>0</v>
      </c>
      <c r="FC80" s="31" t="n">
        <f aca="false">IF(FC$78&gt;0,0,IF(FB$82&gt;0,FB$80+1,0))</f>
        <v>0</v>
      </c>
      <c r="FD80" s="31" t="n">
        <f aca="false">IF(FD$78&gt;0,0,IF(FC$82&gt;0,FC$80+1,0))</f>
        <v>0</v>
      </c>
      <c r="FE80" s="31" t="n">
        <f aca="false">IF(FE$78&gt;0,0,IF(FD$82&gt;0,FD$80+1,0))</f>
        <v>0</v>
      </c>
      <c r="FF80" s="31" t="n">
        <f aca="false">IF(FF$78&gt;0,0,IF(FE$82&gt;0,FE$80+1,0))</f>
        <v>0</v>
      </c>
    </row>
    <row r="81" customFormat="false" ht="15" hidden="false" customHeight="false" outlineLevel="0" collapsed="false">
      <c r="A81" s="2" t="s">
        <v>1571</v>
      </c>
      <c r="B81" s="8" t="s">
        <v>1572</v>
      </c>
      <c r="C81" s="8" t="s">
        <v>255</v>
      </c>
      <c r="E81" s="65" t="n">
        <f aca="false">SUM($F81:$FF81)</f>
        <v>12306126.3969513</v>
      </c>
      <c r="F81" s="13" t="n">
        <f aca="false">IF(AND(0&gt;0,F$80&gt;=MAX(1,p_DivLag)),0,0)</f>
        <v>0</v>
      </c>
      <c r="G81" s="13" t="n">
        <f aca="false">IF(AND(F$82&gt;0,G$80&gt;=MAX(1,p_DivLag)),F$82,0)</f>
        <v>0</v>
      </c>
      <c r="H81" s="13" t="n">
        <f aca="false">IF(AND(G$82&gt;0,H$80&gt;=MAX(1,p_DivLag)),G$82,0)</f>
        <v>0</v>
      </c>
      <c r="I81" s="13" t="n">
        <f aca="false">IF(AND(H$82&gt;0,I$80&gt;=MAX(1,p_DivLag)),H$82,0)</f>
        <v>0</v>
      </c>
      <c r="J81" s="13" t="n">
        <f aca="false">IF(AND(I$82&gt;0,J$80&gt;=MAX(1,p_DivLag)),I$82,0)</f>
        <v>0</v>
      </c>
      <c r="K81" s="13" t="n">
        <f aca="false">IF(AND(J$82&gt;0,K$80&gt;=MAX(1,p_DivLag)),J$82,0)</f>
        <v>0</v>
      </c>
      <c r="L81" s="13" t="n">
        <f aca="false">IF(AND(K$82&gt;0,L$80&gt;=MAX(1,p_DivLag)),K$82,0)</f>
        <v>0</v>
      </c>
      <c r="M81" s="13" t="n">
        <f aca="false">IF(AND(L$82&gt;0,M$80&gt;=MAX(1,p_DivLag)),L$82,0)</f>
        <v>0</v>
      </c>
      <c r="N81" s="13" t="n">
        <f aca="false">IF(AND(M$82&gt;0,N$80&gt;=MAX(1,p_DivLag)),M$82,0)</f>
        <v>0</v>
      </c>
      <c r="O81" s="13" t="n">
        <f aca="false">IF(AND(N$82&gt;0,O$80&gt;=MAX(1,p_DivLag)),N$82,0)</f>
        <v>0</v>
      </c>
      <c r="P81" s="13" t="n">
        <f aca="false">IF(AND(O$82&gt;0,P$80&gt;=MAX(1,p_DivLag)),O$82,0)</f>
        <v>0</v>
      </c>
      <c r="Q81" s="13" t="n">
        <f aca="false">IF(AND(P$82&gt;0,Q$80&gt;=MAX(1,p_DivLag)),P$82,0)</f>
        <v>0</v>
      </c>
      <c r="R81" s="13" t="n">
        <f aca="false">IF(AND(Q$82&gt;0,R$80&gt;=MAX(1,p_DivLag)),Q$82,0)</f>
        <v>0</v>
      </c>
      <c r="S81" s="13" t="n">
        <f aca="false">IF(AND(R$82&gt;0,S$80&gt;=MAX(1,p_DivLag)),R$82,0)</f>
        <v>0</v>
      </c>
      <c r="T81" s="13" t="n">
        <f aca="false">IF(AND(S$82&gt;0,T$80&gt;=MAX(1,p_DivLag)),S$82,0)</f>
        <v>0</v>
      </c>
      <c r="U81" s="13" t="n">
        <f aca="false">IF(AND(T$82&gt;0,U$80&gt;=MAX(1,p_DivLag)),T$82,0)</f>
        <v>0</v>
      </c>
      <c r="V81" s="13" t="n">
        <f aca="false">IF(AND(U$82&gt;0,V$80&gt;=MAX(1,p_DivLag)),U$82,0)</f>
        <v>0</v>
      </c>
      <c r="W81" s="13" t="n">
        <f aca="false">IF(AND(V$82&gt;0,W$80&gt;=MAX(1,p_DivLag)),V$82,0)</f>
        <v>0</v>
      </c>
      <c r="X81" s="13" t="n">
        <f aca="false">IF(AND(W$82&gt;0,X$80&gt;=MAX(1,p_DivLag)),W$82,0)</f>
        <v>0</v>
      </c>
      <c r="Y81" s="13" t="n">
        <f aca="false">IF(AND(X$82&gt;0,Y$80&gt;=MAX(1,p_DivLag)),X$82,0)</f>
        <v>0</v>
      </c>
      <c r="Z81" s="13" t="n">
        <f aca="false">IF(AND(Y$82&gt;0,Z$80&gt;=MAX(1,p_DivLag)),Y$82,0)</f>
        <v>0</v>
      </c>
      <c r="AA81" s="13" t="n">
        <f aca="false">IF(AND(Z$82&gt;0,AA$80&gt;=MAX(1,p_DivLag)),Z$82,0)</f>
        <v>0</v>
      </c>
      <c r="AB81" s="13" t="n">
        <f aca="false">IF(AND(AA$82&gt;0,AB$80&gt;=MAX(1,p_DivLag)),AA$82,0)</f>
        <v>0</v>
      </c>
      <c r="AC81" s="13" t="n">
        <f aca="false">IF(AND(AB$82&gt;0,AC$80&gt;=MAX(1,p_DivLag)),AB$82,0)</f>
        <v>0</v>
      </c>
      <c r="AD81" s="13" t="n">
        <f aca="false">IF(AND(AC$82&gt;0,AD$80&gt;=MAX(1,p_DivLag)),AC$82,0)</f>
        <v>0</v>
      </c>
      <c r="AE81" s="13" t="n">
        <f aca="false">IF(AND(AD$82&gt;0,AE$80&gt;=MAX(1,p_DivLag)),AD$82,0)</f>
        <v>0</v>
      </c>
      <c r="AF81" s="13" t="n">
        <f aca="false">IF(AND(AE$82&gt;0,AF$80&gt;=MAX(1,p_DivLag)),AE$82,0)</f>
        <v>0</v>
      </c>
      <c r="AG81" s="13" t="n">
        <f aca="false">IF(AND(AF$82&gt;0,AG$80&gt;=MAX(1,p_DivLag)),AF$82,0)</f>
        <v>0</v>
      </c>
      <c r="AH81" s="13" t="n">
        <f aca="false">IF(AND(AG$82&gt;0,AH$80&gt;=MAX(1,p_DivLag)),AG$82,0)</f>
        <v>0</v>
      </c>
      <c r="AI81" s="13" t="n">
        <f aca="false">IF(AND(AH$82&gt;0,AI$80&gt;=MAX(1,p_DivLag)),AH$82,0)</f>
        <v>0</v>
      </c>
      <c r="AJ81" s="13" t="n">
        <f aca="false">IF(AND(AI$82&gt;0,AJ$80&gt;=MAX(1,p_DivLag)),AI$82,0)</f>
        <v>0</v>
      </c>
      <c r="AK81" s="13" t="n">
        <f aca="false">IF(AND(AJ$82&gt;0,AK$80&gt;=MAX(1,p_DivLag)),AJ$82,0)</f>
        <v>0</v>
      </c>
      <c r="AL81" s="13" t="n">
        <f aca="false">IF(AND(AK$82&gt;0,AL$80&gt;=MAX(1,p_DivLag)),AK$82,0)</f>
        <v>0</v>
      </c>
      <c r="AM81" s="13" t="n">
        <f aca="false">IF(AND(AL$82&gt;0,AM$80&gt;=MAX(1,p_DivLag)),AL$82,0)</f>
        <v>0</v>
      </c>
      <c r="AN81" s="13" t="n">
        <f aca="false">IF(AND(AM$82&gt;0,AN$80&gt;=MAX(1,p_DivLag)),AM$82,0)</f>
        <v>0</v>
      </c>
      <c r="AO81" s="13" t="n">
        <f aca="false">IF(AND(AN$82&gt;0,AO$80&gt;=MAX(1,p_DivLag)),AN$82,0)</f>
        <v>0</v>
      </c>
      <c r="AP81" s="13" t="n">
        <f aca="false">IF(AND(AO$82&gt;0,AP$80&gt;=MAX(1,p_DivLag)),AO$82,0)</f>
        <v>0</v>
      </c>
      <c r="AQ81" s="13" t="n">
        <f aca="false">IF(AND(AP$82&gt;0,AQ$80&gt;=MAX(1,p_DivLag)),AP$82,0)</f>
        <v>0</v>
      </c>
      <c r="AR81" s="13" t="n">
        <f aca="false">IF(AND(AQ$82&gt;0,AR$80&gt;=MAX(1,p_DivLag)),AQ$82,0)</f>
        <v>0</v>
      </c>
      <c r="AS81" s="13" t="n">
        <f aca="false">IF(AND(AR$82&gt;0,AS$80&gt;=MAX(1,p_DivLag)),AR$82,0)</f>
        <v>0</v>
      </c>
      <c r="AT81" s="13" t="n">
        <f aca="false">IF(AND(AS$82&gt;0,AT$80&gt;=MAX(1,p_DivLag)),AS$82,0)</f>
        <v>346206.012885793</v>
      </c>
      <c r="AU81" s="13" t="n">
        <f aca="false">IF(AND(AT$82&gt;0,AU$80&gt;=MAX(1,p_DivLag)),AT$82,0)</f>
        <v>0</v>
      </c>
      <c r="AV81" s="13" t="n">
        <f aca="false">IF(AND(AU$82&gt;0,AV$80&gt;=MAX(1,p_DivLag)),AU$82,0)</f>
        <v>0</v>
      </c>
      <c r="AW81" s="13" t="n">
        <f aca="false">IF(AND(AV$82&gt;0,AW$80&gt;=MAX(1,p_DivLag)),AV$82,0)</f>
        <v>0</v>
      </c>
      <c r="AX81" s="13" t="n">
        <f aca="false">IF(AND(AW$82&gt;0,AX$80&gt;=MAX(1,p_DivLag)),AW$82,0)</f>
        <v>0</v>
      </c>
      <c r="AY81" s="13" t="n">
        <f aca="false">IF(AND(AX$82&gt;0,AY$80&gt;=MAX(1,p_DivLag)),AX$82,0)</f>
        <v>0</v>
      </c>
      <c r="AZ81" s="13" t="n">
        <f aca="false">IF(AND(AY$82&gt;0,AZ$80&gt;=MAX(1,p_DivLag)),AY$82,0)</f>
        <v>0</v>
      </c>
      <c r="BA81" s="13" t="n">
        <f aca="false">IF(AND(AZ$82&gt;0,BA$80&gt;=MAX(1,p_DivLag)),AZ$82,0)</f>
        <v>0</v>
      </c>
      <c r="BB81" s="13" t="n">
        <f aca="false">IF(AND(BA$82&gt;0,BB$80&gt;=MAX(1,p_DivLag)),BA$82,0)</f>
        <v>0</v>
      </c>
      <c r="BC81" s="13" t="n">
        <f aca="false">IF(AND(BB$82&gt;0,BC$80&gt;=MAX(1,p_DivLag)),BB$82,0)</f>
        <v>0</v>
      </c>
      <c r="BD81" s="13" t="n">
        <f aca="false">IF(AND(BC$82&gt;0,BD$80&gt;=MAX(1,p_DivLag)),BC$82,0)</f>
        <v>0</v>
      </c>
      <c r="BE81" s="13" t="n">
        <f aca="false">IF(AND(BD$82&gt;0,BE$80&gt;=MAX(1,p_DivLag)),BD$82,0)</f>
        <v>0</v>
      </c>
      <c r="BF81" s="13" t="n">
        <f aca="false">IF(AND(BE$82&gt;0,BF$80&gt;=MAX(1,p_DivLag)),BE$82,0)</f>
        <v>804813.822412189</v>
      </c>
      <c r="BG81" s="13" t="n">
        <f aca="false">IF(AND(BF$82&gt;0,BG$80&gt;=MAX(1,p_DivLag)),BF$82,0)</f>
        <v>0</v>
      </c>
      <c r="BH81" s="13" t="n">
        <f aca="false">IF(AND(BG$82&gt;0,BH$80&gt;=MAX(1,p_DivLag)),BG$82,0)</f>
        <v>0</v>
      </c>
      <c r="BI81" s="13" t="n">
        <f aca="false">IF(AND(BH$82&gt;0,BI$80&gt;=MAX(1,p_DivLag)),BH$82,0)</f>
        <v>0</v>
      </c>
      <c r="BJ81" s="13" t="n">
        <f aca="false">IF(AND(BI$82&gt;0,BJ$80&gt;=MAX(1,p_DivLag)),BI$82,0)</f>
        <v>0</v>
      </c>
      <c r="BK81" s="13" t="n">
        <f aca="false">IF(AND(BJ$82&gt;0,BK$80&gt;=MAX(1,p_DivLag)),BJ$82,0)</f>
        <v>0</v>
      </c>
      <c r="BL81" s="13" t="n">
        <f aca="false">IF(AND(BK$82&gt;0,BL$80&gt;=MAX(1,p_DivLag)),BK$82,0)</f>
        <v>0</v>
      </c>
      <c r="BM81" s="13" t="n">
        <f aca="false">IF(AND(BL$82&gt;0,BM$80&gt;=MAX(1,p_DivLag)),BL$82,0)</f>
        <v>0</v>
      </c>
      <c r="BN81" s="13" t="n">
        <f aca="false">IF(AND(BM$82&gt;0,BN$80&gt;=MAX(1,p_DivLag)),BM$82,0)</f>
        <v>0</v>
      </c>
      <c r="BO81" s="13" t="n">
        <f aca="false">IF(AND(BN$82&gt;0,BO$80&gt;=MAX(1,p_DivLag)),BN$82,0)</f>
        <v>0</v>
      </c>
      <c r="BP81" s="13" t="n">
        <f aca="false">IF(AND(BO$82&gt;0,BP$80&gt;=MAX(1,p_DivLag)),BO$82,0)</f>
        <v>0</v>
      </c>
      <c r="BQ81" s="13" t="n">
        <f aca="false">IF(AND(BP$82&gt;0,BQ$80&gt;=MAX(1,p_DivLag)),BP$82,0)</f>
        <v>0</v>
      </c>
      <c r="BR81" s="13" t="n">
        <f aca="false">IF(AND(BQ$82&gt;0,BR$80&gt;=MAX(1,p_DivLag)),BQ$82,0)</f>
        <v>1695488.20952483</v>
      </c>
      <c r="BS81" s="13" t="n">
        <f aca="false">IF(AND(BR$82&gt;0,BS$80&gt;=MAX(1,p_DivLag)),BR$82,0)</f>
        <v>0</v>
      </c>
      <c r="BT81" s="13" t="n">
        <f aca="false">IF(AND(BS$82&gt;0,BT$80&gt;=MAX(1,p_DivLag)),BS$82,0)</f>
        <v>0</v>
      </c>
      <c r="BU81" s="13" t="n">
        <f aca="false">IF(AND(BT$82&gt;0,BU$80&gt;=MAX(1,p_DivLag)),BT$82,0)</f>
        <v>0</v>
      </c>
      <c r="BV81" s="13" t="n">
        <f aca="false">IF(AND(BU$82&gt;0,BV$80&gt;=MAX(1,p_DivLag)),BU$82,0)</f>
        <v>0</v>
      </c>
      <c r="BW81" s="13" t="n">
        <f aca="false">IF(AND(BV$82&gt;0,BW$80&gt;=MAX(1,p_DivLag)),BV$82,0)</f>
        <v>0</v>
      </c>
      <c r="BX81" s="13" t="n">
        <f aca="false">IF(AND(BW$82&gt;0,BX$80&gt;=MAX(1,p_DivLag)),BW$82,0)</f>
        <v>0</v>
      </c>
      <c r="BY81" s="13" t="n">
        <f aca="false">IF(AND(BX$82&gt;0,BY$80&gt;=MAX(1,p_DivLag)),BX$82,0)</f>
        <v>0</v>
      </c>
      <c r="BZ81" s="13" t="n">
        <f aca="false">IF(AND(BY$82&gt;0,BZ$80&gt;=MAX(1,p_DivLag)),BY$82,0)</f>
        <v>0</v>
      </c>
      <c r="CA81" s="13" t="n">
        <f aca="false">IF(AND(BZ$82&gt;0,CA$80&gt;=MAX(1,p_DivLag)),BZ$82,0)</f>
        <v>0</v>
      </c>
      <c r="CB81" s="13" t="n">
        <f aca="false">IF(AND(CA$82&gt;0,CB$80&gt;=MAX(1,p_DivLag)),CA$82,0)</f>
        <v>0</v>
      </c>
      <c r="CC81" s="13" t="n">
        <f aca="false">IF(AND(CB$82&gt;0,CC$80&gt;=MAX(1,p_DivLag)),CB$82,0)</f>
        <v>0</v>
      </c>
      <c r="CD81" s="13" t="n">
        <f aca="false">IF(AND(CC$82&gt;0,CD$80&gt;=MAX(1,p_DivLag)),CC$82,0)</f>
        <v>1795110.53188481</v>
      </c>
      <c r="CE81" s="13" t="n">
        <f aca="false">IF(AND(CD$82&gt;0,CE$80&gt;=MAX(1,p_DivLag)),CD$82,0)</f>
        <v>0</v>
      </c>
      <c r="CF81" s="13" t="n">
        <f aca="false">IF(AND(CE$82&gt;0,CF$80&gt;=MAX(1,p_DivLag)),CE$82,0)</f>
        <v>0</v>
      </c>
      <c r="CG81" s="13" t="n">
        <f aca="false">IF(AND(CF$82&gt;0,CG$80&gt;=MAX(1,p_DivLag)),CF$82,0)</f>
        <v>0</v>
      </c>
      <c r="CH81" s="13" t="n">
        <f aca="false">IF(AND(CG$82&gt;0,CH$80&gt;=MAX(1,p_DivLag)),CG$82,0)</f>
        <v>0</v>
      </c>
      <c r="CI81" s="13" t="n">
        <f aca="false">IF(AND(CH$82&gt;0,CI$80&gt;=MAX(1,p_DivLag)),CH$82,0)</f>
        <v>0</v>
      </c>
      <c r="CJ81" s="13" t="n">
        <f aca="false">IF(AND(CI$82&gt;0,CJ$80&gt;=MAX(1,p_DivLag)),CI$82,0)</f>
        <v>0</v>
      </c>
      <c r="CK81" s="13" t="n">
        <f aca="false">IF(AND(CJ$82&gt;0,CK$80&gt;=MAX(1,p_DivLag)),CJ$82,0)</f>
        <v>0</v>
      </c>
      <c r="CL81" s="13" t="n">
        <f aca="false">IF(AND(CK$82&gt;0,CL$80&gt;=MAX(1,p_DivLag)),CK$82,0)</f>
        <v>0</v>
      </c>
      <c r="CM81" s="13" t="n">
        <f aca="false">IF(AND(CL$82&gt;0,CM$80&gt;=MAX(1,p_DivLag)),CL$82,0)</f>
        <v>0</v>
      </c>
      <c r="CN81" s="13" t="n">
        <f aca="false">IF(AND(CM$82&gt;0,CN$80&gt;=MAX(1,p_DivLag)),CM$82,0)</f>
        <v>0</v>
      </c>
      <c r="CO81" s="13" t="n">
        <f aca="false">IF(AND(CN$82&gt;0,CO$80&gt;=MAX(1,p_DivLag)),CN$82,0)</f>
        <v>0</v>
      </c>
      <c r="CP81" s="13" t="n">
        <f aca="false">IF(AND(CO$82&gt;0,CP$80&gt;=MAX(1,p_DivLag)),CO$82,0)</f>
        <v>1844570.2164967</v>
      </c>
      <c r="CQ81" s="13" t="n">
        <f aca="false">IF(AND(CP$82&gt;0,CQ$80&gt;=MAX(1,p_DivLag)),CP$82,0)</f>
        <v>0</v>
      </c>
      <c r="CR81" s="13" t="n">
        <f aca="false">IF(AND(CQ$82&gt;0,CR$80&gt;=MAX(1,p_DivLag)),CQ$82,0)</f>
        <v>0</v>
      </c>
      <c r="CS81" s="13" t="n">
        <f aca="false">IF(AND(CR$82&gt;0,CS$80&gt;=MAX(1,p_DivLag)),CR$82,0)</f>
        <v>0</v>
      </c>
      <c r="CT81" s="13" t="n">
        <f aca="false">IF(AND(CS$82&gt;0,CT$80&gt;=MAX(1,p_DivLag)),CS$82,0)</f>
        <v>0</v>
      </c>
      <c r="CU81" s="13" t="n">
        <f aca="false">IF(AND(CT$82&gt;0,CU$80&gt;=MAX(1,p_DivLag)),CT$82,0)</f>
        <v>0</v>
      </c>
      <c r="CV81" s="13" t="n">
        <f aca="false">IF(AND(CU$82&gt;0,CV$80&gt;=MAX(1,p_DivLag)),CU$82,0)</f>
        <v>0</v>
      </c>
      <c r="CW81" s="13" t="n">
        <f aca="false">IF(AND(CV$82&gt;0,CW$80&gt;=MAX(1,p_DivLag)),CV$82,0)</f>
        <v>0</v>
      </c>
      <c r="CX81" s="13" t="n">
        <f aca="false">IF(AND(CW$82&gt;0,CX$80&gt;=MAX(1,p_DivLag)),CW$82,0)</f>
        <v>0</v>
      </c>
      <c r="CY81" s="13" t="n">
        <f aca="false">IF(AND(CX$82&gt;0,CY$80&gt;=MAX(1,p_DivLag)),CX$82,0)</f>
        <v>0</v>
      </c>
      <c r="CZ81" s="13" t="n">
        <f aca="false">IF(AND(CY$82&gt;0,CZ$80&gt;=MAX(1,p_DivLag)),CY$82,0)</f>
        <v>0</v>
      </c>
      <c r="DA81" s="13" t="n">
        <f aca="false">IF(AND(CZ$82&gt;0,DA$80&gt;=MAX(1,p_DivLag)),CZ$82,0)</f>
        <v>0</v>
      </c>
      <c r="DB81" s="13" t="n">
        <f aca="false">IF(AND(DA$82&gt;0,DB$80&gt;=MAX(1,p_DivLag)),DA$82,0)</f>
        <v>1894382.33935159</v>
      </c>
      <c r="DC81" s="13" t="n">
        <f aca="false">IF(AND(DB$82&gt;0,DC$80&gt;=MAX(1,p_DivLag)),DB$82,0)</f>
        <v>0</v>
      </c>
      <c r="DD81" s="13" t="n">
        <f aca="false">IF(AND(DC$82&gt;0,DD$80&gt;=MAX(1,p_DivLag)),DC$82,0)</f>
        <v>0</v>
      </c>
      <c r="DE81" s="13" t="n">
        <f aca="false">IF(AND(DD$82&gt;0,DE$80&gt;=MAX(1,p_DivLag)),DD$82,0)</f>
        <v>0</v>
      </c>
      <c r="DF81" s="13" t="n">
        <f aca="false">IF(AND(DE$82&gt;0,DF$80&gt;=MAX(1,p_DivLag)),DE$82,0)</f>
        <v>0</v>
      </c>
      <c r="DG81" s="13" t="n">
        <f aca="false">IF(AND(DF$82&gt;0,DG$80&gt;=MAX(1,p_DivLag)),DF$82,0)</f>
        <v>0</v>
      </c>
      <c r="DH81" s="13" t="n">
        <f aca="false">IF(AND(DG$82&gt;0,DH$80&gt;=MAX(1,p_DivLag)),DG$82,0)</f>
        <v>0</v>
      </c>
      <c r="DI81" s="13" t="n">
        <f aca="false">IF(AND(DH$82&gt;0,DI$80&gt;=MAX(1,p_DivLag)),DH$82,0)</f>
        <v>0</v>
      </c>
      <c r="DJ81" s="13" t="n">
        <f aca="false">IF(AND(DI$82&gt;0,DJ$80&gt;=MAX(1,p_DivLag)),DI$82,0)</f>
        <v>0</v>
      </c>
      <c r="DK81" s="13" t="n">
        <f aca="false">IF(AND(DJ$82&gt;0,DK$80&gt;=MAX(1,p_DivLag)),DJ$82,0)</f>
        <v>0</v>
      </c>
      <c r="DL81" s="13" t="n">
        <f aca="false">IF(AND(DK$82&gt;0,DL$80&gt;=MAX(1,p_DivLag)),DK$82,0)</f>
        <v>0</v>
      </c>
      <c r="DM81" s="13" t="n">
        <f aca="false">IF(AND(DL$82&gt;0,DM$80&gt;=MAX(1,p_DivLag)),DL$82,0)</f>
        <v>0</v>
      </c>
      <c r="DN81" s="13" t="n">
        <f aca="false">IF(AND(DM$82&gt;0,DN$80&gt;=MAX(1,p_DivLag)),DM$82,0)</f>
        <v>1944545.97291341</v>
      </c>
      <c r="DO81" s="13" t="n">
        <f aca="false">IF(AND(DN$82&gt;0,DO$80&gt;=MAX(1,p_DivLag)),DN$82,0)</f>
        <v>0</v>
      </c>
      <c r="DP81" s="13" t="n">
        <f aca="false">IF(AND(DO$82&gt;0,DP$80&gt;=MAX(1,p_DivLag)),DO$82,0)</f>
        <v>0</v>
      </c>
      <c r="DQ81" s="13" t="n">
        <f aca="false">IF(AND(DP$82&gt;0,DQ$80&gt;=MAX(1,p_DivLag)),DP$82,0)</f>
        <v>0</v>
      </c>
      <c r="DR81" s="13" t="n">
        <f aca="false">IF(AND(DQ$82&gt;0,DR$80&gt;=MAX(1,p_DivLag)),DQ$82,0)</f>
        <v>0</v>
      </c>
      <c r="DS81" s="13" t="n">
        <f aca="false">IF(AND(DR$82&gt;0,DS$80&gt;=MAX(1,p_DivLag)),DR$82,0)</f>
        <v>0</v>
      </c>
      <c r="DT81" s="13" t="n">
        <f aca="false">IF(AND(DS$82&gt;0,DT$80&gt;=MAX(1,p_DivLag)),DS$82,0)</f>
        <v>0</v>
      </c>
      <c r="DU81" s="13" t="n">
        <f aca="false">IF(AND(DT$82&gt;0,DU$80&gt;=MAX(1,p_DivLag)),DT$82,0)</f>
        <v>0</v>
      </c>
      <c r="DV81" s="13" t="n">
        <f aca="false">IF(AND(DU$82&gt;0,DV$80&gt;=MAX(1,p_DivLag)),DU$82,0)</f>
        <v>0</v>
      </c>
      <c r="DW81" s="13" t="n">
        <f aca="false">IF(AND(DV$82&gt;0,DW$80&gt;=MAX(1,p_DivLag)),DV$82,0)</f>
        <v>0</v>
      </c>
      <c r="DX81" s="13" t="n">
        <f aca="false">IF(AND(DW$82&gt;0,DX$80&gt;=MAX(1,p_DivLag)),DW$82,0)</f>
        <v>0</v>
      </c>
      <c r="DY81" s="13" t="n">
        <f aca="false">IF(AND(DX$82&gt;0,DY$80&gt;=MAX(1,p_DivLag)),DX$82,0)</f>
        <v>0</v>
      </c>
      <c r="DZ81" s="13" t="n">
        <f aca="false">IF(AND(DY$82&gt;0,DZ$80&gt;=MAX(1,p_DivLag)),DY$82,0)</f>
        <v>1981009.29148202</v>
      </c>
      <c r="EA81" s="13" t="n">
        <f aca="false">IF(AND(DZ$82&gt;0,EA$80&gt;=MAX(1,p_DivLag)),DZ$82,0)</f>
        <v>0</v>
      </c>
      <c r="EB81" s="13" t="n">
        <f aca="false">IF(AND(EA$82&gt;0,EB$80&gt;=MAX(1,p_DivLag)),EA$82,0)</f>
        <v>0</v>
      </c>
      <c r="EC81" s="13" t="n">
        <f aca="false">IF(AND(EB$82&gt;0,EC$80&gt;=MAX(1,p_DivLag)),EB$82,0)</f>
        <v>0</v>
      </c>
      <c r="ED81" s="13" t="n">
        <f aca="false">IF(AND(EC$82&gt;0,ED$80&gt;=MAX(1,p_DivLag)),EC$82,0)</f>
        <v>0</v>
      </c>
      <c r="EE81" s="13" t="n">
        <f aca="false">IF(AND(ED$82&gt;0,EE$80&gt;=MAX(1,p_DivLag)),ED$82,0)</f>
        <v>0</v>
      </c>
      <c r="EF81" s="13" t="n">
        <f aca="false">IF(AND(EE$82&gt;0,EF$80&gt;=MAX(1,p_DivLag)),EE$82,0)</f>
        <v>0</v>
      </c>
      <c r="EG81" s="13" t="n">
        <f aca="false">IF(AND(EF$82&gt;0,EG$80&gt;=MAX(1,p_DivLag)),EF$82,0)</f>
        <v>0</v>
      </c>
      <c r="EH81" s="13" t="n">
        <f aca="false">IF(AND(EG$82&gt;0,EH$80&gt;=MAX(1,p_DivLag)),EG$82,0)</f>
        <v>0</v>
      </c>
      <c r="EI81" s="13" t="n">
        <f aca="false">IF(AND(EH$82&gt;0,EI$80&gt;=MAX(1,p_DivLag)),EH$82,0)</f>
        <v>0</v>
      </c>
      <c r="EJ81" s="13" t="n">
        <f aca="false">IF(AND(EI$82&gt;0,EJ$80&gt;=MAX(1,p_DivLag)),EI$82,0)</f>
        <v>0</v>
      </c>
      <c r="EK81" s="13" t="n">
        <f aca="false">IF(AND(EJ$82&gt;0,EK$80&gt;=MAX(1,p_DivLag)),EJ$82,0)</f>
        <v>0</v>
      </c>
      <c r="EL81" s="13" t="n">
        <f aca="false">IF(AND(EK$82&gt;0,EL$80&gt;=MAX(1,p_DivLag)),EK$82,0)</f>
        <v>0</v>
      </c>
      <c r="EM81" s="13" t="n">
        <f aca="false">IF(AND(EL$82&gt;0,EM$80&gt;=MAX(1,p_DivLag)),EL$82,0)</f>
        <v>0</v>
      </c>
      <c r="EN81" s="13" t="n">
        <f aca="false">IF(AND(EM$82&gt;0,EN$80&gt;=MAX(1,p_DivLag)),EM$82,0)</f>
        <v>0</v>
      </c>
      <c r="EO81" s="13" t="n">
        <f aca="false">IF(AND(EN$82&gt;0,EO$80&gt;=MAX(1,p_DivLag)),EN$82,0)</f>
        <v>0</v>
      </c>
      <c r="EP81" s="13" t="n">
        <f aca="false">IF(AND(EO$82&gt;0,EP$80&gt;=MAX(1,p_DivLag)),EO$82,0)</f>
        <v>0</v>
      </c>
      <c r="EQ81" s="13" t="n">
        <f aca="false">IF(AND(EP$82&gt;0,EQ$80&gt;=MAX(1,p_DivLag)),EP$82,0)</f>
        <v>0</v>
      </c>
      <c r="ER81" s="13" t="n">
        <f aca="false">IF(AND(EQ$82&gt;0,ER$80&gt;=MAX(1,p_DivLag)),EQ$82,0)</f>
        <v>0</v>
      </c>
      <c r="ES81" s="13" t="n">
        <f aca="false">IF(AND(ER$82&gt;0,ES$80&gt;=MAX(1,p_DivLag)),ER$82,0)</f>
        <v>0</v>
      </c>
      <c r="ET81" s="13" t="n">
        <f aca="false">IF(AND(ES$82&gt;0,ET$80&gt;=MAX(1,p_DivLag)),ES$82,0)</f>
        <v>0</v>
      </c>
      <c r="EU81" s="13" t="n">
        <f aca="false">IF(AND(ET$82&gt;0,EU$80&gt;=MAX(1,p_DivLag)),ET$82,0)</f>
        <v>0</v>
      </c>
      <c r="EV81" s="13" t="n">
        <f aca="false">IF(AND(EU$82&gt;0,EV$80&gt;=MAX(1,p_DivLag)),EU$82,0)</f>
        <v>0</v>
      </c>
      <c r="EW81" s="13" t="n">
        <f aca="false">IF(AND(EV$82&gt;0,EW$80&gt;=MAX(1,p_DivLag)),EV$82,0)</f>
        <v>0</v>
      </c>
      <c r="EX81" s="13" t="n">
        <f aca="false">IF(AND(EW$82&gt;0,EX$80&gt;=MAX(1,p_DivLag)),EW$82,0)</f>
        <v>0</v>
      </c>
      <c r="EY81" s="13" t="n">
        <f aca="false">IF(AND(EX$82&gt;0,EY$80&gt;=MAX(1,p_DivLag)),EX$82,0)</f>
        <v>0</v>
      </c>
      <c r="EZ81" s="13" t="n">
        <f aca="false">IF(AND(EY$82&gt;0,EZ$80&gt;=MAX(1,p_DivLag)),EY$82,0)</f>
        <v>0</v>
      </c>
      <c r="FA81" s="13" t="n">
        <f aca="false">IF(AND(EZ$82&gt;0,FA$80&gt;=MAX(1,p_DivLag)),EZ$82,0)</f>
        <v>0</v>
      </c>
      <c r="FB81" s="13" t="n">
        <f aca="false">IF(AND(FA$82&gt;0,FB$80&gt;=MAX(1,p_DivLag)),FA$82,0)</f>
        <v>0</v>
      </c>
      <c r="FC81" s="13" t="n">
        <f aca="false">IF(AND(FB$82&gt;0,FC$80&gt;=MAX(1,p_DivLag)),FB$82,0)</f>
        <v>0</v>
      </c>
      <c r="FD81" s="13" t="n">
        <f aca="false">IF(AND(FC$82&gt;0,FD$80&gt;=MAX(1,p_DivLag)),FC$82,0)</f>
        <v>0</v>
      </c>
      <c r="FE81" s="13" t="n">
        <f aca="false">IF(AND(FD$82&gt;0,FE$80&gt;=MAX(1,p_DivLag)),FD$82,0)</f>
        <v>0</v>
      </c>
      <c r="FF81" s="13" t="n">
        <f aca="false">IF(AND(FE$82&gt;0,FF$80&gt;=MAX(1,p_DivLag)),FE$82,0)</f>
        <v>0</v>
      </c>
    </row>
    <row r="82" customFormat="false" ht="15" hidden="false" customHeight="false" outlineLevel="0" collapsed="false">
      <c r="A82" s="2" t="s">
        <v>1573</v>
      </c>
      <c r="B82" s="8" t="s">
        <v>1574</v>
      </c>
      <c r="C82" s="8" t="s">
        <v>255</v>
      </c>
      <c r="E82" s="65" t="n">
        <f aca="false">INDEX($F82:$FF82,1,p_MesFin+1)</f>
        <v>1981009.29148202</v>
      </c>
      <c r="F82" s="13" t="n">
        <f aca="false">0+F$78-F$81</f>
        <v>0</v>
      </c>
      <c r="G82" s="13" t="n">
        <f aca="false">F$82+G$78-G$81</f>
        <v>0</v>
      </c>
      <c r="H82" s="13" t="n">
        <f aca="false">G$82+H$78-H$81</f>
        <v>0</v>
      </c>
      <c r="I82" s="13" t="n">
        <f aca="false">H$82+I$78-I$81</f>
        <v>0</v>
      </c>
      <c r="J82" s="13" t="n">
        <f aca="false">I$82+J$78-J$81</f>
        <v>0</v>
      </c>
      <c r="K82" s="13" t="n">
        <f aca="false">J$82+K$78-K$81</f>
        <v>0</v>
      </c>
      <c r="L82" s="13" t="n">
        <f aca="false">K$82+L$78-L$81</f>
        <v>0</v>
      </c>
      <c r="M82" s="13" t="n">
        <f aca="false">L$82+M$78-M$81</f>
        <v>0</v>
      </c>
      <c r="N82" s="13" t="n">
        <f aca="false">M$82+N$78-N$81</f>
        <v>0</v>
      </c>
      <c r="O82" s="13" t="n">
        <f aca="false">N$82+O$78-O$81</f>
        <v>0</v>
      </c>
      <c r="P82" s="13" t="n">
        <f aca="false">O$82+P$78-P$81</f>
        <v>0</v>
      </c>
      <c r="Q82" s="13" t="n">
        <f aca="false">P$82+Q$78-Q$81</f>
        <v>0</v>
      </c>
      <c r="R82" s="13" t="n">
        <f aca="false">Q$82+R$78-R$81</f>
        <v>0</v>
      </c>
      <c r="S82" s="13" t="n">
        <f aca="false">R$82+S$78-S$81</f>
        <v>0</v>
      </c>
      <c r="T82" s="13" t="n">
        <f aca="false">S$82+T$78-T$81</f>
        <v>0</v>
      </c>
      <c r="U82" s="13" t="n">
        <f aca="false">T$82+U$78-U$81</f>
        <v>0</v>
      </c>
      <c r="V82" s="13" t="n">
        <f aca="false">U$82+V$78-V$81</f>
        <v>0</v>
      </c>
      <c r="W82" s="13" t="n">
        <f aca="false">V$82+W$78-W$81</f>
        <v>0</v>
      </c>
      <c r="X82" s="13" t="n">
        <f aca="false">W$82+X$78-X$81</f>
        <v>0</v>
      </c>
      <c r="Y82" s="13" t="n">
        <f aca="false">X$82+Y$78-Y$81</f>
        <v>0</v>
      </c>
      <c r="Z82" s="13" t="n">
        <f aca="false">Y$82+Z$78-Z$81</f>
        <v>0</v>
      </c>
      <c r="AA82" s="13" t="n">
        <f aca="false">Z$82+AA$78-AA$81</f>
        <v>0</v>
      </c>
      <c r="AB82" s="13" t="n">
        <f aca="false">AA$82+AB$78-AB$81</f>
        <v>0</v>
      </c>
      <c r="AC82" s="13" t="n">
        <f aca="false">AB$82+AC$78-AC$81</f>
        <v>0</v>
      </c>
      <c r="AD82" s="13" t="n">
        <f aca="false">AC$82+AD$78-AD$81</f>
        <v>0</v>
      </c>
      <c r="AE82" s="13" t="n">
        <f aca="false">AD$82+AE$78-AE$81</f>
        <v>0</v>
      </c>
      <c r="AF82" s="13" t="n">
        <f aca="false">AE$82+AF$78-AF$81</f>
        <v>0</v>
      </c>
      <c r="AG82" s="13" t="n">
        <f aca="false">AF$82+AG$78-AG$81</f>
        <v>0</v>
      </c>
      <c r="AH82" s="13" t="n">
        <f aca="false">AG$82+AH$78-AH$81</f>
        <v>0</v>
      </c>
      <c r="AI82" s="13" t="n">
        <f aca="false">AH$82+AI$78-AI$81</f>
        <v>0</v>
      </c>
      <c r="AJ82" s="13" t="n">
        <f aca="false">AI$82+AJ$78-AJ$81</f>
        <v>0</v>
      </c>
      <c r="AK82" s="13" t="n">
        <f aca="false">AJ$82+AK$78-AK$81</f>
        <v>0</v>
      </c>
      <c r="AL82" s="13" t="n">
        <f aca="false">AK$82+AL$78-AL$81</f>
        <v>0</v>
      </c>
      <c r="AM82" s="13" t="n">
        <f aca="false">AL$82+AM$78-AM$81</f>
        <v>0</v>
      </c>
      <c r="AN82" s="13" t="n">
        <f aca="false">AM$82+AN$78-AN$81</f>
        <v>0</v>
      </c>
      <c r="AO82" s="13" t="n">
        <f aca="false">AN$82+AO$78-AO$81</f>
        <v>0</v>
      </c>
      <c r="AP82" s="13" t="n">
        <f aca="false">AO$82+AP$78-AP$81</f>
        <v>346206.012885793</v>
      </c>
      <c r="AQ82" s="13" t="n">
        <f aca="false">AP$82+AQ$78-AQ$81</f>
        <v>346206.012885793</v>
      </c>
      <c r="AR82" s="13" t="n">
        <f aca="false">AQ$82+AR$78-AR$81</f>
        <v>346206.012885793</v>
      </c>
      <c r="AS82" s="13" t="n">
        <f aca="false">AR$82+AS$78-AS$81</f>
        <v>346206.012885793</v>
      </c>
      <c r="AT82" s="13" t="n">
        <f aca="false">AS$82+AT$78-AT$81</f>
        <v>0</v>
      </c>
      <c r="AU82" s="13" t="n">
        <f aca="false">AT$82+AU$78-AU$81</f>
        <v>0</v>
      </c>
      <c r="AV82" s="13" t="n">
        <f aca="false">AU$82+AV$78-AV$81</f>
        <v>0</v>
      </c>
      <c r="AW82" s="13" t="n">
        <f aca="false">AV$82+AW$78-AW$81</f>
        <v>0</v>
      </c>
      <c r="AX82" s="13" t="n">
        <f aca="false">AW$82+AX$78-AX$81</f>
        <v>0</v>
      </c>
      <c r="AY82" s="13" t="n">
        <f aca="false">AX$82+AY$78-AY$81</f>
        <v>0</v>
      </c>
      <c r="AZ82" s="13" t="n">
        <f aca="false">AY$82+AZ$78-AZ$81</f>
        <v>0</v>
      </c>
      <c r="BA82" s="13" t="n">
        <f aca="false">AZ$82+BA$78-BA$81</f>
        <v>0</v>
      </c>
      <c r="BB82" s="13" t="n">
        <f aca="false">BA$82+BB$78-BB$81</f>
        <v>804813.822412189</v>
      </c>
      <c r="BC82" s="13" t="n">
        <f aca="false">BB$82+BC$78-BC$81</f>
        <v>804813.822412189</v>
      </c>
      <c r="BD82" s="13" t="n">
        <f aca="false">BC$82+BD$78-BD$81</f>
        <v>804813.822412189</v>
      </c>
      <c r="BE82" s="13" t="n">
        <f aca="false">BD$82+BE$78-BE$81</f>
        <v>804813.822412189</v>
      </c>
      <c r="BF82" s="13" t="n">
        <f aca="false">BE$82+BF$78-BF$81</f>
        <v>0</v>
      </c>
      <c r="BG82" s="13" t="n">
        <f aca="false">BF$82+BG$78-BG$81</f>
        <v>0</v>
      </c>
      <c r="BH82" s="13" t="n">
        <f aca="false">BG$82+BH$78-BH$81</f>
        <v>0</v>
      </c>
      <c r="BI82" s="13" t="n">
        <f aca="false">BH$82+BI$78-BI$81</f>
        <v>0</v>
      </c>
      <c r="BJ82" s="13" t="n">
        <f aca="false">BI$82+BJ$78-BJ$81</f>
        <v>0</v>
      </c>
      <c r="BK82" s="13" t="n">
        <f aca="false">BJ$82+BK$78-BK$81</f>
        <v>0</v>
      </c>
      <c r="BL82" s="13" t="n">
        <f aca="false">BK$82+BL$78-BL$81</f>
        <v>0</v>
      </c>
      <c r="BM82" s="13" t="n">
        <f aca="false">BL$82+BM$78-BM$81</f>
        <v>0</v>
      </c>
      <c r="BN82" s="13" t="n">
        <f aca="false">BM$82+BN$78-BN$81</f>
        <v>1695488.20952483</v>
      </c>
      <c r="BO82" s="13" t="n">
        <f aca="false">BN$82+BO$78-BO$81</f>
        <v>1695488.20952483</v>
      </c>
      <c r="BP82" s="13" t="n">
        <f aca="false">BO$82+BP$78-BP$81</f>
        <v>1695488.20952483</v>
      </c>
      <c r="BQ82" s="13" t="n">
        <f aca="false">BP$82+BQ$78-BQ$81</f>
        <v>1695488.20952483</v>
      </c>
      <c r="BR82" s="13" t="n">
        <f aca="false">BQ$82+BR$78-BR$81</f>
        <v>0</v>
      </c>
      <c r="BS82" s="13" t="n">
        <f aca="false">BR$82+BS$78-BS$81</f>
        <v>0</v>
      </c>
      <c r="BT82" s="13" t="n">
        <f aca="false">BS$82+BT$78-BT$81</f>
        <v>0</v>
      </c>
      <c r="BU82" s="13" t="n">
        <f aca="false">BT$82+BU$78-BU$81</f>
        <v>0</v>
      </c>
      <c r="BV82" s="13" t="n">
        <f aca="false">BU$82+BV$78-BV$81</f>
        <v>0</v>
      </c>
      <c r="BW82" s="13" t="n">
        <f aca="false">BV$82+BW$78-BW$81</f>
        <v>0</v>
      </c>
      <c r="BX82" s="13" t="n">
        <f aca="false">BW$82+BX$78-BX$81</f>
        <v>0</v>
      </c>
      <c r="BY82" s="13" t="n">
        <f aca="false">BX$82+BY$78-BY$81</f>
        <v>0</v>
      </c>
      <c r="BZ82" s="13" t="n">
        <f aca="false">BY$82+BZ$78-BZ$81</f>
        <v>1795110.53188481</v>
      </c>
      <c r="CA82" s="13" t="n">
        <f aca="false">BZ$82+CA$78-CA$81</f>
        <v>1795110.53188481</v>
      </c>
      <c r="CB82" s="13" t="n">
        <f aca="false">CA$82+CB$78-CB$81</f>
        <v>1795110.53188481</v>
      </c>
      <c r="CC82" s="13" t="n">
        <f aca="false">CB$82+CC$78-CC$81</f>
        <v>1795110.53188481</v>
      </c>
      <c r="CD82" s="13" t="n">
        <f aca="false">CC$82+CD$78-CD$81</f>
        <v>0</v>
      </c>
      <c r="CE82" s="13" t="n">
        <f aca="false">CD$82+CE$78-CE$81</f>
        <v>0</v>
      </c>
      <c r="CF82" s="13" t="n">
        <f aca="false">CE$82+CF$78-CF$81</f>
        <v>0</v>
      </c>
      <c r="CG82" s="13" t="n">
        <f aca="false">CF$82+CG$78-CG$81</f>
        <v>0</v>
      </c>
      <c r="CH82" s="13" t="n">
        <f aca="false">CG$82+CH$78-CH$81</f>
        <v>0</v>
      </c>
      <c r="CI82" s="13" t="n">
        <f aca="false">CH$82+CI$78-CI$81</f>
        <v>0</v>
      </c>
      <c r="CJ82" s="13" t="n">
        <f aca="false">CI$82+CJ$78-CJ$81</f>
        <v>0</v>
      </c>
      <c r="CK82" s="13" t="n">
        <f aca="false">CJ$82+CK$78-CK$81</f>
        <v>0</v>
      </c>
      <c r="CL82" s="13" t="n">
        <f aca="false">CK$82+CL$78-CL$81</f>
        <v>1844570.2164967</v>
      </c>
      <c r="CM82" s="13" t="n">
        <f aca="false">CL$82+CM$78-CM$81</f>
        <v>1844570.2164967</v>
      </c>
      <c r="CN82" s="13" t="n">
        <f aca="false">CM$82+CN$78-CN$81</f>
        <v>1844570.2164967</v>
      </c>
      <c r="CO82" s="13" t="n">
        <f aca="false">CN$82+CO$78-CO$81</f>
        <v>1844570.2164967</v>
      </c>
      <c r="CP82" s="13" t="n">
        <f aca="false">CO$82+CP$78-CP$81</f>
        <v>0</v>
      </c>
      <c r="CQ82" s="13" t="n">
        <f aca="false">CP$82+CQ$78-CQ$81</f>
        <v>0</v>
      </c>
      <c r="CR82" s="13" t="n">
        <f aca="false">CQ$82+CR$78-CR$81</f>
        <v>0</v>
      </c>
      <c r="CS82" s="13" t="n">
        <f aca="false">CR$82+CS$78-CS$81</f>
        <v>0</v>
      </c>
      <c r="CT82" s="13" t="n">
        <f aca="false">CS$82+CT$78-CT$81</f>
        <v>0</v>
      </c>
      <c r="CU82" s="13" t="n">
        <f aca="false">CT$82+CU$78-CU$81</f>
        <v>0</v>
      </c>
      <c r="CV82" s="13" t="n">
        <f aca="false">CU$82+CV$78-CV$81</f>
        <v>0</v>
      </c>
      <c r="CW82" s="13" t="n">
        <f aca="false">CV$82+CW$78-CW$81</f>
        <v>0</v>
      </c>
      <c r="CX82" s="13" t="n">
        <f aca="false">CW$82+CX$78-CX$81</f>
        <v>1894382.33935159</v>
      </c>
      <c r="CY82" s="13" t="n">
        <f aca="false">CX$82+CY$78-CY$81</f>
        <v>1894382.33935159</v>
      </c>
      <c r="CZ82" s="13" t="n">
        <f aca="false">CY$82+CZ$78-CZ$81</f>
        <v>1894382.33935159</v>
      </c>
      <c r="DA82" s="13" t="n">
        <f aca="false">CZ$82+DA$78-DA$81</f>
        <v>1894382.33935159</v>
      </c>
      <c r="DB82" s="13" t="n">
        <f aca="false">DA$82+DB$78-DB$81</f>
        <v>0</v>
      </c>
      <c r="DC82" s="13" t="n">
        <f aca="false">DB$82+DC$78-DC$81</f>
        <v>0</v>
      </c>
      <c r="DD82" s="13" t="n">
        <f aca="false">DC$82+DD$78-DD$81</f>
        <v>0</v>
      </c>
      <c r="DE82" s="13" t="n">
        <f aca="false">DD$82+DE$78-DE$81</f>
        <v>0</v>
      </c>
      <c r="DF82" s="13" t="n">
        <f aca="false">DE$82+DF$78-DF$81</f>
        <v>0</v>
      </c>
      <c r="DG82" s="13" t="n">
        <f aca="false">DF$82+DG$78-DG$81</f>
        <v>0</v>
      </c>
      <c r="DH82" s="13" t="n">
        <f aca="false">DG$82+DH$78-DH$81</f>
        <v>0</v>
      </c>
      <c r="DI82" s="13" t="n">
        <f aca="false">DH$82+DI$78-DI$81</f>
        <v>0</v>
      </c>
      <c r="DJ82" s="13" t="n">
        <f aca="false">DI$82+DJ$78-DJ$81</f>
        <v>1944545.97291341</v>
      </c>
      <c r="DK82" s="13" t="n">
        <f aca="false">DJ$82+DK$78-DK$81</f>
        <v>1944545.97291341</v>
      </c>
      <c r="DL82" s="13" t="n">
        <f aca="false">DK$82+DL$78-DL$81</f>
        <v>1944545.97291341</v>
      </c>
      <c r="DM82" s="13" t="n">
        <f aca="false">DL$82+DM$78-DM$81</f>
        <v>1944545.97291341</v>
      </c>
      <c r="DN82" s="13" t="n">
        <f aca="false">DM$82+DN$78-DN$81</f>
        <v>0</v>
      </c>
      <c r="DO82" s="13" t="n">
        <f aca="false">DN$82+DO$78-DO$81</f>
        <v>0</v>
      </c>
      <c r="DP82" s="13" t="n">
        <f aca="false">DO$82+DP$78-DP$81</f>
        <v>0</v>
      </c>
      <c r="DQ82" s="13" t="n">
        <f aca="false">DP$82+DQ$78-DQ$81</f>
        <v>0</v>
      </c>
      <c r="DR82" s="13" t="n">
        <f aca="false">DQ$82+DR$78-DR$81</f>
        <v>0</v>
      </c>
      <c r="DS82" s="13" t="n">
        <f aca="false">DR$82+DS$78-DS$81</f>
        <v>0</v>
      </c>
      <c r="DT82" s="13" t="n">
        <f aca="false">DS$82+DT$78-DT$81</f>
        <v>0</v>
      </c>
      <c r="DU82" s="13" t="n">
        <f aca="false">DT$82+DU$78-DU$81</f>
        <v>0</v>
      </c>
      <c r="DV82" s="13" t="n">
        <f aca="false">DU$82+DV$78-DV$81</f>
        <v>1981009.29148202</v>
      </c>
      <c r="DW82" s="13" t="n">
        <f aca="false">DV$82+DW$78-DW$81</f>
        <v>1981009.29148202</v>
      </c>
      <c r="DX82" s="13" t="n">
        <f aca="false">DW$82+DX$78-DX$81</f>
        <v>1981009.29148202</v>
      </c>
      <c r="DY82" s="13" t="n">
        <f aca="false">DX$82+DY$78-DY$81</f>
        <v>1981009.29148202</v>
      </c>
      <c r="DZ82" s="13" t="n">
        <f aca="false">DY$82+DZ$78-DZ$81</f>
        <v>0</v>
      </c>
      <c r="EA82" s="13" t="n">
        <f aca="false">DZ$82+EA$78-EA$81</f>
        <v>0</v>
      </c>
      <c r="EB82" s="13" t="n">
        <f aca="false">EA$82+EB$78-EB$81</f>
        <v>0</v>
      </c>
      <c r="EC82" s="13" t="n">
        <f aca="false">EB$82+EC$78-EC$81</f>
        <v>0</v>
      </c>
      <c r="ED82" s="13" t="n">
        <f aca="false">EC$82+ED$78-ED$81</f>
        <v>0</v>
      </c>
      <c r="EE82" s="13" t="n">
        <f aca="false">ED$82+EE$78-EE$81</f>
        <v>0</v>
      </c>
      <c r="EF82" s="13" t="n">
        <f aca="false">EE$82+EF$78-EF$81</f>
        <v>0</v>
      </c>
      <c r="EG82" s="13" t="n">
        <f aca="false">EF$82+EG$78-EG$81</f>
        <v>0</v>
      </c>
      <c r="EH82" s="13" t="n">
        <f aca="false">EG$82+EH$78-EH$81</f>
        <v>0</v>
      </c>
      <c r="EI82" s="13" t="n">
        <f aca="false">EH$82+EI$78-EI$81</f>
        <v>0</v>
      </c>
      <c r="EJ82" s="13" t="n">
        <f aca="false">EI$82+EJ$78-EJ$81</f>
        <v>0</v>
      </c>
      <c r="EK82" s="13" t="n">
        <f aca="false">EJ$82+EK$78-EK$81</f>
        <v>0</v>
      </c>
      <c r="EL82" s="13" t="n">
        <f aca="false">EK$82+EL$78-EL$81</f>
        <v>0</v>
      </c>
      <c r="EM82" s="13" t="n">
        <f aca="false">EL$82+EM$78-EM$81</f>
        <v>0</v>
      </c>
      <c r="EN82" s="13" t="n">
        <f aca="false">EM$82+EN$78-EN$81</f>
        <v>0</v>
      </c>
      <c r="EO82" s="13" t="n">
        <f aca="false">EN$82+EO$78-EO$81</f>
        <v>0</v>
      </c>
      <c r="EP82" s="13" t="n">
        <f aca="false">EO$82+EP$78-EP$81</f>
        <v>0</v>
      </c>
      <c r="EQ82" s="13" t="n">
        <f aca="false">EP$82+EQ$78-EQ$81</f>
        <v>0</v>
      </c>
      <c r="ER82" s="13" t="n">
        <f aca="false">EQ$82+ER$78-ER$81</f>
        <v>0</v>
      </c>
      <c r="ES82" s="13" t="n">
        <f aca="false">ER$82+ES$78-ES$81</f>
        <v>0</v>
      </c>
      <c r="ET82" s="13" t="n">
        <f aca="false">ES$82+ET$78-ET$81</f>
        <v>0</v>
      </c>
      <c r="EU82" s="13" t="n">
        <f aca="false">ET$82+EU$78-EU$81</f>
        <v>0</v>
      </c>
      <c r="EV82" s="13" t="n">
        <f aca="false">EU$82+EV$78-EV$81</f>
        <v>0</v>
      </c>
      <c r="EW82" s="13" t="n">
        <f aca="false">EV$82+EW$78-EW$81</f>
        <v>0</v>
      </c>
      <c r="EX82" s="13" t="n">
        <f aca="false">EW$82+EX$78-EX$81</f>
        <v>0</v>
      </c>
      <c r="EY82" s="13" t="n">
        <f aca="false">EX$82+EY$78-EY$81</f>
        <v>0</v>
      </c>
      <c r="EZ82" s="13" t="n">
        <f aca="false">EY$82+EZ$78-EZ$81</f>
        <v>0</v>
      </c>
      <c r="FA82" s="13" t="n">
        <f aca="false">EZ$82+FA$78-FA$81</f>
        <v>0</v>
      </c>
      <c r="FB82" s="13" t="n">
        <f aca="false">FA$82+FB$78-FB$81</f>
        <v>0</v>
      </c>
      <c r="FC82" s="13" t="n">
        <f aca="false">FB$82+FC$78-FC$81</f>
        <v>0</v>
      </c>
      <c r="FD82" s="13" t="n">
        <f aca="false">FC$82+FD$78-FD$81</f>
        <v>0</v>
      </c>
      <c r="FE82" s="13" t="n">
        <f aca="false">FD$82+FE$78-FE$81</f>
        <v>0</v>
      </c>
      <c r="FF82" s="13" t="n">
        <f aca="false">FE$82+FF$78-FF$81</f>
        <v>0</v>
      </c>
    </row>
    <row r="83" customFormat="false" ht="15" hidden="false" customHeight="false" outlineLevel="0" collapsed="false">
      <c r="A83" s="2" t="s">
        <v>1575</v>
      </c>
      <c r="B83" s="66" t="s">
        <v>1576</v>
      </c>
      <c r="C83" s="8" t="s">
        <v>255</v>
      </c>
      <c r="E83" s="67" t="n">
        <f aca="false">SUM($F83:$FF83)</f>
        <v>10325117.1054693</v>
      </c>
      <c r="F83" s="12" t="n">
        <f aca="false">IF(F$9=1,SUMIFS(dr_USD,dr_Mes,0,dr_Cod,"DIVIDENDO",dr_Est,"&lt;&gt;Excluido"),IF(p_DivRestr=1,MIN(0+F$81,MAX(0,F$76-F$74)),0+F$81)*Calendario!F$13)</f>
        <v>0</v>
      </c>
      <c r="G83" s="12" t="n">
        <f aca="false">IF(G$9=1,SUMIFS(dr_USD,dr_Mes,1,dr_Cod,"DIVIDENDO",dr_Est,"&lt;&gt;Excluido"),IF(p_DivRestr=1,MIN(F$84+G$81,MAX(0,G$76-G$74)),F$84+G$81)*Calendario!G$13)</f>
        <v>0</v>
      </c>
      <c r="H83" s="12" t="n">
        <f aca="false">IF(H$9=1,SUMIFS(dr_USD,dr_Mes,2,dr_Cod,"DIVIDENDO",dr_Est,"&lt;&gt;Excluido"),IF(p_DivRestr=1,MIN(G$84+H$81,MAX(0,H$76-H$74)),G$84+H$81)*Calendario!H$13)</f>
        <v>0</v>
      </c>
      <c r="I83" s="12" t="n">
        <f aca="false">IF(I$9=1,SUMIFS(dr_USD,dr_Mes,3,dr_Cod,"DIVIDENDO",dr_Est,"&lt;&gt;Excluido"),IF(p_DivRestr=1,MIN(H$84+I$81,MAX(0,I$76-I$74)),H$84+I$81)*Calendario!I$13)</f>
        <v>0</v>
      </c>
      <c r="J83" s="12" t="n">
        <f aca="false">IF(J$9=1,SUMIFS(dr_USD,dr_Mes,4,dr_Cod,"DIVIDENDO",dr_Est,"&lt;&gt;Excluido"),IF(p_DivRestr=1,MIN(I$84+J$81,MAX(0,J$76-J$74)),I$84+J$81)*Calendario!J$13)</f>
        <v>0</v>
      </c>
      <c r="K83" s="12" t="n">
        <f aca="false">IF(K$9=1,SUMIFS(dr_USD,dr_Mes,5,dr_Cod,"DIVIDENDO",dr_Est,"&lt;&gt;Excluido"),IF(p_DivRestr=1,MIN(J$84+K$81,MAX(0,K$76-K$74)),J$84+K$81)*Calendario!K$13)</f>
        <v>0</v>
      </c>
      <c r="L83" s="12" t="n">
        <f aca="false">IF(L$9=1,SUMIFS(dr_USD,dr_Mes,6,dr_Cod,"DIVIDENDO",dr_Est,"&lt;&gt;Excluido"),IF(p_DivRestr=1,MIN(K$84+L$81,MAX(0,L$76-L$74)),K$84+L$81)*Calendario!L$13)</f>
        <v>0</v>
      </c>
      <c r="M83" s="12" t="n">
        <f aca="false">IF(M$9=1,SUMIFS(dr_USD,dr_Mes,7,dr_Cod,"DIVIDENDO",dr_Est,"&lt;&gt;Excluido"),IF(p_DivRestr=1,MIN(L$84+M$81,MAX(0,M$76-M$74)),L$84+M$81)*Calendario!M$13)</f>
        <v>0</v>
      </c>
      <c r="N83" s="12" t="n">
        <f aca="false">IF(N$9=1,SUMIFS(dr_USD,dr_Mes,8,dr_Cod,"DIVIDENDO",dr_Est,"&lt;&gt;Excluido"),IF(p_DivRestr=1,MIN(M$84+N$81,MAX(0,N$76-N$74)),M$84+N$81)*Calendario!N$13)</f>
        <v>0</v>
      </c>
      <c r="O83" s="12" t="n">
        <f aca="false">IF(O$9=1,SUMIFS(dr_USD,dr_Mes,9,dr_Cod,"DIVIDENDO",dr_Est,"&lt;&gt;Excluido"),IF(p_DivRestr=1,MIN(N$84+O$81,MAX(0,O$76-O$74)),N$84+O$81)*Calendario!O$13)</f>
        <v>0</v>
      </c>
      <c r="P83" s="12" t="n">
        <f aca="false">IF(P$9=1,SUMIFS(dr_USD,dr_Mes,10,dr_Cod,"DIVIDENDO",dr_Est,"&lt;&gt;Excluido"),IF(p_DivRestr=1,MIN(O$84+P$81,MAX(0,P$76-P$74)),O$84+P$81)*Calendario!P$13)</f>
        <v>0</v>
      </c>
      <c r="Q83" s="12" t="n">
        <f aca="false">IF(Q$9=1,SUMIFS(dr_USD,dr_Mes,11,dr_Cod,"DIVIDENDO",dr_Est,"&lt;&gt;Excluido"),IF(p_DivRestr=1,MIN(P$84+Q$81,MAX(0,Q$76-Q$74)),P$84+Q$81)*Calendario!Q$13)</f>
        <v>0</v>
      </c>
      <c r="R83" s="12" t="n">
        <f aca="false">IF(R$9=1,SUMIFS(dr_USD,dr_Mes,12,dr_Cod,"DIVIDENDO",dr_Est,"&lt;&gt;Excluido"),IF(p_DivRestr=1,MIN(Q$84+R$81,MAX(0,R$76-R$74)),Q$84+R$81)*Calendario!R$13)</f>
        <v>0</v>
      </c>
      <c r="S83" s="12" t="n">
        <f aca="false">IF(S$9=1,SUMIFS(dr_USD,dr_Mes,13,dr_Cod,"DIVIDENDO",dr_Est,"&lt;&gt;Excluido"),IF(p_DivRestr=1,MIN(R$84+S$81,MAX(0,S$76-S$74)),R$84+S$81)*Calendario!S$13)</f>
        <v>0</v>
      </c>
      <c r="T83" s="12" t="n">
        <f aca="false">IF(T$9=1,SUMIFS(dr_USD,dr_Mes,14,dr_Cod,"DIVIDENDO",dr_Est,"&lt;&gt;Excluido"),IF(p_DivRestr=1,MIN(S$84+T$81,MAX(0,T$76-T$74)),S$84+T$81)*Calendario!T$13)</f>
        <v>0</v>
      </c>
      <c r="U83" s="12" t="n">
        <f aca="false">IF(U$9=1,SUMIFS(dr_USD,dr_Mes,15,dr_Cod,"DIVIDENDO",dr_Est,"&lt;&gt;Excluido"),IF(p_DivRestr=1,MIN(T$84+U$81,MAX(0,U$76-U$74)),T$84+U$81)*Calendario!U$13)</f>
        <v>0</v>
      </c>
      <c r="V83" s="12" t="n">
        <f aca="false">IF(V$9=1,SUMIFS(dr_USD,dr_Mes,16,dr_Cod,"DIVIDENDO",dr_Est,"&lt;&gt;Excluido"),IF(p_DivRestr=1,MIN(U$84+V$81,MAX(0,V$76-V$74)),U$84+V$81)*Calendario!V$13)</f>
        <v>0</v>
      </c>
      <c r="W83" s="12" t="n">
        <f aca="false">IF(W$9=1,SUMIFS(dr_USD,dr_Mes,17,dr_Cod,"DIVIDENDO",dr_Est,"&lt;&gt;Excluido"),IF(p_DivRestr=1,MIN(V$84+W$81,MAX(0,W$76-W$74)),V$84+W$81)*Calendario!W$13)</f>
        <v>0</v>
      </c>
      <c r="X83" s="12" t="n">
        <f aca="false">IF(X$9=1,SUMIFS(dr_USD,dr_Mes,18,dr_Cod,"DIVIDENDO",dr_Est,"&lt;&gt;Excluido"),IF(p_DivRestr=1,MIN(W$84+X$81,MAX(0,X$76-X$74)),W$84+X$81)*Calendario!X$13)</f>
        <v>0</v>
      </c>
      <c r="Y83" s="12" t="n">
        <f aca="false">IF(Y$9=1,SUMIFS(dr_USD,dr_Mes,19,dr_Cod,"DIVIDENDO",dr_Est,"&lt;&gt;Excluido"),IF(p_DivRestr=1,MIN(X$84+Y$81,MAX(0,Y$76-Y$74)),X$84+Y$81)*Calendario!Y$13)</f>
        <v>0</v>
      </c>
      <c r="Z83" s="12" t="n">
        <f aca="false">IF(Z$9=1,SUMIFS(dr_USD,dr_Mes,20,dr_Cod,"DIVIDENDO",dr_Est,"&lt;&gt;Excluido"),IF(p_DivRestr=1,MIN(Y$84+Z$81,MAX(0,Z$76-Z$74)),Y$84+Z$81)*Calendario!Z$13)</f>
        <v>0</v>
      </c>
      <c r="AA83" s="12" t="n">
        <f aca="false">IF(AA$9=1,SUMIFS(dr_USD,dr_Mes,21,dr_Cod,"DIVIDENDO",dr_Est,"&lt;&gt;Excluido"),IF(p_DivRestr=1,MIN(Z$84+AA$81,MAX(0,AA$76-AA$74)),Z$84+AA$81)*Calendario!AA$13)</f>
        <v>0</v>
      </c>
      <c r="AB83" s="12" t="n">
        <f aca="false">IF(AB$9=1,SUMIFS(dr_USD,dr_Mes,22,dr_Cod,"DIVIDENDO",dr_Est,"&lt;&gt;Excluido"),IF(p_DivRestr=1,MIN(AA$84+AB$81,MAX(0,AB$76-AB$74)),AA$84+AB$81)*Calendario!AB$13)</f>
        <v>0</v>
      </c>
      <c r="AC83" s="12" t="n">
        <f aca="false">IF(AC$9=1,SUMIFS(dr_USD,dr_Mes,23,dr_Cod,"DIVIDENDO",dr_Est,"&lt;&gt;Excluido"),IF(p_DivRestr=1,MIN(AB$84+AC$81,MAX(0,AC$76-AC$74)),AB$84+AC$81)*Calendario!AC$13)</f>
        <v>0</v>
      </c>
      <c r="AD83" s="12" t="n">
        <f aca="false">IF(AD$9=1,SUMIFS(dr_USD,dr_Mes,24,dr_Cod,"DIVIDENDO",dr_Est,"&lt;&gt;Excluido"),IF(p_DivRestr=1,MIN(AC$84+AD$81,MAX(0,AD$76-AD$74)),AC$84+AD$81)*Calendario!AD$13)</f>
        <v>0</v>
      </c>
      <c r="AE83" s="12" t="n">
        <f aca="false">IF(AE$9=1,SUMIFS(dr_USD,dr_Mes,25,dr_Cod,"DIVIDENDO",dr_Est,"&lt;&gt;Excluido"),IF(p_DivRestr=1,MIN(AD$84+AE$81,MAX(0,AE$76-AE$74)),AD$84+AE$81)*Calendario!AE$13)</f>
        <v>0</v>
      </c>
      <c r="AF83" s="12" t="n">
        <f aca="false">IF(AF$9=1,SUMIFS(dr_USD,dr_Mes,26,dr_Cod,"DIVIDENDO",dr_Est,"&lt;&gt;Excluido"),IF(p_DivRestr=1,MIN(AE$84+AF$81,MAX(0,AF$76-AF$74)),AE$84+AF$81)*Calendario!AF$13)</f>
        <v>0</v>
      </c>
      <c r="AG83" s="12" t="n">
        <f aca="false">IF(AG$9=1,SUMIFS(dr_USD,dr_Mes,27,dr_Cod,"DIVIDENDO",dr_Est,"&lt;&gt;Excluido"),IF(p_DivRestr=1,MIN(AF$84+AG$81,MAX(0,AG$76-AG$74)),AF$84+AG$81)*Calendario!AG$13)</f>
        <v>0</v>
      </c>
      <c r="AH83" s="12" t="n">
        <f aca="false">IF(AH$9=1,SUMIFS(dr_USD,dr_Mes,28,dr_Cod,"DIVIDENDO",dr_Est,"&lt;&gt;Excluido"),IF(p_DivRestr=1,MIN(AG$84+AH$81,MAX(0,AH$76-AH$74)),AG$84+AH$81)*Calendario!AH$13)</f>
        <v>0</v>
      </c>
      <c r="AI83" s="12" t="n">
        <f aca="false">IF(AI$9=1,SUMIFS(dr_USD,dr_Mes,29,dr_Cod,"DIVIDENDO",dr_Est,"&lt;&gt;Excluido"),IF(p_DivRestr=1,MIN(AH$84+AI$81,MAX(0,AI$76-AI$74)),AH$84+AI$81)*Calendario!AI$13)</f>
        <v>0</v>
      </c>
      <c r="AJ83" s="12" t="n">
        <f aca="false">IF(AJ$9=1,SUMIFS(dr_USD,dr_Mes,30,dr_Cod,"DIVIDENDO",dr_Est,"&lt;&gt;Excluido"),IF(p_DivRestr=1,MIN(AI$84+AJ$81,MAX(0,AJ$76-AJ$74)),AI$84+AJ$81)*Calendario!AJ$13)</f>
        <v>0</v>
      </c>
      <c r="AK83" s="12" t="n">
        <f aca="false">IF(AK$9=1,SUMIFS(dr_USD,dr_Mes,31,dr_Cod,"DIVIDENDO",dr_Est,"&lt;&gt;Excluido"),IF(p_DivRestr=1,MIN(AJ$84+AK$81,MAX(0,AK$76-AK$74)),AJ$84+AK$81)*Calendario!AK$13)</f>
        <v>0</v>
      </c>
      <c r="AL83" s="12" t="n">
        <f aca="false">IF(AL$9=1,SUMIFS(dr_USD,dr_Mes,32,dr_Cod,"DIVIDENDO",dr_Est,"&lt;&gt;Excluido"),IF(p_DivRestr=1,MIN(AK$84+AL$81,MAX(0,AL$76-AL$74)),AK$84+AL$81)*Calendario!AL$13)</f>
        <v>0</v>
      </c>
      <c r="AM83" s="12" t="n">
        <f aca="false">IF(AM$9=1,SUMIFS(dr_USD,dr_Mes,33,dr_Cod,"DIVIDENDO",dr_Est,"&lt;&gt;Excluido"),IF(p_DivRestr=1,MIN(AL$84+AM$81,MAX(0,AM$76-AM$74)),AL$84+AM$81)*Calendario!AM$13)</f>
        <v>0</v>
      </c>
      <c r="AN83" s="12" t="n">
        <f aca="false">IF(AN$9=1,SUMIFS(dr_USD,dr_Mes,34,dr_Cod,"DIVIDENDO",dr_Est,"&lt;&gt;Excluido"),IF(p_DivRestr=1,MIN(AM$84+AN$81,MAX(0,AN$76-AN$74)),AM$84+AN$81)*Calendario!AN$13)</f>
        <v>0</v>
      </c>
      <c r="AO83" s="12" t="n">
        <f aca="false">IF(AO$9=1,SUMIFS(dr_USD,dr_Mes,35,dr_Cod,"DIVIDENDO",dr_Est,"&lt;&gt;Excluido"),IF(p_DivRestr=1,MIN(AN$84+AO$81,MAX(0,AO$76-AO$74)),AN$84+AO$81)*Calendario!AO$13)</f>
        <v>0</v>
      </c>
      <c r="AP83" s="12" t="n">
        <f aca="false">IF(AP$9=1,SUMIFS(dr_USD,dr_Mes,36,dr_Cod,"DIVIDENDO",dr_Est,"&lt;&gt;Excluido"),IF(p_DivRestr=1,MIN(AO$84+AP$81,MAX(0,AP$76-AP$74)),AO$84+AP$81)*Calendario!AP$13)</f>
        <v>0</v>
      </c>
      <c r="AQ83" s="12" t="n">
        <f aca="false">IF(AQ$9=1,SUMIFS(dr_USD,dr_Mes,37,dr_Cod,"DIVIDENDO",dr_Est,"&lt;&gt;Excluido"),IF(p_DivRestr=1,MIN(AP$84+AQ$81,MAX(0,AQ$76-AQ$74)),AP$84+AQ$81)*Calendario!AQ$13)</f>
        <v>0</v>
      </c>
      <c r="AR83" s="12" t="n">
        <f aca="false">IF(AR$9=1,SUMIFS(dr_USD,dr_Mes,38,dr_Cod,"DIVIDENDO",dr_Est,"&lt;&gt;Excluido"),IF(p_DivRestr=1,MIN(AQ$84+AR$81,MAX(0,AR$76-AR$74)),AQ$84+AR$81)*Calendario!AR$13)</f>
        <v>0</v>
      </c>
      <c r="AS83" s="12" t="n">
        <f aca="false">IF(AS$9=1,SUMIFS(dr_USD,dr_Mes,39,dr_Cod,"DIVIDENDO",dr_Est,"&lt;&gt;Excluido"),IF(p_DivRestr=1,MIN(AR$84+AS$81,MAX(0,AS$76-AS$74)),AR$84+AS$81)*Calendario!AS$13)</f>
        <v>0</v>
      </c>
      <c r="AT83" s="12" t="n">
        <f aca="false">IF(AT$9=1,SUMIFS(dr_USD,dr_Mes,40,dr_Cod,"DIVIDENDO",dr_Est,"&lt;&gt;Excluido"),IF(p_DivRestr=1,MIN(AS$84+AT$81,MAX(0,AT$76-AT$74)),AS$84+AT$81)*Calendario!AT$13)</f>
        <v>0</v>
      </c>
      <c r="AU83" s="12" t="n">
        <f aca="false">IF(AU$9=1,SUMIFS(dr_USD,dr_Mes,41,dr_Cod,"DIVIDENDO",dr_Est,"&lt;&gt;Excluido"),IF(p_DivRestr=1,MIN(AT$84+AU$81,MAX(0,AU$76-AU$74)),AT$84+AU$81)*Calendario!AU$13)</f>
        <v>0</v>
      </c>
      <c r="AV83" s="12" t="n">
        <f aca="false">IF(AV$9=1,SUMIFS(dr_USD,dr_Mes,42,dr_Cod,"DIVIDENDO",dr_Est,"&lt;&gt;Excluido"),IF(p_DivRestr=1,MIN(AU$84+AV$81,MAX(0,AV$76-AV$74)),AU$84+AV$81)*Calendario!AV$13)</f>
        <v>0</v>
      </c>
      <c r="AW83" s="12" t="n">
        <f aca="false">IF(AW$9=1,SUMIFS(dr_USD,dr_Mes,43,dr_Cod,"DIVIDENDO",dr_Est,"&lt;&gt;Excluido"),IF(p_DivRestr=1,MIN(AV$84+AW$81,MAX(0,AW$76-AW$74)),AV$84+AW$81)*Calendario!AW$13)</f>
        <v>0</v>
      </c>
      <c r="AX83" s="12" t="n">
        <f aca="false">IF(AX$9=1,SUMIFS(dr_USD,dr_Mes,44,dr_Cod,"DIVIDENDO",dr_Est,"&lt;&gt;Excluido"),IF(p_DivRestr=1,MIN(AW$84+AX$81,MAX(0,AX$76-AX$74)),AW$84+AX$81)*Calendario!AX$13)</f>
        <v>0</v>
      </c>
      <c r="AY83" s="12" t="n">
        <f aca="false">IF(AY$9=1,SUMIFS(dr_USD,dr_Mes,45,dr_Cod,"DIVIDENDO",dr_Est,"&lt;&gt;Excluido"),IF(p_DivRestr=1,MIN(AX$84+AY$81,MAX(0,AY$76-AY$74)),AX$84+AY$81)*Calendario!AY$13)</f>
        <v>0</v>
      </c>
      <c r="AZ83" s="12" t="n">
        <f aca="false">IF(AZ$9=1,SUMIFS(dr_USD,dr_Mes,46,dr_Cod,"DIVIDENDO",dr_Est,"&lt;&gt;Excluido"),IF(p_DivRestr=1,MIN(AY$84+AZ$81,MAX(0,AZ$76-AZ$74)),AY$84+AZ$81)*Calendario!AZ$13)</f>
        <v>68973.8384762281</v>
      </c>
      <c r="BA83" s="12" t="n">
        <f aca="false">IF(BA$9=1,SUMIFS(dr_USD,dr_Mes,47,dr_Cod,"DIVIDENDO",dr_Est,"&lt;&gt;Excluido"),IF(p_DivRestr=1,MIN(AZ$84+BA$81,MAX(0,BA$76-BA$74)),AZ$84+BA$81)*Calendario!BA$13)</f>
        <v>83888.9179777888</v>
      </c>
      <c r="BB83" s="12" t="n">
        <f aca="false">IF(BB$9=1,SUMIFS(dr_USD,dr_Mes,48,dr_Cod,"DIVIDENDO",dr_Est,"&lt;&gt;Excluido"),IF(p_DivRestr=1,MIN(BA$84+BB$81,MAX(0,BB$76-BB$74)),BA$84+BB$81)*Calendario!BB$13)</f>
        <v>83931.5156517561</v>
      </c>
      <c r="BC83" s="12" t="n">
        <f aca="false">IF(BC$9=1,SUMIFS(dr_USD,dr_Mes,49,dr_Cod,"DIVIDENDO",dr_Est,"&lt;&gt;Excluido"),IF(p_DivRestr=1,MIN(BB$84+BC$81,MAX(0,BC$76-BC$74)),BB$84+BC$81)*Calendario!BC$13)</f>
        <v>79855.0310599137</v>
      </c>
      <c r="BD83" s="12" t="n">
        <f aca="false">IF(BD$9=1,SUMIFS(dr_USD,dr_Mes,50,dr_Cod,"DIVIDENDO",dr_Est,"&lt;&gt;Excluido"),IF(p_DivRestr=1,MIN(BC$84+BD$81,MAX(0,BD$76-BD$74)),BC$84+BD$81)*Calendario!BD$13)</f>
        <v>29556.7097201064</v>
      </c>
      <c r="BE83" s="12" t="n">
        <f aca="false">IF(BE$9=1,SUMIFS(dr_USD,dr_Mes,51,dr_Cod,"DIVIDENDO",dr_Est,"&lt;&gt;Excluido"),IF(p_DivRestr=1,MIN(BD$84+BE$81,MAX(0,BE$76-BE$74)),BD$84+BE$81)*Calendario!BE$13)</f>
        <v>0</v>
      </c>
      <c r="BF83" s="12" t="n">
        <f aca="false">IF(BF$9=1,SUMIFS(dr_USD,dr_Mes,52,dr_Cod,"DIVIDENDO",dr_Est,"&lt;&gt;Excluido"),IF(p_DivRestr=1,MIN(BE$84+BF$81,MAX(0,BF$76-BF$74)),BE$84+BF$81)*Calendario!BF$13)</f>
        <v>212242.418769243</v>
      </c>
      <c r="BG83" s="12" t="n">
        <f aca="false">IF(BG$9=1,SUMIFS(dr_USD,dr_Mes,53,dr_Cod,"DIVIDENDO",dr_Est,"&lt;&gt;Excluido"),IF(p_DivRestr=1,MIN(BF$84+BG$81,MAX(0,BG$76-BG$74)),BF$84+BG$81)*Calendario!BG$13)</f>
        <v>87793.3759555534</v>
      </c>
      <c r="BH83" s="12" t="n">
        <f aca="false">IF(BH$9=1,SUMIFS(dr_USD,dr_Mes,54,dr_Cod,"DIVIDENDO",dr_Est,"&lt;&gt;Excluido"),IF(p_DivRestr=1,MIN(BG$84+BH$81,MAX(0,BH$76-BH$74)),BG$84+BH$81)*Calendario!BH$13)</f>
        <v>87837.9268280823</v>
      </c>
      <c r="BI83" s="12" t="n">
        <f aca="false">IF(BI$9=1,SUMIFS(dr_USD,dr_Mes,55,dr_Cod,"DIVIDENDO",dr_Est,"&lt;&gt;Excluido"),IF(p_DivRestr=1,MIN(BH$84+BI$81,MAX(0,BI$76-BI$74)),BH$84+BI$81)*Calendario!BI$13)</f>
        <v>87882.8118321552</v>
      </c>
      <c r="BJ83" s="12" t="n">
        <f aca="false">IF(BJ$9=1,SUMIFS(dr_USD,dr_Mes,56,dr_Cod,"DIVIDENDO",dr_Est,"&lt;&gt;Excluido"),IF(p_DivRestr=1,MIN(BI$84+BJ$81,MAX(0,BJ$76-BJ$74)),BI$84+BJ$81)*Calendario!BJ$13)</f>
        <v>87928.0334737586</v>
      </c>
      <c r="BK83" s="12" t="n">
        <f aca="false">IF(BK$9=1,SUMIFS(dr_USD,dr_Mes,57,dr_Cod,"DIVIDENDO",dr_Est,"&lt;&gt;Excluido"),IF(p_DivRestr=1,MIN(BJ$84+BK$81,MAX(0,BK$76-BK$74)),BJ$84+BK$81)*Calendario!BK$13)</f>
        <v>85757.5818348483</v>
      </c>
      <c r="BL83" s="12" t="n">
        <f aca="false">IF(BL$9=1,SUMIFS(dr_USD,dr_Mes,58,dr_Cod,"DIVIDENDO",dr_Est,"&lt;&gt;Excluido"),IF(p_DivRestr=1,MIN(BK$84+BL$81,MAX(0,BL$76-BL$74)),BK$84+BL$81)*Calendario!BL$13)</f>
        <v>85675.0198553536</v>
      </c>
      <c r="BM83" s="12" t="n">
        <f aca="false">IF(BM$9=1,SUMIFS(dr_USD,dr_Mes,59,dr_Cod,"DIVIDENDO",dr_Est,"&lt;&gt;Excluido"),IF(p_DivRestr=1,MIN(BL$84+BM$81,MAX(0,BM$76-BM$74)),BL$84+BM$81)*Calendario!BM$13)</f>
        <v>69696.6538631946</v>
      </c>
      <c r="BN83" s="12" t="n">
        <f aca="false">IF(BN$9=1,SUMIFS(dr_USD,dr_Mes,60,dr_Cod,"DIVIDENDO",dr_Est,"&lt;&gt;Excluido"),IF(p_DivRestr=1,MIN(BM$84+BN$81,MAX(0,BN$76-BN$74)),BM$84+BN$81)*Calendario!BN$13)</f>
        <v>0</v>
      </c>
      <c r="BO83" s="12" t="n">
        <f aca="false">IF(BO$9=1,SUMIFS(dr_USD,dr_Mes,61,dr_Cod,"DIVIDENDO",dr_Est,"&lt;&gt;Excluido"),IF(p_DivRestr=1,MIN(BN$84+BO$81,MAX(0,BO$76-BO$74)),BN$84+BO$81)*Calendario!BO$13)</f>
        <v>0</v>
      </c>
      <c r="BP83" s="12" t="n">
        <f aca="false">IF(BP$9=1,SUMIFS(dr_USD,dr_Mes,62,dr_Cod,"DIVIDENDO",dr_Est,"&lt;&gt;Excluido"),IF(p_DivRestr=1,MIN(BO$84+BP$81,MAX(0,BP$76-BP$74)),BO$84+BP$81)*Calendario!BP$13)</f>
        <v>0</v>
      </c>
      <c r="BQ83" s="12" t="n">
        <f aca="false">IF(BQ$9=1,SUMIFS(dr_USD,dr_Mes,63,dr_Cod,"DIVIDENDO",dr_Est,"&lt;&gt;Excluido"),IF(p_DivRestr=1,MIN(BP$84+BQ$81,MAX(0,BQ$76-BQ$74)),BP$84+BQ$81)*Calendario!BQ$13)</f>
        <v>0</v>
      </c>
      <c r="BR83" s="12" t="n">
        <f aca="false">IF(BR$9=1,SUMIFS(dr_USD,dr_Mes,64,dr_Cod,"DIVIDENDO",dr_Est,"&lt;&gt;Excluido"),IF(p_DivRestr=1,MIN(BQ$84+BR$81,MAX(0,BR$76-BR$74)),BQ$84+BR$81)*Calendario!BR$13)</f>
        <v>694337.477361594</v>
      </c>
      <c r="BS83" s="12" t="n">
        <f aca="false">IF(BS$9=1,SUMIFS(dr_USD,dr_Mes,65,dr_Cod,"DIVIDENDO",dr_Est,"&lt;&gt;Excluido"),IF(p_DivRestr=1,MIN(BR$84+BS$81,MAX(0,BS$76-BS$74)),BR$84+BS$81)*Calendario!BS$13)</f>
        <v>155311.049435307</v>
      </c>
      <c r="BT83" s="12" t="n">
        <f aca="false">IF(BT$9=1,SUMIFS(dr_USD,dr_Mes,66,dr_Cod,"DIVIDENDO",dr_Est,"&lt;&gt;Excluido"),IF(p_DivRestr=1,MIN(BS$84+BT$81,MAX(0,BT$76-BT$74)),BS$84+BT$81)*Calendario!BT$13)</f>
        <v>155311.049435307</v>
      </c>
      <c r="BU83" s="12" t="n">
        <f aca="false">IF(BU$9=1,SUMIFS(dr_USD,dr_Mes,67,dr_Cod,"DIVIDENDO",dr_Est,"&lt;&gt;Excluido"),IF(p_DivRestr=1,MIN(BT$84+BU$81,MAX(0,BU$76-BU$74)),BT$84+BU$81)*Calendario!BU$13)</f>
        <v>155311.049435307</v>
      </c>
      <c r="BV83" s="12" t="n">
        <f aca="false">IF(BV$9=1,SUMIFS(dr_USD,dr_Mes,68,dr_Cod,"DIVIDENDO",dr_Est,"&lt;&gt;Excluido"),IF(p_DivRestr=1,MIN(BU$84+BV$81,MAX(0,BV$76-BV$74)),BU$84+BV$81)*Calendario!BV$13)</f>
        <v>155311.049435307</v>
      </c>
      <c r="BW83" s="12" t="n">
        <f aca="false">IF(BW$9=1,SUMIFS(dr_USD,dr_Mes,69,dr_Cod,"DIVIDENDO",dr_Est,"&lt;&gt;Excluido"),IF(p_DivRestr=1,MIN(BV$84+BW$81,MAX(0,BW$76-BW$74)),BV$84+BW$81)*Calendario!BW$13)</f>
        <v>153072.876868053</v>
      </c>
      <c r="BX83" s="12" t="n">
        <f aca="false">IF(BX$9=1,SUMIFS(dr_USD,dr_Mes,70,dr_Cod,"DIVIDENDO",dr_Est,"&lt;&gt;Excluido"),IF(p_DivRestr=1,MIN(BW$84+BX$81,MAX(0,BX$76-BX$74)),BW$84+BX$81)*Calendario!BX$13)</f>
        <v>152943.12773372</v>
      </c>
      <c r="BY83" s="12" t="n">
        <f aca="false">IF(BY$9=1,SUMIFS(dr_USD,dr_Mes,71,dr_Cod,"DIVIDENDO",dr_Est,"&lt;&gt;Excluido"),IF(p_DivRestr=1,MIN(BX$84+BY$81,MAX(0,BY$76-BY$74)),BX$84+BY$81)*Calendario!BY$13)</f>
        <v>73890.5298202352</v>
      </c>
      <c r="BZ83" s="12" t="n">
        <f aca="false">IF(BZ$9=1,SUMIFS(dr_USD,dr_Mes,72,dr_Cod,"DIVIDENDO",dr_Est,"&lt;&gt;Excluido"),IF(p_DivRestr=1,MIN(BY$84+BZ$81,MAX(0,BZ$76-BZ$74)),BY$84+BZ$81)*Calendario!BZ$13)</f>
        <v>0</v>
      </c>
      <c r="CA83" s="12" t="n">
        <f aca="false">IF(CA$9=1,SUMIFS(dr_USD,dr_Mes,73,dr_Cod,"DIVIDENDO",dr_Est,"&lt;&gt;Excluido"),IF(p_DivRestr=1,MIN(BZ$84+CA$81,MAX(0,CA$76-CA$74)),BZ$84+CA$81)*Calendario!CA$13)</f>
        <v>0</v>
      </c>
      <c r="CB83" s="12" t="n">
        <f aca="false">IF(CB$9=1,SUMIFS(dr_USD,dr_Mes,74,dr_Cod,"DIVIDENDO",dr_Est,"&lt;&gt;Excluido"),IF(p_DivRestr=1,MIN(CA$84+CB$81,MAX(0,CB$76-CB$74)),CA$84+CB$81)*Calendario!CB$13)</f>
        <v>0</v>
      </c>
      <c r="CC83" s="12" t="n">
        <f aca="false">IF(CC$9=1,SUMIFS(dr_USD,dr_Mes,75,dr_Cod,"DIVIDENDO",dr_Est,"&lt;&gt;Excluido"),IF(p_DivRestr=1,MIN(CB$84+CC$81,MAX(0,CC$76-CC$74)),CB$84+CC$81)*Calendario!CC$13)</f>
        <v>0</v>
      </c>
      <c r="CD83" s="12" t="n">
        <f aca="false">IF(CD$9=1,SUMIFS(dr_USD,dr_Mes,76,dr_Cod,"DIVIDENDO",dr_Est,"&lt;&gt;Excluido"),IF(p_DivRestr=1,MIN(CC$84+CD$81,MAX(0,CD$76-CD$74)),CC$84+CD$81)*Calendario!CD$13)</f>
        <v>840749.034358189</v>
      </c>
      <c r="CE83" s="12" t="n">
        <f aca="false">IF(CE$9=1,SUMIFS(dr_USD,dr_Mes,77,dr_Cod,"DIVIDENDO",dr_Est,"&lt;&gt;Excluido"),IF(p_DivRestr=1,MIN(CD$84+CE$81,MAX(0,CE$76-CE$74)),CD$84+CE$81)*Calendario!CE$13)</f>
        <v>159432.041261044</v>
      </c>
      <c r="CF83" s="12" t="n">
        <f aca="false">IF(CF$9=1,SUMIFS(dr_USD,dr_Mes,78,dr_Cod,"DIVIDENDO",dr_Est,"&lt;&gt;Excluido"),IF(p_DivRestr=1,MIN(CE$84+CF$81,MAX(0,CF$76-CF$74)),CE$84+CF$81)*Calendario!CF$13)</f>
        <v>159432.041261044</v>
      </c>
      <c r="CG83" s="12" t="n">
        <f aca="false">IF(CG$9=1,SUMIFS(dr_USD,dr_Mes,79,dr_Cod,"DIVIDENDO",dr_Est,"&lt;&gt;Excluido"),IF(p_DivRestr=1,MIN(CF$84+CG$81,MAX(0,CG$76-CG$74)),CF$84+CG$81)*Calendario!CG$13)</f>
        <v>159432.041261044</v>
      </c>
      <c r="CH83" s="12" t="n">
        <f aca="false">IF(CH$9=1,SUMIFS(dr_USD,dr_Mes,80,dr_Cod,"DIVIDENDO",dr_Est,"&lt;&gt;Excluido"),IF(p_DivRestr=1,MIN(CG$84+CH$81,MAX(0,CH$76-CH$74)),CG$84+CH$81)*Calendario!CH$13)</f>
        <v>159432.041261044</v>
      </c>
      <c r="CI83" s="12" t="n">
        <f aca="false">IF(CI$9=1,SUMIFS(dr_USD,dr_Mes,81,dr_Cod,"DIVIDENDO",dr_Est,"&lt;&gt;Excluido"),IF(p_DivRestr=1,MIN(CH$84+CI$81,MAX(0,CI$76-CI$74)),CH$84+CI$81)*Calendario!CI$13)</f>
        <v>157171.486968118</v>
      </c>
      <c r="CJ83" s="12" t="n">
        <f aca="false">IF(CJ$9=1,SUMIFS(dr_USD,dr_Mes,82,dr_Cod,"DIVIDENDO",dr_Est,"&lt;&gt;Excluido"),IF(p_DivRestr=1,MIN(CI$84+CJ$81,MAX(0,CJ$76-CJ$74)),CI$84+CJ$81)*Calendario!CJ$13)</f>
        <v>157040.440342441</v>
      </c>
      <c r="CK83" s="12" t="n">
        <f aca="false">IF(CK$9=1,SUMIFS(dr_USD,dr_Mes,83,dr_Cod,"DIVIDENDO",dr_Est,"&lt;&gt;Excluido"),IF(p_DivRestr=1,MIN(CJ$84+CK$81,MAX(0,CK$76-CK$74)),CJ$84+CK$81)*Calendario!CK$13)</f>
        <v>2421.40517188038</v>
      </c>
      <c r="CL83" s="12" t="n">
        <f aca="false">IF(CL$9=1,SUMIFS(dr_USD,dr_Mes,84,dr_Cod,"DIVIDENDO",dr_Est,"&lt;&gt;Excluido"),IF(p_DivRestr=1,MIN(CK$84+CL$81,MAX(0,CL$76-CL$74)),CK$84+CL$81)*Calendario!CL$13)</f>
        <v>0</v>
      </c>
      <c r="CM83" s="12" t="n">
        <f aca="false">IF(CM$9=1,SUMIFS(dr_USD,dr_Mes,85,dr_Cod,"DIVIDENDO",dr_Est,"&lt;&gt;Excluido"),IF(p_DivRestr=1,MIN(CL$84+CM$81,MAX(0,CM$76-CM$74)),CL$84+CM$81)*Calendario!CM$13)</f>
        <v>0</v>
      </c>
      <c r="CN83" s="12" t="n">
        <f aca="false">IF(CN$9=1,SUMIFS(dr_USD,dr_Mes,86,dr_Cod,"DIVIDENDO",dr_Est,"&lt;&gt;Excluido"),IF(p_DivRestr=1,MIN(CM$84+CN$81,MAX(0,CN$76-CN$74)),CM$84+CN$81)*Calendario!CN$13)</f>
        <v>0</v>
      </c>
      <c r="CO83" s="12" t="n">
        <f aca="false">IF(CO$9=1,SUMIFS(dr_USD,dr_Mes,87,dr_Cod,"DIVIDENDO",dr_Est,"&lt;&gt;Excluido"),IF(p_DivRestr=1,MIN(CN$84+CO$81,MAX(0,CO$76-CO$74)),CN$84+CO$81)*Calendario!CO$13)</f>
        <v>0</v>
      </c>
      <c r="CP83" s="12" t="n">
        <f aca="false">IF(CP$9=1,SUMIFS(dr_USD,dr_Mes,88,dr_Cod,"DIVIDENDO",dr_Est,"&lt;&gt;Excluido"),IF(p_DivRestr=1,MIN(CO$84+CP$81,MAX(0,CP$76-CP$74)),CO$84+CP$81)*Calendario!CP$13)</f>
        <v>936736.14070434</v>
      </c>
      <c r="CQ83" s="12" t="n">
        <f aca="false">IF(CQ$9=1,SUMIFS(dr_USD,dr_Mes,89,dr_Cod,"DIVIDENDO",dr_Est,"&lt;&gt;Excluido"),IF(p_DivRestr=1,MIN(CP$84+CQ$81,MAX(0,CQ$76-CQ$74)),CP$84+CQ$81)*Calendario!CQ$13)</f>
        <v>163582.396454778</v>
      </c>
      <c r="CR83" s="12" t="n">
        <f aca="false">IF(CR$9=1,SUMIFS(dr_USD,dr_Mes,90,dr_Cod,"DIVIDENDO",dr_Est,"&lt;&gt;Excluido"),IF(p_DivRestr=1,MIN(CQ$84+CR$81,MAX(0,CR$76-CR$74)),CQ$84+CR$81)*Calendario!CR$13)</f>
        <v>163582.396454778</v>
      </c>
      <c r="CS83" s="12" t="n">
        <f aca="false">IF(CS$9=1,SUMIFS(dr_USD,dr_Mes,91,dr_Cod,"DIVIDENDO",dr_Est,"&lt;&gt;Excluido"),IF(p_DivRestr=1,MIN(CR$84+CS$81,MAX(0,CS$76-CS$74)),CR$84+CS$81)*Calendario!CS$13)</f>
        <v>163582.396454778</v>
      </c>
      <c r="CT83" s="12" t="n">
        <f aca="false">IF(CT$9=1,SUMIFS(dr_USD,dr_Mes,92,dr_Cod,"DIVIDENDO",dr_Est,"&lt;&gt;Excluido"),IF(p_DivRestr=1,MIN(CS$84+CT$81,MAX(0,CT$76-CT$74)),CS$84+CT$81)*Calendario!CT$13)</f>
        <v>163582.396454778</v>
      </c>
      <c r="CU83" s="12" t="n">
        <f aca="false">IF(CU$9=1,SUMIFS(dr_USD,dr_Mes,93,dr_Cod,"DIVIDENDO",dr_Est,"&lt;&gt;Excluido"),IF(p_DivRestr=1,MIN(CT$84+CU$81,MAX(0,CU$76-CU$74)),CT$84+CU$81)*Calendario!CU$13)</f>
        <v>161299.236618923</v>
      </c>
      <c r="CV83" s="12" t="n">
        <f aca="false">IF(CV$9=1,SUMIFS(dr_USD,dr_Mes,94,dr_Cod,"DIVIDENDO",dr_Est,"&lt;&gt;Excluido"),IF(p_DivRestr=1,MIN(CU$84+CV$81,MAX(0,CV$76-CV$74)),CU$84+CV$81)*Calendario!CV$13)</f>
        <v>92205.2533543235</v>
      </c>
      <c r="CW83" s="12" t="n">
        <f aca="false">IF(CW$9=1,SUMIFS(dr_USD,dr_Mes,95,dr_Cod,"DIVIDENDO",dr_Est,"&lt;&gt;Excluido"),IF(p_DivRestr=1,MIN(CV$84+CW$81,MAX(0,CW$76-CW$74)),CV$84+CW$81)*Calendario!CW$13)</f>
        <v>0</v>
      </c>
      <c r="CX83" s="12" t="n">
        <f aca="false">IF(CX$9=1,SUMIFS(dr_USD,dr_Mes,96,dr_Cod,"DIVIDENDO",dr_Est,"&lt;&gt;Excluido"),IF(p_DivRestr=1,MIN(CW$84+CX$81,MAX(0,CX$76-CX$74)),CW$84+CX$81)*Calendario!CX$13)</f>
        <v>0</v>
      </c>
      <c r="CY83" s="12" t="n">
        <f aca="false">IF(CY$9=1,SUMIFS(dr_USD,dr_Mes,97,dr_Cod,"DIVIDENDO",dr_Est,"&lt;&gt;Excluido"),IF(p_DivRestr=1,MIN(CX$84+CY$81,MAX(0,CY$76-CY$74)),CX$84+CY$81)*Calendario!CY$13)</f>
        <v>0</v>
      </c>
      <c r="CZ83" s="12" t="n">
        <f aca="false">IF(CZ$9=1,SUMIFS(dr_USD,dr_Mes,98,dr_Cod,"DIVIDENDO",dr_Est,"&lt;&gt;Excluido"),IF(p_DivRestr=1,MIN(CY$84+CZ$81,MAX(0,CZ$76-CZ$74)),CY$84+CZ$81)*Calendario!CZ$13)</f>
        <v>0</v>
      </c>
      <c r="DA83" s="12" t="n">
        <f aca="false">IF(DA$9=1,SUMIFS(dr_USD,dr_Mes,99,dr_Cod,"DIVIDENDO",dr_Est,"&lt;&gt;Excluido"),IF(p_DivRestr=1,MIN(CZ$84+DA$81,MAX(0,DA$76-DA$74)),CZ$84+DA$81)*Calendario!DA$13)</f>
        <v>0</v>
      </c>
      <c r="DB83" s="12" t="n">
        <f aca="false">IF(DB$9=1,SUMIFS(dr_USD,dr_Mes,100,dr_Cod,"DIVIDENDO",dr_Est,"&lt;&gt;Excluido"),IF(p_DivRestr=1,MIN(DA$84+DB$81,MAX(0,DB$76-DB$74)),DA$84+DB$81)*Calendario!DB$13)</f>
        <v>1032810.13620038</v>
      </c>
      <c r="DC83" s="12" t="n">
        <f aca="false">IF(DC$9=1,SUMIFS(dr_USD,dr_Mes,101,dr_Cod,"DIVIDENDO",dr_Est,"&lt;&gt;Excluido"),IF(p_DivRestr=1,MIN(DB$84+DC$81,MAX(0,DC$76-DC$74)),DB$84+DC$81)*Calendario!DC$13)</f>
        <v>167762.037656982</v>
      </c>
      <c r="DD83" s="12" t="n">
        <f aca="false">IF(DD$9=1,SUMIFS(dr_USD,dr_Mes,102,dr_Cod,"DIVIDENDO",dr_Est,"&lt;&gt;Excluido"),IF(p_DivRestr=1,MIN(DC$84+DD$81,MAX(0,DD$76-DD$74)),DC$84+DD$81)*Calendario!DD$13)</f>
        <v>167762.037656982</v>
      </c>
      <c r="DE83" s="12" t="n">
        <f aca="false">IF(DE$9=1,SUMIFS(dr_USD,dr_Mes,103,dr_Cod,"DIVIDENDO",dr_Est,"&lt;&gt;Excluido"),IF(p_DivRestr=1,MIN(DD$84+DE$81,MAX(0,DE$76-DE$74)),DD$84+DE$81)*Calendario!DE$13)</f>
        <v>167762.037656982</v>
      </c>
      <c r="DF83" s="12" t="n">
        <f aca="false">IF(DF$9=1,SUMIFS(dr_USD,dr_Mes,104,dr_Cod,"DIVIDENDO",dr_Est,"&lt;&gt;Excluido"),IF(p_DivRestr=1,MIN(DE$84+DF$81,MAX(0,DF$76-DF$74)),DE$84+DF$81)*Calendario!DF$13)</f>
        <v>167762.037656982</v>
      </c>
      <c r="DG83" s="12" t="n">
        <f aca="false">IF(DG$9=1,SUMIFS(dr_USD,dr_Mes,105,dr_Cod,"DIVIDENDO",dr_Est,"&lt;&gt;Excluido"),IF(p_DivRestr=1,MIN(DF$84+DG$81,MAX(0,DG$76-DG$74)),DF$84+DG$81)*Calendario!DG$13)</f>
        <v>165456.046222767</v>
      </c>
      <c r="DH83" s="12" t="n">
        <f aca="false">IF(DH$9=1,SUMIFS(dr_USD,dr_Mes,106,dr_Cod,"DIVIDENDO",dr_Est,"&lt;&gt;Excluido"),IF(p_DivRestr=1,MIN(DG$84+DH$81,MAX(0,DH$76-DH$74)),DG$84+DH$81)*Calendario!DH$13)</f>
        <v>25068.006300516</v>
      </c>
      <c r="DI83" s="12" t="n">
        <f aca="false">IF(DI$9=1,SUMIFS(dr_USD,dr_Mes,107,dr_Cod,"DIVIDENDO",dr_Est,"&lt;&gt;Excluido"),IF(p_DivRestr=1,MIN(DH$84+DI$81,MAX(0,DI$76-DI$74)),DH$84+DI$81)*Calendario!DI$13)</f>
        <v>0</v>
      </c>
      <c r="DJ83" s="12" t="n">
        <f aca="false">IF(DJ$9=1,SUMIFS(dr_USD,dr_Mes,108,dr_Cod,"DIVIDENDO",dr_Est,"&lt;&gt;Excluido"),IF(p_DivRestr=1,MIN(DI$84+DJ$81,MAX(0,DJ$76-DJ$74)),DI$84+DJ$81)*Calendario!DJ$13)</f>
        <v>0</v>
      </c>
      <c r="DK83" s="12" t="n">
        <f aca="false">IF(DK$9=1,SUMIFS(dr_USD,dr_Mes,109,dr_Cod,"DIVIDENDO",dr_Est,"&lt;&gt;Excluido"),IF(p_DivRestr=1,MIN(DJ$84+DK$81,MAX(0,DK$76-DK$74)),DJ$84+DK$81)*Calendario!DK$13)</f>
        <v>0</v>
      </c>
      <c r="DL83" s="12" t="n">
        <f aca="false">IF(DL$9=1,SUMIFS(dr_USD,dr_Mes,110,dr_Cod,"DIVIDENDO",dr_Est,"&lt;&gt;Excluido"),IF(p_DivRestr=1,MIN(DK$84+DL$81,MAX(0,DL$76-DL$74)),DK$84+DL$81)*Calendario!DL$13)</f>
        <v>0</v>
      </c>
      <c r="DM83" s="12" t="n">
        <f aca="false">IF(DM$9=1,SUMIFS(dr_USD,dr_Mes,111,dr_Cod,"DIVIDENDO",dr_Est,"&lt;&gt;Excluido"),IF(p_DivRestr=1,MIN(DL$84+DM$81,MAX(0,DM$76-DM$74)),DL$84+DM$81)*Calendario!DM$13)</f>
        <v>0</v>
      </c>
      <c r="DN83" s="12" t="n">
        <f aca="false">IF(DN$9=1,SUMIFS(dr_USD,dr_Mes,112,dr_Cod,"DIVIDENDO",dr_Est,"&lt;&gt;Excluido"),IF(p_DivRestr=1,MIN(DM$84+DN$81,MAX(0,DN$76-DN$74)),DM$84+DN$81)*Calendario!DN$13)</f>
        <v>1128966.28621573</v>
      </c>
      <c r="DO83" s="12" t="n">
        <f aca="false">IF(DO$9=1,SUMIFS(dr_USD,dr_Mes,113,dr_Cod,"DIVIDENDO",dr_Est,"&lt;&gt;Excluido"),IF(p_DivRestr=1,MIN(DN$84+DO$81,MAX(0,DO$76-DO$74)),DN$84+DO$81)*Calendario!DO$13)</f>
        <v>171970.875604736</v>
      </c>
      <c r="DP83" s="12" t="n">
        <f aca="false">IF(DP$9=1,SUMIFS(dr_USD,dr_Mes,114,dr_Cod,"DIVIDENDO",dr_Est,"&lt;&gt;Excluido"),IF(p_DivRestr=1,MIN(DO$84+DP$81,MAX(0,DP$76-DP$74)),DO$84+DP$81)*Calendario!DP$13)</f>
        <v>171970.875604736</v>
      </c>
      <c r="DQ83" s="12" t="n">
        <f aca="false">IF(DQ$9=1,SUMIFS(dr_USD,dr_Mes,115,dr_Cod,"DIVIDENDO",dr_Est,"&lt;&gt;Excluido"),IF(p_DivRestr=1,MIN(DP$84+DQ$81,MAX(0,DQ$76-DQ$74)),DP$84+DQ$81)*Calendario!DQ$13)</f>
        <v>171970.875604736</v>
      </c>
      <c r="DR83" s="12" t="n">
        <f aca="false">IF(DR$9=1,SUMIFS(dr_USD,dr_Mes,116,dr_Cod,"DIVIDENDO",dr_Est,"&lt;&gt;Excluido"),IF(p_DivRestr=1,MIN(DQ$84+DR$81,MAX(0,DR$76-DR$74)),DQ$84+DR$81)*Calendario!DR$13)</f>
        <v>299667.059883469</v>
      </c>
      <c r="DS83" s="12" t="n">
        <f aca="false">IF(DS$9=1,SUMIFS(dr_USD,dr_Mes,117,dr_Cod,"DIVIDENDO",dr_Est,"&lt;&gt;Excluido"),IF(p_DivRestr=1,MIN(DR$84+DS$81,MAX(0,DS$76-DS$74)),DR$84+DS$81)*Calendario!DS$13)</f>
        <v>0</v>
      </c>
      <c r="DT83" s="12" t="n">
        <f aca="false">IF(DT$9=1,SUMIFS(dr_USD,dr_Mes,118,dr_Cod,"DIVIDENDO",dr_Est,"&lt;&gt;Excluido"),IF(p_DivRestr=1,MIN(DS$84+DT$81,MAX(0,DT$76-DT$74)),DS$84+DT$81)*Calendario!DT$13)</f>
        <v>0</v>
      </c>
      <c r="DU83" s="12" t="n">
        <f aca="false">IF(DU$9=1,SUMIFS(dr_USD,dr_Mes,119,dr_Cod,"DIVIDENDO",dr_Est,"&lt;&gt;Excluido"),IF(p_DivRestr=1,MIN(DT$84+DU$81,MAX(0,DU$76-DU$74)),DT$84+DU$81)*Calendario!DU$13)</f>
        <v>0</v>
      </c>
      <c r="DV83" s="12" t="n">
        <f aca="false">IF(DV$9=1,SUMIFS(dr_USD,dr_Mes,120,dr_Cod,"DIVIDENDO",dr_Est,"&lt;&gt;Excluido"),IF(p_DivRestr=1,MIN(DU$84+DV$81,MAX(0,DV$76-DV$74)),DU$84+DV$81)*Calendario!DV$13)</f>
        <v>0</v>
      </c>
      <c r="DW83" s="12" t="n">
        <f aca="false">IF(DW$9=1,SUMIFS(dr_USD,dr_Mes,121,dr_Cod,"DIVIDENDO",dr_Est,"&lt;&gt;Excluido"),IF(p_DivRestr=1,MIN(DV$84+DW$81,MAX(0,DW$76-DW$74)),DV$84+DW$81)*Calendario!DW$13)</f>
        <v>0</v>
      </c>
      <c r="DX83" s="12" t="n">
        <f aca="false">IF(DX$9=1,SUMIFS(dr_USD,dr_Mes,122,dr_Cod,"DIVIDENDO",dr_Est,"&lt;&gt;Excluido"),IF(p_DivRestr=1,MIN(DW$84+DX$81,MAX(0,DX$76-DX$74)),DW$84+DX$81)*Calendario!DX$13)</f>
        <v>0</v>
      </c>
      <c r="DY83" s="12" t="n">
        <f aca="false">IF(DY$9=1,SUMIFS(dr_USD,dr_Mes,123,dr_Cod,"DIVIDENDO",dr_Est,"&lt;&gt;Excluido"),IF(p_DivRestr=1,MIN(DX$84+DY$81,MAX(0,DY$76-DY$74)),DX$84+DY$81)*Calendario!DY$13)</f>
        <v>0</v>
      </c>
      <c r="DZ83" s="12" t="n">
        <f aca="false">IF(DZ$9=1,SUMIFS(dr_USD,dr_Mes,124,dr_Cod,"DIVIDENDO",dr_Est,"&lt;&gt;Excluido"),IF(p_DivRestr=1,MIN(DY$84+DZ$81,MAX(0,DZ$76-DZ$74)),DY$84+DZ$81)*Calendario!DZ$13)</f>
        <v>0</v>
      </c>
      <c r="EA83" s="12" t="n">
        <f aca="false">IF(EA$9=1,SUMIFS(dr_USD,dr_Mes,125,dr_Cod,"DIVIDENDO",dr_Est,"&lt;&gt;Excluido"),IF(p_DivRestr=1,MIN(DZ$84+EA$81,MAX(0,EA$76-EA$74)),DZ$84+EA$81)*Calendario!EA$13)</f>
        <v>0</v>
      </c>
      <c r="EB83" s="12" t="n">
        <f aca="false">IF(EB$9=1,SUMIFS(dr_USD,dr_Mes,126,dr_Cod,"DIVIDENDO",dr_Est,"&lt;&gt;Excluido"),IF(p_DivRestr=1,MIN(EA$84+EB$81,MAX(0,EB$76-EB$74)),EA$84+EB$81)*Calendario!EB$13)</f>
        <v>0</v>
      </c>
      <c r="EC83" s="12" t="n">
        <f aca="false">IF(EC$9=1,SUMIFS(dr_USD,dr_Mes,127,dr_Cod,"DIVIDENDO",dr_Est,"&lt;&gt;Excluido"),IF(p_DivRestr=1,MIN(EB$84+EC$81,MAX(0,EC$76-EC$74)),EB$84+EC$81)*Calendario!EC$13)</f>
        <v>0</v>
      </c>
      <c r="ED83" s="12" t="n">
        <f aca="false">IF(ED$9=1,SUMIFS(dr_USD,dr_Mes,128,dr_Cod,"DIVIDENDO",dr_Est,"&lt;&gt;Excluido"),IF(p_DivRestr=1,MIN(EC$84+ED$81,MAX(0,ED$76-ED$74)),EC$84+ED$81)*Calendario!ED$13)</f>
        <v>0</v>
      </c>
      <c r="EE83" s="12" t="n">
        <f aca="false">IF(EE$9=1,SUMIFS(dr_USD,dr_Mes,129,dr_Cod,"DIVIDENDO",dr_Est,"&lt;&gt;Excluido"),IF(p_DivRestr=1,MIN(ED$84+EE$81,MAX(0,EE$76-EE$74)),ED$84+EE$81)*Calendario!EE$13)</f>
        <v>0</v>
      </c>
      <c r="EF83" s="12" t="n">
        <f aca="false">IF(EF$9=1,SUMIFS(dr_USD,dr_Mes,130,dr_Cod,"DIVIDENDO",dr_Est,"&lt;&gt;Excluido"),IF(p_DivRestr=1,MIN(EE$84+EF$81,MAX(0,EF$76-EF$74)),EE$84+EF$81)*Calendario!EF$13)</f>
        <v>0</v>
      </c>
      <c r="EG83" s="12" t="n">
        <f aca="false">IF(EG$9=1,SUMIFS(dr_USD,dr_Mes,131,dr_Cod,"DIVIDENDO",dr_Est,"&lt;&gt;Excluido"),IF(p_DivRestr=1,MIN(EF$84+EG$81,MAX(0,EG$76-EG$74)),EF$84+EG$81)*Calendario!EG$13)</f>
        <v>0</v>
      </c>
      <c r="EH83" s="12" t="n">
        <f aca="false">IF(EH$9=1,SUMIFS(dr_USD,dr_Mes,132,dr_Cod,"DIVIDENDO",dr_Est,"&lt;&gt;Excluido"),IF(p_DivRestr=1,MIN(EG$84+EH$81,MAX(0,EH$76-EH$74)),EG$84+EH$81)*Calendario!EH$13)</f>
        <v>0</v>
      </c>
      <c r="EI83" s="12" t="n">
        <f aca="false">IF(EI$9=1,SUMIFS(dr_USD,dr_Mes,133,dr_Cod,"DIVIDENDO",dr_Est,"&lt;&gt;Excluido"),IF(p_DivRestr=1,MIN(EH$84+EI$81,MAX(0,EI$76-EI$74)),EH$84+EI$81)*Calendario!EI$13)</f>
        <v>0</v>
      </c>
      <c r="EJ83" s="12" t="n">
        <f aca="false">IF(EJ$9=1,SUMIFS(dr_USD,dr_Mes,134,dr_Cod,"DIVIDENDO",dr_Est,"&lt;&gt;Excluido"),IF(p_DivRestr=1,MIN(EI$84+EJ$81,MAX(0,EJ$76-EJ$74)),EI$84+EJ$81)*Calendario!EJ$13)</f>
        <v>0</v>
      </c>
      <c r="EK83" s="12" t="n">
        <f aca="false">IF(EK$9=1,SUMIFS(dr_USD,dr_Mes,135,dr_Cod,"DIVIDENDO",dr_Est,"&lt;&gt;Excluido"),IF(p_DivRestr=1,MIN(EJ$84+EK$81,MAX(0,EK$76-EK$74)),EJ$84+EK$81)*Calendario!EK$13)</f>
        <v>0</v>
      </c>
      <c r="EL83" s="12" t="n">
        <f aca="false">IF(EL$9=1,SUMIFS(dr_USD,dr_Mes,136,dr_Cod,"DIVIDENDO",dr_Est,"&lt;&gt;Excluido"),IF(p_DivRestr=1,MIN(EK$84+EL$81,MAX(0,EL$76-EL$74)),EK$84+EL$81)*Calendario!EL$13)</f>
        <v>0</v>
      </c>
      <c r="EM83" s="12" t="n">
        <f aca="false">IF(EM$9=1,SUMIFS(dr_USD,dr_Mes,137,dr_Cod,"DIVIDENDO",dr_Est,"&lt;&gt;Excluido"),IF(p_DivRestr=1,MIN(EL$84+EM$81,MAX(0,EM$76-EM$74)),EL$84+EM$81)*Calendario!EM$13)</f>
        <v>0</v>
      </c>
      <c r="EN83" s="12" t="n">
        <f aca="false">IF(EN$9=1,SUMIFS(dr_USD,dr_Mes,138,dr_Cod,"DIVIDENDO",dr_Est,"&lt;&gt;Excluido"),IF(p_DivRestr=1,MIN(EM$84+EN$81,MAX(0,EN$76-EN$74)),EM$84+EN$81)*Calendario!EN$13)</f>
        <v>0</v>
      </c>
      <c r="EO83" s="12" t="n">
        <f aca="false">IF(EO$9=1,SUMIFS(dr_USD,dr_Mes,139,dr_Cod,"DIVIDENDO",dr_Est,"&lt;&gt;Excluido"),IF(p_DivRestr=1,MIN(EN$84+EO$81,MAX(0,EO$76-EO$74)),EN$84+EO$81)*Calendario!EO$13)</f>
        <v>0</v>
      </c>
      <c r="EP83" s="12" t="n">
        <f aca="false">IF(EP$9=1,SUMIFS(dr_USD,dr_Mes,140,dr_Cod,"DIVIDENDO",dr_Est,"&lt;&gt;Excluido"),IF(p_DivRestr=1,MIN(EO$84+EP$81,MAX(0,EP$76-EP$74)),EO$84+EP$81)*Calendario!EP$13)</f>
        <v>0</v>
      </c>
      <c r="EQ83" s="12" t="n">
        <f aca="false">IF(EQ$9=1,SUMIFS(dr_USD,dr_Mes,141,dr_Cod,"DIVIDENDO",dr_Est,"&lt;&gt;Excluido"),IF(p_DivRestr=1,MIN(EP$84+EQ$81,MAX(0,EQ$76-EQ$74)),EP$84+EQ$81)*Calendario!EQ$13)</f>
        <v>0</v>
      </c>
      <c r="ER83" s="12" t="n">
        <f aca="false">IF(ER$9=1,SUMIFS(dr_USD,dr_Mes,142,dr_Cod,"DIVIDENDO",dr_Est,"&lt;&gt;Excluido"),IF(p_DivRestr=1,MIN(EQ$84+ER$81,MAX(0,ER$76-ER$74)),EQ$84+ER$81)*Calendario!ER$13)</f>
        <v>0</v>
      </c>
      <c r="ES83" s="12" t="n">
        <f aca="false">IF(ES$9=1,SUMIFS(dr_USD,dr_Mes,143,dr_Cod,"DIVIDENDO",dr_Est,"&lt;&gt;Excluido"),IF(p_DivRestr=1,MIN(ER$84+ES$81,MAX(0,ES$76-ES$74)),ER$84+ES$81)*Calendario!ES$13)</f>
        <v>0</v>
      </c>
      <c r="ET83" s="12" t="n">
        <f aca="false">IF(ET$9=1,SUMIFS(dr_USD,dr_Mes,144,dr_Cod,"DIVIDENDO",dr_Est,"&lt;&gt;Excluido"),IF(p_DivRestr=1,MIN(ES$84+ET$81,MAX(0,ET$76-ET$74)),ES$84+ET$81)*Calendario!ET$13)</f>
        <v>0</v>
      </c>
      <c r="EU83" s="12" t="n">
        <f aca="false">IF(EU$9=1,SUMIFS(dr_USD,dr_Mes,145,dr_Cod,"DIVIDENDO",dr_Est,"&lt;&gt;Excluido"),IF(p_DivRestr=1,MIN(ET$84+EU$81,MAX(0,EU$76-EU$74)),ET$84+EU$81)*Calendario!EU$13)</f>
        <v>0</v>
      </c>
      <c r="EV83" s="12" t="n">
        <f aca="false">IF(EV$9=1,SUMIFS(dr_USD,dr_Mes,146,dr_Cod,"DIVIDENDO",dr_Est,"&lt;&gt;Excluido"),IF(p_DivRestr=1,MIN(EU$84+EV$81,MAX(0,EV$76-EV$74)),EU$84+EV$81)*Calendario!EV$13)</f>
        <v>0</v>
      </c>
      <c r="EW83" s="12" t="n">
        <f aca="false">IF(EW$9=1,SUMIFS(dr_USD,dr_Mes,147,dr_Cod,"DIVIDENDO",dr_Est,"&lt;&gt;Excluido"),IF(p_DivRestr=1,MIN(EV$84+EW$81,MAX(0,EW$76-EW$74)),EV$84+EW$81)*Calendario!EW$13)</f>
        <v>0</v>
      </c>
      <c r="EX83" s="12" t="n">
        <f aca="false">IF(EX$9=1,SUMIFS(dr_USD,dr_Mes,148,dr_Cod,"DIVIDENDO",dr_Est,"&lt;&gt;Excluido"),IF(p_DivRestr=1,MIN(EW$84+EX$81,MAX(0,EX$76-EX$74)),EW$84+EX$81)*Calendario!EX$13)</f>
        <v>0</v>
      </c>
      <c r="EY83" s="12" t="n">
        <f aca="false">IF(EY$9=1,SUMIFS(dr_USD,dr_Mes,149,dr_Cod,"DIVIDENDO",dr_Est,"&lt;&gt;Excluido"),IF(p_DivRestr=1,MIN(EX$84+EY$81,MAX(0,EY$76-EY$74)),EX$84+EY$81)*Calendario!EY$13)</f>
        <v>0</v>
      </c>
      <c r="EZ83" s="12" t="n">
        <f aca="false">IF(EZ$9=1,SUMIFS(dr_USD,dr_Mes,150,dr_Cod,"DIVIDENDO",dr_Est,"&lt;&gt;Excluido"),IF(p_DivRestr=1,MIN(EY$84+EZ$81,MAX(0,EZ$76-EZ$74)),EY$84+EZ$81)*Calendario!EZ$13)</f>
        <v>0</v>
      </c>
      <c r="FA83" s="12" t="n">
        <f aca="false">IF(FA$9=1,SUMIFS(dr_USD,dr_Mes,151,dr_Cod,"DIVIDENDO",dr_Est,"&lt;&gt;Excluido"),IF(p_DivRestr=1,MIN(EZ$84+FA$81,MAX(0,FA$76-FA$74)),EZ$84+FA$81)*Calendario!FA$13)</f>
        <v>0</v>
      </c>
      <c r="FB83" s="12" t="n">
        <f aca="false">IF(FB$9=1,SUMIFS(dr_USD,dr_Mes,152,dr_Cod,"DIVIDENDO",dr_Est,"&lt;&gt;Excluido"),IF(p_DivRestr=1,MIN(FA$84+FB$81,MAX(0,FB$76-FB$74)),FA$84+FB$81)*Calendario!FB$13)</f>
        <v>0</v>
      </c>
      <c r="FC83" s="12" t="n">
        <f aca="false">IF(FC$9=1,SUMIFS(dr_USD,dr_Mes,153,dr_Cod,"DIVIDENDO",dr_Est,"&lt;&gt;Excluido"),IF(p_DivRestr=1,MIN(FB$84+FC$81,MAX(0,FC$76-FC$74)),FB$84+FC$81)*Calendario!FC$13)</f>
        <v>0</v>
      </c>
      <c r="FD83" s="12" t="n">
        <f aca="false">IF(FD$9=1,SUMIFS(dr_USD,dr_Mes,154,dr_Cod,"DIVIDENDO",dr_Est,"&lt;&gt;Excluido"),IF(p_DivRestr=1,MIN(FC$84+FD$81,MAX(0,FD$76-FD$74)),FC$84+FD$81)*Calendario!FD$13)</f>
        <v>0</v>
      </c>
      <c r="FE83" s="12" t="n">
        <f aca="false">IF(FE$9=1,SUMIFS(dr_USD,dr_Mes,155,dr_Cod,"DIVIDENDO",dr_Est,"&lt;&gt;Excluido"),IF(p_DivRestr=1,MIN(FD$84+FE$81,MAX(0,FE$76-FE$74)),FD$84+FE$81)*Calendario!FE$13)</f>
        <v>0</v>
      </c>
      <c r="FF83" s="12" t="n">
        <f aca="false">IF(FF$9=1,SUMIFS(dr_USD,dr_Mes,156,dr_Cod,"DIVIDENDO",dr_Est,"&lt;&gt;Excluido"),IF(p_DivRestr=1,MIN(FE$84+FF$81,MAX(0,FF$76-FF$74)),FE$84+FF$81)*Calendario!FF$13)</f>
        <v>0</v>
      </c>
    </row>
    <row r="84" customFormat="false" ht="15" hidden="false" customHeight="false" outlineLevel="0" collapsed="false">
      <c r="A84" s="2" t="s">
        <v>1577</v>
      </c>
      <c r="B84" s="8" t="s">
        <v>1578</v>
      </c>
      <c r="C84" s="8" t="s">
        <v>255</v>
      </c>
      <c r="E84" s="65" t="n">
        <f aca="false">INDEX($F84:$FF84,1,p_MesFin+1)</f>
        <v>0</v>
      </c>
      <c r="F84" s="13" t="n">
        <f aca="false">0+F$81-F$83</f>
        <v>0</v>
      </c>
      <c r="G84" s="13" t="n">
        <f aca="false">F$84+G$81-G$83</f>
        <v>0</v>
      </c>
      <c r="H84" s="13" t="n">
        <f aca="false">G$84+H$81-H$83</f>
        <v>0</v>
      </c>
      <c r="I84" s="13" t="n">
        <f aca="false">H$84+I$81-I$83</f>
        <v>0</v>
      </c>
      <c r="J84" s="13" t="n">
        <f aca="false">I$84+J$81-J$83</f>
        <v>0</v>
      </c>
      <c r="K84" s="13" t="n">
        <f aca="false">J$84+K$81-K$83</f>
        <v>0</v>
      </c>
      <c r="L84" s="13" t="n">
        <f aca="false">K$84+L$81-L$83</f>
        <v>0</v>
      </c>
      <c r="M84" s="13" t="n">
        <f aca="false">L$84+M$81-M$83</f>
        <v>0</v>
      </c>
      <c r="N84" s="13" t="n">
        <f aca="false">M$84+N$81-N$83</f>
        <v>0</v>
      </c>
      <c r="O84" s="13" t="n">
        <f aca="false">N$84+O$81-O$83</f>
        <v>0</v>
      </c>
      <c r="P84" s="13" t="n">
        <f aca="false">O$84+P$81-P$83</f>
        <v>0</v>
      </c>
      <c r="Q84" s="13" t="n">
        <f aca="false">P$84+Q$81-Q$83</f>
        <v>0</v>
      </c>
      <c r="R84" s="13" t="n">
        <f aca="false">Q$84+R$81-R$83</f>
        <v>0</v>
      </c>
      <c r="S84" s="13" t="n">
        <f aca="false">R$84+S$81-S$83</f>
        <v>0</v>
      </c>
      <c r="T84" s="13" t="n">
        <f aca="false">S$84+T$81-T$83</f>
        <v>0</v>
      </c>
      <c r="U84" s="13" t="n">
        <f aca="false">T$84+U$81-U$83</f>
        <v>0</v>
      </c>
      <c r="V84" s="13" t="n">
        <f aca="false">U$84+V$81-V$83</f>
        <v>0</v>
      </c>
      <c r="W84" s="13" t="n">
        <f aca="false">V$84+W$81-W$83</f>
        <v>0</v>
      </c>
      <c r="X84" s="13" t="n">
        <f aca="false">W$84+X$81-X$83</f>
        <v>0</v>
      </c>
      <c r="Y84" s="13" t="n">
        <f aca="false">X$84+Y$81-Y$83</f>
        <v>0</v>
      </c>
      <c r="Z84" s="13" t="n">
        <f aca="false">Y$84+Z$81-Z$83</f>
        <v>0</v>
      </c>
      <c r="AA84" s="13" t="n">
        <f aca="false">Z$84+AA$81-AA$83</f>
        <v>0</v>
      </c>
      <c r="AB84" s="13" t="n">
        <f aca="false">AA$84+AB$81-AB$83</f>
        <v>0</v>
      </c>
      <c r="AC84" s="13" t="n">
        <f aca="false">AB$84+AC$81-AC$83</f>
        <v>0</v>
      </c>
      <c r="AD84" s="13" t="n">
        <f aca="false">AC$84+AD$81-AD$83</f>
        <v>0</v>
      </c>
      <c r="AE84" s="13" t="n">
        <f aca="false">AD$84+AE$81-AE$83</f>
        <v>0</v>
      </c>
      <c r="AF84" s="13" t="n">
        <f aca="false">AE$84+AF$81-AF$83</f>
        <v>0</v>
      </c>
      <c r="AG84" s="13" t="n">
        <f aca="false">AF$84+AG$81-AG$83</f>
        <v>0</v>
      </c>
      <c r="AH84" s="13" t="n">
        <f aca="false">AG$84+AH$81-AH$83</f>
        <v>0</v>
      </c>
      <c r="AI84" s="13" t="n">
        <f aca="false">AH$84+AI$81-AI$83</f>
        <v>0</v>
      </c>
      <c r="AJ84" s="13" t="n">
        <f aca="false">AI$84+AJ$81-AJ$83</f>
        <v>0</v>
      </c>
      <c r="AK84" s="13" t="n">
        <f aca="false">AJ$84+AK$81-AK$83</f>
        <v>0</v>
      </c>
      <c r="AL84" s="13" t="n">
        <f aca="false">AK$84+AL$81-AL$83</f>
        <v>0</v>
      </c>
      <c r="AM84" s="13" t="n">
        <f aca="false">AL$84+AM$81-AM$83</f>
        <v>0</v>
      </c>
      <c r="AN84" s="13" t="n">
        <f aca="false">AM$84+AN$81-AN$83</f>
        <v>0</v>
      </c>
      <c r="AO84" s="13" t="n">
        <f aca="false">AN$84+AO$81-AO$83</f>
        <v>0</v>
      </c>
      <c r="AP84" s="13" t="n">
        <f aca="false">AO$84+AP$81-AP$83</f>
        <v>0</v>
      </c>
      <c r="AQ84" s="13" t="n">
        <f aca="false">AP$84+AQ$81-AQ$83</f>
        <v>0</v>
      </c>
      <c r="AR84" s="13" t="n">
        <f aca="false">AQ$84+AR$81-AR$83</f>
        <v>0</v>
      </c>
      <c r="AS84" s="13" t="n">
        <f aca="false">AR$84+AS$81-AS$83</f>
        <v>0</v>
      </c>
      <c r="AT84" s="13" t="n">
        <f aca="false">AS$84+AT$81-AT$83</f>
        <v>346206.012885793</v>
      </c>
      <c r="AU84" s="13" t="n">
        <f aca="false">AT$84+AU$81-AU$83</f>
        <v>346206.012885793</v>
      </c>
      <c r="AV84" s="13" t="n">
        <f aca="false">AU$84+AV$81-AV$83</f>
        <v>346206.012885793</v>
      </c>
      <c r="AW84" s="13" t="n">
        <f aca="false">AV$84+AW$81-AW$83</f>
        <v>346206.012885793</v>
      </c>
      <c r="AX84" s="13" t="n">
        <f aca="false">AW$84+AX$81-AX$83</f>
        <v>346206.012885793</v>
      </c>
      <c r="AY84" s="13" t="n">
        <f aca="false">AX$84+AY$81-AY$83</f>
        <v>346206.012885793</v>
      </c>
      <c r="AZ84" s="13" t="n">
        <f aca="false">AY$84+AZ$81-AZ$83</f>
        <v>277232.174409565</v>
      </c>
      <c r="BA84" s="13" t="n">
        <f aca="false">AZ$84+BA$81-BA$83</f>
        <v>193343.256431776</v>
      </c>
      <c r="BB84" s="13" t="n">
        <f aca="false">BA$84+BB$81-BB$83</f>
        <v>109411.74078002</v>
      </c>
      <c r="BC84" s="13" t="n">
        <f aca="false">BB$84+BC$81-BC$83</f>
        <v>29556.7097201064</v>
      </c>
      <c r="BD84" s="13" t="n">
        <f aca="false">BC$84+BD$81-BD$83</f>
        <v>0</v>
      </c>
      <c r="BE84" s="13" t="n">
        <f aca="false">BD$84+BE$81-BE$83</f>
        <v>0</v>
      </c>
      <c r="BF84" s="13" t="n">
        <f aca="false">BE$84+BF$81-BF$83</f>
        <v>592571.403642946</v>
      </c>
      <c r="BG84" s="13" t="n">
        <f aca="false">BF$84+BG$81-BG$83</f>
        <v>504778.027687393</v>
      </c>
      <c r="BH84" s="13" t="n">
        <f aca="false">BG$84+BH$81-BH$83</f>
        <v>416940.10085931</v>
      </c>
      <c r="BI84" s="13" t="n">
        <f aca="false">BH$84+BI$81-BI$83</f>
        <v>329057.289027155</v>
      </c>
      <c r="BJ84" s="13" t="n">
        <f aca="false">BI$84+BJ$81-BJ$83</f>
        <v>241129.255553397</v>
      </c>
      <c r="BK84" s="13" t="n">
        <f aca="false">BJ$84+BK$81-BK$83</f>
        <v>155371.673718548</v>
      </c>
      <c r="BL84" s="13" t="n">
        <f aca="false">BK$84+BL$81-BL$83</f>
        <v>69696.6538631946</v>
      </c>
      <c r="BM84" s="13" t="n">
        <f aca="false">BL$84+BM$81-BM$83</f>
        <v>0</v>
      </c>
      <c r="BN84" s="13" t="n">
        <f aca="false">BM$84+BN$81-BN$83</f>
        <v>0</v>
      </c>
      <c r="BO84" s="13" t="n">
        <f aca="false">BN$84+BO$81-BO$83</f>
        <v>0</v>
      </c>
      <c r="BP84" s="13" t="n">
        <f aca="false">BO$84+BP$81-BP$83</f>
        <v>0</v>
      </c>
      <c r="BQ84" s="13" t="n">
        <f aca="false">BP$84+BQ$81-BQ$83</f>
        <v>0</v>
      </c>
      <c r="BR84" s="13" t="n">
        <f aca="false">BQ$84+BR$81-BR$83</f>
        <v>1001150.73216324</v>
      </c>
      <c r="BS84" s="13" t="n">
        <f aca="false">BR$84+BS$81-BS$83</f>
        <v>845839.68272793</v>
      </c>
      <c r="BT84" s="13" t="n">
        <f aca="false">BS$84+BT$81-BT$83</f>
        <v>690528.633292623</v>
      </c>
      <c r="BU84" s="13" t="n">
        <f aca="false">BT$84+BU$81-BU$83</f>
        <v>535217.583857315</v>
      </c>
      <c r="BV84" s="13" t="n">
        <f aca="false">BU$84+BV$81-BV$83</f>
        <v>379906.534422008</v>
      </c>
      <c r="BW84" s="13" t="n">
        <f aca="false">BV$84+BW$81-BW$83</f>
        <v>226833.657553955</v>
      </c>
      <c r="BX84" s="13" t="n">
        <f aca="false">BW$84+BX$81-BX$83</f>
        <v>73890.5298202352</v>
      </c>
      <c r="BY84" s="13" t="n">
        <f aca="false">BX$84+BY$81-BY$83</f>
        <v>0</v>
      </c>
      <c r="BZ84" s="13" t="n">
        <f aca="false">BY$84+BZ$81-BZ$83</f>
        <v>0</v>
      </c>
      <c r="CA84" s="13" t="n">
        <f aca="false">BZ$84+CA$81-CA$83</f>
        <v>0</v>
      </c>
      <c r="CB84" s="13" t="n">
        <f aca="false">CA$84+CB$81-CB$83</f>
        <v>0</v>
      </c>
      <c r="CC84" s="13" t="n">
        <f aca="false">CB$84+CC$81-CC$83</f>
        <v>0</v>
      </c>
      <c r="CD84" s="13" t="n">
        <f aca="false">CC$84+CD$81-CD$83</f>
        <v>954361.497526617</v>
      </c>
      <c r="CE84" s="13" t="n">
        <f aca="false">CD$84+CE$81-CE$83</f>
        <v>794929.456265573</v>
      </c>
      <c r="CF84" s="13" t="n">
        <f aca="false">CE$84+CF$81-CF$83</f>
        <v>635497.415004529</v>
      </c>
      <c r="CG84" s="13" t="n">
        <f aca="false">CF$84+CG$81-CG$83</f>
        <v>476065.373743484</v>
      </c>
      <c r="CH84" s="13" t="n">
        <f aca="false">CG$84+CH$81-CH$83</f>
        <v>316633.33248244</v>
      </c>
      <c r="CI84" s="13" t="n">
        <f aca="false">CH$84+CI$81-CI$83</f>
        <v>159461.845514322</v>
      </c>
      <c r="CJ84" s="13" t="n">
        <f aca="false">CI$84+CJ$81-CJ$83</f>
        <v>2421.40517188038</v>
      </c>
      <c r="CK84" s="13" t="n">
        <f aca="false">CJ$84+CK$81-CK$83</f>
        <v>0</v>
      </c>
      <c r="CL84" s="13" t="n">
        <f aca="false">CK$84+CL$81-CL$83</f>
        <v>0</v>
      </c>
      <c r="CM84" s="13" t="n">
        <f aca="false">CL$84+CM$81-CM$83</f>
        <v>0</v>
      </c>
      <c r="CN84" s="13" t="n">
        <f aca="false">CM$84+CN$81-CN$83</f>
        <v>0</v>
      </c>
      <c r="CO84" s="13" t="n">
        <f aca="false">CN$84+CO$81-CO$83</f>
        <v>0</v>
      </c>
      <c r="CP84" s="13" t="n">
        <f aca="false">CO$84+CP$81-CP$83</f>
        <v>907834.07579236</v>
      </c>
      <c r="CQ84" s="13" t="n">
        <f aca="false">CP$84+CQ$81-CQ$83</f>
        <v>744251.679337581</v>
      </c>
      <c r="CR84" s="13" t="n">
        <f aca="false">CQ$84+CR$81-CR$83</f>
        <v>580669.282882803</v>
      </c>
      <c r="CS84" s="13" t="n">
        <f aca="false">CR$84+CS$81-CS$83</f>
        <v>417086.886428024</v>
      </c>
      <c r="CT84" s="13" t="n">
        <f aca="false">CS$84+CT$81-CT$83</f>
        <v>253504.489973246</v>
      </c>
      <c r="CU84" s="13" t="n">
        <f aca="false">CT$84+CU$81-CU$83</f>
        <v>92205.2533543235</v>
      </c>
      <c r="CV84" s="13" t="n">
        <f aca="false">CU$84+CV$81-CV$83</f>
        <v>0</v>
      </c>
      <c r="CW84" s="13" t="n">
        <f aca="false">CV$84+CW$81-CW$83</f>
        <v>0</v>
      </c>
      <c r="CX84" s="13" t="n">
        <f aca="false">CW$84+CX$81-CX$83</f>
        <v>0</v>
      </c>
      <c r="CY84" s="13" t="n">
        <f aca="false">CX$84+CY$81-CY$83</f>
        <v>0</v>
      </c>
      <c r="CZ84" s="13" t="n">
        <f aca="false">CY$84+CZ$81-CZ$83</f>
        <v>0</v>
      </c>
      <c r="DA84" s="13" t="n">
        <f aca="false">CZ$84+DA$81-DA$83</f>
        <v>0</v>
      </c>
      <c r="DB84" s="13" t="n">
        <f aca="false">DA$84+DB$81-DB$83</f>
        <v>861572.203151211</v>
      </c>
      <c r="DC84" s="13" t="n">
        <f aca="false">DB$84+DC$81-DC$83</f>
        <v>693810.165494229</v>
      </c>
      <c r="DD84" s="13" t="n">
        <f aca="false">DC$84+DD$81-DD$83</f>
        <v>526048.127837247</v>
      </c>
      <c r="DE84" s="13" t="n">
        <f aca="false">DD$84+DE$81-DE$83</f>
        <v>358286.090180265</v>
      </c>
      <c r="DF84" s="13" t="n">
        <f aca="false">DE$84+DF$81-DF$83</f>
        <v>190524.052523283</v>
      </c>
      <c r="DG84" s="13" t="n">
        <f aca="false">DF$84+DG$81-DG$83</f>
        <v>25068.006300516</v>
      </c>
      <c r="DH84" s="13" t="n">
        <f aca="false">DG$84+DH$81-DH$83</f>
        <v>0</v>
      </c>
      <c r="DI84" s="13" t="n">
        <f aca="false">DH$84+DI$81-DI$83</f>
        <v>0</v>
      </c>
      <c r="DJ84" s="13" t="n">
        <f aca="false">DI$84+DJ$81-DJ$83</f>
        <v>0</v>
      </c>
      <c r="DK84" s="13" t="n">
        <f aca="false">DJ$84+DK$81-DK$83</f>
        <v>0</v>
      </c>
      <c r="DL84" s="13" t="n">
        <f aca="false">DK$84+DL$81-DL$83</f>
        <v>0</v>
      </c>
      <c r="DM84" s="13" t="n">
        <f aca="false">DL$84+DM$81-DM$83</f>
        <v>0</v>
      </c>
      <c r="DN84" s="13" t="n">
        <f aca="false">DM$84+DN$81-DN$83</f>
        <v>815579.686697675</v>
      </c>
      <c r="DO84" s="13" t="n">
        <f aca="false">DN$84+DO$81-DO$83</f>
        <v>643608.81109294</v>
      </c>
      <c r="DP84" s="13" t="n">
        <f aca="false">DO$84+DP$81-DP$83</f>
        <v>471637.935488204</v>
      </c>
      <c r="DQ84" s="13" t="n">
        <f aca="false">DP$84+DQ$81-DQ$83</f>
        <v>299667.059883469</v>
      </c>
      <c r="DR84" s="13" t="n">
        <f aca="false">DQ$84+DR$81-DR$83</f>
        <v>0</v>
      </c>
      <c r="DS84" s="13" t="n">
        <f aca="false">DR$84+DS$81-DS$83</f>
        <v>0</v>
      </c>
      <c r="DT84" s="13" t="n">
        <f aca="false">DS$84+DT$81-DT$83</f>
        <v>0</v>
      </c>
      <c r="DU84" s="13" t="n">
        <f aca="false">DT$84+DU$81-DU$83</f>
        <v>0</v>
      </c>
      <c r="DV84" s="13" t="n">
        <f aca="false">DU$84+DV$81-DV$83</f>
        <v>0</v>
      </c>
      <c r="DW84" s="13" t="n">
        <f aca="false">DV$84+DW$81-DW$83</f>
        <v>0</v>
      </c>
      <c r="DX84" s="13" t="n">
        <f aca="false">DW$84+DX$81-DX$83</f>
        <v>0</v>
      </c>
      <c r="DY84" s="13" t="n">
        <f aca="false">DX$84+DY$81-DY$83</f>
        <v>0</v>
      </c>
      <c r="DZ84" s="13" t="n">
        <f aca="false">DY$84+DZ$81-DZ$83</f>
        <v>1981009.29148202</v>
      </c>
      <c r="EA84" s="13" t="n">
        <f aca="false">DZ$84+EA$81-EA$83</f>
        <v>1981009.29148202</v>
      </c>
      <c r="EB84" s="13" t="n">
        <f aca="false">EA$84+EB$81-EB$83</f>
        <v>1981009.29148202</v>
      </c>
      <c r="EC84" s="13" t="n">
        <f aca="false">EB$84+EC$81-EC$83</f>
        <v>1981009.29148202</v>
      </c>
      <c r="ED84" s="13" t="n">
        <f aca="false">EC$84+ED$81-ED$83</f>
        <v>1981009.29148202</v>
      </c>
      <c r="EE84" s="13" t="n">
        <f aca="false">ED$84+EE$81-EE$83</f>
        <v>1981009.29148202</v>
      </c>
      <c r="EF84" s="13" t="n">
        <f aca="false">EE$84+EF$81-EF$83</f>
        <v>1981009.29148202</v>
      </c>
      <c r="EG84" s="13" t="n">
        <f aca="false">EF$84+EG$81-EG$83</f>
        <v>1981009.29148202</v>
      </c>
      <c r="EH84" s="13" t="n">
        <f aca="false">EG$84+EH$81-EH$83</f>
        <v>1981009.29148202</v>
      </c>
      <c r="EI84" s="13" t="n">
        <f aca="false">EH$84+EI$81-EI$83</f>
        <v>1981009.29148202</v>
      </c>
      <c r="EJ84" s="13" t="n">
        <f aca="false">EI$84+EJ$81-EJ$83</f>
        <v>1981009.29148202</v>
      </c>
      <c r="EK84" s="13" t="n">
        <f aca="false">EJ$84+EK$81-EK$83</f>
        <v>1981009.29148202</v>
      </c>
      <c r="EL84" s="13" t="n">
        <f aca="false">EK$84+EL$81-EL$83</f>
        <v>1981009.29148202</v>
      </c>
      <c r="EM84" s="13" t="n">
        <f aca="false">EL$84+EM$81-EM$83</f>
        <v>1981009.29148202</v>
      </c>
      <c r="EN84" s="13" t="n">
        <f aca="false">EM$84+EN$81-EN$83</f>
        <v>1981009.29148202</v>
      </c>
      <c r="EO84" s="13" t="n">
        <f aca="false">EN$84+EO$81-EO$83</f>
        <v>1981009.29148202</v>
      </c>
      <c r="EP84" s="13" t="n">
        <f aca="false">EO$84+EP$81-EP$83</f>
        <v>1981009.29148202</v>
      </c>
      <c r="EQ84" s="13" t="n">
        <f aca="false">EP$84+EQ$81-EQ$83</f>
        <v>1981009.29148202</v>
      </c>
      <c r="ER84" s="13" t="n">
        <f aca="false">EQ$84+ER$81-ER$83</f>
        <v>1981009.29148202</v>
      </c>
      <c r="ES84" s="13" t="n">
        <f aca="false">ER$84+ES$81-ES$83</f>
        <v>1981009.29148202</v>
      </c>
      <c r="ET84" s="13" t="n">
        <f aca="false">ES$84+ET$81-ET$83</f>
        <v>1981009.29148202</v>
      </c>
      <c r="EU84" s="13" t="n">
        <f aca="false">ET$84+EU$81-EU$83</f>
        <v>1981009.29148202</v>
      </c>
      <c r="EV84" s="13" t="n">
        <f aca="false">EU$84+EV$81-EV$83</f>
        <v>1981009.29148202</v>
      </c>
      <c r="EW84" s="13" t="n">
        <f aca="false">EV$84+EW$81-EW$83</f>
        <v>1981009.29148202</v>
      </c>
      <c r="EX84" s="13" t="n">
        <f aca="false">EW$84+EX$81-EX$83</f>
        <v>1981009.29148202</v>
      </c>
      <c r="EY84" s="13" t="n">
        <f aca="false">EX$84+EY$81-EY$83</f>
        <v>1981009.29148202</v>
      </c>
      <c r="EZ84" s="13" t="n">
        <f aca="false">EY$84+EZ$81-EZ$83</f>
        <v>1981009.29148202</v>
      </c>
      <c r="FA84" s="13" t="n">
        <f aca="false">EZ$84+FA$81-FA$83</f>
        <v>1981009.29148202</v>
      </c>
      <c r="FB84" s="13" t="n">
        <f aca="false">FA$84+FB$81-FB$83</f>
        <v>1981009.29148202</v>
      </c>
      <c r="FC84" s="13" t="n">
        <f aca="false">FB$84+FC$81-FC$83</f>
        <v>1981009.29148202</v>
      </c>
      <c r="FD84" s="13" t="n">
        <f aca="false">FC$84+FD$81-FD$83</f>
        <v>1981009.29148202</v>
      </c>
      <c r="FE84" s="13" t="n">
        <f aca="false">FD$84+FE$81-FE$83</f>
        <v>1981009.29148202</v>
      </c>
      <c r="FF84" s="13" t="n">
        <f aca="false">FE$84+FF$81-FF$83</f>
        <v>1981009.29148202</v>
      </c>
    </row>
    <row r="85" customFormat="false" ht="15" hidden="false" customHeight="false" outlineLevel="0" collapsed="false">
      <c r="A85" s="2" t="s">
        <v>1579</v>
      </c>
      <c r="B85" s="8" t="s">
        <v>1580</v>
      </c>
      <c r="C85" s="8" t="s">
        <v>255</v>
      </c>
      <c r="E85" s="65" t="n">
        <f aca="false">MIN($F85:$FF85)</f>
        <v>-527347.882516236</v>
      </c>
      <c r="F85" s="13" t="n">
        <f aca="false">F$76-F$83</f>
        <v>1272400.61780822</v>
      </c>
      <c r="G85" s="13" t="n">
        <f aca="false">G$76-G$83</f>
        <v>1485788.22538177</v>
      </c>
      <c r="H85" s="13" t="n">
        <f aca="false">H$76-H$83</f>
        <v>1096224.29621508</v>
      </c>
      <c r="I85" s="13" t="n">
        <f aca="false">I$76-I$83</f>
        <v>711524.53696845</v>
      </c>
      <c r="J85" s="13" t="n">
        <f aca="false">J$76-J$83</f>
        <v>348970.896443279</v>
      </c>
      <c r="K85" s="13" t="n">
        <f aca="false">K$76-K$83</f>
        <v>368437.803863314</v>
      </c>
      <c r="L85" s="13" t="n">
        <f aca="false">L$76-L$83</f>
        <v>387904.711283349</v>
      </c>
      <c r="M85" s="13" t="n">
        <f aca="false">M$76-M$83</f>
        <v>365248.314608697</v>
      </c>
      <c r="N85" s="13" t="n">
        <f aca="false">N$76-N$83</f>
        <v>322286.233662255</v>
      </c>
      <c r="O85" s="13" t="n">
        <f aca="false">O$76-O$83</f>
        <v>235108.20178445</v>
      </c>
      <c r="P85" s="13" t="n">
        <f aca="false">P$76-P$83</f>
        <v>145465.495568511</v>
      </c>
      <c r="Q85" s="13" t="n">
        <f aca="false">Q$76-Q$83</f>
        <v>55855.0980059571</v>
      </c>
      <c r="R85" s="13" t="n">
        <f aca="false">R$76-R$83</f>
        <v>-33740.5062854385</v>
      </c>
      <c r="S85" s="13" t="n">
        <f aca="false">S$76-S$83</f>
        <v>147283.71499674</v>
      </c>
      <c r="T85" s="13" t="n">
        <f aca="false">T$76-T$83</f>
        <v>51919.0733168256</v>
      </c>
      <c r="U85" s="13" t="n">
        <f aca="false">U$76-U$83</f>
        <v>-43412.2794913074</v>
      </c>
      <c r="V85" s="13" t="n">
        <f aca="false">V$76-V$83</f>
        <v>-132631.554948335</v>
      </c>
      <c r="W85" s="13" t="n">
        <f aca="false">W$76-W$83</f>
        <v>-116962.245807457</v>
      </c>
      <c r="X85" s="13" t="n">
        <f aca="false">X$76-X$83</f>
        <v>-101258.893163642</v>
      </c>
      <c r="Y85" s="13" t="n">
        <f aca="false">Y$76-Y$83</f>
        <v>-85521.2416906175</v>
      </c>
      <c r="Z85" s="13" t="n">
        <f aca="false">Z$76-Z$83</f>
        <v>-90191.9756765317</v>
      </c>
      <c r="AA85" s="13" t="n">
        <f aca="false">AA$76-AA$83</f>
        <v>-139637.612212754</v>
      </c>
      <c r="AB85" s="13" t="n">
        <f aca="false">AB$76-AB$83</f>
        <v>-191577.135856413</v>
      </c>
      <c r="AC85" s="13" t="n">
        <f aca="false">AC$76-AC$83</f>
        <v>-243481.320072144</v>
      </c>
      <c r="AD85" s="13" t="n">
        <f aca="false">AD$76-AD$83</f>
        <v>-295367.749691137</v>
      </c>
      <c r="AE85" s="13" t="n">
        <f aca="false">AE$76-AE$83</f>
        <v>-352044.703551428</v>
      </c>
      <c r="AF85" s="13" t="n">
        <f aca="false">AF$76-AF$83</f>
        <v>-412581.564158651</v>
      </c>
      <c r="AG85" s="13" t="n">
        <f aca="false">AG$76-AG$83</f>
        <v>-473082.013168304</v>
      </c>
      <c r="AH85" s="13" t="n">
        <f aca="false">AH$76-AH$83</f>
        <v>-527347.882516236</v>
      </c>
      <c r="AI85" s="13" t="n">
        <f aca="false">AI$76-AI$83</f>
        <v>-474663.103688318</v>
      </c>
      <c r="AJ85" s="13" t="n">
        <f aca="false">AJ$76-AJ$83</f>
        <v>-421941.087842065</v>
      </c>
      <c r="AK85" s="13" t="n">
        <f aca="false">AK$76-AK$83</f>
        <v>-369181.555699841</v>
      </c>
      <c r="AL85" s="13" t="n">
        <f aca="false">AL$76-AL$83</f>
        <v>-332916.833087531</v>
      </c>
      <c r="AM85" s="13" t="n">
        <f aca="false">AM$76-AM$83</f>
        <v>-333498.862608605</v>
      </c>
      <c r="AN85" s="13" t="n">
        <f aca="false">AN$76-AN$83</f>
        <v>-336125.216458612</v>
      </c>
      <c r="AO85" s="13" t="n">
        <f aca="false">AO$76-AO$83</f>
        <v>-338712.915798592</v>
      </c>
      <c r="AP85" s="13" t="n">
        <f aca="false">AP$76-AP$83</f>
        <v>-341276.106168287</v>
      </c>
      <c r="AQ85" s="13" t="n">
        <f aca="false">AQ$76-AQ$83</f>
        <v>-347662.336531006</v>
      </c>
      <c r="AR85" s="13" t="n">
        <f aca="false">AR$76-AR$83</f>
        <v>-357396.412415801</v>
      </c>
      <c r="AS85" s="13" t="n">
        <f aca="false">AS$76-AS$83</f>
        <v>-367090.661044017</v>
      </c>
      <c r="AT85" s="13" t="n">
        <f aca="false">AT$76-AT$83</f>
        <v>-371507.804578812</v>
      </c>
      <c r="AU85" s="13" t="n">
        <f aca="false">AU$76-AU$83</f>
        <v>-285546.63117365</v>
      </c>
      <c r="AV85" s="13" t="n">
        <f aca="false">AV$76-AV$83</f>
        <v>-199544.727660986</v>
      </c>
      <c r="AW85" s="13" t="n">
        <f aca="false">AW$76-AW$83</f>
        <v>-113501.788565014</v>
      </c>
      <c r="AX85" s="13" t="n">
        <f aca="false">AX$76-AX$83</f>
        <v>-27417.506118858</v>
      </c>
      <c r="AY85" s="13" t="n">
        <f aca="false">AY$76-AY$83</f>
        <v>56514.3580270376</v>
      </c>
      <c r="AZ85" s="13" t="n">
        <f aca="false">AZ$76-AZ$83</f>
        <v>71387.1569589041</v>
      </c>
      <c r="BA85" s="13" t="n">
        <f aca="false">BA$76-BA$83</f>
        <v>71387.1569589041</v>
      </c>
      <c r="BB85" s="13" t="n">
        <f aca="false">BB$76-BB$83</f>
        <v>71387.1569589041</v>
      </c>
      <c r="BC85" s="13" t="n">
        <f aca="false">BC$76-BC$83</f>
        <v>72101.0285284932</v>
      </c>
      <c r="BD85" s="13" t="n">
        <f aca="false">BD$76-BD$83</f>
        <v>122968.157629744</v>
      </c>
      <c r="BE85" s="13" t="n">
        <f aca="false">BE$76-BE$83</f>
        <v>203435.559779061</v>
      </c>
      <c r="BF85" s="13" t="n">
        <f aca="false">BF$76-BF$83</f>
        <v>72101.0285284932</v>
      </c>
      <c r="BG85" s="13" t="n">
        <f aca="false">BG$76-BG$83</f>
        <v>72101.0285284932</v>
      </c>
      <c r="BH85" s="13" t="n">
        <f aca="false">BH$76-BH$83</f>
        <v>72101.0285284932</v>
      </c>
      <c r="BI85" s="13" t="n">
        <f aca="false">BI$76-BI$83</f>
        <v>72101.0285284932</v>
      </c>
      <c r="BJ85" s="13" t="n">
        <f aca="false">BJ$76-BJ$83</f>
        <v>72101.0285284932</v>
      </c>
      <c r="BK85" s="13" t="n">
        <f aca="false">BK$76-BK$83</f>
        <v>72101.0285284932</v>
      </c>
      <c r="BL85" s="13" t="n">
        <f aca="false">BL$76-BL$83</f>
        <v>72101.0285284932</v>
      </c>
      <c r="BM85" s="13" t="n">
        <f aca="false">BM$76-BM$83</f>
        <v>88125.641299422</v>
      </c>
      <c r="BN85" s="13" t="n">
        <f aca="false">BN$76-BN$83</f>
        <v>173893.501563154</v>
      </c>
      <c r="BO85" s="13" t="n">
        <f aca="false">BO$76-BO$83</f>
        <v>322756.536110597</v>
      </c>
      <c r="BP85" s="13" t="n">
        <f aca="false">BP$76-BP$83</f>
        <v>470757.342375654</v>
      </c>
      <c r="BQ85" s="13" t="n">
        <f aca="false">BQ$76-BQ$83</f>
        <v>618758.148640712</v>
      </c>
      <c r="BR85" s="13" t="n">
        <f aca="false">BR$76-BR$83</f>
        <v>72822.0388137781</v>
      </c>
      <c r="BS85" s="13" t="n">
        <f aca="false">BS$76-BS$83</f>
        <v>72822.0388137781</v>
      </c>
      <c r="BT85" s="13" t="n">
        <f aca="false">BT$76-BT$83</f>
        <v>72822.0388137781</v>
      </c>
      <c r="BU85" s="13" t="n">
        <f aca="false">BU$76-BU$83</f>
        <v>72822.0388137781</v>
      </c>
      <c r="BV85" s="13" t="n">
        <f aca="false">BV$76-BV$83</f>
        <v>72822.0388137781</v>
      </c>
      <c r="BW85" s="13" t="n">
        <f aca="false">BW$76-BW$83</f>
        <v>72822.0388137781</v>
      </c>
      <c r="BX85" s="13" t="n">
        <f aca="false">BX$76-BX$83</f>
        <v>72822.0388137781</v>
      </c>
      <c r="BY85" s="13" t="n">
        <f aca="false">BY$76-BY$83</f>
        <v>151874.636727263</v>
      </c>
      <c r="BZ85" s="13" t="n">
        <f aca="false">BZ$76-BZ$83</f>
        <v>304817.764460983</v>
      </c>
      <c r="CA85" s="13" t="n">
        <f aca="false">CA$76-CA$83</f>
        <v>457748.63970053</v>
      </c>
      <c r="CB85" s="13" t="n">
        <f aca="false">CB$76-CB$83</f>
        <v>609797.335359622</v>
      </c>
      <c r="CC85" s="13" t="n">
        <f aca="false">CC$76-CC$83</f>
        <v>761846.031018714</v>
      </c>
      <c r="CD85" s="13" t="n">
        <f aca="false">CD$76-CD$83</f>
        <v>73550.2592019158</v>
      </c>
      <c r="CE85" s="13" t="n">
        <f aca="false">CE$76-CE$83</f>
        <v>73550.2592019159</v>
      </c>
      <c r="CF85" s="13" t="n">
        <f aca="false">CF$76-CF$83</f>
        <v>73550.2592019159</v>
      </c>
      <c r="CG85" s="13" t="n">
        <f aca="false">CG$76-CG$83</f>
        <v>73550.2592019159</v>
      </c>
      <c r="CH85" s="13" t="n">
        <f aca="false">CH$76-CH$83</f>
        <v>73550.2592019159</v>
      </c>
      <c r="CI85" s="13" t="n">
        <f aca="false">CI$76-CI$83</f>
        <v>73550.2592019159</v>
      </c>
      <c r="CJ85" s="13" t="n">
        <f aca="false">CJ$76-CJ$83</f>
        <v>73550.2592019159</v>
      </c>
      <c r="CK85" s="13" t="n">
        <f aca="false">CK$76-CK$83</f>
        <v>228169.294372476</v>
      </c>
      <c r="CL85" s="13" t="n">
        <f aca="false">CL$76-CL$83</f>
        <v>385209.734714917</v>
      </c>
      <c r="CM85" s="13" t="n">
        <f aca="false">CM$76-CM$83</f>
        <v>542237.637756734</v>
      </c>
      <c r="CN85" s="13" t="n">
        <f aca="false">CN$76-CN$83</f>
        <v>698362.85515354</v>
      </c>
      <c r="CO85" s="13" t="n">
        <f aca="false">CO$76-CO$83</f>
        <v>854488.072550346</v>
      </c>
      <c r="CP85" s="13" t="n">
        <f aca="false">CP$76-CP$83</f>
        <v>74285.761793935</v>
      </c>
      <c r="CQ85" s="13" t="n">
        <f aca="false">CQ$76-CQ$83</f>
        <v>74285.761793935</v>
      </c>
      <c r="CR85" s="13" t="n">
        <f aca="false">CR$76-CR$83</f>
        <v>74285.761793935</v>
      </c>
      <c r="CS85" s="13" t="n">
        <f aca="false">CS$76-CS$83</f>
        <v>74285.761793935</v>
      </c>
      <c r="CT85" s="13" t="n">
        <f aca="false">CT$76-CT$83</f>
        <v>74285.761793935</v>
      </c>
      <c r="CU85" s="13" t="n">
        <f aca="false">CU$76-CU$83</f>
        <v>74285.761793935</v>
      </c>
      <c r="CV85" s="13" t="n">
        <f aca="false">CV$76-CV$83</f>
        <v>143247.3879666</v>
      </c>
      <c r="CW85" s="13" t="n">
        <f aca="false">CW$76-CW$83</f>
        <v>304414.267493589</v>
      </c>
      <c r="CX85" s="13" t="n">
        <f aca="false">CX$76-CX$83</f>
        <v>465581.147020578</v>
      </c>
      <c r="CY85" s="13" t="n">
        <f aca="false">CY$76-CY$83</f>
        <v>626735.196510327</v>
      </c>
      <c r="CZ85" s="13" t="n">
        <f aca="false">CZ$76-CZ$83</f>
        <v>786965.483318757</v>
      </c>
      <c r="DA85" s="13" t="n">
        <f aca="false">DA$76-DA$83</f>
        <v>947195.770127187</v>
      </c>
      <c r="DB85" s="13" t="n">
        <f aca="false">DB$76-DB$83</f>
        <v>75028.6194118743</v>
      </c>
      <c r="DC85" s="13" t="n">
        <f aca="false">DC$76-DC$83</f>
        <v>75028.6194118744</v>
      </c>
      <c r="DD85" s="13" t="n">
        <f aca="false">DD$76-DD$83</f>
        <v>75028.6194118744</v>
      </c>
      <c r="DE85" s="13" t="n">
        <f aca="false">DE$76-DE$83</f>
        <v>75028.6194118744</v>
      </c>
      <c r="DF85" s="13" t="n">
        <f aca="false">DF$76-DF$83</f>
        <v>75028.6194118744</v>
      </c>
      <c r="DG85" s="13" t="n">
        <f aca="false">DG$76-DG$83</f>
        <v>75028.6194118744</v>
      </c>
      <c r="DH85" s="13" t="n">
        <f aca="false">DH$76-DH$83</f>
        <v>215282.978671273</v>
      </c>
      <c r="DI85" s="13" t="n">
        <f aca="false">DI$76-DI$83</f>
        <v>380605.344231188</v>
      </c>
      <c r="DJ85" s="13" t="n">
        <f aca="false">DJ$76-DJ$83</f>
        <v>545927.709791102</v>
      </c>
      <c r="DK85" s="13" t="n">
        <f aca="false">DK$76-DK$83</f>
        <v>711236.944415233</v>
      </c>
      <c r="DL85" s="13" t="n">
        <f aca="false">DL$76-DL$83</f>
        <v>875600.751662932</v>
      </c>
      <c r="DM85" s="13" t="n">
        <f aca="false">DM$76-DM$83</f>
        <v>1039964.55891063</v>
      </c>
      <c r="DN85" s="13" t="n">
        <f aca="false">DN$76-DN$83</f>
        <v>75778.905605993</v>
      </c>
      <c r="DO85" s="13" t="n">
        <f aca="false">DO$76-DO$83</f>
        <v>75778.9056059931</v>
      </c>
      <c r="DP85" s="13" t="n">
        <f aca="false">DP$76-DP$83</f>
        <v>75778.9056059931</v>
      </c>
      <c r="DQ85" s="13" t="n">
        <f aca="false">DQ$76-DQ$83</f>
        <v>75778.9056059931</v>
      </c>
      <c r="DR85" s="13" t="n">
        <f aca="false">DR$76-DR$83</f>
        <v>89048.1334246718</v>
      </c>
      <c r="DS85" s="13" t="n">
        <f aca="false">DS$76-DS$83</f>
        <v>697960.712106712</v>
      </c>
      <c r="DT85" s="13" t="n">
        <f aca="false">DT$76-DT$83</f>
        <v>1323557.60284859</v>
      </c>
      <c r="DU85" s="13" t="n">
        <f aca="false">DU$76-DU$83</f>
        <v>1949154.49359047</v>
      </c>
      <c r="DV85" s="13" t="n">
        <f aca="false">DV$76-DV$83</f>
        <v>2574874.46451807</v>
      </c>
      <c r="DW85" s="13" t="n">
        <f aca="false">DW$76-DW$83</f>
        <v>2574874.46451807</v>
      </c>
      <c r="DX85" s="13" t="n">
        <f aca="false">DX$76-DX$83</f>
        <v>2574874.46451807</v>
      </c>
      <c r="DY85" s="13" t="n">
        <f aca="false">DY$76-DY$83</f>
        <v>2574874.46451807</v>
      </c>
      <c r="DZ85" s="13" t="n">
        <f aca="false">DZ$76-DZ$83</f>
        <v>2574874.46451807</v>
      </c>
      <c r="EA85" s="13" t="n">
        <f aca="false">EA$76-EA$83</f>
        <v>2574874.46451807</v>
      </c>
      <c r="EB85" s="13" t="n">
        <f aca="false">EB$76-EB$83</f>
        <v>2574874.46451807</v>
      </c>
      <c r="EC85" s="13" t="n">
        <f aca="false">EC$76-EC$83</f>
        <v>2574874.46451807</v>
      </c>
      <c r="ED85" s="13" t="n">
        <f aca="false">ED$76-ED$83</f>
        <v>2574874.46451807</v>
      </c>
      <c r="EE85" s="13" t="n">
        <f aca="false">EE$76-EE$83</f>
        <v>2574874.46451807</v>
      </c>
      <c r="EF85" s="13" t="n">
        <f aca="false">EF$76-EF$83</f>
        <v>2574874.46451807</v>
      </c>
      <c r="EG85" s="13" t="n">
        <f aca="false">EG$76-EG$83</f>
        <v>2574874.46451807</v>
      </c>
      <c r="EH85" s="13" t="n">
        <f aca="false">EH$76-EH$83</f>
        <v>2574874.46451807</v>
      </c>
      <c r="EI85" s="13" t="n">
        <f aca="false">EI$76-EI$83</f>
        <v>2574874.46451807</v>
      </c>
      <c r="EJ85" s="13" t="n">
        <f aca="false">EJ$76-EJ$83</f>
        <v>2574874.46451807</v>
      </c>
      <c r="EK85" s="13" t="n">
        <f aca="false">EK$76-EK$83</f>
        <v>2574874.46451807</v>
      </c>
      <c r="EL85" s="13" t="n">
        <f aca="false">EL$76-EL$83</f>
        <v>2574874.46451807</v>
      </c>
      <c r="EM85" s="13" t="n">
        <f aca="false">EM$76-EM$83</f>
        <v>2574874.46451807</v>
      </c>
      <c r="EN85" s="13" t="n">
        <f aca="false">EN$76-EN$83</f>
        <v>2574874.46451807</v>
      </c>
      <c r="EO85" s="13" t="n">
        <f aca="false">EO$76-EO$83</f>
        <v>2574874.46451807</v>
      </c>
      <c r="EP85" s="13" t="n">
        <f aca="false">EP$76-EP$83</f>
        <v>2574874.46451807</v>
      </c>
      <c r="EQ85" s="13" t="n">
        <f aca="false">EQ$76-EQ$83</f>
        <v>2574874.46451807</v>
      </c>
      <c r="ER85" s="13" t="n">
        <f aca="false">ER$76-ER$83</f>
        <v>2574874.46451807</v>
      </c>
      <c r="ES85" s="13" t="n">
        <f aca="false">ES$76-ES$83</f>
        <v>2574874.46451807</v>
      </c>
      <c r="ET85" s="13" t="n">
        <f aca="false">ET$76-ET$83</f>
        <v>2574874.46451807</v>
      </c>
      <c r="EU85" s="13" t="n">
        <f aca="false">EU$76-EU$83</f>
        <v>2574874.46451807</v>
      </c>
      <c r="EV85" s="13" t="n">
        <f aca="false">EV$76-EV$83</f>
        <v>2574874.46451807</v>
      </c>
      <c r="EW85" s="13" t="n">
        <f aca="false">EW$76-EW$83</f>
        <v>2574874.46451807</v>
      </c>
      <c r="EX85" s="13" t="n">
        <f aca="false">EX$76-EX$83</f>
        <v>2574874.46451807</v>
      </c>
      <c r="EY85" s="13" t="n">
        <f aca="false">EY$76-EY$83</f>
        <v>2574874.46451807</v>
      </c>
      <c r="EZ85" s="13" t="n">
        <f aca="false">EZ$76-EZ$83</f>
        <v>2574874.46451807</v>
      </c>
      <c r="FA85" s="13" t="n">
        <f aca="false">FA$76-FA$83</f>
        <v>2574874.46451807</v>
      </c>
      <c r="FB85" s="13" t="n">
        <f aca="false">FB$76-FB$83</f>
        <v>2574874.46451807</v>
      </c>
      <c r="FC85" s="13" t="n">
        <f aca="false">FC$76-FC$83</f>
        <v>2574874.46451807</v>
      </c>
      <c r="FD85" s="13" t="n">
        <f aca="false">FD$76-FD$83</f>
        <v>2574874.46451807</v>
      </c>
      <c r="FE85" s="13" t="n">
        <f aca="false">FE$76-FE$83</f>
        <v>2574874.46451807</v>
      </c>
      <c r="FF85" s="13" t="n">
        <f aca="false">FF$76-FF$83</f>
        <v>2574874.46451807</v>
      </c>
    </row>
    <row r="86" customFormat="false" ht="15" hidden="false" customHeight="false" outlineLevel="0" collapsed="false">
      <c r="A86" s="2" t="s">
        <v>1581</v>
      </c>
      <c r="B86" s="66" t="s">
        <v>1582</v>
      </c>
      <c r="C86" s="8" t="s">
        <v>255</v>
      </c>
      <c r="E86" s="67" t="n">
        <f aca="false">MAX($F86:$FF86)</f>
        <v>589308.477036784</v>
      </c>
      <c r="F86" s="12" t="n">
        <f aca="false">MAX(0,F$74-F$85)*Calendario!F$13</f>
        <v>0</v>
      </c>
      <c r="G86" s="12" t="n">
        <f aca="false">MAX(0,G$74-G$85)*Calendario!G$13</f>
        <v>0</v>
      </c>
      <c r="H86" s="12" t="n">
        <f aca="false">MAX(0,H$74-H$85)*Calendario!H$13</f>
        <v>0</v>
      </c>
      <c r="I86" s="12" t="n">
        <f aca="false">MAX(0,I$74-I$85)*Calendario!I$13</f>
        <v>0</v>
      </c>
      <c r="J86" s="12" t="n">
        <f aca="false">MAX(0,J$74-J$85)*Calendario!J$13</f>
        <v>0</v>
      </c>
      <c r="K86" s="12" t="n">
        <f aca="false">MAX(0,K$74-K$85)*Calendario!K$13</f>
        <v>0</v>
      </c>
      <c r="L86" s="12" t="n">
        <f aca="false">MAX(0,L$74-L$85)*Calendario!L$13</f>
        <v>0</v>
      </c>
      <c r="M86" s="12" t="n">
        <f aca="false">MAX(0,M$74-M$85)*Calendario!M$13</f>
        <v>0</v>
      </c>
      <c r="N86" s="12" t="n">
        <f aca="false">MAX(0,N$74-N$85)*Calendario!N$13</f>
        <v>0</v>
      </c>
      <c r="O86" s="12" t="n">
        <f aca="false">MAX(0,O$74-O$85)*Calendario!O$13</f>
        <v>0</v>
      </c>
      <c r="P86" s="12" t="n">
        <f aca="false">MAX(0,P$74-P$85)*Calendario!P$13</f>
        <v>0</v>
      </c>
      <c r="Q86" s="12" t="n">
        <f aca="false">MAX(0,Q$74-Q$85)*Calendario!Q$13</f>
        <v>0</v>
      </c>
      <c r="R86" s="12" t="n">
        <f aca="false">MAX(0,R$74-R$85)*Calendario!R$13</f>
        <v>73603.5199840686</v>
      </c>
      <c r="S86" s="12" t="n">
        <f aca="false">MAX(0,S$74-S$85)*Calendario!S$13</f>
        <v>0</v>
      </c>
      <c r="T86" s="12" t="n">
        <f aca="false">MAX(0,T$74-T$85)*Calendario!T$13</f>
        <v>0</v>
      </c>
      <c r="U86" s="12" t="n">
        <f aca="false">MAX(0,U$74-U$85)*Calendario!U$13</f>
        <v>94216.6630529512</v>
      </c>
      <c r="V86" s="12" t="n">
        <f aca="false">MAX(0,V$74-V$85)*Calendario!V$13</f>
        <v>183435.938509979</v>
      </c>
      <c r="W86" s="12" t="n">
        <f aca="false">MAX(0,W$74-W$85)*Calendario!W$13</f>
        <v>167766.629369101</v>
      </c>
      <c r="X86" s="12" t="n">
        <f aca="false">MAX(0,X$74-X$85)*Calendario!X$13</f>
        <v>152063.276725286</v>
      </c>
      <c r="Y86" s="12" t="n">
        <f aca="false">MAX(0,Y$74-Y$85)*Calendario!Y$13</f>
        <v>136325.625252261</v>
      </c>
      <c r="Z86" s="12" t="n">
        <f aca="false">MAX(0,Z$74-Z$85)*Calendario!Z$13</f>
        <v>140996.359238176</v>
      </c>
      <c r="AA86" s="12" t="n">
        <f aca="false">MAX(0,AA$74-AA$85)*Calendario!AA$13</f>
        <v>190441.995774398</v>
      </c>
      <c r="AB86" s="12" t="n">
        <f aca="false">MAX(0,AB$74-AB$85)*Calendario!AB$13</f>
        <v>242381.519418057</v>
      </c>
      <c r="AC86" s="12" t="n">
        <f aca="false">MAX(0,AC$74-AC$85)*Calendario!AC$13</f>
        <v>294285.703633787</v>
      </c>
      <c r="AD86" s="12" t="n">
        <f aca="false">MAX(0,AD$74-AD$85)*Calendario!AD$13</f>
        <v>346172.133252781</v>
      </c>
      <c r="AE86" s="12" t="n">
        <f aca="false">MAX(0,AE$74-AE$85)*Calendario!AE$13</f>
        <v>414005.298071976</v>
      </c>
      <c r="AF86" s="12" t="n">
        <f aca="false">MAX(0,AF$74-AF$85)*Calendario!AF$13</f>
        <v>474542.158679199</v>
      </c>
      <c r="AG86" s="12" t="n">
        <f aca="false">MAX(0,AG$74-AG$85)*Calendario!AG$13</f>
        <v>535042.607688852</v>
      </c>
      <c r="AH86" s="12" t="n">
        <f aca="false">MAX(0,AH$74-AH$85)*Calendario!AH$13</f>
        <v>589308.477036784</v>
      </c>
      <c r="AI86" s="12" t="n">
        <f aca="false">MAX(0,AI$74-AI$85)*Calendario!AI$13</f>
        <v>536623.698208866</v>
      </c>
      <c r="AJ86" s="12" t="n">
        <f aca="false">MAX(0,AJ$74-AJ$85)*Calendario!AJ$13</f>
        <v>483901.682362613</v>
      </c>
      <c r="AK86" s="12" t="n">
        <f aca="false">MAX(0,AK$74-AK$85)*Calendario!AK$13</f>
        <v>431142.150220389</v>
      </c>
      <c r="AL86" s="12" t="n">
        <f aca="false">MAX(0,AL$74-AL$85)*Calendario!AL$13</f>
        <v>394877.427608079</v>
      </c>
      <c r="AM86" s="12" t="n">
        <f aca="false">MAX(0,AM$74-AM$85)*Calendario!AM$13</f>
        <v>395459.457129153</v>
      </c>
      <c r="AN86" s="12" t="n">
        <f aca="false">MAX(0,AN$74-AN$85)*Calendario!AN$13</f>
        <v>398085.81097916</v>
      </c>
      <c r="AO86" s="12" t="n">
        <f aca="false">MAX(0,AO$74-AO$85)*Calendario!AO$13</f>
        <v>400673.51031914</v>
      </c>
      <c r="AP86" s="12" t="n">
        <f aca="false">MAX(0,AP$74-AP$85)*Calendario!AP$13</f>
        <v>403236.700688835</v>
      </c>
      <c r="AQ86" s="12" t="n">
        <f aca="false">MAX(0,AQ$74-AQ$85)*Calendario!AQ$13</f>
        <v>419049.493489911</v>
      </c>
      <c r="AR86" s="12" t="n">
        <f aca="false">MAX(0,AR$74-AR$85)*Calendario!AR$13</f>
        <v>428783.569374705</v>
      </c>
      <c r="AS86" s="12" t="n">
        <f aca="false">MAX(0,AS$74-AS$85)*Calendario!AS$13</f>
        <v>438477.818002922</v>
      </c>
      <c r="AT86" s="12" t="n">
        <f aca="false">MAX(0,AT$74-AT$85)*Calendario!AT$13</f>
        <v>442894.961537716</v>
      </c>
      <c r="AU86" s="12" t="n">
        <f aca="false">MAX(0,AU$74-AU$85)*Calendario!AU$13</f>
        <v>356933.788132555</v>
      </c>
      <c r="AV86" s="12" t="n">
        <f aca="false">MAX(0,AV$74-AV$85)*Calendario!AV$13</f>
        <v>270931.884619891</v>
      </c>
      <c r="AW86" s="12" t="n">
        <f aca="false">MAX(0,AW$74-AW$85)*Calendario!AW$13</f>
        <v>184888.945523918</v>
      </c>
      <c r="AX86" s="12" t="n">
        <f aca="false">MAX(0,AX$74-AX$85)*Calendario!AX$13</f>
        <v>98804.6630777621</v>
      </c>
      <c r="AY86" s="12" t="n">
        <f aca="false">MAX(0,AY$74-AY$85)*Calendario!AY$13</f>
        <v>14872.7989318665</v>
      </c>
      <c r="AZ86" s="12" t="n">
        <f aca="false">MAX(0,AZ$74-AZ$85)*Calendario!AZ$13</f>
        <v>0</v>
      </c>
      <c r="BA86" s="12" t="n">
        <f aca="false">MAX(0,BA$74-BA$85)*Calendario!BA$13</f>
        <v>0</v>
      </c>
      <c r="BB86" s="12" t="n">
        <f aca="false">MAX(0,BB$74-BB$85)*Calendario!BB$13</f>
        <v>0</v>
      </c>
      <c r="BC86" s="12" t="n">
        <f aca="false">MAX(0,BC$74-BC$85)*Calendario!BC$13</f>
        <v>0</v>
      </c>
      <c r="BD86" s="12" t="n">
        <f aca="false">MAX(0,BD$74-BD$85)*Calendario!BD$13</f>
        <v>0</v>
      </c>
      <c r="BE86" s="12" t="n">
        <f aca="false">MAX(0,BE$74-BE$85)*Calendario!BE$13</f>
        <v>0</v>
      </c>
      <c r="BF86" s="12" t="n">
        <f aca="false">MAX(0,BF$74-BF$85)*Calendario!BF$13</f>
        <v>0</v>
      </c>
      <c r="BG86" s="12" t="n">
        <f aca="false">MAX(0,BG$74-BG$85)*Calendario!BG$13</f>
        <v>0</v>
      </c>
      <c r="BH86" s="12" t="n">
        <f aca="false">MAX(0,BH$74-BH$85)*Calendario!BH$13</f>
        <v>0</v>
      </c>
      <c r="BI86" s="12" t="n">
        <f aca="false">MAX(0,BI$74-BI$85)*Calendario!BI$13</f>
        <v>0</v>
      </c>
      <c r="BJ86" s="12" t="n">
        <f aca="false">MAX(0,BJ$74-BJ$85)*Calendario!BJ$13</f>
        <v>0</v>
      </c>
      <c r="BK86" s="12" t="n">
        <f aca="false">MAX(0,BK$74-BK$85)*Calendario!BK$13</f>
        <v>0</v>
      </c>
      <c r="BL86" s="12" t="n">
        <f aca="false">MAX(0,BL$74-BL$85)*Calendario!BL$13</f>
        <v>0</v>
      </c>
      <c r="BM86" s="12" t="n">
        <f aca="false">MAX(0,BM$74-BM$85)*Calendario!BM$13</f>
        <v>0</v>
      </c>
      <c r="BN86" s="12" t="n">
        <f aca="false">MAX(0,BN$74-BN$85)*Calendario!BN$13</f>
        <v>0</v>
      </c>
      <c r="BO86" s="12" t="n">
        <f aca="false">MAX(0,BO$74-BO$85)*Calendario!BO$13</f>
        <v>0</v>
      </c>
      <c r="BP86" s="12" t="n">
        <f aca="false">MAX(0,BP$74-BP$85)*Calendario!BP$13</f>
        <v>0</v>
      </c>
      <c r="BQ86" s="12" t="n">
        <f aca="false">MAX(0,BQ$74-BQ$85)*Calendario!BQ$13</f>
        <v>0</v>
      </c>
      <c r="BR86" s="12" t="n">
        <f aca="false">MAX(0,BR$74-BR$85)*Calendario!BR$13</f>
        <v>0</v>
      </c>
      <c r="BS86" s="12" t="n">
        <f aca="false">MAX(0,BS$74-BS$85)*Calendario!BS$13</f>
        <v>0</v>
      </c>
      <c r="BT86" s="12" t="n">
        <f aca="false">MAX(0,BT$74-BT$85)*Calendario!BT$13</f>
        <v>0</v>
      </c>
      <c r="BU86" s="12" t="n">
        <f aca="false">MAX(0,BU$74-BU$85)*Calendario!BU$13</f>
        <v>0</v>
      </c>
      <c r="BV86" s="12" t="n">
        <f aca="false">MAX(0,BV$74-BV$85)*Calendario!BV$13</f>
        <v>0</v>
      </c>
      <c r="BW86" s="12" t="n">
        <f aca="false">MAX(0,BW$74-BW$85)*Calendario!BW$13</f>
        <v>0</v>
      </c>
      <c r="BX86" s="12" t="n">
        <f aca="false">MAX(0,BX$74-BX$85)*Calendario!BX$13</f>
        <v>0</v>
      </c>
      <c r="BY86" s="12" t="n">
        <f aca="false">MAX(0,BY$74-BY$85)*Calendario!BY$13</f>
        <v>0</v>
      </c>
      <c r="BZ86" s="12" t="n">
        <f aca="false">MAX(0,BZ$74-BZ$85)*Calendario!BZ$13</f>
        <v>0</v>
      </c>
      <c r="CA86" s="12" t="n">
        <f aca="false">MAX(0,CA$74-CA$85)*Calendario!CA$13</f>
        <v>0</v>
      </c>
      <c r="CB86" s="12" t="n">
        <f aca="false">MAX(0,CB$74-CB$85)*Calendario!CB$13</f>
        <v>0</v>
      </c>
      <c r="CC86" s="12" t="n">
        <f aca="false">MAX(0,CC$74-CC$85)*Calendario!CC$13</f>
        <v>0</v>
      </c>
      <c r="CD86" s="12" t="n">
        <f aca="false">MAX(0,CD$74-CD$85)*Calendario!CD$13</f>
        <v>0</v>
      </c>
      <c r="CE86" s="12" t="n">
        <f aca="false">MAX(0,CE$74-CE$85)*Calendario!CE$13</f>
        <v>0</v>
      </c>
      <c r="CF86" s="12" t="n">
        <f aca="false">MAX(0,CF$74-CF$85)*Calendario!CF$13</f>
        <v>0</v>
      </c>
      <c r="CG86" s="12" t="n">
        <f aca="false">MAX(0,CG$74-CG$85)*Calendario!CG$13</f>
        <v>0</v>
      </c>
      <c r="CH86" s="12" t="n">
        <f aca="false">MAX(0,CH$74-CH$85)*Calendario!CH$13</f>
        <v>0</v>
      </c>
      <c r="CI86" s="12" t="n">
        <f aca="false">MAX(0,CI$74-CI$85)*Calendario!CI$13</f>
        <v>0</v>
      </c>
      <c r="CJ86" s="12" t="n">
        <f aca="false">MAX(0,CJ$74-CJ$85)*Calendario!CJ$13</f>
        <v>0</v>
      </c>
      <c r="CK86" s="12" t="n">
        <f aca="false">MAX(0,CK$74-CK$85)*Calendario!CK$13</f>
        <v>0</v>
      </c>
      <c r="CL86" s="12" t="n">
        <f aca="false">MAX(0,CL$74-CL$85)*Calendario!CL$13</f>
        <v>0</v>
      </c>
      <c r="CM86" s="12" t="n">
        <f aca="false">MAX(0,CM$74-CM$85)*Calendario!CM$13</f>
        <v>0</v>
      </c>
      <c r="CN86" s="12" t="n">
        <f aca="false">MAX(0,CN$74-CN$85)*Calendario!CN$13</f>
        <v>0</v>
      </c>
      <c r="CO86" s="12" t="n">
        <f aca="false">MAX(0,CO$74-CO$85)*Calendario!CO$13</f>
        <v>0</v>
      </c>
      <c r="CP86" s="12" t="n">
        <f aca="false">MAX(0,CP$74-CP$85)*Calendario!CP$13</f>
        <v>0</v>
      </c>
      <c r="CQ86" s="12" t="n">
        <f aca="false">MAX(0,CQ$74-CQ$85)*Calendario!CQ$13</f>
        <v>0</v>
      </c>
      <c r="CR86" s="12" t="n">
        <f aca="false">MAX(0,CR$74-CR$85)*Calendario!CR$13</f>
        <v>0</v>
      </c>
      <c r="CS86" s="12" t="n">
        <f aca="false">MAX(0,CS$74-CS$85)*Calendario!CS$13</f>
        <v>0</v>
      </c>
      <c r="CT86" s="12" t="n">
        <f aca="false">MAX(0,CT$74-CT$85)*Calendario!CT$13</f>
        <v>0</v>
      </c>
      <c r="CU86" s="12" t="n">
        <f aca="false">MAX(0,CU$74-CU$85)*Calendario!CU$13</f>
        <v>0</v>
      </c>
      <c r="CV86" s="12" t="n">
        <f aca="false">MAX(0,CV$74-CV$85)*Calendario!CV$13</f>
        <v>0</v>
      </c>
      <c r="CW86" s="12" t="n">
        <f aca="false">MAX(0,CW$74-CW$85)*Calendario!CW$13</f>
        <v>0</v>
      </c>
      <c r="CX86" s="12" t="n">
        <f aca="false">MAX(0,CX$74-CX$85)*Calendario!CX$13</f>
        <v>0</v>
      </c>
      <c r="CY86" s="12" t="n">
        <f aca="false">MAX(0,CY$74-CY$85)*Calendario!CY$13</f>
        <v>0</v>
      </c>
      <c r="CZ86" s="12" t="n">
        <f aca="false">MAX(0,CZ$74-CZ$85)*Calendario!CZ$13</f>
        <v>0</v>
      </c>
      <c r="DA86" s="12" t="n">
        <f aca="false">MAX(0,DA$74-DA$85)*Calendario!DA$13</f>
        <v>0</v>
      </c>
      <c r="DB86" s="12" t="n">
        <f aca="false">MAX(0,DB$74-DB$85)*Calendario!DB$13</f>
        <v>0</v>
      </c>
      <c r="DC86" s="12" t="n">
        <f aca="false">MAX(0,DC$74-DC$85)*Calendario!DC$13</f>
        <v>0</v>
      </c>
      <c r="DD86" s="12" t="n">
        <f aca="false">MAX(0,DD$74-DD$85)*Calendario!DD$13</f>
        <v>0</v>
      </c>
      <c r="DE86" s="12" t="n">
        <f aca="false">MAX(0,DE$74-DE$85)*Calendario!DE$13</f>
        <v>0</v>
      </c>
      <c r="DF86" s="12" t="n">
        <f aca="false">MAX(0,DF$74-DF$85)*Calendario!DF$13</f>
        <v>0</v>
      </c>
      <c r="DG86" s="12" t="n">
        <f aca="false">MAX(0,DG$74-DG$85)*Calendario!DG$13</f>
        <v>0</v>
      </c>
      <c r="DH86" s="12" t="n">
        <f aca="false">MAX(0,DH$74-DH$85)*Calendario!DH$13</f>
        <v>0</v>
      </c>
      <c r="DI86" s="12" t="n">
        <f aca="false">MAX(0,DI$74-DI$85)*Calendario!DI$13</f>
        <v>0</v>
      </c>
      <c r="DJ86" s="12" t="n">
        <f aca="false">MAX(0,DJ$74-DJ$85)*Calendario!DJ$13</f>
        <v>0</v>
      </c>
      <c r="DK86" s="12" t="n">
        <f aca="false">MAX(0,DK$74-DK$85)*Calendario!DK$13</f>
        <v>0</v>
      </c>
      <c r="DL86" s="12" t="n">
        <f aca="false">MAX(0,DL$74-DL$85)*Calendario!DL$13</f>
        <v>0</v>
      </c>
      <c r="DM86" s="12" t="n">
        <f aca="false">MAX(0,DM$74-DM$85)*Calendario!DM$13</f>
        <v>0</v>
      </c>
      <c r="DN86" s="12" t="n">
        <f aca="false">MAX(0,DN$74-DN$85)*Calendario!DN$13</f>
        <v>0</v>
      </c>
      <c r="DO86" s="12" t="n">
        <f aca="false">MAX(0,DO$74-DO$85)*Calendario!DO$13</f>
        <v>0</v>
      </c>
      <c r="DP86" s="12" t="n">
        <f aca="false">MAX(0,DP$74-DP$85)*Calendario!DP$13</f>
        <v>0</v>
      </c>
      <c r="DQ86" s="12" t="n">
        <f aca="false">MAX(0,DQ$74-DQ$85)*Calendario!DQ$13</f>
        <v>0</v>
      </c>
      <c r="DR86" s="12" t="n">
        <f aca="false">MAX(0,DR$74-DR$85)*Calendario!DR$13</f>
        <v>0</v>
      </c>
      <c r="DS86" s="12" t="n">
        <f aca="false">MAX(0,DS$74-DS$85)*Calendario!DS$13</f>
        <v>0</v>
      </c>
      <c r="DT86" s="12" t="n">
        <f aca="false">MAX(0,DT$74-DT$85)*Calendario!DT$13</f>
        <v>0</v>
      </c>
      <c r="DU86" s="12" t="n">
        <f aca="false">MAX(0,DU$74-DU$85)*Calendario!DU$13</f>
        <v>0</v>
      </c>
      <c r="DV86" s="12" t="n">
        <f aca="false">MAX(0,DV$74-DV$85)*Calendario!DV$13</f>
        <v>0</v>
      </c>
      <c r="DW86" s="12" t="n">
        <f aca="false">MAX(0,DW$74-DW$85)*Calendario!DW$13</f>
        <v>0</v>
      </c>
      <c r="DX86" s="12" t="n">
        <f aca="false">MAX(0,DX$74-DX$85)*Calendario!DX$13</f>
        <v>0</v>
      </c>
      <c r="DY86" s="12" t="n">
        <f aca="false">MAX(0,DY$74-DY$85)*Calendario!DY$13</f>
        <v>0</v>
      </c>
      <c r="DZ86" s="12" t="n">
        <f aca="false">MAX(0,DZ$74-DZ$85)*Calendario!DZ$13</f>
        <v>0</v>
      </c>
      <c r="EA86" s="12" t="n">
        <f aca="false">MAX(0,EA$74-EA$85)*Calendario!EA$13</f>
        <v>0</v>
      </c>
      <c r="EB86" s="12" t="n">
        <f aca="false">MAX(0,EB$74-EB$85)*Calendario!EB$13</f>
        <v>0</v>
      </c>
      <c r="EC86" s="12" t="n">
        <f aca="false">MAX(0,EC$74-EC$85)*Calendario!EC$13</f>
        <v>0</v>
      </c>
      <c r="ED86" s="12" t="n">
        <f aca="false">MAX(0,ED$74-ED$85)*Calendario!ED$13</f>
        <v>0</v>
      </c>
      <c r="EE86" s="12" t="n">
        <f aca="false">MAX(0,EE$74-EE$85)*Calendario!EE$13</f>
        <v>0</v>
      </c>
      <c r="EF86" s="12" t="n">
        <f aca="false">MAX(0,EF$74-EF$85)*Calendario!EF$13</f>
        <v>0</v>
      </c>
      <c r="EG86" s="12" t="n">
        <f aca="false">MAX(0,EG$74-EG$85)*Calendario!EG$13</f>
        <v>0</v>
      </c>
      <c r="EH86" s="12" t="n">
        <f aca="false">MAX(0,EH$74-EH$85)*Calendario!EH$13</f>
        <v>0</v>
      </c>
      <c r="EI86" s="12" t="n">
        <f aca="false">MAX(0,EI$74-EI$85)*Calendario!EI$13</f>
        <v>0</v>
      </c>
      <c r="EJ86" s="12" t="n">
        <f aca="false">MAX(0,EJ$74-EJ$85)*Calendario!EJ$13</f>
        <v>0</v>
      </c>
      <c r="EK86" s="12" t="n">
        <f aca="false">MAX(0,EK$74-EK$85)*Calendario!EK$13</f>
        <v>0</v>
      </c>
      <c r="EL86" s="12" t="n">
        <f aca="false">MAX(0,EL$74-EL$85)*Calendario!EL$13</f>
        <v>0</v>
      </c>
      <c r="EM86" s="12" t="n">
        <f aca="false">MAX(0,EM$74-EM$85)*Calendario!EM$13</f>
        <v>0</v>
      </c>
      <c r="EN86" s="12" t="n">
        <f aca="false">MAX(0,EN$74-EN$85)*Calendario!EN$13</f>
        <v>0</v>
      </c>
      <c r="EO86" s="12" t="n">
        <f aca="false">MAX(0,EO$74-EO$85)*Calendario!EO$13</f>
        <v>0</v>
      </c>
      <c r="EP86" s="12" t="n">
        <f aca="false">MAX(0,EP$74-EP$85)*Calendario!EP$13</f>
        <v>0</v>
      </c>
      <c r="EQ86" s="12" t="n">
        <f aca="false">MAX(0,EQ$74-EQ$85)*Calendario!EQ$13</f>
        <v>0</v>
      </c>
      <c r="ER86" s="12" t="n">
        <f aca="false">MAX(0,ER$74-ER$85)*Calendario!ER$13</f>
        <v>0</v>
      </c>
      <c r="ES86" s="12" t="n">
        <f aca="false">MAX(0,ES$74-ES$85)*Calendario!ES$13</f>
        <v>0</v>
      </c>
      <c r="ET86" s="12" t="n">
        <f aca="false">MAX(0,ET$74-ET$85)*Calendario!ET$13</f>
        <v>0</v>
      </c>
      <c r="EU86" s="12" t="n">
        <f aca="false">MAX(0,EU$74-EU$85)*Calendario!EU$13</f>
        <v>0</v>
      </c>
      <c r="EV86" s="12" t="n">
        <f aca="false">MAX(0,EV$74-EV$85)*Calendario!EV$13</f>
        <v>0</v>
      </c>
      <c r="EW86" s="12" t="n">
        <f aca="false">MAX(0,EW$74-EW$85)*Calendario!EW$13</f>
        <v>0</v>
      </c>
      <c r="EX86" s="12" t="n">
        <f aca="false">MAX(0,EX$74-EX$85)*Calendario!EX$13</f>
        <v>0</v>
      </c>
      <c r="EY86" s="12" t="n">
        <f aca="false">MAX(0,EY$74-EY$85)*Calendario!EY$13</f>
        <v>0</v>
      </c>
      <c r="EZ86" s="12" t="n">
        <f aca="false">MAX(0,EZ$74-EZ$85)*Calendario!EZ$13</f>
        <v>0</v>
      </c>
      <c r="FA86" s="12" t="n">
        <f aca="false">MAX(0,FA$74-FA$85)*Calendario!FA$13</f>
        <v>0</v>
      </c>
      <c r="FB86" s="12" t="n">
        <f aca="false">MAX(0,FB$74-FB$85)*Calendario!FB$13</f>
        <v>0</v>
      </c>
      <c r="FC86" s="12" t="n">
        <f aca="false">MAX(0,FC$74-FC$85)*Calendario!FC$13</f>
        <v>0</v>
      </c>
      <c r="FD86" s="12" t="n">
        <f aca="false">MAX(0,FD$74-FD$85)*Calendario!FD$13</f>
        <v>0</v>
      </c>
      <c r="FE86" s="12" t="n">
        <f aca="false">MAX(0,FE$74-FE$85)*Calendario!FE$13</f>
        <v>0</v>
      </c>
      <c r="FF86" s="12" t="n">
        <f aca="false">MAX(0,FF$74-FF$85)*Calendario!FF$13</f>
        <v>0</v>
      </c>
    </row>
    <row r="87" customFormat="false" ht="15" hidden="false" customHeight="false" outlineLevel="0" collapsed="false">
      <c r="A87" s="2" t="s">
        <v>1583</v>
      </c>
      <c r="B87" s="8" t="s">
        <v>1584</v>
      </c>
      <c r="C87" s="8" t="s">
        <v>255</v>
      </c>
      <c r="E87" s="65" t="n">
        <f aca="false">SUM($F87:$FF87)</f>
        <v>0</v>
      </c>
      <c r="F87" s="13" t="n">
        <f aca="false">IF(e_Linea=1,MIN(MAX(0,e_Cupo-(F$70-F$75)),F$86),0)</f>
        <v>0</v>
      </c>
      <c r="G87" s="13" t="n">
        <f aca="false">IF(e_Linea=1,MIN(MAX(0,e_Cupo-(G$70-G$75)),G$86),0)</f>
        <v>0</v>
      </c>
      <c r="H87" s="13" t="n">
        <f aca="false">IF(e_Linea=1,MIN(MAX(0,e_Cupo-(H$70-H$75)),H$86),0)</f>
        <v>0</v>
      </c>
      <c r="I87" s="13" t="n">
        <f aca="false">IF(e_Linea=1,MIN(MAX(0,e_Cupo-(I$70-I$75)),I$86),0)</f>
        <v>0</v>
      </c>
      <c r="J87" s="13" t="n">
        <f aca="false">IF(e_Linea=1,MIN(MAX(0,e_Cupo-(J$70-J$75)),J$86),0)</f>
        <v>0</v>
      </c>
      <c r="K87" s="13" t="n">
        <f aca="false">IF(e_Linea=1,MIN(MAX(0,e_Cupo-(K$70-K$75)),K$86),0)</f>
        <v>0</v>
      </c>
      <c r="L87" s="13" t="n">
        <f aca="false">IF(e_Linea=1,MIN(MAX(0,e_Cupo-(L$70-L$75)),L$86),0)</f>
        <v>0</v>
      </c>
      <c r="M87" s="13" t="n">
        <f aca="false">IF(e_Linea=1,MIN(MAX(0,e_Cupo-(M$70-M$75)),M$86),0)</f>
        <v>0</v>
      </c>
      <c r="N87" s="13" t="n">
        <f aca="false">IF(e_Linea=1,MIN(MAX(0,e_Cupo-(N$70-N$75)),N$86),0)</f>
        <v>0</v>
      </c>
      <c r="O87" s="13" t="n">
        <f aca="false">IF(e_Linea=1,MIN(MAX(0,e_Cupo-(O$70-O$75)),O$86),0)</f>
        <v>0</v>
      </c>
      <c r="P87" s="13" t="n">
        <f aca="false">IF(e_Linea=1,MIN(MAX(0,e_Cupo-(P$70-P$75)),P$86),0)</f>
        <v>0</v>
      </c>
      <c r="Q87" s="13" t="n">
        <f aca="false">IF(e_Linea=1,MIN(MAX(0,e_Cupo-(Q$70-Q$75)),Q$86),0)</f>
        <v>0</v>
      </c>
      <c r="R87" s="13" t="n">
        <f aca="false">IF(e_Linea=1,MIN(MAX(0,e_Cupo-(R$70-R$75)),R$86),0)</f>
        <v>0</v>
      </c>
      <c r="S87" s="13" t="n">
        <f aca="false">IF(e_Linea=1,MIN(MAX(0,e_Cupo-(S$70-S$75)),S$86),0)</f>
        <v>0</v>
      </c>
      <c r="T87" s="13" t="n">
        <f aca="false">IF(e_Linea=1,MIN(MAX(0,e_Cupo-(T$70-T$75)),T$86),0)</f>
        <v>0</v>
      </c>
      <c r="U87" s="13" t="n">
        <f aca="false">IF(e_Linea=1,MIN(MAX(0,e_Cupo-(U$70-U$75)),U$86),0)</f>
        <v>0</v>
      </c>
      <c r="V87" s="13" t="n">
        <f aca="false">IF(e_Linea=1,MIN(MAX(0,e_Cupo-(V$70-V$75)),V$86),0)</f>
        <v>0</v>
      </c>
      <c r="W87" s="13" t="n">
        <f aca="false">IF(e_Linea=1,MIN(MAX(0,e_Cupo-(W$70-W$75)),W$86),0)</f>
        <v>0</v>
      </c>
      <c r="X87" s="13" t="n">
        <f aca="false">IF(e_Linea=1,MIN(MAX(0,e_Cupo-(X$70-X$75)),X$86),0)</f>
        <v>0</v>
      </c>
      <c r="Y87" s="13" t="n">
        <f aca="false">IF(e_Linea=1,MIN(MAX(0,e_Cupo-(Y$70-Y$75)),Y$86),0)</f>
        <v>0</v>
      </c>
      <c r="Z87" s="13" t="n">
        <f aca="false">IF(e_Linea=1,MIN(MAX(0,e_Cupo-(Z$70-Z$75)),Z$86),0)</f>
        <v>0</v>
      </c>
      <c r="AA87" s="13" t="n">
        <f aca="false">IF(e_Linea=1,MIN(MAX(0,e_Cupo-(AA$70-AA$75)),AA$86),0)</f>
        <v>0</v>
      </c>
      <c r="AB87" s="13" t="n">
        <f aca="false">IF(e_Linea=1,MIN(MAX(0,e_Cupo-(AB$70-AB$75)),AB$86),0)</f>
        <v>0</v>
      </c>
      <c r="AC87" s="13" t="n">
        <f aca="false">IF(e_Linea=1,MIN(MAX(0,e_Cupo-(AC$70-AC$75)),AC$86),0)</f>
        <v>0</v>
      </c>
      <c r="AD87" s="13" t="n">
        <f aca="false">IF(e_Linea=1,MIN(MAX(0,e_Cupo-(AD$70-AD$75)),AD$86),0)</f>
        <v>0</v>
      </c>
      <c r="AE87" s="13" t="n">
        <f aca="false">IF(e_Linea=1,MIN(MAX(0,e_Cupo-(AE$70-AE$75)),AE$86),0)</f>
        <v>0</v>
      </c>
      <c r="AF87" s="13" t="n">
        <f aca="false">IF(e_Linea=1,MIN(MAX(0,e_Cupo-(AF$70-AF$75)),AF$86),0)</f>
        <v>0</v>
      </c>
      <c r="AG87" s="13" t="n">
        <f aca="false">IF(e_Linea=1,MIN(MAX(0,e_Cupo-(AG$70-AG$75)),AG$86),0)</f>
        <v>0</v>
      </c>
      <c r="AH87" s="13" t="n">
        <f aca="false">IF(e_Linea=1,MIN(MAX(0,e_Cupo-(AH$70-AH$75)),AH$86),0)</f>
        <v>0</v>
      </c>
      <c r="AI87" s="13" t="n">
        <f aca="false">IF(e_Linea=1,MIN(MAX(0,e_Cupo-(AI$70-AI$75)),AI$86),0)</f>
        <v>0</v>
      </c>
      <c r="AJ87" s="13" t="n">
        <f aca="false">IF(e_Linea=1,MIN(MAX(0,e_Cupo-(AJ$70-AJ$75)),AJ$86),0)</f>
        <v>0</v>
      </c>
      <c r="AK87" s="13" t="n">
        <f aca="false">IF(e_Linea=1,MIN(MAX(0,e_Cupo-(AK$70-AK$75)),AK$86),0)</f>
        <v>0</v>
      </c>
      <c r="AL87" s="13" t="n">
        <f aca="false">IF(e_Linea=1,MIN(MAX(0,e_Cupo-(AL$70-AL$75)),AL$86),0)</f>
        <v>0</v>
      </c>
      <c r="AM87" s="13" t="n">
        <f aca="false">IF(e_Linea=1,MIN(MAX(0,e_Cupo-(AM$70-AM$75)),AM$86),0)</f>
        <v>0</v>
      </c>
      <c r="AN87" s="13" t="n">
        <f aca="false">IF(e_Linea=1,MIN(MAX(0,e_Cupo-(AN$70-AN$75)),AN$86),0)</f>
        <v>0</v>
      </c>
      <c r="AO87" s="13" t="n">
        <f aca="false">IF(e_Linea=1,MIN(MAX(0,e_Cupo-(AO$70-AO$75)),AO$86),0)</f>
        <v>0</v>
      </c>
      <c r="AP87" s="13" t="n">
        <f aca="false">IF(e_Linea=1,MIN(MAX(0,e_Cupo-(AP$70-AP$75)),AP$86),0)</f>
        <v>0</v>
      </c>
      <c r="AQ87" s="13" t="n">
        <f aca="false">IF(e_Linea=1,MIN(MAX(0,e_Cupo-(AQ$70-AQ$75)),AQ$86),0)</f>
        <v>0</v>
      </c>
      <c r="AR87" s="13" t="n">
        <f aca="false">IF(e_Linea=1,MIN(MAX(0,e_Cupo-(AR$70-AR$75)),AR$86),0)</f>
        <v>0</v>
      </c>
      <c r="AS87" s="13" t="n">
        <f aca="false">IF(e_Linea=1,MIN(MAX(0,e_Cupo-(AS$70-AS$75)),AS$86),0)</f>
        <v>0</v>
      </c>
      <c r="AT87" s="13" t="n">
        <f aca="false">IF(e_Linea=1,MIN(MAX(0,e_Cupo-(AT$70-AT$75)),AT$86),0)</f>
        <v>0</v>
      </c>
      <c r="AU87" s="13" t="n">
        <f aca="false">IF(e_Linea=1,MIN(MAX(0,e_Cupo-(AU$70-AU$75)),AU$86),0)</f>
        <v>0</v>
      </c>
      <c r="AV87" s="13" t="n">
        <f aca="false">IF(e_Linea=1,MIN(MAX(0,e_Cupo-(AV$70-AV$75)),AV$86),0)</f>
        <v>0</v>
      </c>
      <c r="AW87" s="13" t="n">
        <f aca="false">IF(e_Linea=1,MIN(MAX(0,e_Cupo-(AW$70-AW$75)),AW$86),0)</f>
        <v>0</v>
      </c>
      <c r="AX87" s="13" t="n">
        <f aca="false">IF(e_Linea=1,MIN(MAX(0,e_Cupo-(AX$70-AX$75)),AX$86),0)</f>
        <v>0</v>
      </c>
      <c r="AY87" s="13" t="n">
        <f aca="false">IF(e_Linea=1,MIN(MAX(0,e_Cupo-(AY$70-AY$75)),AY$86),0)</f>
        <v>0</v>
      </c>
      <c r="AZ87" s="13" t="n">
        <f aca="false">IF(e_Linea=1,MIN(MAX(0,e_Cupo-(AZ$70-AZ$75)),AZ$86),0)</f>
        <v>0</v>
      </c>
      <c r="BA87" s="13" t="n">
        <f aca="false">IF(e_Linea=1,MIN(MAX(0,e_Cupo-(BA$70-BA$75)),BA$86),0)</f>
        <v>0</v>
      </c>
      <c r="BB87" s="13" t="n">
        <f aca="false">IF(e_Linea=1,MIN(MAX(0,e_Cupo-(BB$70-BB$75)),BB$86),0)</f>
        <v>0</v>
      </c>
      <c r="BC87" s="13" t="n">
        <f aca="false">IF(e_Linea=1,MIN(MAX(0,e_Cupo-(BC$70-BC$75)),BC$86),0)</f>
        <v>0</v>
      </c>
      <c r="BD87" s="13" t="n">
        <f aca="false">IF(e_Linea=1,MIN(MAX(0,e_Cupo-(BD$70-BD$75)),BD$86),0)</f>
        <v>0</v>
      </c>
      <c r="BE87" s="13" t="n">
        <f aca="false">IF(e_Linea=1,MIN(MAX(0,e_Cupo-(BE$70-BE$75)),BE$86),0)</f>
        <v>0</v>
      </c>
      <c r="BF87" s="13" t="n">
        <f aca="false">IF(e_Linea=1,MIN(MAX(0,e_Cupo-(BF$70-BF$75)),BF$86),0)</f>
        <v>0</v>
      </c>
      <c r="BG87" s="13" t="n">
        <f aca="false">IF(e_Linea=1,MIN(MAX(0,e_Cupo-(BG$70-BG$75)),BG$86),0)</f>
        <v>0</v>
      </c>
      <c r="BH87" s="13" t="n">
        <f aca="false">IF(e_Linea=1,MIN(MAX(0,e_Cupo-(BH$70-BH$75)),BH$86),0)</f>
        <v>0</v>
      </c>
      <c r="BI87" s="13" t="n">
        <f aca="false">IF(e_Linea=1,MIN(MAX(0,e_Cupo-(BI$70-BI$75)),BI$86),0)</f>
        <v>0</v>
      </c>
      <c r="BJ87" s="13" t="n">
        <f aca="false">IF(e_Linea=1,MIN(MAX(0,e_Cupo-(BJ$70-BJ$75)),BJ$86),0)</f>
        <v>0</v>
      </c>
      <c r="BK87" s="13" t="n">
        <f aca="false">IF(e_Linea=1,MIN(MAX(0,e_Cupo-(BK$70-BK$75)),BK$86),0)</f>
        <v>0</v>
      </c>
      <c r="BL87" s="13" t="n">
        <f aca="false">IF(e_Linea=1,MIN(MAX(0,e_Cupo-(BL$70-BL$75)),BL$86),0)</f>
        <v>0</v>
      </c>
      <c r="BM87" s="13" t="n">
        <f aca="false">IF(e_Linea=1,MIN(MAX(0,e_Cupo-(BM$70-BM$75)),BM$86),0)</f>
        <v>0</v>
      </c>
      <c r="BN87" s="13" t="n">
        <f aca="false">IF(e_Linea=1,MIN(MAX(0,e_Cupo-(BN$70-BN$75)),BN$86),0)</f>
        <v>0</v>
      </c>
      <c r="BO87" s="13" t="n">
        <f aca="false">IF(e_Linea=1,MIN(MAX(0,e_Cupo-(BO$70-BO$75)),BO$86),0)</f>
        <v>0</v>
      </c>
      <c r="BP87" s="13" t="n">
        <f aca="false">IF(e_Linea=1,MIN(MAX(0,e_Cupo-(BP$70-BP$75)),BP$86),0)</f>
        <v>0</v>
      </c>
      <c r="BQ87" s="13" t="n">
        <f aca="false">IF(e_Linea=1,MIN(MAX(0,e_Cupo-(BQ$70-BQ$75)),BQ$86),0)</f>
        <v>0</v>
      </c>
      <c r="BR87" s="13" t="n">
        <f aca="false">IF(e_Linea=1,MIN(MAX(0,e_Cupo-(BR$70-BR$75)),BR$86),0)</f>
        <v>0</v>
      </c>
      <c r="BS87" s="13" t="n">
        <f aca="false">IF(e_Linea=1,MIN(MAX(0,e_Cupo-(BS$70-BS$75)),BS$86),0)</f>
        <v>0</v>
      </c>
      <c r="BT87" s="13" t="n">
        <f aca="false">IF(e_Linea=1,MIN(MAX(0,e_Cupo-(BT$70-BT$75)),BT$86),0)</f>
        <v>0</v>
      </c>
      <c r="BU87" s="13" t="n">
        <f aca="false">IF(e_Linea=1,MIN(MAX(0,e_Cupo-(BU$70-BU$75)),BU$86),0)</f>
        <v>0</v>
      </c>
      <c r="BV87" s="13" t="n">
        <f aca="false">IF(e_Linea=1,MIN(MAX(0,e_Cupo-(BV$70-BV$75)),BV$86),0)</f>
        <v>0</v>
      </c>
      <c r="BW87" s="13" t="n">
        <f aca="false">IF(e_Linea=1,MIN(MAX(0,e_Cupo-(BW$70-BW$75)),BW$86),0)</f>
        <v>0</v>
      </c>
      <c r="BX87" s="13" t="n">
        <f aca="false">IF(e_Linea=1,MIN(MAX(0,e_Cupo-(BX$70-BX$75)),BX$86),0)</f>
        <v>0</v>
      </c>
      <c r="BY87" s="13" t="n">
        <f aca="false">IF(e_Linea=1,MIN(MAX(0,e_Cupo-(BY$70-BY$75)),BY$86),0)</f>
        <v>0</v>
      </c>
      <c r="BZ87" s="13" t="n">
        <f aca="false">IF(e_Linea=1,MIN(MAX(0,e_Cupo-(BZ$70-BZ$75)),BZ$86),0)</f>
        <v>0</v>
      </c>
      <c r="CA87" s="13" t="n">
        <f aca="false">IF(e_Linea=1,MIN(MAX(0,e_Cupo-(CA$70-CA$75)),CA$86),0)</f>
        <v>0</v>
      </c>
      <c r="CB87" s="13" t="n">
        <f aca="false">IF(e_Linea=1,MIN(MAX(0,e_Cupo-(CB$70-CB$75)),CB$86),0)</f>
        <v>0</v>
      </c>
      <c r="CC87" s="13" t="n">
        <f aca="false">IF(e_Linea=1,MIN(MAX(0,e_Cupo-(CC$70-CC$75)),CC$86),0)</f>
        <v>0</v>
      </c>
      <c r="CD87" s="13" t="n">
        <f aca="false">IF(e_Linea=1,MIN(MAX(0,e_Cupo-(CD$70-CD$75)),CD$86),0)</f>
        <v>0</v>
      </c>
      <c r="CE87" s="13" t="n">
        <f aca="false">IF(e_Linea=1,MIN(MAX(0,e_Cupo-(CE$70-CE$75)),CE$86),0)</f>
        <v>0</v>
      </c>
      <c r="CF87" s="13" t="n">
        <f aca="false">IF(e_Linea=1,MIN(MAX(0,e_Cupo-(CF$70-CF$75)),CF$86),0)</f>
        <v>0</v>
      </c>
      <c r="CG87" s="13" t="n">
        <f aca="false">IF(e_Linea=1,MIN(MAX(0,e_Cupo-(CG$70-CG$75)),CG$86),0)</f>
        <v>0</v>
      </c>
      <c r="CH87" s="13" t="n">
        <f aca="false">IF(e_Linea=1,MIN(MAX(0,e_Cupo-(CH$70-CH$75)),CH$86),0)</f>
        <v>0</v>
      </c>
      <c r="CI87" s="13" t="n">
        <f aca="false">IF(e_Linea=1,MIN(MAX(0,e_Cupo-(CI$70-CI$75)),CI$86),0)</f>
        <v>0</v>
      </c>
      <c r="CJ87" s="13" t="n">
        <f aca="false">IF(e_Linea=1,MIN(MAX(0,e_Cupo-(CJ$70-CJ$75)),CJ$86),0)</f>
        <v>0</v>
      </c>
      <c r="CK87" s="13" t="n">
        <f aca="false">IF(e_Linea=1,MIN(MAX(0,e_Cupo-(CK$70-CK$75)),CK$86),0)</f>
        <v>0</v>
      </c>
      <c r="CL87" s="13" t="n">
        <f aca="false">IF(e_Linea=1,MIN(MAX(0,e_Cupo-(CL$70-CL$75)),CL$86),0)</f>
        <v>0</v>
      </c>
      <c r="CM87" s="13" t="n">
        <f aca="false">IF(e_Linea=1,MIN(MAX(0,e_Cupo-(CM$70-CM$75)),CM$86),0)</f>
        <v>0</v>
      </c>
      <c r="CN87" s="13" t="n">
        <f aca="false">IF(e_Linea=1,MIN(MAX(0,e_Cupo-(CN$70-CN$75)),CN$86),0)</f>
        <v>0</v>
      </c>
      <c r="CO87" s="13" t="n">
        <f aca="false">IF(e_Linea=1,MIN(MAX(0,e_Cupo-(CO$70-CO$75)),CO$86),0)</f>
        <v>0</v>
      </c>
      <c r="CP87" s="13" t="n">
        <f aca="false">IF(e_Linea=1,MIN(MAX(0,e_Cupo-(CP$70-CP$75)),CP$86),0)</f>
        <v>0</v>
      </c>
      <c r="CQ87" s="13" t="n">
        <f aca="false">IF(e_Linea=1,MIN(MAX(0,e_Cupo-(CQ$70-CQ$75)),CQ$86),0)</f>
        <v>0</v>
      </c>
      <c r="CR87" s="13" t="n">
        <f aca="false">IF(e_Linea=1,MIN(MAX(0,e_Cupo-(CR$70-CR$75)),CR$86),0)</f>
        <v>0</v>
      </c>
      <c r="CS87" s="13" t="n">
        <f aca="false">IF(e_Linea=1,MIN(MAX(0,e_Cupo-(CS$70-CS$75)),CS$86),0)</f>
        <v>0</v>
      </c>
      <c r="CT87" s="13" t="n">
        <f aca="false">IF(e_Linea=1,MIN(MAX(0,e_Cupo-(CT$70-CT$75)),CT$86),0)</f>
        <v>0</v>
      </c>
      <c r="CU87" s="13" t="n">
        <f aca="false">IF(e_Linea=1,MIN(MAX(0,e_Cupo-(CU$70-CU$75)),CU$86),0)</f>
        <v>0</v>
      </c>
      <c r="CV87" s="13" t="n">
        <f aca="false">IF(e_Linea=1,MIN(MAX(0,e_Cupo-(CV$70-CV$75)),CV$86),0)</f>
        <v>0</v>
      </c>
      <c r="CW87" s="13" t="n">
        <f aca="false">IF(e_Linea=1,MIN(MAX(0,e_Cupo-(CW$70-CW$75)),CW$86),0)</f>
        <v>0</v>
      </c>
      <c r="CX87" s="13" t="n">
        <f aca="false">IF(e_Linea=1,MIN(MAX(0,e_Cupo-(CX$70-CX$75)),CX$86),0)</f>
        <v>0</v>
      </c>
      <c r="CY87" s="13" t="n">
        <f aca="false">IF(e_Linea=1,MIN(MAX(0,e_Cupo-(CY$70-CY$75)),CY$86),0)</f>
        <v>0</v>
      </c>
      <c r="CZ87" s="13" t="n">
        <f aca="false">IF(e_Linea=1,MIN(MAX(0,e_Cupo-(CZ$70-CZ$75)),CZ$86),0)</f>
        <v>0</v>
      </c>
      <c r="DA87" s="13" t="n">
        <f aca="false">IF(e_Linea=1,MIN(MAX(0,e_Cupo-(DA$70-DA$75)),DA$86),0)</f>
        <v>0</v>
      </c>
      <c r="DB87" s="13" t="n">
        <f aca="false">IF(e_Linea=1,MIN(MAX(0,e_Cupo-(DB$70-DB$75)),DB$86),0)</f>
        <v>0</v>
      </c>
      <c r="DC87" s="13" t="n">
        <f aca="false">IF(e_Linea=1,MIN(MAX(0,e_Cupo-(DC$70-DC$75)),DC$86),0)</f>
        <v>0</v>
      </c>
      <c r="DD87" s="13" t="n">
        <f aca="false">IF(e_Linea=1,MIN(MAX(0,e_Cupo-(DD$70-DD$75)),DD$86),0)</f>
        <v>0</v>
      </c>
      <c r="DE87" s="13" t="n">
        <f aca="false">IF(e_Linea=1,MIN(MAX(0,e_Cupo-(DE$70-DE$75)),DE$86),0)</f>
        <v>0</v>
      </c>
      <c r="DF87" s="13" t="n">
        <f aca="false">IF(e_Linea=1,MIN(MAX(0,e_Cupo-(DF$70-DF$75)),DF$86),0)</f>
        <v>0</v>
      </c>
      <c r="DG87" s="13" t="n">
        <f aca="false">IF(e_Linea=1,MIN(MAX(0,e_Cupo-(DG$70-DG$75)),DG$86),0)</f>
        <v>0</v>
      </c>
      <c r="DH87" s="13" t="n">
        <f aca="false">IF(e_Linea=1,MIN(MAX(0,e_Cupo-(DH$70-DH$75)),DH$86),0)</f>
        <v>0</v>
      </c>
      <c r="DI87" s="13" t="n">
        <f aca="false">IF(e_Linea=1,MIN(MAX(0,e_Cupo-(DI$70-DI$75)),DI$86),0)</f>
        <v>0</v>
      </c>
      <c r="DJ87" s="13" t="n">
        <f aca="false">IF(e_Linea=1,MIN(MAX(0,e_Cupo-(DJ$70-DJ$75)),DJ$86),0)</f>
        <v>0</v>
      </c>
      <c r="DK87" s="13" t="n">
        <f aca="false">IF(e_Linea=1,MIN(MAX(0,e_Cupo-(DK$70-DK$75)),DK$86),0)</f>
        <v>0</v>
      </c>
      <c r="DL87" s="13" t="n">
        <f aca="false">IF(e_Linea=1,MIN(MAX(0,e_Cupo-(DL$70-DL$75)),DL$86),0)</f>
        <v>0</v>
      </c>
      <c r="DM87" s="13" t="n">
        <f aca="false">IF(e_Linea=1,MIN(MAX(0,e_Cupo-(DM$70-DM$75)),DM$86),0)</f>
        <v>0</v>
      </c>
      <c r="DN87" s="13" t="n">
        <f aca="false">IF(e_Linea=1,MIN(MAX(0,e_Cupo-(DN$70-DN$75)),DN$86),0)</f>
        <v>0</v>
      </c>
      <c r="DO87" s="13" t="n">
        <f aca="false">IF(e_Linea=1,MIN(MAX(0,e_Cupo-(DO$70-DO$75)),DO$86),0)</f>
        <v>0</v>
      </c>
      <c r="DP87" s="13" t="n">
        <f aca="false">IF(e_Linea=1,MIN(MAX(0,e_Cupo-(DP$70-DP$75)),DP$86),0)</f>
        <v>0</v>
      </c>
      <c r="DQ87" s="13" t="n">
        <f aca="false">IF(e_Linea=1,MIN(MAX(0,e_Cupo-(DQ$70-DQ$75)),DQ$86),0)</f>
        <v>0</v>
      </c>
      <c r="DR87" s="13" t="n">
        <f aca="false">IF(e_Linea=1,MIN(MAX(0,e_Cupo-(DR$70-DR$75)),DR$86),0)</f>
        <v>0</v>
      </c>
      <c r="DS87" s="13" t="n">
        <f aca="false">IF(e_Linea=1,MIN(MAX(0,e_Cupo-(DS$70-DS$75)),DS$86),0)</f>
        <v>0</v>
      </c>
      <c r="DT87" s="13" t="n">
        <f aca="false">IF(e_Linea=1,MIN(MAX(0,e_Cupo-(DT$70-DT$75)),DT$86),0)</f>
        <v>0</v>
      </c>
      <c r="DU87" s="13" t="n">
        <f aca="false">IF(e_Linea=1,MIN(MAX(0,e_Cupo-(DU$70-DU$75)),DU$86),0)</f>
        <v>0</v>
      </c>
      <c r="DV87" s="13" t="n">
        <f aca="false">IF(e_Linea=1,MIN(MAX(0,e_Cupo-(DV$70-DV$75)),DV$86),0)</f>
        <v>0</v>
      </c>
      <c r="DW87" s="13" t="n">
        <f aca="false">IF(e_Linea=1,MIN(MAX(0,e_Cupo-(DW$70-DW$75)),DW$86),0)</f>
        <v>0</v>
      </c>
      <c r="DX87" s="13" t="n">
        <f aca="false">IF(e_Linea=1,MIN(MAX(0,e_Cupo-(DX$70-DX$75)),DX$86),0)</f>
        <v>0</v>
      </c>
      <c r="DY87" s="13" t="n">
        <f aca="false">IF(e_Linea=1,MIN(MAX(0,e_Cupo-(DY$70-DY$75)),DY$86),0)</f>
        <v>0</v>
      </c>
      <c r="DZ87" s="13" t="n">
        <f aca="false">IF(e_Linea=1,MIN(MAX(0,e_Cupo-(DZ$70-DZ$75)),DZ$86),0)</f>
        <v>0</v>
      </c>
      <c r="EA87" s="13" t="n">
        <f aca="false">IF(e_Linea=1,MIN(MAX(0,e_Cupo-(EA$70-EA$75)),EA$86),0)</f>
        <v>0</v>
      </c>
      <c r="EB87" s="13" t="n">
        <f aca="false">IF(e_Linea=1,MIN(MAX(0,e_Cupo-(EB$70-EB$75)),EB$86),0)</f>
        <v>0</v>
      </c>
      <c r="EC87" s="13" t="n">
        <f aca="false">IF(e_Linea=1,MIN(MAX(0,e_Cupo-(EC$70-EC$75)),EC$86),0)</f>
        <v>0</v>
      </c>
      <c r="ED87" s="13" t="n">
        <f aca="false">IF(e_Linea=1,MIN(MAX(0,e_Cupo-(ED$70-ED$75)),ED$86),0)</f>
        <v>0</v>
      </c>
      <c r="EE87" s="13" t="n">
        <f aca="false">IF(e_Linea=1,MIN(MAX(0,e_Cupo-(EE$70-EE$75)),EE$86),0)</f>
        <v>0</v>
      </c>
      <c r="EF87" s="13" t="n">
        <f aca="false">IF(e_Linea=1,MIN(MAX(0,e_Cupo-(EF$70-EF$75)),EF$86),0)</f>
        <v>0</v>
      </c>
      <c r="EG87" s="13" t="n">
        <f aca="false">IF(e_Linea=1,MIN(MAX(0,e_Cupo-(EG$70-EG$75)),EG$86),0)</f>
        <v>0</v>
      </c>
      <c r="EH87" s="13" t="n">
        <f aca="false">IF(e_Linea=1,MIN(MAX(0,e_Cupo-(EH$70-EH$75)),EH$86),0)</f>
        <v>0</v>
      </c>
      <c r="EI87" s="13" t="n">
        <f aca="false">IF(e_Linea=1,MIN(MAX(0,e_Cupo-(EI$70-EI$75)),EI$86),0)</f>
        <v>0</v>
      </c>
      <c r="EJ87" s="13" t="n">
        <f aca="false">IF(e_Linea=1,MIN(MAX(0,e_Cupo-(EJ$70-EJ$75)),EJ$86),0)</f>
        <v>0</v>
      </c>
      <c r="EK87" s="13" t="n">
        <f aca="false">IF(e_Linea=1,MIN(MAX(0,e_Cupo-(EK$70-EK$75)),EK$86),0)</f>
        <v>0</v>
      </c>
      <c r="EL87" s="13" t="n">
        <f aca="false">IF(e_Linea=1,MIN(MAX(0,e_Cupo-(EL$70-EL$75)),EL$86),0)</f>
        <v>0</v>
      </c>
      <c r="EM87" s="13" t="n">
        <f aca="false">IF(e_Linea=1,MIN(MAX(0,e_Cupo-(EM$70-EM$75)),EM$86),0)</f>
        <v>0</v>
      </c>
      <c r="EN87" s="13" t="n">
        <f aca="false">IF(e_Linea=1,MIN(MAX(0,e_Cupo-(EN$70-EN$75)),EN$86),0)</f>
        <v>0</v>
      </c>
      <c r="EO87" s="13" t="n">
        <f aca="false">IF(e_Linea=1,MIN(MAX(0,e_Cupo-(EO$70-EO$75)),EO$86),0)</f>
        <v>0</v>
      </c>
      <c r="EP87" s="13" t="n">
        <f aca="false">IF(e_Linea=1,MIN(MAX(0,e_Cupo-(EP$70-EP$75)),EP$86),0)</f>
        <v>0</v>
      </c>
      <c r="EQ87" s="13" t="n">
        <f aca="false">IF(e_Linea=1,MIN(MAX(0,e_Cupo-(EQ$70-EQ$75)),EQ$86),0)</f>
        <v>0</v>
      </c>
      <c r="ER87" s="13" t="n">
        <f aca="false">IF(e_Linea=1,MIN(MAX(0,e_Cupo-(ER$70-ER$75)),ER$86),0)</f>
        <v>0</v>
      </c>
      <c r="ES87" s="13" t="n">
        <f aca="false">IF(e_Linea=1,MIN(MAX(0,e_Cupo-(ES$70-ES$75)),ES$86),0)</f>
        <v>0</v>
      </c>
      <c r="ET87" s="13" t="n">
        <f aca="false">IF(e_Linea=1,MIN(MAX(0,e_Cupo-(ET$70-ET$75)),ET$86),0)</f>
        <v>0</v>
      </c>
      <c r="EU87" s="13" t="n">
        <f aca="false">IF(e_Linea=1,MIN(MAX(0,e_Cupo-(EU$70-EU$75)),EU$86),0)</f>
        <v>0</v>
      </c>
      <c r="EV87" s="13" t="n">
        <f aca="false">IF(e_Linea=1,MIN(MAX(0,e_Cupo-(EV$70-EV$75)),EV$86),0)</f>
        <v>0</v>
      </c>
      <c r="EW87" s="13" t="n">
        <f aca="false">IF(e_Linea=1,MIN(MAX(0,e_Cupo-(EW$70-EW$75)),EW$86),0)</f>
        <v>0</v>
      </c>
      <c r="EX87" s="13" t="n">
        <f aca="false">IF(e_Linea=1,MIN(MAX(0,e_Cupo-(EX$70-EX$75)),EX$86),0)</f>
        <v>0</v>
      </c>
      <c r="EY87" s="13" t="n">
        <f aca="false">IF(e_Linea=1,MIN(MAX(0,e_Cupo-(EY$70-EY$75)),EY$86),0)</f>
        <v>0</v>
      </c>
      <c r="EZ87" s="13" t="n">
        <f aca="false">IF(e_Linea=1,MIN(MAX(0,e_Cupo-(EZ$70-EZ$75)),EZ$86),0)</f>
        <v>0</v>
      </c>
      <c r="FA87" s="13" t="n">
        <f aca="false">IF(e_Linea=1,MIN(MAX(0,e_Cupo-(FA$70-FA$75)),FA$86),0)</f>
        <v>0</v>
      </c>
      <c r="FB87" s="13" t="n">
        <f aca="false">IF(e_Linea=1,MIN(MAX(0,e_Cupo-(FB$70-FB$75)),FB$86),0)</f>
        <v>0</v>
      </c>
      <c r="FC87" s="13" t="n">
        <f aca="false">IF(e_Linea=1,MIN(MAX(0,e_Cupo-(FC$70-FC$75)),FC$86),0)</f>
        <v>0</v>
      </c>
      <c r="FD87" s="13" t="n">
        <f aca="false">IF(e_Linea=1,MIN(MAX(0,e_Cupo-(FD$70-FD$75)),FD$86),0)</f>
        <v>0</v>
      </c>
      <c r="FE87" s="13" t="n">
        <f aca="false">IF(e_Linea=1,MIN(MAX(0,e_Cupo-(FE$70-FE$75)),FE$86),0)</f>
        <v>0</v>
      </c>
      <c r="FF87" s="13" t="n">
        <f aca="false">IF(e_Linea=1,MIN(MAX(0,e_Cupo-(FF$70-FF$75)),FF$86),0)</f>
        <v>0</v>
      </c>
    </row>
    <row r="88" customFormat="false" ht="15" hidden="false" customHeight="false" outlineLevel="0" collapsed="false">
      <c r="A88" s="2" t="s">
        <v>1585</v>
      </c>
      <c r="B88" s="8" t="s">
        <v>1586</v>
      </c>
      <c r="C88" s="8" t="s">
        <v>255</v>
      </c>
      <c r="E88" s="65" t="n">
        <f aca="false">MAX($F88:$FF88)</f>
        <v>0</v>
      </c>
      <c r="F88" s="13" t="n">
        <f aca="false">F$70-F$75+F$87</f>
        <v>0</v>
      </c>
      <c r="G88" s="13" t="n">
        <f aca="false">G$70-G$75+G$87</f>
        <v>0</v>
      </c>
      <c r="H88" s="13" t="n">
        <f aca="false">H$70-H$75+H$87</f>
        <v>0</v>
      </c>
      <c r="I88" s="13" t="n">
        <f aca="false">I$70-I$75+I$87</f>
        <v>0</v>
      </c>
      <c r="J88" s="13" t="n">
        <f aca="false">J$70-J$75+J$87</f>
        <v>0</v>
      </c>
      <c r="K88" s="13" t="n">
        <f aca="false">K$70-K$75+K$87</f>
        <v>0</v>
      </c>
      <c r="L88" s="13" t="n">
        <f aca="false">L$70-L$75+L$87</f>
        <v>0</v>
      </c>
      <c r="M88" s="13" t="n">
        <f aca="false">M$70-M$75+M$87</f>
        <v>0</v>
      </c>
      <c r="N88" s="13" t="n">
        <f aca="false">N$70-N$75+N$87</f>
        <v>0</v>
      </c>
      <c r="O88" s="13" t="n">
        <f aca="false">O$70-O$75+O$87</f>
        <v>0</v>
      </c>
      <c r="P88" s="13" t="n">
        <f aca="false">P$70-P$75+P$87</f>
        <v>0</v>
      </c>
      <c r="Q88" s="13" t="n">
        <f aca="false">Q$70-Q$75+Q$87</f>
        <v>0</v>
      </c>
      <c r="R88" s="13" t="n">
        <f aca="false">R$70-R$75+R$87</f>
        <v>0</v>
      </c>
      <c r="S88" s="13" t="n">
        <f aca="false">S$70-S$75+S$87</f>
        <v>0</v>
      </c>
      <c r="T88" s="13" t="n">
        <f aca="false">T$70-T$75+T$87</f>
        <v>0</v>
      </c>
      <c r="U88" s="13" t="n">
        <f aca="false">U$70-U$75+U$87</f>
        <v>0</v>
      </c>
      <c r="V88" s="13" t="n">
        <f aca="false">V$70-V$75+V$87</f>
        <v>0</v>
      </c>
      <c r="W88" s="13" t="n">
        <f aca="false">W$70-W$75+W$87</f>
        <v>0</v>
      </c>
      <c r="X88" s="13" t="n">
        <f aca="false">X$70-X$75+X$87</f>
        <v>0</v>
      </c>
      <c r="Y88" s="13" t="n">
        <f aca="false">Y$70-Y$75+Y$87</f>
        <v>0</v>
      </c>
      <c r="Z88" s="13" t="n">
        <f aca="false">Z$70-Z$75+Z$87</f>
        <v>0</v>
      </c>
      <c r="AA88" s="13" t="n">
        <f aca="false">AA$70-AA$75+AA$87</f>
        <v>0</v>
      </c>
      <c r="AB88" s="13" t="n">
        <f aca="false">AB$70-AB$75+AB$87</f>
        <v>0</v>
      </c>
      <c r="AC88" s="13" t="n">
        <f aca="false">AC$70-AC$75+AC$87</f>
        <v>0</v>
      </c>
      <c r="AD88" s="13" t="n">
        <f aca="false">AD$70-AD$75+AD$87</f>
        <v>0</v>
      </c>
      <c r="AE88" s="13" t="n">
        <f aca="false">AE$70-AE$75+AE$87</f>
        <v>0</v>
      </c>
      <c r="AF88" s="13" t="n">
        <f aca="false">AF$70-AF$75+AF$87</f>
        <v>0</v>
      </c>
      <c r="AG88" s="13" t="n">
        <f aca="false">AG$70-AG$75+AG$87</f>
        <v>0</v>
      </c>
      <c r="AH88" s="13" t="n">
        <f aca="false">AH$70-AH$75+AH$87</f>
        <v>0</v>
      </c>
      <c r="AI88" s="13" t="n">
        <f aca="false">AI$70-AI$75+AI$87</f>
        <v>0</v>
      </c>
      <c r="AJ88" s="13" t="n">
        <f aca="false">AJ$70-AJ$75+AJ$87</f>
        <v>0</v>
      </c>
      <c r="AK88" s="13" t="n">
        <f aca="false">AK$70-AK$75+AK$87</f>
        <v>0</v>
      </c>
      <c r="AL88" s="13" t="n">
        <f aca="false">AL$70-AL$75+AL$87</f>
        <v>0</v>
      </c>
      <c r="AM88" s="13" t="n">
        <f aca="false">AM$70-AM$75+AM$87</f>
        <v>0</v>
      </c>
      <c r="AN88" s="13" t="n">
        <f aca="false">AN$70-AN$75+AN$87</f>
        <v>0</v>
      </c>
      <c r="AO88" s="13" t="n">
        <f aca="false">AO$70-AO$75+AO$87</f>
        <v>0</v>
      </c>
      <c r="AP88" s="13" t="n">
        <f aca="false">AP$70-AP$75+AP$87</f>
        <v>0</v>
      </c>
      <c r="AQ88" s="13" t="n">
        <f aca="false">AQ$70-AQ$75+AQ$87</f>
        <v>0</v>
      </c>
      <c r="AR88" s="13" t="n">
        <f aca="false">AR$70-AR$75+AR$87</f>
        <v>0</v>
      </c>
      <c r="AS88" s="13" t="n">
        <f aca="false">AS$70-AS$75+AS$87</f>
        <v>0</v>
      </c>
      <c r="AT88" s="13" t="n">
        <f aca="false">AT$70-AT$75+AT$87</f>
        <v>0</v>
      </c>
      <c r="AU88" s="13" t="n">
        <f aca="false">AU$70-AU$75+AU$87</f>
        <v>0</v>
      </c>
      <c r="AV88" s="13" t="n">
        <f aca="false">AV$70-AV$75+AV$87</f>
        <v>0</v>
      </c>
      <c r="AW88" s="13" t="n">
        <f aca="false">AW$70-AW$75+AW$87</f>
        <v>0</v>
      </c>
      <c r="AX88" s="13" t="n">
        <f aca="false">AX$70-AX$75+AX$87</f>
        <v>0</v>
      </c>
      <c r="AY88" s="13" t="n">
        <f aca="false">AY$70-AY$75+AY$87</f>
        <v>0</v>
      </c>
      <c r="AZ88" s="13" t="n">
        <f aca="false">AZ$70-AZ$75+AZ$87</f>
        <v>0</v>
      </c>
      <c r="BA88" s="13" t="n">
        <f aca="false">BA$70-BA$75+BA$87</f>
        <v>0</v>
      </c>
      <c r="BB88" s="13" t="n">
        <f aca="false">BB$70-BB$75+BB$87</f>
        <v>0</v>
      </c>
      <c r="BC88" s="13" t="n">
        <f aca="false">BC$70-BC$75+BC$87</f>
        <v>0</v>
      </c>
      <c r="BD88" s="13" t="n">
        <f aca="false">BD$70-BD$75+BD$87</f>
        <v>0</v>
      </c>
      <c r="BE88" s="13" t="n">
        <f aca="false">BE$70-BE$75+BE$87</f>
        <v>0</v>
      </c>
      <c r="BF88" s="13" t="n">
        <f aca="false">BF$70-BF$75+BF$87</f>
        <v>0</v>
      </c>
      <c r="BG88" s="13" t="n">
        <f aca="false">BG$70-BG$75+BG$87</f>
        <v>0</v>
      </c>
      <c r="BH88" s="13" t="n">
        <f aca="false">BH$70-BH$75+BH$87</f>
        <v>0</v>
      </c>
      <c r="BI88" s="13" t="n">
        <f aca="false">BI$70-BI$75+BI$87</f>
        <v>0</v>
      </c>
      <c r="BJ88" s="13" t="n">
        <f aca="false">BJ$70-BJ$75+BJ$87</f>
        <v>0</v>
      </c>
      <c r="BK88" s="13" t="n">
        <f aca="false">BK$70-BK$75+BK$87</f>
        <v>0</v>
      </c>
      <c r="BL88" s="13" t="n">
        <f aca="false">BL$70-BL$75+BL$87</f>
        <v>0</v>
      </c>
      <c r="BM88" s="13" t="n">
        <f aca="false">BM$70-BM$75+BM$87</f>
        <v>0</v>
      </c>
      <c r="BN88" s="13" t="n">
        <f aca="false">BN$70-BN$75+BN$87</f>
        <v>0</v>
      </c>
      <c r="BO88" s="13" t="n">
        <f aca="false">BO$70-BO$75+BO$87</f>
        <v>0</v>
      </c>
      <c r="BP88" s="13" t="n">
        <f aca="false">BP$70-BP$75+BP$87</f>
        <v>0</v>
      </c>
      <c r="BQ88" s="13" t="n">
        <f aca="false">BQ$70-BQ$75+BQ$87</f>
        <v>0</v>
      </c>
      <c r="BR88" s="13" t="n">
        <f aca="false">BR$70-BR$75+BR$87</f>
        <v>0</v>
      </c>
      <c r="BS88" s="13" t="n">
        <f aca="false">BS$70-BS$75+BS$87</f>
        <v>0</v>
      </c>
      <c r="BT88" s="13" t="n">
        <f aca="false">BT$70-BT$75+BT$87</f>
        <v>0</v>
      </c>
      <c r="BU88" s="13" t="n">
        <f aca="false">BU$70-BU$75+BU$87</f>
        <v>0</v>
      </c>
      <c r="BV88" s="13" t="n">
        <f aca="false">BV$70-BV$75+BV$87</f>
        <v>0</v>
      </c>
      <c r="BW88" s="13" t="n">
        <f aca="false">BW$70-BW$75+BW$87</f>
        <v>0</v>
      </c>
      <c r="BX88" s="13" t="n">
        <f aca="false">BX$70-BX$75+BX$87</f>
        <v>0</v>
      </c>
      <c r="BY88" s="13" t="n">
        <f aca="false">BY$70-BY$75+BY$87</f>
        <v>0</v>
      </c>
      <c r="BZ88" s="13" t="n">
        <f aca="false">BZ$70-BZ$75+BZ$87</f>
        <v>0</v>
      </c>
      <c r="CA88" s="13" t="n">
        <f aca="false">CA$70-CA$75+CA$87</f>
        <v>0</v>
      </c>
      <c r="CB88" s="13" t="n">
        <f aca="false">CB$70-CB$75+CB$87</f>
        <v>0</v>
      </c>
      <c r="CC88" s="13" t="n">
        <f aca="false">CC$70-CC$75+CC$87</f>
        <v>0</v>
      </c>
      <c r="CD88" s="13" t="n">
        <f aca="false">CD$70-CD$75+CD$87</f>
        <v>0</v>
      </c>
      <c r="CE88" s="13" t="n">
        <f aca="false">CE$70-CE$75+CE$87</f>
        <v>0</v>
      </c>
      <c r="CF88" s="13" t="n">
        <f aca="false">CF$70-CF$75+CF$87</f>
        <v>0</v>
      </c>
      <c r="CG88" s="13" t="n">
        <f aca="false">CG$70-CG$75+CG$87</f>
        <v>0</v>
      </c>
      <c r="CH88" s="13" t="n">
        <f aca="false">CH$70-CH$75+CH$87</f>
        <v>0</v>
      </c>
      <c r="CI88" s="13" t="n">
        <f aca="false">CI$70-CI$75+CI$87</f>
        <v>0</v>
      </c>
      <c r="CJ88" s="13" t="n">
        <f aca="false">CJ$70-CJ$75+CJ$87</f>
        <v>0</v>
      </c>
      <c r="CK88" s="13" t="n">
        <f aca="false">CK$70-CK$75+CK$87</f>
        <v>0</v>
      </c>
      <c r="CL88" s="13" t="n">
        <f aca="false">CL$70-CL$75+CL$87</f>
        <v>0</v>
      </c>
      <c r="CM88" s="13" t="n">
        <f aca="false">CM$70-CM$75+CM$87</f>
        <v>0</v>
      </c>
      <c r="CN88" s="13" t="n">
        <f aca="false">CN$70-CN$75+CN$87</f>
        <v>0</v>
      </c>
      <c r="CO88" s="13" t="n">
        <f aca="false">CO$70-CO$75+CO$87</f>
        <v>0</v>
      </c>
      <c r="CP88" s="13" t="n">
        <f aca="false">CP$70-CP$75+CP$87</f>
        <v>0</v>
      </c>
      <c r="CQ88" s="13" t="n">
        <f aca="false">CQ$70-CQ$75+CQ$87</f>
        <v>0</v>
      </c>
      <c r="CR88" s="13" t="n">
        <f aca="false">CR$70-CR$75+CR$87</f>
        <v>0</v>
      </c>
      <c r="CS88" s="13" t="n">
        <f aca="false">CS$70-CS$75+CS$87</f>
        <v>0</v>
      </c>
      <c r="CT88" s="13" t="n">
        <f aca="false">CT$70-CT$75+CT$87</f>
        <v>0</v>
      </c>
      <c r="CU88" s="13" t="n">
        <f aca="false">CU$70-CU$75+CU$87</f>
        <v>0</v>
      </c>
      <c r="CV88" s="13" t="n">
        <f aca="false">CV$70-CV$75+CV$87</f>
        <v>0</v>
      </c>
      <c r="CW88" s="13" t="n">
        <f aca="false">CW$70-CW$75+CW$87</f>
        <v>0</v>
      </c>
      <c r="CX88" s="13" t="n">
        <f aca="false">CX$70-CX$75+CX$87</f>
        <v>0</v>
      </c>
      <c r="CY88" s="13" t="n">
        <f aca="false">CY$70-CY$75+CY$87</f>
        <v>0</v>
      </c>
      <c r="CZ88" s="13" t="n">
        <f aca="false">CZ$70-CZ$75+CZ$87</f>
        <v>0</v>
      </c>
      <c r="DA88" s="13" t="n">
        <f aca="false">DA$70-DA$75+DA$87</f>
        <v>0</v>
      </c>
      <c r="DB88" s="13" t="n">
        <f aca="false">DB$70-DB$75+DB$87</f>
        <v>0</v>
      </c>
      <c r="DC88" s="13" t="n">
        <f aca="false">DC$70-DC$75+DC$87</f>
        <v>0</v>
      </c>
      <c r="DD88" s="13" t="n">
        <f aca="false">DD$70-DD$75+DD$87</f>
        <v>0</v>
      </c>
      <c r="DE88" s="13" t="n">
        <f aca="false">DE$70-DE$75+DE$87</f>
        <v>0</v>
      </c>
      <c r="DF88" s="13" t="n">
        <f aca="false">DF$70-DF$75+DF$87</f>
        <v>0</v>
      </c>
      <c r="DG88" s="13" t="n">
        <f aca="false">DG$70-DG$75+DG$87</f>
        <v>0</v>
      </c>
      <c r="DH88" s="13" t="n">
        <f aca="false">DH$70-DH$75+DH$87</f>
        <v>0</v>
      </c>
      <c r="DI88" s="13" t="n">
        <f aca="false">DI$70-DI$75+DI$87</f>
        <v>0</v>
      </c>
      <c r="DJ88" s="13" t="n">
        <f aca="false">DJ$70-DJ$75+DJ$87</f>
        <v>0</v>
      </c>
      <c r="DK88" s="13" t="n">
        <f aca="false">DK$70-DK$75+DK$87</f>
        <v>0</v>
      </c>
      <c r="DL88" s="13" t="n">
        <f aca="false">DL$70-DL$75+DL$87</f>
        <v>0</v>
      </c>
      <c r="DM88" s="13" t="n">
        <f aca="false">DM$70-DM$75+DM$87</f>
        <v>0</v>
      </c>
      <c r="DN88" s="13" t="n">
        <f aca="false">DN$70-DN$75+DN$87</f>
        <v>0</v>
      </c>
      <c r="DO88" s="13" t="n">
        <f aca="false">DO$70-DO$75+DO$87</f>
        <v>0</v>
      </c>
      <c r="DP88" s="13" t="n">
        <f aca="false">DP$70-DP$75+DP$87</f>
        <v>0</v>
      </c>
      <c r="DQ88" s="13" t="n">
        <f aca="false">DQ$70-DQ$75+DQ$87</f>
        <v>0</v>
      </c>
      <c r="DR88" s="13" t="n">
        <f aca="false">DR$70-DR$75+DR$87</f>
        <v>0</v>
      </c>
      <c r="DS88" s="13" t="n">
        <f aca="false">DS$70-DS$75+DS$87</f>
        <v>0</v>
      </c>
      <c r="DT88" s="13" t="n">
        <f aca="false">DT$70-DT$75+DT$87</f>
        <v>0</v>
      </c>
      <c r="DU88" s="13" t="n">
        <f aca="false">DU$70-DU$75+DU$87</f>
        <v>0</v>
      </c>
      <c r="DV88" s="13" t="n">
        <f aca="false">DV$70-DV$75+DV$87</f>
        <v>0</v>
      </c>
      <c r="DW88" s="13" t="n">
        <f aca="false">DW$70-DW$75+DW$87</f>
        <v>0</v>
      </c>
      <c r="DX88" s="13" t="n">
        <f aca="false">DX$70-DX$75+DX$87</f>
        <v>0</v>
      </c>
      <c r="DY88" s="13" t="n">
        <f aca="false">DY$70-DY$75+DY$87</f>
        <v>0</v>
      </c>
      <c r="DZ88" s="13" t="n">
        <f aca="false">DZ$70-DZ$75+DZ$87</f>
        <v>0</v>
      </c>
      <c r="EA88" s="13" t="n">
        <f aca="false">EA$70-EA$75+EA$87</f>
        <v>0</v>
      </c>
      <c r="EB88" s="13" t="n">
        <f aca="false">EB$70-EB$75+EB$87</f>
        <v>0</v>
      </c>
      <c r="EC88" s="13" t="n">
        <f aca="false">EC$70-EC$75+EC$87</f>
        <v>0</v>
      </c>
      <c r="ED88" s="13" t="n">
        <f aca="false">ED$70-ED$75+ED$87</f>
        <v>0</v>
      </c>
      <c r="EE88" s="13" t="n">
        <f aca="false">EE$70-EE$75+EE$87</f>
        <v>0</v>
      </c>
      <c r="EF88" s="13" t="n">
        <f aca="false">EF$70-EF$75+EF$87</f>
        <v>0</v>
      </c>
      <c r="EG88" s="13" t="n">
        <f aca="false">EG$70-EG$75+EG$87</f>
        <v>0</v>
      </c>
      <c r="EH88" s="13" t="n">
        <f aca="false">EH$70-EH$75+EH$87</f>
        <v>0</v>
      </c>
      <c r="EI88" s="13" t="n">
        <f aca="false">EI$70-EI$75+EI$87</f>
        <v>0</v>
      </c>
      <c r="EJ88" s="13" t="n">
        <f aca="false">EJ$70-EJ$75+EJ$87</f>
        <v>0</v>
      </c>
      <c r="EK88" s="13" t="n">
        <f aca="false">EK$70-EK$75+EK$87</f>
        <v>0</v>
      </c>
      <c r="EL88" s="13" t="n">
        <f aca="false">EL$70-EL$75+EL$87</f>
        <v>0</v>
      </c>
      <c r="EM88" s="13" t="n">
        <f aca="false">EM$70-EM$75+EM$87</f>
        <v>0</v>
      </c>
      <c r="EN88" s="13" t="n">
        <f aca="false">EN$70-EN$75+EN$87</f>
        <v>0</v>
      </c>
      <c r="EO88" s="13" t="n">
        <f aca="false">EO$70-EO$75+EO$87</f>
        <v>0</v>
      </c>
      <c r="EP88" s="13" t="n">
        <f aca="false">EP$70-EP$75+EP$87</f>
        <v>0</v>
      </c>
      <c r="EQ88" s="13" t="n">
        <f aca="false">EQ$70-EQ$75+EQ$87</f>
        <v>0</v>
      </c>
      <c r="ER88" s="13" t="n">
        <f aca="false">ER$70-ER$75+ER$87</f>
        <v>0</v>
      </c>
      <c r="ES88" s="13" t="n">
        <f aca="false">ES$70-ES$75+ES$87</f>
        <v>0</v>
      </c>
      <c r="ET88" s="13" t="n">
        <f aca="false">ET$70-ET$75+ET$87</f>
        <v>0</v>
      </c>
      <c r="EU88" s="13" t="n">
        <f aca="false">EU$70-EU$75+EU$87</f>
        <v>0</v>
      </c>
      <c r="EV88" s="13" t="n">
        <f aca="false">EV$70-EV$75+EV$87</f>
        <v>0</v>
      </c>
      <c r="EW88" s="13" t="n">
        <f aca="false">EW$70-EW$75+EW$87</f>
        <v>0</v>
      </c>
      <c r="EX88" s="13" t="n">
        <f aca="false">EX$70-EX$75+EX$87</f>
        <v>0</v>
      </c>
      <c r="EY88" s="13" t="n">
        <f aca="false">EY$70-EY$75+EY$87</f>
        <v>0</v>
      </c>
      <c r="EZ88" s="13" t="n">
        <f aca="false">EZ$70-EZ$75+EZ$87</f>
        <v>0</v>
      </c>
      <c r="FA88" s="13" t="n">
        <f aca="false">FA$70-FA$75+FA$87</f>
        <v>0</v>
      </c>
      <c r="FB88" s="13" t="n">
        <f aca="false">FB$70-FB$75+FB$87</f>
        <v>0</v>
      </c>
      <c r="FC88" s="13" t="n">
        <f aca="false">FC$70-FC$75+FC$87</f>
        <v>0</v>
      </c>
      <c r="FD88" s="13" t="n">
        <f aca="false">FD$70-FD$75+FD$87</f>
        <v>0</v>
      </c>
      <c r="FE88" s="13" t="n">
        <f aca="false">FE$70-FE$75+FE$87</f>
        <v>0</v>
      </c>
      <c r="FF88" s="13" t="n">
        <f aca="false">FF$70-FF$75+FF$87</f>
        <v>0</v>
      </c>
    </row>
    <row r="89" customFormat="false" ht="15" hidden="false" customHeight="false" outlineLevel="0" collapsed="false">
      <c r="A89" s="2" t="s">
        <v>1587</v>
      </c>
      <c r="B89" s="8" t="s">
        <v>1588</v>
      </c>
      <c r="C89" s="8" t="s">
        <v>255</v>
      </c>
      <c r="E89" s="65" t="n">
        <f aca="false">SUM($F89:$FF89)</f>
        <v>0</v>
      </c>
      <c r="F89" s="13" t="n">
        <f aca="false">IF(p_ApAuto=1,MAX(0,F$74-F$85-F$87),0)*Calendario!F$13</f>
        <v>0</v>
      </c>
      <c r="G89" s="13" t="n">
        <f aca="false">IF(p_ApAuto=1,MAX(0,G$74-G$85-G$87),0)*Calendario!G$13</f>
        <v>0</v>
      </c>
      <c r="H89" s="13" t="n">
        <f aca="false">IF(p_ApAuto=1,MAX(0,H$74-H$85-H$87),0)*Calendario!H$13</f>
        <v>0</v>
      </c>
      <c r="I89" s="13" t="n">
        <f aca="false">IF(p_ApAuto=1,MAX(0,I$74-I$85-I$87),0)*Calendario!I$13</f>
        <v>0</v>
      </c>
      <c r="J89" s="13" t="n">
        <f aca="false">IF(p_ApAuto=1,MAX(0,J$74-J$85-J$87),0)*Calendario!J$13</f>
        <v>0</v>
      </c>
      <c r="K89" s="13" t="n">
        <f aca="false">IF(p_ApAuto=1,MAX(0,K$74-K$85-K$87),0)*Calendario!K$13</f>
        <v>0</v>
      </c>
      <c r="L89" s="13" t="n">
        <f aca="false">IF(p_ApAuto=1,MAX(0,L$74-L$85-L$87),0)*Calendario!L$13</f>
        <v>0</v>
      </c>
      <c r="M89" s="13" t="n">
        <f aca="false">IF(p_ApAuto=1,MAX(0,M$74-M$85-M$87),0)*Calendario!M$13</f>
        <v>0</v>
      </c>
      <c r="N89" s="13" t="n">
        <f aca="false">IF(p_ApAuto=1,MAX(0,N$74-N$85-N$87),0)*Calendario!N$13</f>
        <v>0</v>
      </c>
      <c r="O89" s="13" t="n">
        <f aca="false">IF(p_ApAuto=1,MAX(0,O$74-O$85-O$87),0)*Calendario!O$13</f>
        <v>0</v>
      </c>
      <c r="P89" s="13" t="n">
        <f aca="false">IF(p_ApAuto=1,MAX(0,P$74-P$85-P$87),0)*Calendario!P$13</f>
        <v>0</v>
      </c>
      <c r="Q89" s="13" t="n">
        <f aca="false">IF(p_ApAuto=1,MAX(0,Q$74-Q$85-Q$87),0)*Calendario!Q$13</f>
        <v>0</v>
      </c>
      <c r="R89" s="13" t="n">
        <f aca="false">IF(p_ApAuto=1,MAX(0,R$74-R$85-R$87),0)*Calendario!R$13</f>
        <v>0</v>
      </c>
      <c r="S89" s="13" t="n">
        <f aca="false">IF(p_ApAuto=1,MAX(0,S$74-S$85-S$87),0)*Calendario!S$13</f>
        <v>0</v>
      </c>
      <c r="T89" s="13" t="n">
        <f aca="false">IF(p_ApAuto=1,MAX(0,T$74-T$85-T$87),0)*Calendario!T$13</f>
        <v>0</v>
      </c>
      <c r="U89" s="13" t="n">
        <f aca="false">IF(p_ApAuto=1,MAX(0,U$74-U$85-U$87),0)*Calendario!U$13</f>
        <v>0</v>
      </c>
      <c r="V89" s="13" t="n">
        <f aca="false">IF(p_ApAuto=1,MAX(0,V$74-V$85-V$87),0)*Calendario!V$13</f>
        <v>0</v>
      </c>
      <c r="W89" s="13" t="n">
        <f aca="false">IF(p_ApAuto=1,MAX(0,W$74-W$85-W$87),0)*Calendario!W$13</f>
        <v>0</v>
      </c>
      <c r="X89" s="13" t="n">
        <f aca="false">IF(p_ApAuto=1,MAX(0,X$74-X$85-X$87),0)*Calendario!X$13</f>
        <v>0</v>
      </c>
      <c r="Y89" s="13" t="n">
        <f aca="false">IF(p_ApAuto=1,MAX(0,Y$74-Y$85-Y$87),0)*Calendario!Y$13</f>
        <v>0</v>
      </c>
      <c r="Z89" s="13" t="n">
        <f aca="false">IF(p_ApAuto=1,MAX(0,Z$74-Z$85-Z$87),0)*Calendario!Z$13</f>
        <v>0</v>
      </c>
      <c r="AA89" s="13" t="n">
        <f aca="false">IF(p_ApAuto=1,MAX(0,AA$74-AA$85-AA$87),0)*Calendario!AA$13</f>
        <v>0</v>
      </c>
      <c r="AB89" s="13" t="n">
        <f aca="false">IF(p_ApAuto=1,MAX(0,AB$74-AB$85-AB$87),0)*Calendario!AB$13</f>
        <v>0</v>
      </c>
      <c r="AC89" s="13" t="n">
        <f aca="false">IF(p_ApAuto=1,MAX(0,AC$74-AC$85-AC$87),0)*Calendario!AC$13</f>
        <v>0</v>
      </c>
      <c r="AD89" s="13" t="n">
        <f aca="false">IF(p_ApAuto=1,MAX(0,AD$74-AD$85-AD$87),0)*Calendario!AD$13</f>
        <v>0</v>
      </c>
      <c r="AE89" s="13" t="n">
        <f aca="false">IF(p_ApAuto=1,MAX(0,AE$74-AE$85-AE$87),0)*Calendario!AE$13</f>
        <v>0</v>
      </c>
      <c r="AF89" s="13" t="n">
        <f aca="false">IF(p_ApAuto=1,MAX(0,AF$74-AF$85-AF$87),0)*Calendario!AF$13</f>
        <v>0</v>
      </c>
      <c r="AG89" s="13" t="n">
        <f aca="false">IF(p_ApAuto=1,MAX(0,AG$74-AG$85-AG$87),0)*Calendario!AG$13</f>
        <v>0</v>
      </c>
      <c r="AH89" s="13" t="n">
        <f aca="false">IF(p_ApAuto=1,MAX(0,AH$74-AH$85-AH$87),0)*Calendario!AH$13</f>
        <v>0</v>
      </c>
      <c r="AI89" s="13" t="n">
        <f aca="false">IF(p_ApAuto=1,MAX(0,AI$74-AI$85-AI$87),0)*Calendario!AI$13</f>
        <v>0</v>
      </c>
      <c r="AJ89" s="13" t="n">
        <f aca="false">IF(p_ApAuto=1,MAX(0,AJ$74-AJ$85-AJ$87),0)*Calendario!AJ$13</f>
        <v>0</v>
      </c>
      <c r="AK89" s="13" t="n">
        <f aca="false">IF(p_ApAuto=1,MAX(0,AK$74-AK$85-AK$87),0)*Calendario!AK$13</f>
        <v>0</v>
      </c>
      <c r="AL89" s="13" t="n">
        <f aca="false">IF(p_ApAuto=1,MAX(0,AL$74-AL$85-AL$87),0)*Calendario!AL$13</f>
        <v>0</v>
      </c>
      <c r="AM89" s="13" t="n">
        <f aca="false">IF(p_ApAuto=1,MAX(0,AM$74-AM$85-AM$87),0)*Calendario!AM$13</f>
        <v>0</v>
      </c>
      <c r="AN89" s="13" t="n">
        <f aca="false">IF(p_ApAuto=1,MAX(0,AN$74-AN$85-AN$87),0)*Calendario!AN$13</f>
        <v>0</v>
      </c>
      <c r="AO89" s="13" t="n">
        <f aca="false">IF(p_ApAuto=1,MAX(0,AO$74-AO$85-AO$87),0)*Calendario!AO$13</f>
        <v>0</v>
      </c>
      <c r="AP89" s="13" t="n">
        <f aca="false">IF(p_ApAuto=1,MAX(0,AP$74-AP$85-AP$87),0)*Calendario!AP$13</f>
        <v>0</v>
      </c>
      <c r="AQ89" s="13" t="n">
        <f aca="false">IF(p_ApAuto=1,MAX(0,AQ$74-AQ$85-AQ$87),0)*Calendario!AQ$13</f>
        <v>0</v>
      </c>
      <c r="AR89" s="13" t="n">
        <f aca="false">IF(p_ApAuto=1,MAX(0,AR$74-AR$85-AR$87),0)*Calendario!AR$13</f>
        <v>0</v>
      </c>
      <c r="AS89" s="13" t="n">
        <f aca="false">IF(p_ApAuto=1,MAX(0,AS$74-AS$85-AS$87),0)*Calendario!AS$13</f>
        <v>0</v>
      </c>
      <c r="AT89" s="13" t="n">
        <f aca="false">IF(p_ApAuto=1,MAX(0,AT$74-AT$85-AT$87),0)*Calendario!AT$13</f>
        <v>0</v>
      </c>
      <c r="AU89" s="13" t="n">
        <f aca="false">IF(p_ApAuto=1,MAX(0,AU$74-AU$85-AU$87),0)*Calendario!AU$13</f>
        <v>0</v>
      </c>
      <c r="AV89" s="13" t="n">
        <f aca="false">IF(p_ApAuto=1,MAX(0,AV$74-AV$85-AV$87),0)*Calendario!AV$13</f>
        <v>0</v>
      </c>
      <c r="AW89" s="13" t="n">
        <f aca="false">IF(p_ApAuto=1,MAX(0,AW$74-AW$85-AW$87),0)*Calendario!AW$13</f>
        <v>0</v>
      </c>
      <c r="AX89" s="13" t="n">
        <f aca="false">IF(p_ApAuto=1,MAX(0,AX$74-AX$85-AX$87),0)*Calendario!AX$13</f>
        <v>0</v>
      </c>
      <c r="AY89" s="13" t="n">
        <f aca="false">IF(p_ApAuto=1,MAX(0,AY$74-AY$85-AY$87),0)*Calendario!AY$13</f>
        <v>0</v>
      </c>
      <c r="AZ89" s="13" t="n">
        <f aca="false">IF(p_ApAuto=1,MAX(0,AZ$74-AZ$85-AZ$87),0)*Calendario!AZ$13</f>
        <v>0</v>
      </c>
      <c r="BA89" s="13" t="n">
        <f aca="false">IF(p_ApAuto=1,MAX(0,BA$74-BA$85-BA$87),0)*Calendario!BA$13</f>
        <v>0</v>
      </c>
      <c r="BB89" s="13" t="n">
        <f aca="false">IF(p_ApAuto=1,MAX(0,BB$74-BB$85-BB$87),0)*Calendario!BB$13</f>
        <v>0</v>
      </c>
      <c r="BC89" s="13" t="n">
        <f aca="false">IF(p_ApAuto=1,MAX(0,BC$74-BC$85-BC$87),0)*Calendario!BC$13</f>
        <v>0</v>
      </c>
      <c r="BD89" s="13" t="n">
        <f aca="false">IF(p_ApAuto=1,MAX(0,BD$74-BD$85-BD$87),0)*Calendario!BD$13</f>
        <v>0</v>
      </c>
      <c r="BE89" s="13" t="n">
        <f aca="false">IF(p_ApAuto=1,MAX(0,BE$74-BE$85-BE$87),0)*Calendario!BE$13</f>
        <v>0</v>
      </c>
      <c r="BF89" s="13" t="n">
        <f aca="false">IF(p_ApAuto=1,MAX(0,BF$74-BF$85-BF$87),0)*Calendario!BF$13</f>
        <v>0</v>
      </c>
      <c r="BG89" s="13" t="n">
        <f aca="false">IF(p_ApAuto=1,MAX(0,BG$74-BG$85-BG$87),0)*Calendario!BG$13</f>
        <v>0</v>
      </c>
      <c r="BH89" s="13" t="n">
        <f aca="false">IF(p_ApAuto=1,MAX(0,BH$74-BH$85-BH$87),0)*Calendario!BH$13</f>
        <v>0</v>
      </c>
      <c r="BI89" s="13" t="n">
        <f aca="false">IF(p_ApAuto=1,MAX(0,BI$74-BI$85-BI$87),0)*Calendario!BI$13</f>
        <v>0</v>
      </c>
      <c r="BJ89" s="13" t="n">
        <f aca="false">IF(p_ApAuto=1,MAX(0,BJ$74-BJ$85-BJ$87),0)*Calendario!BJ$13</f>
        <v>0</v>
      </c>
      <c r="BK89" s="13" t="n">
        <f aca="false">IF(p_ApAuto=1,MAX(0,BK$74-BK$85-BK$87),0)*Calendario!BK$13</f>
        <v>0</v>
      </c>
      <c r="BL89" s="13" t="n">
        <f aca="false">IF(p_ApAuto=1,MAX(0,BL$74-BL$85-BL$87),0)*Calendario!BL$13</f>
        <v>0</v>
      </c>
      <c r="BM89" s="13" t="n">
        <f aca="false">IF(p_ApAuto=1,MAX(0,BM$74-BM$85-BM$87),0)*Calendario!BM$13</f>
        <v>0</v>
      </c>
      <c r="BN89" s="13" t="n">
        <f aca="false">IF(p_ApAuto=1,MAX(0,BN$74-BN$85-BN$87),0)*Calendario!BN$13</f>
        <v>0</v>
      </c>
      <c r="BO89" s="13" t="n">
        <f aca="false">IF(p_ApAuto=1,MAX(0,BO$74-BO$85-BO$87),0)*Calendario!BO$13</f>
        <v>0</v>
      </c>
      <c r="BP89" s="13" t="n">
        <f aca="false">IF(p_ApAuto=1,MAX(0,BP$74-BP$85-BP$87),0)*Calendario!BP$13</f>
        <v>0</v>
      </c>
      <c r="BQ89" s="13" t="n">
        <f aca="false">IF(p_ApAuto=1,MAX(0,BQ$74-BQ$85-BQ$87),0)*Calendario!BQ$13</f>
        <v>0</v>
      </c>
      <c r="BR89" s="13" t="n">
        <f aca="false">IF(p_ApAuto=1,MAX(0,BR$74-BR$85-BR$87),0)*Calendario!BR$13</f>
        <v>0</v>
      </c>
      <c r="BS89" s="13" t="n">
        <f aca="false">IF(p_ApAuto=1,MAX(0,BS$74-BS$85-BS$87),0)*Calendario!BS$13</f>
        <v>0</v>
      </c>
      <c r="BT89" s="13" t="n">
        <f aca="false">IF(p_ApAuto=1,MAX(0,BT$74-BT$85-BT$87),0)*Calendario!BT$13</f>
        <v>0</v>
      </c>
      <c r="BU89" s="13" t="n">
        <f aca="false">IF(p_ApAuto=1,MAX(0,BU$74-BU$85-BU$87),0)*Calendario!BU$13</f>
        <v>0</v>
      </c>
      <c r="BV89" s="13" t="n">
        <f aca="false">IF(p_ApAuto=1,MAX(0,BV$74-BV$85-BV$87),0)*Calendario!BV$13</f>
        <v>0</v>
      </c>
      <c r="BW89" s="13" t="n">
        <f aca="false">IF(p_ApAuto=1,MAX(0,BW$74-BW$85-BW$87),0)*Calendario!BW$13</f>
        <v>0</v>
      </c>
      <c r="BX89" s="13" t="n">
        <f aca="false">IF(p_ApAuto=1,MAX(0,BX$74-BX$85-BX$87),0)*Calendario!BX$13</f>
        <v>0</v>
      </c>
      <c r="BY89" s="13" t="n">
        <f aca="false">IF(p_ApAuto=1,MAX(0,BY$74-BY$85-BY$87),0)*Calendario!BY$13</f>
        <v>0</v>
      </c>
      <c r="BZ89" s="13" t="n">
        <f aca="false">IF(p_ApAuto=1,MAX(0,BZ$74-BZ$85-BZ$87),0)*Calendario!BZ$13</f>
        <v>0</v>
      </c>
      <c r="CA89" s="13" t="n">
        <f aca="false">IF(p_ApAuto=1,MAX(0,CA$74-CA$85-CA$87),0)*Calendario!CA$13</f>
        <v>0</v>
      </c>
      <c r="CB89" s="13" t="n">
        <f aca="false">IF(p_ApAuto=1,MAX(0,CB$74-CB$85-CB$87),0)*Calendario!CB$13</f>
        <v>0</v>
      </c>
      <c r="CC89" s="13" t="n">
        <f aca="false">IF(p_ApAuto=1,MAX(0,CC$74-CC$85-CC$87),0)*Calendario!CC$13</f>
        <v>0</v>
      </c>
      <c r="CD89" s="13" t="n">
        <f aca="false">IF(p_ApAuto=1,MAX(0,CD$74-CD$85-CD$87),0)*Calendario!CD$13</f>
        <v>0</v>
      </c>
      <c r="CE89" s="13" t="n">
        <f aca="false">IF(p_ApAuto=1,MAX(0,CE$74-CE$85-CE$87),0)*Calendario!CE$13</f>
        <v>0</v>
      </c>
      <c r="CF89" s="13" t="n">
        <f aca="false">IF(p_ApAuto=1,MAX(0,CF$74-CF$85-CF$87),0)*Calendario!CF$13</f>
        <v>0</v>
      </c>
      <c r="CG89" s="13" t="n">
        <f aca="false">IF(p_ApAuto=1,MAX(0,CG$74-CG$85-CG$87),0)*Calendario!CG$13</f>
        <v>0</v>
      </c>
      <c r="CH89" s="13" t="n">
        <f aca="false">IF(p_ApAuto=1,MAX(0,CH$74-CH$85-CH$87),0)*Calendario!CH$13</f>
        <v>0</v>
      </c>
      <c r="CI89" s="13" t="n">
        <f aca="false">IF(p_ApAuto=1,MAX(0,CI$74-CI$85-CI$87),0)*Calendario!CI$13</f>
        <v>0</v>
      </c>
      <c r="CJ89" s="13" t="n">
        <f aca="false">IF(p_ApAuto=1,MAX(0,CJ$74-CJ$85-CJ$87),0)*Calendario!CJ$13</f>
        <v>0</v>
      </c>
      <c r="CK89" s="13" t="n">
        <f aca="false">IF(p_ApAuto=1,MAX(0,CK$74-CK$85-CK$87),0)*Calendario!CK$13</f>
        <v>0</v>
      </c>
      <c r="CL89" s="13" t="n">
        <f aca="false">IF(p_ApAuto=1,MAX(0,CL$74-CL$85-CL$87),0)*Calendario!CL$13</f>
        <v>0</v>
      </c>
      <c r="CM89" s="13" t="n">
        <f aca="false">IF(p_ApAuto=1,MAX(0,CM$74-CM$85-CM$87),0)*Calendario!CM$13</f>
        <v>0</v>
      </c>
      <c r="CN89" s="13" t="n">
        <f aca="false">IF(p_ApAuto=1,MAX(0,CN$74-CN$85-CN$87),0)*Calendario!CN$13</f>
        <v>0</v>
      </c>
      <c r="CO89" s="13" t="n">
        <f aca="false">IF(p_ApAuto=1,MAX(0,CO$74-CO$85-CO$87),0)*Calendario!CO$13</f>
        <v>0</v>
      </c>
      <c r="CP89" s="13" t="n">
        <f aca="false">IF(p_ApAuto=1,MAX(0,CP$74-CP$85-CP$87),0)*Calendario!CP$13</f>
        <v>0</v>
      </c>
      <c r="CQ89" s="13" t="n">
        <f aca="false">IF(p_ApAuto=1,MAX(0,CQ$74-CQ$85-CQ$87),0)*Calendario!CQ$13</f>
        <v>0</v>
      </c>
      <c r="CR89" s="13" t="n">
        <f aca="false">IF(p_ApAuto=1,MAX(0,CR$74-CR$85-CR$87),0)*Calendario!CR$13</f>
        <v>0</v>
      </c>
      <c r="CS89" s="13" t="n">
        <f aca="false">IF(p_ApAuto=1,MAX(0,CS$74-CS$85-CS$87),0)*Calendario!CS$13</f>
        <v>0</v>
      </c>
      <c r="CT89" s="13" t="n">
        <f aca="false">IF(p_ApAuto=1,MAX(0,CT$74-CT$85-CT$87),0)*Calendario!CT$13</f>
        <v>0</v>
      </c>
      <c r="CU89" s="13" t="n">
        <f aca="false">IF(p_ApAuto=1,MAX(0,CU$74-CU$85-CU$87),0)*Calendario!CU$13</f>
        <v>0</v>
      </c>
      <c r="CV89" s="13" t="n">
        <f aca="false">IF(p_ApAuto=1,MAX(0,CV$74-CV$85-CV$87),0)*Calendario!CV$13</f>
        <v>0</v>
      </c>
      <c r="CW89" s="13" t="n">
        <f aca="false">IF(p_ApAuto=1,MAX(0,CW$74-CW$85-CW$87),0)*Calendario!CW$13</f>
        <v>0</v>
      </c>
      <c r="CX89" s="13" t="n">
        <f aca="false">IF(p_ApAuto=1,MAX(0,CX$74-CX$85-CX$87),0)*Calendario!CX$13</f>
        <v>0</v>
      </c>
      <c r="CY89" s="13" t="n">
        <f aca="false">IF(p_ApAuto=1,MAX(0,CY$74-CY$85-CY$87),0)*Calendario!CY$13</f>
        <v>0</v>
      </c>
      <c r="CZ89" s="13" t="n">
        <f aca="false">IF(p_ApAuto=1,MAX(0,CZ$74-CZ$85-CZ$87),0)*Calendario!CZ$13</f>
        <v>0</v>
      </c>
      <c r="DA89" s="13" t="n">
        <f aca="false">IF(p_ApAuto=1,MAX(0,DA$74-DA$85-DA$87),0)*Calendario!DA$13</f>
        <v>0</v>
      </c>
      <c r="DB89" s="13" t="n">
        <f aca="false">IF(p_ApAuto=1,MAX(0,DB$74-DB$85-DB$87),0)*Calendario!DB$13</f>
        <v>0</v>
      </c>
      <c r="DC89" s="13" t="n">
        <f aca="false">IF(p_ApAuto=1,MAX(0,DC$74-DC$85-DC$87),0)*Calendario!DC$13</f>
        <v>0</v>
      </c>
      <c r="DD89" s="13" t="n">
        <f aca="false">IF(p_ApAuto=1,MAX(0,DD$74-DD$85-DD$87),0)*Calendario!DD$13</f>
        <v>0</v>
      </c>
      <c r="DE89" s="13" t="n">
        <f aca="false">IF(p_ApAuto=1,MAX(0,DE$74-DE$85-DE$87),0)*Calendario!DE$13</f>
        <v>0</v>
      </c>
      <c r="DF89" s="13" t="n">
        <f aca="false">IF(p_ApAuto=1,MAX(0,DF$74-DF$85-DF$87),0)*Calendario!DF$13</f>
        <v>0</v>
      </c>
      <c r="DG89" s="13" t="n">
        <f aca="false">IF(p_ApAuto=1,MAX(0,DG$74-DG$85-DG$87),0)*Calendario!DG$13</f>
        <v>0</v>
      </c>
      <c r="DH89" s="13" t="n">
        <f aca="false">IF(p_ApAuto=1,MAX(0,DH$74-DH$85-DH$87),0)*Calendario!DH$13</f>
        <v>0</v>
      </c>
      <c r="DI89" s="13" t="n">
        <f aca="false">IF(p_ApAuto=1,MAX(0,DI$74-DI$85-DI$87),0)*Calendario!DI$13</f>
        <v>0</v>
      </c>
      <c r="DJ89" s="13" t="n">
        <f aca="false">IF(p_ApAuto=1,MAX(0,DJ$74-DJ$85-DJ$87),0)*Calendario!DJ$13</f>
        <v>0</v>
      </c>
      <c r="DK89" s="13" t="n">
        <f aca="false">IF(p_ApAuto=1,MAX(0,DK$74-DK$85-DK$87),0)*Calendario!DK$13</f>
        <v>0</v>
      </c>
      <c r="DL89" s="13" t="n">
        <f aca="false">IF(p_ApAuto=1,MAX(0,DL$74-DL$85-DL$87),0)*Calendario!DL$13</f>
        <v>0</v>
      </c>
      <c r="DM89" s="13" t="n">
        <f aca="false">IF(p_ApAuto=1,MAX(0,DM$74-DM$85-DM$87),0)*Calendario!DM$13</f>
        <v>0</v>
      </c>
      <c r="DN89" s="13" t="n">
        <f aca="false">IF(p_ApAuto=1,MAX(0,DN$74-DN$85-DN$87),0)*Calendario!DN$13</f>
        <v>0</v>
      </c>
      <c r="DO89" s="13" t="n">
        <f aca="false">IF(p_ApAuto=1,MAX(0,DO$74-DO$85-DO$87),0)*Calendario!DO$13</f>
        <v>0</v>
      </c>
      <c r="DP89" s="13" t="n">
        <f aca="false">IF(p_ApAuto=1,MAX(0,DP$74-DP$85-DP$87),0)*Calendario!DP$13</f>
        <v>0</v>
      </c>
      <c r="DQ89" s="13" t="n">
        <f aca="false">IF(p_ApAuto=1,MAX(0,DQ$74-DQ$85-DQ$87),0)*Calendario!DQ$13</f>
        <v>0</v>
      </c>
      <c r="DR89" s="13" t="n">
        <f aca="false">IF(p_ApAuto=1,MAX(0,DR$74-DR$85-DR$87),0)*Calendario!DR$13</f>
        <v>0</v>
      </c>
      <c r="DS89" s="13" t="n">
        <f aca="false">IF(p_ApAuto=1,MAX(0,DS$74-DS$85-DS$87),0)*Calendario!DS$13</f>
        <v>0</v>
      </c>
      <c r="DT89" s="13" t="n">
        <f aca="false">IF(p_ApAuto=1,MAX(0,DT$74-DT$85-DT$87),0)*Calendario!DT$13</f>
        <v>0</v>
      </c>
      <c r="DU89" s="13" t="n">
        <f aca="false">IF(p_ApAuto=1,MAX(0,DU$74-DU$85-DU$87),0)*Calendario!DU$13</f>
        <v>0</v>
      </c>
      <c r="DV89" s="13" t="n">
        <f aca="false">IF(p_ApAuto=1,MAX(0,DV$74-DV$85-DV$87),0)*Calendario!DV$13</f>
        <v>0</v>
      </c>
      <c r="DW89" s="13" t="n">
        <f aca="false">IF(p_ApAuto=1,MAX(0,DW$74-DW$85-DW$87),0)*Calendario!DW$13</f>
        <v>0</v>
      </c>
      <c r="DX89" s="13" t="n">
        <f aca="false">IF(p_ApAuto=1,MAX(0,DX$74-DX$85-DX$87),0)*Calendario!DX$13</f>
        <v>0</v>
      </c>
      <c r="DY89" s="13" t="n">
        <f aca="false">IF(p_ApAuto=1,MAX(0,DY$74-DY$85-DY$87),0)*Calendario!DY$13</f>
        <v>0</v>
      </c>
      <c r="DZ89" s="13" t="n">
        <f aca="false">IF(p_ApAuto=1,MAX(0,DZ$74-DZ$85-DZ$87),0)*Calendario!DZ$13</f>
        <v>0</v>
      </c>
      <c r="EA89" s="13" t="n">
        <f aca="false">IF(p_ApAuto=1,MAX(0,EA$74-EA$85-EA$87),0)*Calendario!EA$13</f>
        <v>0</v>
      </c>
      <c r="EB89" s="13" t="n">
        <f aca="false">IF(p_ApAuto=1,MAX(0,EB$74-EB$85-EB$87),0)*Calendario!EB$13</f>
        <v>0</v>
      </c>
      <c r="EC89" s="13" t="n">
        <f aca="false">IF(p_ApAuto=1,MAX(0,EC$74-EC$85-EC$87),0)*Calendario!EC$13</f>
        <v>0</v>
      </c>
      <c r="ED89" s="13" t="n">
        <f aca="false">IF(p_ApAuto=1,MAX(0,ED$74-ED$85-ED$87),0)*Calendario!ED$13</f>
        <v>0</v>
      </c>
      <c r="EE89" s="13" t="n">
        <f aca="false">IF(p_ApAuto=1,MAX(0,EE$74-EE$85-EE$87),0)*Calendario!EE$13</f>
        <v>0</v>
      </c>
      <c r="EF89" s="13" t="n">
        <f aca="false">IF(p_ApAuto=1,MAX(0,EF$74-EF$85-EF$87),0)*Calendario!EF$13</f>
        <v>0</v>
      </c>
      <c r="EG89" s="13" t="n">
        <f aca="false">IF(p_ApAuto=1,MAX(0,EG$74-EG$85-EG$87),0)*Calendario!EG$13</f>
        <v>0</v>
      </c>
      <c r="EH89" s="13" t="n">
        <f aca="false">IF(p_ApAuto=1,MAX(0,EH$74-EH$85-EH$87),0)*Calendario!EH$13</f>
        <v>0</v>
      </c>
      <c r="EI89" s="13" t="n">
        <f aca="false">IF(p_ApAuto=1,MAX(0,EI$74-EI$85-EI$87),0)*Calendario!EI$13</f>
        <v>0</v>
      </c>
      <c r="EJ89" s="13" t="n">
        <f aca="false">IF(p_ApAuto=1,MAX(0,EJ$74-EJ$85-EJ$87),0)*Calendario!EJ$13</f>
        <v>0</v>
      </c>
      <c r="EK89" s="13" t="n">
        <f aca="false">IF(p_ApAuto=1,MAX(0,EK$74-EK$85-EK$87),0)*Calendario!EK$13</f>
        <v>0</v>
      </c>
      <c r="EL89" s="13" t="n">
        <f aca="false">IF(p_ApAuto=1,MAX(0,EL$74-EL$85-EL$87),0)*Calendario!EL$13</f>
        <v>0</v>
      </c>
      <c r="EM89" s="13" t="n">
        <f aca="false">IF(p_ApAuto=1,MAX(0,EM$74-EM$85-EM$87),0)*Calendario!EM$13</f>
        <v>0</v>
      </c>
      <c r="EN89" s="13" t="n">
        <f aca="false">IF(p_ApAuto=1,MAX(0,EN$74-EN$85-EN$87),0)*Calendario!EN$13</f>
        <v>0</v>
      </c>
      <c r="EO89" s="13" t="n">
        <f aca="false">IF(p_ApAuto=1,MAX(0,EO$74-EO$85-EO$87),0)*Calendario!EO$13</f>
        <v>0</v>
      </c>
      <c r="EP89" s="13" t="n">
        <f aca="false">IF(p_ApAuto=1,MAX(0,EP$74-EP$85-EP$87),0)*Calendario!EP$13</f>
        <v>0</v>
      </c>
      <c r="EQ89" s="13" t="n">
        <f aca="false">IF(p_ApAuto=1,MAX(0,EQ$74-EQ$85-EQ$87),0)*Calendario!EQ$13</f>
        <v>0</v>
      </c>
      <c r="ER89" s="13" t="n">
        <f aca="false">IF(p_ApAuto=1,MAX(0,ER$74-ER$85-ER$87),0)*Calendario!ER$13</f>
        <v>0</v>
      </c>
      <c r="ES89" s="13" t="n">
        <f aca="false">IF(p_ApAuto=1,MAX(0,ES$74-ES$85-ES$87),0)*Calendario!ES$13</f>
        <v>0</v>
      </c>
      <c r="ET89" s="13" t="n">
        <f aca="false">IF(p_ApAuto=1,MAX(0,ET$74-ET$85-ET$87),0)*Calendario!ET$13</f>
        <v>0</v>
      </c>
      <c r="EU89" s="13" t="n">
        <f aca="false">IF(p_ApAuto=1,MAX(0,EU$74-EU$85-EU$87),0)*Calendario!EU$13</f>
        <v>0</v>
      </c>
      <c r="EV89" s="13" t="n">
        <f aca="false">IF(p_ApAuto=1,MAX(0,EV$74-EV$85-EV$87),0)*Calendario!EV$13</f>
        <v>0</v>
      </c>
      <c r="EW89" s="13" t="n">
        <f aca="false">IF(p_ApAuto=1,MAX(0,EW$74-EW$85-EW$87),0)*Calendario!EW$13</f>
        <v>0</v>
      </c>
      <c r="EX89" s="13" t="n">
        <f aca="false">IF(p_ApAuto=1,MAX(0,EX$74-EX$85-EX$87),0)*Calendario!EX$13</f>
        <v>0</v>
      </c>
      <c r="EY89" s="13" t="n">
        <f aca="false">IF(p_ApAuto=1,MAX(0,EY$74-EY$85-EY$87),0)*Calendario!EY$13</f>
        <v>0</v>
      </c>
      <c r="EZ89" s="13" t="n">
        <f aca="false">IF(p_ApAuto=1,MAX(0,EZ$74-EZ$85-EZ$87),0)*Calendario!EZ$13</f>
        <v>0</v>
      </c>
      <c r="FA89" s="13" t="n">
        <f aca="false">IF(p_ApAuto=1,MAX(0,FA$74-FA$85-FA$87),0)*Calendario!FA$13</f>
        <v>0</v>
      </c>
      <c r="FB89" s="13" t="n">
        <f aca="false">IF(p_ApAuto=1,MAX(0,FB$74-FB$85-FB$87),0)*Calendario!FB$13</f>
        <v>0</v>
      </c>
      <c r="FC89" s="13" t="n">
        <f aca="false">IF(p_ApAuto=1,MAX(0,FC$74-FC$85-FC$87),0)*Calendario!FC$13</f>
        <v>0</v>
      </c>
      <c r="FD89" s="13" t="n">
        <f aca="false">IF(p_ApAuto=1,MAX(0,FD$74-FD$85-FD$87),0)*Calendario!FD$13</f>
        <v>0</v>
      </c>
      <c r="FE89" s="13" t="n">
        <f aca="false">IF(p_ApAuto=1,MAX(0,FE$74-FE$85-FE$87),0)*Calendario!FE$13</f>
        <v>0</v>
      </c>
      <c r="FF89" s="13" t="n">
        <f aca="false">IF(p_ApAuto=1,MAX(0,FF$74-FF$85-FF$87),0)*Calendario!FF$13</f>
        <v>0</v>
      </c>
    </row>
    <row r="90" customFormat="false" ht="15" hidden="false" customHeight="false" outlineLevel="0" collapsed="false">
      <c r="A90" s="2" t="s">
        <v>1589</v>
      </c>
      <c r="B90" s="8" t="s">
        <v>1590</v>
      </c>
      <c r="C90" s="8" t="s">
        <v>255</v>
      </c>
      <c r="F90" s="13" t="n">
        <f aca="false">F$85+F$87+F$89</f>
        <v>1272400.61780822</v>
      </c>
      <c r="G90" s="13" t="n">
        <f aca="false">G$85+G$87+G$89</f>
        <v>1485788.22538177</v>
      </c>
      <c r="H90" s="13" t="n">
        <f aca="false">H$85+H$87+H$89</f>
        <v>1096224.29621508</v>
      </c>
      <c r="I90" s="13" t="n">
        <f aca="false">I$85+I$87+I$89</f>
        <v>711524.53696845</v>
      </c>
      <c r="J90" s="13" t="n">
        <f aca="false">J$85+J$87+J$89</f>
        <v>348970.896443279</v>
      </c>
      <c r="K90" s="13" t="n">
        <f aca="false">K$85+K$87+K$89</f>
        <v>368437.803863314</v>
      </c>
      <c r="L90" s="13" t="n">
        <f aca="false">L$85+L$87+L$89</f>
        <v>387904.711283349</v>
      </c>
      <c r="M90" s="13" t="n">
        <f aca="false">M$85+M$87+M$89</f>
        <v>365248.314608697</v>
      </c>
      <c r="N90" s="13" t="n">
        <f aca="false">N$85+N$87+N$89</f>
        <v>322286.233662255</v>
      </c>
      <c r="O90" s="13" t="n">
        <f aca="false">O$85+O$87+O$89</f>
        <v>235108.20178445</v>
      </c>
      <c r="P90" s="13" t="n">
        <f aca="false">P$85+P$87+P$89</f>
        <v>145465.495568511</v>
      </c>
      <c r="Q90" s="13" t="n">
        <f aca="false">Q$85+Q$87+Q$89</f>
        <v>55855.0980059571</v>
      </c>
      <c r="R90" s="13" t="n">
        <f aca="false">R$85+R$87+R$89</f>
        <v>-33740.5062854385</v>
      </c>
      <c r="S90" s="13" t="n">
        <f aca="false">S$85+S$87+S$89</f>
        <v>147283.71499674</v>
      </c>
      <c r="T90" s="13" t="n">
        <f aca="false">T$85+T$87+T$89</f>
        <v>51919.0733168256</v>
      </c>
      <c r="U90" s="13" t="n">
        <f aca="false">U$85+U$87+U$89</f>
        <v>-43412.2794913074</v>
      </c>
      <c r="V90" s="13" t="n">
        <f aca="false">V$85+V$87+V$89</f>
        <v>-132631.554948335</v>
      </c>
      <c r="W90" s="13" t="n">
        <f aca="false">W$85+W$87+W$89</f>
        <v>-116962.245807457</v>
      </c>
      <c r="X90" s="13" t="n">
        <f aca="false">X$85+X$87+X$89</f>
        <v>-101258.893163642</v>
      </c>
      <c r="Y90" s="13" t="n">
        <f aca="false">Y$85+Y$87+Y$89</f>
        <v>-85521.2416906175</v>
      </c>
      <c r="Z90" s="13" t="n">
        <f aca="false">Z$85+Z$87+Z$89</f>
        <v>-90191.9756765317</v>
      </c>
      <c r="AA90" s="13" t="n">
        <f aca="false">AA$85+AA$87+AA$89</f>
        <v>-139637.612212754</v>
      </c>
      <c r="AB90" s="13" t="n">
        <f aca="false">AB$85+AB$87+AB$89</f>
        <v>-191577.135856413</v>
      </c>
      <c r="AC90" s="13" t="n">
        <f aca="false">AC$85+AC$87+AC$89</f>
        <v>-243481.320072144</v>
      </c>
      <c r="AD90" s="13" t="n">
        <f aca="false">AD$85+AD$87+AD$89</f>
        <v>-295367.749691137</v>
      </c>
      <c r="AE90" s="13" t="n">
        <f aca="false">AE$85+AE$87+AE$89</f>
        <v>-352044.703551428</v>
      </c>
      <c r="AF90" s="13" t="n">
        <f aca="false">AF$85+AF$87+AF$89</f>
        <v>-412581.564158651</v>
      </c>
      <c r="AG90" s="13" t="n">
        <f aca="false">AG$85+AG$87+AG$89</f>
        <v>-473082.013168304</v>
      </c>
      <c r="AH90" s="13" t="n">
        <f aca="false">AH$85+AH$87+AH$89</f>
        <v>-527347.882516236</v>
      </c>
      <c r="AI90" s="13" t="n">
        <f aca="false">AI$85+AI$87+AI$89</f>
        <v>-474663.103688318</v>
      </c>
      <c r="AJ90" s="13" t="n">
        <f aca="false">AJ$85+AJ$87+AJ$89</f>
        <v>-421941.087842065</v>
      </c>
      <c r="AK90" s="13" t="n">
        <f aca="false">AK$85+AK$87+AK$89</f>
        <v>-369181.555699841</v>
      </c>
      <c r="AL90" s="13" t="n">
        <f aca="false">AL$85+AL$87+AL$89</f>
        <v>-332916.833087531</v>
      </c>
      <c r="AM90" s="13" t="n">
        <f aca="false">AM$85+AM$87+AM$89</f>
        <v>-333498.862608605</v>
      </c>
      <c r="AN90" s="13" t="n">
        <f aca="false">AN$85+AN$87+AN$89</f>
        <v>-336125.216458612</v>
      </c>
      <c r="AO90" s="13" t="n">
        <f aca="false">AO$85+AO$87+AO$89</f>
        <v>-338712.915798592</v>
      </c>
      <c r="AP90" s="13" t="n">
        <f aca="false">AP$85+AP$87+AP$89</f>
        <v>-341276.106168287</v>
      </c>
      <c r="AQ90" s="13" t="n">
        <f aca="false">AQ$85+AQ$87+AQ$89</f>
        <v>-347662.336531006</v>
      </c>
      <c r="AR90" s="13" t="n">
        <f aca="false">AR$85+AR$87+AR$89</f>
        <v>-357396.412415801</v>
      </c>
      <c r="AS90" s="13" t="n">
        <f aca="false">AS$85+AS$87+AS$89</f>
        <v>-367090.661044017</v>
      </c>
      <c r="AT90" s="13" t="n">
        <f aca="false">AT$85+AT$87+AT$89</f>
        <v>-371507.804578812</v>
      </c>
      <c r="AU90" s="13" t="n">
        <f aca="false">AU$85+AU$87+AU$89</f>
        <v>-285546.63117365</v>
      </c>
      <c r="AV90" s="13" t="n">
        <f aca="false">AV$85+AV$87+AV$89</f>
        <v>-199544.727660986</v>
      </c>
      <c r="AW90" s="13" t="n">
        <f aca="false">AW$85+AW$87+AW$89</f>
        <v>-113501.788565014</v>
      </c>
      <c r="AX90" s="13" t="n">
        <f aca="false">AX$85+AX$87+AX$89</f>
        <v>-27417.506118858</v>
      </c>
      <c r="AY90" s="13" t="n">
        <f aca="false">AY$85+AY$87+AY$89</f>
        <v>56514.3580270376</v>
      </c>
      <c r="AZ90" s="13" t="n">
        <f aca="false">AZ$85+AZ$87+AZ$89</f>
        <v>71387.1569589041</v>
      </c>
      <c r="BA90" s="13" t="n">
        <f aca="false">BA$85+BA$87+BA$89</f>
        <v>71387.1569589041</v>
      </c>
      <c r="BB90" s="13" t="n">
        <f aca="false">BB$85+BB$87+BB$89</f>
        <v>71387.1569589041</v>
      </c>
      <c r="BC90" s="13" t="n">
        <f aca="false">BC$85+BC$87+BC$89</f>
        <v>72101.0285284932</v>
      </c>
      <c r="BD90" s="13" t="n">
        <f aca="false">BD$85+BD$87+BD$89</f>
        <v>122968.157629744</v>
      </c>
      <c r="BE90" s="13" t="n">
        <f aca="false">BE$85+BE$87+BE$89</f>
        <v>203435.559779061</v>
      </c>
      <c r="BF90" s="13" t="n">
        <f aca="false">BF$85+BF$87+BF$89</f>
        <v>72101.0285284932</v>
      </c>
      <c r="BG90" s="13" t="n">
        <f aca="false">BG$85+BG$87+BG$89</f>
        <v>72101.0285284932</v>
      </c>
      <c r="BH90" s="13" t="n">
        <f aca="false">BH$85+BH$87+BH$89</f>
        <v>72101.0285284932</v>
      </c>
      <c r="BI90" s="13" t="n">
        <f aca="false">BI$85+BI$87+BI$89</f>
        <v>72101.0285284932</v>
      </c>
      <c r="BJ90" s="13" t="n">
        <f aca="false">BJ$85+BJ$87+BJ$89</f>
        <v>72101.0285284932</v>
      </c>
      <c r="BK90" s="13" t="n">
        <f aca="false">BK$85+BK$87+BK$89</f>
        <v>72101.0285284932</v>
      </c>
      <c r="BL90" s="13" t="n">
        <f aca="false">BL$85+BL$87+BL$89</f>
        <v>72101.0285284932</v>
      </c>
      <c r="BM90" s="13" t="n">
        <f aca="false">BM$85+BM$87+BM$89</f>
        <v>88125.641299422</v>
      </c>
      <c r="BN90" s="13" t="n">
        <f aca="false">BN$85+BN$87+BN$89</f>
        <v>173893.501563154</v>
      </c>
      <c r="BO90" s="13" t="n">
        <f aca="false">BO$85+BO$87+BO$89</f>
        <v>322756.536110597</v>
      </c>
      <c r="BP90" s="13" t="n">
        <f aca="false">BP$85+BP$87+BP$89</f>
        <v>470757.342375654</v>
      </c>
      <c r="BQ90" s="13" t="n">
        <f aca="false">BQ$85+BQ$87+BQ$89</f>
        <v>618758.148640712</v>
      </c>
      <c r="BR90" s="13" t="n">
        <f aca="false">BR$85+BR$87+BR$89</f>
        <v>72822.0388137781</v>
      </c>
      <c r="BS90" s="13" t="n">
        <f aca="false">BS$85+BS$87+BS$89</f>
        <v>72822.0388137781</v>
      </c>
      <c r="BT90" s="13" t="n">
        <f aca="false">BT$85+BT$87+BT$89</f>
        <v>72822.0388137781</v>
      </c>
      <c r="BU90" s="13" t="n">
        <f aca="false">BU$85+BU$87+BU$89</f>
        <v>72822.0388137781</v>
      </c>
      <c r="BV90" s="13" t="n">
        <f aca="false">BV$85+BV$87+BV$89</f>
        <v>72822.0388137781</v>
      </c>
      <c r="BW90" s="13" t="n">
        <f aca="false">BW$85+BW$87+BW$89</f>
        <v>72822.0388137781</v>
      </c>
      <c r="BX90" s="13" t="n">
        <f aca="false">BX$85+BX$87+BX$89</f>
        <v>72822.0388137781</v>
      </c>
      <c r="BY90" s="13" t="n">
        <f aca="false">BY$85+BY$87+BY$89</f>
        <v>151874.636727263</v>
      </c>
      <c r="BZ90" s="13" t="n">
        <f aca="false">BZ$85+BZ$87+BZ$89</f>
        <v>304817.764460983</v>
      </c>
      <c r="CA90" s="13" t="n">
        <f aca="false">CA$85+CA$87+CA$89</f>
        <v>457748.63970053</v>
      </c>
      <c r="CB90" s="13" t="n">
        <f aca="false">CB$85+CB$87+CB$89</f>
        <v>609797.335359622</v>
      </c>
      <c r="CC90" s="13" t="n">
        <f aca="false">CC$85+CC$87+CC$89</f>
        <v>761846.031018714</v>
      </c>
      <c r="CD90" s="13" t="n">
        <f aca="false">CD$85+CD$87+CD$89</f>
        <v>73550.2592019158</v>
      </c>
      <c r="CE90" s="13" t="n">
        <f aca="false">CE$85+CE$87+CE$89</f>
        <v>73550.2592019159</v>
      </c>
      <c r="CF90" s="13" t="n">
        <f aca="false">CF$85+CF$87+CF$89</f>
        <v>73550.2592019159</v>
      </c>
      <c r="CG90" s="13" t="n">
        <f aca="false">CG$85+CG$87+CG$89</f>
        <v>73550.2592019159</v>
      </c>
      <c r="CH90" s="13" t="n">
        <f aca="false">CH$85+CH$87+CH$89</f>
        <v>73550.2592019159</v>
      </c>
      <c r="CI90" s="13" t="n">
        <f aca="false">CI$85+CI$87+CI$89</f>
        <v>73550.2592019159</v>
      </c>
      <c r="CJ90" s="13" t="n">
        <f aca="false">CJ$85+CJ$87+CJ$89</f>
        <v>73550.2592019159</v>
      </c>
      <c r="CK90" s="13" t="n">
        <f aca="false">CK$85+CK$87+CK$89</f>
        <v>228169.294372476</v>
      </c>
      <c r="CL90" s="13" t="n">
        <f aca="false">CL$85+CL$87+CL$89</f>
        <v>385209.734714917</v>
      </c>
      <c r="CM90" s="13" t="n">
        <f aca="false">CM$85+CM$87+CM$89</f>
        <v>542237.637756734</v>
      </c>
      <c r="CN90" s="13" t="n">
        <f aca="false">CN$85+CN$87+CN$89</f>
        <v>698362.85515354</v>
      </c>
      <c r="CO90" s="13" t="n">
        <f aca="false">CO$85+CO$87+CO$89</f>
        <v>854488.072550346</v>
      </c>
      <c r="CP90" s="13" t="n">
        <f aca="false">CP$85+CP$87+CP$89</f>
        <v>74285.761793935</v>
      </c>
      <c r="CQ90" s="13" t="n">
        <f aca="false">CQ$85+CQ$87+CQ$89</f>
        <v>74285.761793935</v>
      </c>
      <c r="CR90" s="13" t="n">
        <f aca="false">CR$85+CR$87+CR$89</f>
        <v>74285.761793935</v>
      </c>
      <c r="CS90" s="13" t="n">
        <f aca="false">CS$85+CS$87+CS$89</f>
        <v>74285.761793935</v>
      </c>
      <c r="CT90" s="13" t="n">
        <f aca="false">CT$85+CT$87+CT$89</f>
        <v>74285.761793935</v>
      </c>
      <c r="CU90" s="13" t="n">
        <f aca="false">CU$85+CU$87+CU$89</f>
        <v>74285.761793935</v>
      </c>
      <c r="CV90" s="13" t="n">
        <f aca="false">CV$85+CV$87+CV$89</f>
        <v>143247.3879666</v>
      </c>
      <c r="CW90" s="13" t="n">
        <f aca="false">CW$85+CW$87+CW$89</f>
        <v>304414.267493589</v>
      </c>
      <c r="CX90" s="13" t="n">
        <f aca="false">CX$85+CX$87+CX$89</f>
        <v>465581.147020578</v>
      </c>
      <c r="CY90" s="13" t="n">
        <f aca="false">CY$85+CY$87+CY$89</f>
        <v>626735.196510327</v>
      </c>
      <c r="CZ90" s="13" t="n">
        <f aca="false">CZ$85+CZ$87+CZ$89</f>
        <v>786965.483318757</v>
      </c>
      <c r="DA90" s="13" t="n">
        <f aca="false">DA$85+DA$87+DA$89</f>
        <v>947195.770127187</v>
      </c>
      <c r="DB90" s="13" t="n">
        <f aca="false">DB$85+DB$87+DB$89</f>
        <v>75028.6194118743</v>
      </c>
      <c r="DC90" s="13" t="n">
        <f aca="false">DC$85+DC$87+DC$89</f>
        <v>75028.6194118744</v>
      </c>
      <c r="DD90" s="13" t="n">
        <f aca="false">DD$85+DD$87+DD$89</f>
        <v>75028.6194118744</v>
      </c>
      <c r="DE90" s="13" t="n">
        <f aca="false">DE$85+DE$87+DE$89</f>
        <v>75028.6194118744</v>
      </c>
      <c r="DF90" s="13" t="n">
        <f aca="false">DF$85+DF$87+DF$89</f>
        <v>75028.6194118744</v>
      </c>
      <c r="DG90" s="13" t="n">
        <f aca="false">DG$85+DG$87+DG$89</f>
        <v>75028.6194118744</v>
      </c>
      <c r="DH90" s="13" t="n">
        <f aca="false">DH$85+DH$87+DH$89</f>
        <v>215282.978671273</v>
      </c>
      <c r="DI90" s="13" t="n">
        <f aca="false">DI$85+DI$87+DI$89</f>
        <v>380605.344231188</v>
      </c>
      <c r="DJ90" s="13" t="n">
        <f aca="false">DJ$85+DJ$87+DJ$89</f>
        <v>545927.709791102</v>
      </c>
      <c r="DK90" s="13" t="n">
        <f aca="false">DK$85+DK$87+DK$89</f>
        <v>711236.944415233</v>
      </c>
      <c r="DL90" s="13" t="n">
        <f aca="false">DL$85+DL$87+DL$89</f>
        <v>875600.751662932</v>
      </c>
      <c r="DM90" s="13" t="n">
        <f aca="false">DM$85+DM$87+DM$89</f>
        <v>1039964.55891063</v>
      </c>
      <c r="DN90" s="13" t="n">
        <f aca="false">DN$85+DN$87+DN$89</f>
        <v>75778.905605993</v>
      </c>
      <c r="DO90" s="13" t="n">
        <f aca="false">DO$85+DO$87+DO$89</f>
        <v>75778.9056059931</v>
      </c>
      <c r="DP90" s="13" t="n">
        <f aca="false">DP$85+DP$87+DP$89</f>
        <v>75778.9056059931</v>
      </c>
      <c r="DQ90" s="13" t="n">
        <f aca="false">DQ$85+DQ$87+DQ$89</f>
        <v>75778.9056059931</v>
      </c>
      <c r="DR90" s="13" t="n">
        <f aca="false">DR$85+DR$87+DR$89</f>
        <v>89048.1334246718</v>
      </c>
      <c r="DS90" s="13" t="n">
        <f aca="false">DS$85+DS$87+DS$89</f>
        <v>697960.712106712</v>
      </c>
      <c r="DT90" s="13" t="n">
        <f aca="false">DT$85+DT$87+DT$89</f>
        <v>1323557.60284859</v>
      </c>
      <c r="DU90" s="13" t="n">
        <f aca="false">DU$85+DU$87+DU$89</f>
        <v>1949154.49359047</v>
      </c>
      <c r="DV90" s="13" t="n">
        <f aca="false">DV$85+DV$87+DV$89</f>
        <v>2574874.46451807</v>
      </c>
      <c r="DW90" s="13" t="n">
        <f aca="false">DW$85+DW$87+DW$89</f>
        <v>2574874.46451807</v>
      </c>
      <c r="DX90" s="13" t="n">
        <f aca="false">DX$85+DX$87+DX$89</f>
        <v>2574874.46451807</v>
      </c>
      <c r="DY90" s="13" t="n">
        <f aca="false">DY$85+DY$87+DY$89</f>
        <v>2574874.46451807</v>
      </c>
      <c r="DZ90" s="13" t="n">
        <f aca="false">DZ$85+DZ$87+DZ$89</f>
        <v>2574874.46451807</v>
      </c>
      <c r="EA90" s="13" t="n">
        <f aca="false">EA$85+EA$87+EA$89</f>
        <v>2574874.46451807</v>
      </c>
      <c r="EB90" s="13" t="n">
        <f aca="false">EB$85+EB$87+EB$89</f>
        <v>2574874.46451807</v>
      </c>
      <c r="EC90" s="13" t="n">
        <f aca="false">EC$85+EC$87+EC$89</f>
        <v>2574874.46451807</v>
      </c>
      <c r="ED90" s="13" t="n">
        <f aca="false">ED$85+ED$87+ED$89</f>
        <v>2574874.46451807</v>
      </c>
      <c r="EE90" s="13" t="n">
        <f aca="false">EE$85+EE$87+EE$89</f>
        <v>2574874.46451807</v>
      </c>
      <c r="EF90" s="13" t="n">
        <f aca="false">EF$85+EF$87+EF$89</f>
        <v>2574874.46451807</v>
      </c>
      <c r="EG90" s="13" t="n">
        <f aca="false">EG$85+EG$87+EG$89</f>
        <v>2574874.46451807</v>
      </c>
      <c r="EH90" s="13" t="n">
        <f aca="false">EH$85+EH$87+EH$89</f>
        <v>2574874.46451807</v>
      </c>
      <c r="EI90" s="13" t="n">
        <f aca="false">EI$85+EI$87+EI$89</f>
        <v>2574874.46451807</v>
      </c>
      <c r="EJ90" s="13" t="n">
        <f aca="false">EJ$85+EJ$87+EJ$89</f>
        <v>2574874.46451807</v>
      </c>
      <c r="EK90" s="13" t="n">
        <f aca="false">EK$85+EK$87+EK$89</f>
        <v>2574874.46451807</v>
      </c>
      <c r="EL90" s="13" t="n">
        <f aca="false">EL$85+EL$87+EL$89</f>
        <v>2574874.46451807</v>
      </c>
      <c r="EM90" s="13" t="n">
        <f aca="false">EM$85+EM$87+EM$89</f>
        <v>2574874.46451807</v>
      </c>
      <c r="EN90" s="13" t="n">
        <f aca="false">EN$85+EN$87+EN$89</f>
        <v>2574874.46451807</v>
      </c>
      <c r="EO90" s="13" t="n">
        <f aca="false">EO$85+EO$87+EO$89</f>
        <v>2574874.46451807</v>
      </c>
      <c r="EP90" s="13" t="n">
        <f aca="false">EP$85+EP$87+EP$89</f>
        <v>2574874.46451807</v>
      </c>
      <c r="EQ90" s="13" t="n">
        <f aca="false">EQ$85+EQ$87+EQ$89</f>
        <v>2574874.46451807</v>
      </c>
      <c r="ER90" s="13" t="n">
        <f aca="false">ER$85+ER$87+ER$89</f>
        <v>2574874.46451807</v>
      </c>
      <c r="ES90" s="13" t="n">
        <f aca="false">ES$85+ES$87+ES$89</f>
        <v>2574874.46451807</v>
      </c>
      <c r="ET90" s="13" t="n">
        <f aca="false">ET$85+ET$87+ET$89</f>
        <v>2574874.46451807</v>
      </c>
      <c r="EU90" s="13" t="n">
        <f aca="false">EU$85+EU$87+EU$89</f>
        <v>2574874.46451807</v>
      </c>
      <c r="EV90" s="13" t="n">
        <f aca="false">EV$85+EV$87+EV$89</f>
        <v>2574874.46451807</v>
      </c>
      <c r="EW90" s="13" t="n">
        <f aca="false">EW$85+EW$87+EW$89</f>
        <v>2574874.46451807</v>
      </c>
      <c r="EX90" s="13" t="n">
        <f aca="false">EX$85+EX$87+EX$89</f>
        <v>2574874.46451807</v>
      </c>
      <c r="EY90" s="13" t="n">
        <f aca="false">EY$85+EY$87+EY$89</f>
        <v>2574874.46451807</v>
      </c>
      <c r="EZ90" s="13" t="n">
        <f aca="false">EZ$85+EZ$87+EZ$89</f>
        <v>2574874.46451807</v>
      </c>
      <c r="FA90" s="13" t="n">
        <f aca="false">FA$85+FA$87+FA$89</f>
        <v>2574874.46451807</v>
      </c>
      <c r="FB90" s="13" t="n">
        <f aca="false">FB$85+FB$87+FB$89</f>
        <v>2574874.46451807</v>
      </c>
      <c r="FC90" s="13" t="n">
        <f aca="false">FC$85+FC$87+FC$89</f>
        <v>2574874.46451807</v>
      </c>
      <c r="FD90" s="13" t="n">
        <f aca="false">FD$85+FD$87+FD$89</f>
        <v>2574874.46451807</v>
      </c>
      <c r="FE90" s="13" t="n">
        <f aca="false">FE$85+FE$87+FE$89</f>
        <v>2574874.46451807</v>
      </c>
      <c r="FF90" s="13" t="n">
        <f aca="false">FF$85+FF$87+FF$89</f>
        <v>2574874.46451807</v>
      </c>
    </row>
    <row r="91" customFormat="false" ht="15" hidden="false" customHeight="false" outlineLevel="0" collapsed="false">
      <c r="A91" s="2" t="s">
        <v>1591</v>
      </c>
      <c r="B91" s="66" t="s">
        <v>1592</v>
      </c>
      <c r="C91" s="8" t="s">
        <v>255</v>
      </c>
      <c r="E91" s="67" t="n">
        <f aca="false">MIN($F91:$FF91)</f>
        <v>-527347.882516236</v>
      </c>
      <c r="F91" s="12" t="n">
        <f aca="false">IF(AND(0=p_MesCorte,ISNUMBER(r_S_CAJA)),r_S_CAJA,F$90)</f>
        <v>1272400.61780822</v>
      </c>
      <c r="G91" s="12" t="n">
        <f aca="false">IF(AND(1=p_MesCorte,ISNUMBER(r_S_CAJA)),r_S_CAJA,G$90)</f>
        <v>1485788.22538177</v>
      </c>
      <c r="H91" s="12" t="n">
        <f aca="false">IF(AND(2=p_MesCorte,ISNUMBER(r_S_CAJA)),r_S_CAJA,H$90)</f>
        <v>1096224.29621508</v>
      </c>
      <c r="I91" s="12" t="n">
        <f aca="false">IF(AND(3=p_MesCorte,ISNUMBER(r_S_CAJA)),r_S_CAJA,I$90)</f>
        <v>711524.53696845</v>
      </c>
      <c r="J91" s="12" t="n">
        <f aca="false">IF(AND(4=p_MesCorte,ISNUMBER(r_S_CAJA)),r_S_CAJA,J$90)</f>
        <v>348970.896443279</v>
      </c>
      <c r="K91" s="12" t="n">
        <f aca="false">IF(AND(5=p_MesCorte,ISNUMBER(r_S_CAJA)),r_S_CAJA,K$90)</f>
        <v>368437.803863314</v>
      </c>
      <c r="L91" s="12" t="n">
        <f aca="false">IF(AND(6=p_MesCorte,ISNUMBER(r_S_CAJA)),r_S_CAJA,L$90)</f>
        <v>387904.711283349</v>
      </c>
      <c r="M91" s="12" t="n">
        <f aca="false">IF(AND(7=p_MesCorte,ISNUMBER(r_S_CAJA)),r_S_CAJA,M$90)</f>
        <v>365248.314608697</v>
      </c>
      <c r="N91" s="12" t="n">
        <f aca="false">IF(AND(8=p_MesCorte,ISNUMBER(r_S_CAJA)),r_S_CAJA,N$90)</f>
        <v>322286.233662255</v>
      </c>
      <c r="O91" s="12" t="n">
        <f aca="false">IF(AND(9=p_MesCorte,ISNUMBER(r_S_CAJA)),r_S_CAJA,O$90)</f>
        <v>235108.20178445</v>
      </c>
      <c r="P91" s="12" t="n">
        <f aca="false">IF(AND(10=p_MesCorte,ISNUMBER(r_S_CAJA)),r_S_CAJA,P$90)</f>
        <v>145465.495568511</v>
      </c>
      <c r="Q91" s="12" t="n">
        <f aca="false">IF(AND(11=p_MesCorte,ISNUMBER(r_S_CAJA)),r_S_CAJA,Q$90)</f>
        <v>55855.0980059571</v>
      </c>
      <c r="R91" s="12" t="n">
        <f aca="false">IF(AND(12=p_MesCorte,ISNUMBER(r_S_CAJA)),r_S_CAJA,R$90)</f>
        <v>-33740.5062854385</v>
      </c>
      <c r="S91" s="12" t="n">
        <f aca="false">IF(AND(13=p_MesCorte,ISNUMBER(r_S_CAJA)),r_S_CAJA,S$90)</f>
        <v>147283.71499674</v>
      </c>
      <c r="T91" s="12" t="n">
        <f aca="false">IF(AND(14=p_MesCorte,ISNUMBER(r_S_CAJA)),r_S_CAJA,T$90)</f>
        <v>51919.0733168256</v>
      </c>
      <c r="U91" s="12" t="n">
        <f aca="false">IF(AND(15=p_MesCorte,ISNUMBER(r_S_CAJA)),r_S_CAJA,U$90)</f>
        <v>-43412.2794913074</v>
      </c>
      <c r="V91" s="12" t="n">
        <f aca="false">IF(AND(16=p_MesCorte,ISNUMBER(r_S_CAJA)),r_S_CAJA,V$90)</f>
        <v>-132631.554948335</v>
      </c>
      <c r="W91" s="12" t="n">
        <f aca="false">IF(AND(17=p_MesCorte,ISNUMBER(r_S_CAJA)),r_S_CAJA,W$90)</f>
        <v>-116962.245807457</v>
      </c>
      <c r="X91" s="12" t="n">
        <f aca="false">IF(AND(18=p_MesCorte,ISNUMBER(r_S_CAJA)),r_S_CAJA,X$90)</f>
        <v>-101258.893163642</v>
      </c>
      <c r="Y91" s="12" t="n">
        <f aca="false">IF(AND(19=p_MesCorte,ISNUMBER(r_S_CAJA)),r_S_CAJA,Y$90)</f>
        <v>-85521.2416906175</v>
      </c>
      <c r="Z91" s="12" t="n">
        <f aca="false">IF(AND(20=p_MesCorte,ISNUMBER(r_S_CAJA)),r_S_CAJA,Z$90)</f>
        <v>-90191.9756765317</v>
      </c>
      <c r="AA91" s="12" t="n">
        <f aca="false">IF(AND(21=p_MesCorte,ISNUMBER(r_S_CAJA)),r_S_CAJA,AA$90)</f>
        <v>-139637.612212754</v>
      </c>
      <c r="AB91" s="12" t="n">
        <f aca="false">IF(AND(22=p_MesCorte,ISNUMBER(r_S_CAJA)),r_S_CAJA,AB$90)</f>
        <v>-191577.135856413</v>
      </c>
      <c r="AC91" s="12" t="n">
        <f aca="false">IF(AND(23=p_MesCorte,ISNUMBER(r_S_CAJA)),r_S_CAJA,AC$90)</f>
        <v>-243481.320072144</v>
      </c>
      <c r="AD91" s="12" t="n">
        <f aca="false">IF(AND(24=p_MesCorte,ISNUMBER(r_S_CAJA)),r_S_CAJA,AD$90)</f>
        <v>-295367.749691137</v>
      </c>
      <c r="AE91" s="12" t="n">
        <f aca="false">IF(AND(25=p_MesCorte,ISNUMBER(r_S_CAJA)),r_S_CAJA,AE$90)</f>
        <v>-352044.703551428</v>
      </c>
      <c r="AF91" s="12" t="n">
        <f aca="false">IF(AND(26=p_MesCorte,ISNUMBER(r_S_CAJA)),r_S_CAJA,AF$90)</f>
        <v>-412581.564158651</v>
      </c>
      <c r="AG91" s="12" t="n">
        <f aca="false">IF(AND(27=p_MesCorte,ISNUMBER(r_S_CAJA)),r_S_CAJA,AG$90)</f>
        <v>-473082.013168304</v>
      </c>
      <c r="AH91" s="12" t="n">
        <f aca="false">IF(AND(28=p_MesCorte,ISNUMBER(r_S_CAJA)),r_S_CAJA,AH$90)</f>
        <v>-527347.882516236</v>
      </c>
      <c r="AI91" s="12" t="n">
        <f aca="false">IF(AND(29=p_MesCorte,ISNUMBER(r_S_CAJA)),r_S_CAJA,AI$90)</f>
        <v>-474663.103688318</v>
      </c>
      <c r="AJ91" s="12" t="n">
        <f aca="false">IF(AND(30=p_MesCorte,ISNUMBER(r_S_CAJA)),r_S_CAJA,AJ$90)</f>
        <v>-421941.087842065</v>
      </c>
      <c r="AK91" s="12" t="n">
        <f aca="false">IF(AND(31=p_MesCorte,ISNUMBER(r_S_CAJA)),r_S_CAJA,AK$90)</f>
        <v>-369181.555699841</v>
      </c>
      <c r="AL91" s="12" t="n">
        <f aca="false">IF(AND(32=p_MesCorte,ISNUMBER(r_S_CAJA)),r_S_CAJA,AL$90)</f>
        <v>-332916.833087531</v>
      </c>
      <c r="AM91" s="12" t="n">
        <f aca="false">IF(AND(33=p_MesCorte,ISNUMBER(r_S_CAJA)),r_S_CAJA,AM$90)</f>
        <v>-333498.862608605</v>
      </c>
      <c r="AN91" s="12" t="n">
        <f aca="false">IF(AND(34=p_MesCorte,ISNUMBER(r_S_CAJA)),r_S_CAJA,AN$90)</f>
        <v>-336125.216458612</v>
      </c>
      <c r="AO91" s="12" t="n">
        <f aca="false">IF(AND(35=p_MesCorte,ISNUMBER(r_S_CAJA)),r_S_CAJA,AO$90)</f>
        <v>-338712.915798592</v>
      </c>
      <c r="AP91" s="12" t="n">
        <f aca="false">IF(AND(36=p_MesCorte,ISNUMBER(r_S_CAJA)),r_S_CAJA,AP$90)</f>
        <v>-341276.106168287</v>
      </c>
      <c r="AQ91" s="12" t="n">
        <f aca="false">IF(AND(37=p_MesCorte,ISNUMBER(r_S_CAJA)),r_S_CAJA,AQ$90)</f>
        <v>-347662.336531006</v>
      </c>
      <c r="AR91" s="12" t="n">
        <f aca="false">IF(AND(38=p_MesCorte,ISNUMBER(r_S_CAJA)),r_S_CAJA,AR$90)</f>
        <v>-357396.412415801</v>
      </c>
      <c r="AS91" s="12" t="n">
        <f aca="false">IF(AND(39=p_MesCorte,ISNUMBER(r_S_CAJA)),r_S_CAJA,AS$90)</f>
        <v>-367090.661044017</v>
      </c>
      <c r="AT91" s="12" t="n">
        <f aca="false">IF(AND(40=p_MesCorte,ISNUMBER(r_S_CAJA)),r_S_CAJA,AT$90)</f>
        <v>-371507.804578812</v>
      </c>
      <c r="AU91" s="12" t="n">
        <f aca="false">IF(AND(41=p_MesCorte,ISNUMBER(r_S_CAJA)),r_S_CAJA,AU$90)</f>
        <v>-285546.63117365</v>
      </c>
      <c r="AV91" s="12" t="n">
        <f aca="false">IF(AND(42=p_MesCorte,ISNUMBER(r_S_CAJA)),r_S_CAJA,AV$90)</f>
        <v>-199544.727660986</v>
      </c>
      <c r="AW91" s="12" t="n">
        <f aca="false">IF(AND(43=p_MesCorte,ISNUMBER(r_S_CAJA)),r_S_CAJA,AW$90)</f>
        <v>-113501.788565014</v>
      </c>
      <c r="AX91" s="12" t="n">
        <f aca="false">IF(AND(44=p_MesCorte,ISNUMBER(r_S_CAJA)),r_S_CAJA,AX$90)</f>
        <v>-27417.506118858</v>
      </c>
      <c r="AY91" s="12" t="n">
        <f aca="false">IF(AND(45=p_MesCorte,ISNUMBER(r_S_CAJA)),r_S_CAJA,AY$90)</f>
        <v>56514.3580270376</v>
      </c>
      <c r="AZ91" s="12" t="n">
        <f aca="false">IF(AND(46=p_MesCorte,ISNUMBER(r_S_CAJA)),r_S_CAJA,AZ$90)</f>
        <v>71387.1569589041</v>
      </c>
      <c r="BA91" s="12" t="n">
        <f aca="false">IF(AND(47=p_MesCorte,ISNUMBER(r_S_CAJA)),r_S_CAJA,BA$90)</f>
        <v>71387.1569589041</v>
      </c>
      <c r="BB91" s="12" t="n">
        <f aca="false">IF(AND(48=p_MesCorte,ISNUMBER(r_S_CAJA)),r_S_CAJA,BB$90)</f>
        <v>71387.1569589041</v>
      </c>
      <c r="BC91" s="12" t="n">
        <f aca="false">IF(AND(49=p_MesCorte,ISNUMBER(r_S_CAJA)),r_S_CAJA,BC$90)</f>
        <v>72101.0285284932</v>
      </c>
      <c r="BD91" s="12" t="n">
        <f aca="false">IF(AND(50=p_MesCorte,ISNUMBER(r_S_CAJA)),r_S_CAJA,BD$90)</f>
        <v>122968.157629744</v>
      </c>
      <c r="BE91" s="12" t="n">
        <f aca="false">IF(AND(51=p_MesCorte,ISNUMBER(r_S_CAJA)),r_S_CAJA,BE$90)</f>
        <v>203435.559779061</v>
      </c>
      <c r="BF91" s="12" t="n">
        <f aca="false">IF(AND(52=p_MesCorte,ISNUMBER(r_S_CAJA)),r_S_CAJA,BF$90)</f>
        <v>72101.0285284932</v>
      </c>
      <c r="BG91" s="12" t="n">
        <f aca="false">IF(AND(53=p_MesCorte,ISNUMBER(r_S_CAJA)),r_S_CAJA,BG$90)</f>
        <v>72101.0285284932</v>
      </c>
      <c r="BH91" s="12" t="n">
        <f aca="false">IF(AND(54=p_MesCorte,ISNUMBER(r_S_CAJA)),r_S_CAJA,BH$90)</f>
        <v>72101.0285284932</v>
      </c>
      <c r="BI91" s="12" t="n">
        <f aca="false">IF(AND(55=p_MesCorte,ISNUMBER(r_S_CAJA)),r_S_CAJA,BI$90)</f>
        <v>72101.0285284932</v>
      </c>
      <c r="BJ91" s="12" t="n">
        <f aca="false">IF(AND(56=p_MesCorte,ISNUMBER(r_S_CAJA)),r_S_CAJA,BJ$90)</f>
        <v>72101.0285284932</v>
      </c>
      <c r="BK91" s="12" t="n">
        <f aca="false">IF(AND(57=p_MesCorte,ISNUMBER(r_S_CAJA)),r_S_CAJA,BK$90)</f>
        <v>72101.0285284932</v>
      </c>
      <c r="BL91" s="12" t="n">
        <f aca="false">IF(AND(58=p_MesCorte,ISNUMBER(r_S_CAJA)),r_S_CAJA,BL$90)</f>
        <v>72101.0285284932</v>
      </c>
      <c r="BM91" s="12" t="n">
        <f aca="false">IF(AND(59=p_MesCorte,ISNUMBER(r_S_CAJA)),r_S_CAJA,BM$90)</f>
        <v>88125.641299422</v>
      </c>
      <c r="BN91" s="12" t="n">
        <f aca="false">IF(AND(60=p_MesCorte,ISNUMBER(r_S_CAJA)),r_S_CAJA,BN$90)</f>
        <v>173893.501563154</v>
      </c>
      <c r="BO91" s="12" t="n">
        <f aca="false">IF(AND(61=p_MesCorte,ISNUMBER(r_S_CAJA)),r_S_CAJA,BO$90)</f>
        <v>322756.536110597</v>
      </c>
      <c r="BP91" s="12" t="n">
        <f aca="false">IF(AND(62=p_MesCorte,ISNUMBER(r_S_CAJA)),r_S_CAJA,BP$90)</f>
        <v>470757.342375654</v>
      </c>
      <c r="BQ91" s="12" t="n">
        <f aca="false">IF(AND(63=p_MesCorte,ISNUMBER(r_S_CAJA)),r_S_CAJA,BQ$90)</f>
        <v>618758.148640712</v>
      </c>
      <c r="BR91" s="12" t="n">
        <f aca="false">IF(AND(64=p_MesCorte,ISNUMBER(r_S_CAJA)),r_S_CAJA,BR$90)</f>
        <v>72822.0388137781</v>
      </c>
      <c r="BS91" s="12" t="n">
        <f aca="false">IF(AND(65=p_MesCorte,ISNUMBER(r_S_CAJA)),r_S_CAJA,BS$90)</f>
        <v>72822.0388137781</v>
      </c>
      <c r="BT91" s="12" t="n">
        <f aca="false">IF(AND(66=p_MesCorte,ISNUMBER(r_S_CAJA)),r_S_CAJA,BT$90)</f>
        <v>72822.0388137781</v>
      </c>
      <c r="BU91" s="12" t="n">
        <f aca="false">IF(AND(67=p_MesCorte,ISNUMBER(r_S_CAJA)),r_S_CAJA,BU$90)</f>
        <v>72822.0388137781</v>
      </c>
      <c r="BV91" s="12" t="n">
        <f aca="false">IF(AND(68=p_MesCorte,ISNUMBER(r_S_CAJA)),r_S_CAJA,BV$90)</f>
        <v>72822.0388137781</v>
      </c>
      <c r="BW91" s="12" t="n">
        <f aca="false">IF(AND(69=p_MesCorte,ISNUMBER(r_S_CAJA)),r_S_CAJA,BW$90)</f>
        <v>72822.0388137781</v>
      </c>
      <c r="BX91" s="12" t="n">
        <f aca="false">IF(AND(70=p_MesCorte,ISNUMBER(r_S_CAJA)),r_S_CAJA,BX$90)</f>
        <v>72822.0388137781</v>
      </c>
      <c r="BY91" s="12" t="n">
        <f aca="false">IF(AND(71=p_MesCorte,ISNUMBER(r_S_CAJA)),r_S_CAJA,BY$90)</f>
        <v>151874.636727263</v>
      </c>
      <c r="BZ91" s="12" t="n">
        <f aca="false">IF(AND(72=p_MesCorte,ISNUMBER(r_S_CAJA)),r_S_CAJA,BZ$90)</f>
        <v>304817.764460983</v>
      </c>
      <c r="CA91" s="12" t="n">
        <f aca="false">IF(AND(73=p_MesCorte,ISNUMBER(r_S_CAJA)),r_S_CAJA,CA$90)</f>
        <v>457748.63970053</v>
      </c>
      <c r="CB91" s="12" t="n">
        <f aca="false">IF(AND(74=p_MesCorte,ISNUMBER(r_S_CAJA)),r_S_CAJA,CB$90)</f>
        <v>609797.335359622</v>
      </c>
      <c r="CC91" s="12" t="n">
        <f aca="false">IF(AND(75=p_MesCorte,ISNUMBER(r_S_CAJA)),r_S_CAJA,CC$90)</f>
        <v>761846.031018714</v>
      </c>
      <c r="CD91" s="12" t="n">
        <f aca="false">IF(AND(76=p_MesCorte,ISNUMBER(r_S_CAJA)),r_S_CAJA,CD$90)</f>
        <v>73550.2592019158</v>
      </c>
      <c r="CE91" s="12" t="n">
        <f aca="false">IF(AND(77=p_MesCorte,ISNUMBER(r_S_CAJA)),r_S_CAJA,CE$90)</f>
        <v>73550.2592019159</v>
      </c>
      <c r="CF91" s="12" t="n">
        <f aca="false">IF(AND(78=p_MesCorte,ISNUMBER(r_S_CAJA)),r_S_CAJA,CF$90)</f>
        <v>73550.2592019159</v>
      </c>
      <c r="CG91" s="12" t="n">
        <f aca="false">IF(AND(79=p_MesCorte,ISNUMBER(r_S_CAJA)),r_S_CAJA,CG$90)</f>
        <v>73550.2592019159</v>
      </c>
      <c r="CH91" s="12" t="n">
        <f aca="false">IF(AND(80=p_MesCorte,ISNUMBER(r_S_CAJA)),r_S_CAJA,CH$90)</f>
        <v>73550.2592019159</v>
      </c>
      <c r="CI91" s="12" t="n">
        <f aca="false">IF(AND(81=p_MesCorte,ISNUMBER(r_S_CAJA)),r_S_CAJA,CI$90)</f>
        <v>73550.2592019159</v>
      </c>
      <c r="CJ91" s="12" t="n">
        <f aca="false">IF(AND(82=p_MesCorte,ISNUMBER(r_S_CAJA)),r_S_CAJA,CJ$90)</f>
        <v>73550.2592019159</v>
      </c>
      <c r="CK91" s="12" t="n">
        <f aca="false">IF(AND(83=p_MesCorte,ISNUMBER(r_S_CAJA)),r_S_CAJA,CK$90)</f>
        <v>228169.294372476</v>
      </c>
      <c r="CL91" s="12" t="n">
        <f aca="false">IF(AND(84=p_MesCorte,ISNUMBER(r_S_CAJA)),r_S_CAJA,CL$90)</f>
        <v>385209.734714917</v>
      </c>
      <c r="CM91" s="12" t="n">
        <f aca="false">IF(AND(85=p_MesCorte,ISNUMBER(r_S_CAJA)),r_S_CAJA,CM$90)</f>
        <v>542237.637756734</v>
      </c>
      <c r="CN91" s="12" t="n">
        <f aca="false">IF(AND(86=p_MesCorte,ISNUMBER(r_S_CAJA)),r_S_CAJA,CN$90)</f>
        <v>698362.85515354</v>
      </c>
      <c r="CO91" s="12" t="n">
        <f aca="false">IF(AND(87=p_MesCorte,ISNUMBER(r_S_CAJA)),r_S_CAJA,CO$90)</f>
        <v>854488.072550346</v>
      </c>
      <c r="CP91" s="12" t="n">
        <f aca="false">IF(AND(88=p_MesCorte,ISNUMBER(r_S_CAJA)),r_S_CAJA,CP$90)</f>
        <v>74285.761793935</v>
      </c>
      <c r="CQ91" s="12" t="n">
        <f aca="false">IF(AND(89=p_MesCorte,ISNUMBER(r_S_CAJA)),r_S_CAJA,CQ$90)</f>
        <v>74285.761793935</v>
      </c>
      <c r="CR91" s="12" t="n">
        <f aca="false">IF(AND(90=p_MesCorte,ISNUMBER(r_S_CAJA)),r_S_CAJA,CR$90)</f>
        <v>74285.761793935</v>
      </c>
      <c r="CS91" s="12" t="n">
        <f aca="false">IF(AND(91=p_MesCorte,ISNUMBER(r_S_CAJA)),r_S_CAJA,CS$90)</f>
        <v>74285.761793935</v>
      </c>
      <c r="CT91" s="12" t="n">
        <f aca="false">IF(AND(92=p_MesCorte,ISNUMBER(r_S_CAJA)),r_S_CAJA,CT$90)</f>
        <v>74285.761793935</v>
      </c>
      <c r="CU91" s="12" t="n">
        <f aca="false">IF(AND(93=p_MesCorte,ISNUMBER(r_S_CAJA)),r_S_CAJA,CU$90)</f>
        <v>74285.761793935</v>
      </c>
      <c r="CV91" s="12" t="n">
        <f aca="false">IF(AND(94=p_MesCorte,ISNUMBER(r_S_CAJA)),r_S_CAJA,CV$90)</f>
        <v>143247.3879666</v>
      </c>
      <c r="CW91" s="12" t="n">
        <f aca="false">IF(AND(95=p_MesCorte,ISNUMBER(r_S_CAJA)),r_S_CAJA,CW$90)</f>
        <v>304414.267493589</v>
      </c>
      <c r="CX91" s="12" t="n">
        <f aca="false">IF(AND(96=p_MesCorte,ISNUMBER(r_S_CAJA)),r_S_CAJA,CX$90)</f>
        <v>465581.147020578</v>
      </c>
      <c r="CY91" s="12" t="n">
        <f aca="false">IF(AND(97=p_MesCorte,ISNUMBER(r_S_CAJA)),r_S_CAJA,CY$90)</f>
        <v>626735.196510327</v>
      </c>
      <c r="CZ91" s="12" t="n">
        <f aca="false">IF(AND(98=p_MesCorte,ISNUMBER(r_S_CAJA)),r_S_CAJA,CZ$90)</f>
        <v>786965.483318757</v>
      </c>
      <c r="DA91" s="12" t="n">
        <f aca="false">IF(AND(99=p_MesCorte,ISNUMBER(r_S_CAJA)),r_S_CAJA,DA$90)</f>
        <v>947195.770127187</v>
      </c>
      <c r="DB91" s="12" t="n">
        <f aca="false">IF(AND(100=p_MesCorte,ISNUMBER(r_S_CAJA)),r_S_CAJA,DB$90)</f>
        <v>75028.6194118743</v>
      </c>
      <c r="DC91" s="12" t="n">
        <f aca="false">IF(AND(101=p_MesCorte,ISNUMBER(r_S_CAJA)),r_S_CAJA,DC$90)</f>
        <v>75028.6194118744</v>
      </c>
      <c r="DD91" s="12" t="n">
        <f aca="false">IF(AND(102=p_MesCorte,ISNUMBER(r_S_CAJA)),r_S_CAJA,DD$90)</f>
        <v>75028.6194118744</v>
      </c>
      <c r="DE91" s="12" t="n">
        <f aca="false">IF(AND(103=p_MesCorte,ISNUMBER(r_S_CAJA)),r_S_CAJA,DE$90)</f>
        <v>75028.6194118744</v>
      </c>
      <c r="DF91" s="12" t="n">
        <f aca="false">IF(AND(104=p_MesCorte,ISNUMBER(r_S_CAJA)),r_S_CAJA,DF$90)</f>
        <v>75028.6194118744</v>
      </c>
      <c r="DG91" s="12" t="n">
        <f aca="false">IF(AND(105=p_MesCorte,ISNUMBER(r_S_CAJA)),r_S_CAJA,DG$90)</f>
        <v>75028.6194118744</v>
      </c>
      <c r="DH91" s="12" t="n">
        <f aca="false">IF(AND(106=p_MesCorte,ISNUMBER(r_S_CAJA)),r_S_CAJA,DH$90)</f>
        <v>215282.978671273</v>
      </c>
      <c r="DI91" s="12" t="n">
        <f aca="false">IF(AND(107=p_MesCorte,ISNUMBER(r_S_CAJA)),r_S_CAJA,DI$90)</f>
        <v>380605.344231188</v>
      </c>
      <c r="DJ91" s="12" t="n">
        <f aca="false">IF(AND(108=p_MesCorte,ISNUMBER(r_S_CAJA)),r_S_CAJA,DJ$90)</f>
        <v>545927.709791102</v>
      </c>
      <c r="DK91" s="12" t="n">
        <f aca="false">IF(AND(109=p_MesCorte,ISNUMBER(r_S_CAJA)),r_S_CAJA,DK$90)</f>
        <v>711236.944415233</v>
      </c>
      <c r="DL91" s="12" t="n">
        <f aca="false">IF(AND(110=p_MesCorte,ISNUMBER(r_S_CAJA)),r_S_CAJA,DL$90)</f>
        <v>875600.751662932</v>
      </c>
      <c r="DM91" s="12" t="n">
        <f aca="false">IF(AND(111=p_MesCorte,ISNUMBER(r_S_CAJA)),r_S_CAJA,DM$90)</f>
        <v>1039964.55891063</v>
      </c>
      <c r="DN91" s="12" t="n">
        <f aca="false">IF(AND(112=p_MesCorte,ISNUMBER(r_S_CAJA)),r_S_CAJA,DN$90)</f>
        <v>75778.905605993</v>
      </c>
      <c r="DO91" s="12" t="n">
        <f aca="false">IF(AND(113=p_MesCorte,ISNUMBER(r_S_CAJA)),r_S_CAJA,DO$90)</f>
        <v>75778.9056059931</v>
      </c>
      <c r="DP91" s="12" t="n">
        <f aca="false">IF(AND(114=p_MesCorte,ISNUMBER(r_S_CAJA)),r_S_CAJA,DP$90)</f>
        <v>75778.9056059931</v>
      </c>
      <c r="DQ91" s="12" t="n">
        <f aca="false">IF(AND(115=p_MesCorte,ISNUMBER(r_S_CAJA)),r_S_CAJA,DQ$90)</f>
        <v>75778.9056059931</v>
      </c>
      <c r="DR91" s="12" t="n">
        <f aca="false">IF(AND(116=p_MesCorte,ISNUMBER(r_S_CAJA)),r_S_CAJA,DR$90)</f>
        <v>89048.1334246718</v>
      </c>
      <c r="DS91" s="12" t="n">
        <f aca="false">IF(AND(117=p_MesCorte,ISNUMBER(r_S_CAJA)),r_S_CAJA,DS$90)</f>
        <v>697960.712106712</v>
      </c>
      <c r="DT91" s="12" t="n">
        <f aca="false">IF(AND(118=p_MesCorte,ISNUMBER(r_S_CAJA)),r_S_CAJA,DT$90)</f>
        <v>1323557.60284859</v>
      </c>
      <c r="DU91" s="12" t="n">
        <f aca="false">IF(AND(119=p_MesCorte,ISNUMBER(r_S_CAJA)),r_S_CAJA,DU$90)</f>
        <v>1949154.49359047</v>
      </c>
      <c r="DV91" s="12" t="n">
        <f aca="false">IF(AND(120=p_MesCorte,ISNUMBER(r_S_CAJA)),r_S_CAJA,DV$90)</f>
        <v>2574874.46451807</v>
      </c>
      <c r="DW91" s="12" t="n">
        <f aca="false">IF(AND(121=p_MesCorte,ISNUMBER(r_S_CAJA)),r_S_CAJA,DW$90)</f>
        <v>2574874.46451807</v>
      </c>
      <c r="DX91" s="12" t="n">
        <f aca="false">IF(AND(122=p_MesCorte,ISNUMBER(r_S_CAJA)),r_S_CAJA,DX$90)</f>
        <v>2574874.46451807</v>
      </c>
      <c r="DY91" s="12" t="n">
        <f aca="false">IF(AND(123=p_MesCorte,ISNUMBER(r_S_CAJA)),r_S_CAJA,DY$90)</f>
        <v>2574874.46451807</v>
      </c>
      <c r="DZ91" s="12" t="n">
        <f aca="false">IF(AND(124=p_MesCorte,ISNUMBER(r_S_CAJA)),r_S_CAJA,DZ$90)</f>
        <v>2574874.46451807</v>
      </c>
      <c r="EA91" s="12" t="n">
        <f aca="false">IF(AND(125=p_MesCorte,ISNUMBER(r_S_CAJA)),r_S_CAJA,EA$90)</f>
        <v>2574874.46451807</v>
      </c>
      <c r="EB91" s="12" t="n">
        <f aca="false">IF(AND(126=p_MesCorte,ISNUMBER(r_S_CAJA)),r_S_CAJA,EB$90)</f>
        <v>2574874.46451807</v>
      </c>
      <c r="EC91" s="12" t="n">
        <f aca="false">IF(AND(127=p_MesCorte,ISNUMBER(r_S_CAJA)),r_S_CAJA,EC$90)</f>
        <v>2574874.46451807</v>
      </c>
      <c r="ED91" s="12" t="n">
        <f aca="false">IF(AND(128=p_MesCorte,ISNUMBER(r_S_CAJA)),r_S_CAJA,ED$90)</f>
        <v>2574874.46451807</v>
      </c>
      <c r="EE91" s="12" t="n">
        <f aca="false">IF(AND(129=p_MesCorte,ISNUMBER(r_S_CAJA)),r_S_CAJA,EE$90)</f>
        <v>2574874.46451807</v>
      </c>
      <c r="EF91" s="12" t="n">
        <f aca="false">IF(AND(130=p_MesCorte,ISNUMBER(r_S_CAJA)),r_S_CAJA,EF$90)</f>
        <v>2574874.46451807</v>
      </c>
      <c r="EG91" s="12" t="n">
        <f aca="false">IF(AND(131=p_MesCorte,ISNUMBER(r_S_CAJA)),r_S_CAJA,EG$90)</f>
        <v>2574874.46451807</v>
      </c>
      <c r="EH91" s="12" t="n">
        <f aca="false">IF(AND(132=p_MesCorte,ISNUMBER(r_S_CAJA)),r_S_CAJA,EH$90)</f>
        <v>2574874.46451807</v>
      </c>
      <c r="EI91" s="12" t="n">
        <f aca="false">IF(AND(133=p_MesCorte,ISNUMBER(r_S_CAJA)),r_S_CAJA,EI$90)</f>
        <v>2574874.46451807</v>
      </c>
      <c r="EJ91" s="12" t="n">
        <f aca="false">IF(AND(134=p_MesCorte,ISNUMBER(r_S_CAJA)),r_S_CAJA,EJ$90)</f>
        <v>2574874.46451807</v>
      </c>
      <c r="EK91" s="12" t="n">
        <f aca="false">IF(AND(135=p_MesCorte,ISNUMBER(r_S_CAJA)),r_S_CAJA,EK$90)</f>
        <v>2574874.46451807</v>
      </c>
      <c r="EL91" s="12" t="n">
        <f aca="false">IF(AND(136=p_MesCorte,ISNUMBER(r_S_CAJA)),r_S_CAJA,EL$90)</f>
        <v>2574874.46451807</v>
      </c>
      <c r="EM91" s="12" t="n">
        <f aca="false">IF(AND(137=p_MesCorte,ISNUMBER(r_S_CAJA)),r_S_CAJA,EM$90)</f>
        <v>2574874.46451807</v>
      </c>
      <c r="EN91" s="12" t="n">
        <f aca="false">IF(AND(138=p_MesCorte,ISNUMBER(r_S_CAJA)),r_S_CAJA,EN$90)</f>
        <v>2574874.46451807</v>
      </c>
      <c r="EO91" s="12" t="n">
        <f aca="false">IF(AND(139=p_MesCorte,ISNUMBER(r_S_CAJA)),r_S_CAJA,EO$90)</f>
        <v>2574874.46451807</v>
      </c>
      <c r="EP91" s="12" t="n">
        <f aca="false">IF(AND(140=p_MesCorte,ISNUMBER(r_S_CAJA)),r_S_CAJA,EP$90)</f>
        <v>2574874.46451807</v>
      </c>
      <c r="EQ91" s="12" t="n">
        <f aca="false">IF(AND(141=p_MesCorte,ISNUMBER(r_S_CAJA)),r_S_CAJA,EQ$90)</f>
        <v>2574874.46451807</v>
      </c>
      <c r="ER91" s="12" t="n">
        <f aca="false">IF(AND(142=p_MesCorte,ISNUMBER(r_S_CAJA)),r_S_CAJA,ER$90)</f>
        <v>2574874.46451807</v>
      </c>
      <c r="ES91" s="12" t="n">
        <f aca="false">IF(AND(143=p_MesCorte,ISNUMBER(r_S_CAJA)),r_S_CAJA,ES$90)</f>
        <v>2574874.46451807</v>
      </c>
      <c r="ET91" s="12" t="n">
        <f aca="false">IF(AND(144=p_MesCorte,ISNUMBER(r_S_CAJA)),r_S_CAJA,ET$90)</f>
        <v>2574874.46451807</v>
      </c>
      <c r="EU91" s="12" t="n">
        <f aca="false">IF(AND(145=p_MesCorte,ISNUMBER(r_S_CAJA)),r_S_CAJA,EU$90)</f>
        <v>2574874.46451807</v>
      </c>
      <c r="EV91" s="12" t="n">
        <f aca="false">IF(AND(146=p_MesCorte,ISNUMBER(r_S_CAJA)),r_S_CAJA,EV$90)</f>
        <v>2574874.46451807</v>
      </c>
      <c r="EW91" s="12" t="n">
        <f aca="false">IF(AND(147=p_MesCorte,ISNUMBER(r_S_CAJA)),r_S_CAJA,EW$90)</f>
        <v>2574874.46451807</v>
      </c>
      <c r="EX91" s="12" t="n">
        <f aca="false">IF(AND(148=p_MesCorte,ISNUMBER(r_S_CAJA)),r_S_CAJA,EX$90)</f>
        <v>2574874.46451807</v>
      </c>
      <c r="EY91" s="12" t="n">
        <f aca="false">IF(AND(149=p_MesCorte,ISNUMBER(r_S_CAJA)),r_S_CAJA,EY$90)</f>
        <v>2574874.46451807</v>
      </c>
      <c r="EZ91" s="12" t="n">
        <f aca="false">IF(AND(150=p_MesCorte,ISNUMBER(r_S_CAJA)),r_S_CAJA,EZ$90)</f>
        <v>2574874.46451807</v>
      </c>
      <c r="FA91" s="12" t="n">
        <f aca="false">IF(AND(151=p_MesCorte,ISNUMBER(r_S_CAJA)),r_S_CAJA,FA$90)</f>
        <v>2574874.46451807</v>
      </c>
      <c r="FB91" s="12" t="n">
        <f aca="false">IF(AND(152=p_MesCorte,ISNUMBER(r_S_CAJA)),r_S_CAJA,FB$90)</f>
        <v>2574874.46451807</v>
      </c>
      <c r="FC91" s="12" t="n">
        <f aca="false">IF(AND(153=p_MesCorte,ISNUMBER(r_S_CAJA)),r_S_CAJA,FC$90)</f>
        <v>2574874.46451807</v>
      </c>
      <c r="FD91" s="12" t="n">
        <f aca="false">IF(AND(154=p_MesCorte,ISNUMBER(r_S_CAJA)),r_S_CAJA,FD$90)</f>
        <v>2574874.46451807</v>
      </c>
      <c r="FE91" s="12" t="n">
        <f aca="false">IF(AND(155=p_MesCorte,ISNUMBER(r_S_CAJA)),r_S_CAJA,FE$90)</f>
        <v>2574874.46451807</v>
      </c>
      <c r="FF91" s="12" t="n">
        <f aca="false">IF(AND(156=p_MesCorte,ISNUMBER(r_S_CAJA)),r_S_CAJA,FF$90)</f>
        <v>2574874.46451807</v>
      </c>
    </row>
    <row r="92" customFormat="false" ht="15" hidden="false" customHeight="false" outlineLevel="0" collapsed="false">
      <c r="A92" s="2" t="s">
        <v>1593</v>
      </c>
      <c r="B92" s="8" t="s">
        <v>1594</v>
      </c>
      <c r="C92" s="8" t="s">
        <v>255</v>
      </c>
      <c r="E92" s="65" t="n">
        <f aca="false">SUM($F92:$FF92)</f>
        <v>0</v>
      </c>
      <c r="F92" s="13" t="n">
        <f aca="false">F$91-F$90</f>
        <v>0</v>
      </c>
      <c r="G92" s="13" t="n">
        <f aca="false">G$91-G$90</f>
        <v>0</v>
      </c>
      <c r="H92" s="13" t="n">
        <f aca="false">H$91-H$90</f>
        <v>0</v>
      </c>
      <c r="I92" s="13" t="n">
        <f aca="false">I$91-I$90</f>
        <v>0</v>
      </c>
      <c r="J92" s="13" t="n">
        <f aca="false">J$91-J$90</f>
        <v>0</v>
      </c>
      <c r="K92" s="13" t="n">
        <f aca="false">K$91-K$90</f>
        <v>0</v>
      </c>
      <c r="L92" s="13" t="n">
        <f aca="false">L$91-L$90</f>
        <v>0</v>
      </c>
      <c r="M92" s="13" t="n">
        <f aca="false">M$91-M$90</f>
        <v>0</v>
      </c>
      <c r="N92" s="13" t="n">
        <f aca="false">N$91-N$90</f>
        <v>0</v>
      </c>
      <c r="O92" s="13" t="n">
        <f aca="false">O$91-O$90</f>
        <v>0</v>
      </c>
      <c r="P92" s="13" t="n">
        <f aca="false">P$91-P$90</f>
        <v>0</v>
      </c>
      <c r="Q92" s="13" t="n">
        <f aca="false">Q$91-Q$90</f>
        <v>0</v>
      </c>
      <c r="R92" s="13" t="n">
        <f aca="false">R$91-R$90</f>
        <v>0</v>
      </c>
      <c r="S92" s="13" t="n">
        <f aca="false">S$91-S$90</f>
        <v>0</v>
      </c>
      <c r="T92" s="13" t="n">
        <f aca="false">T$91-T$90</f>
        <v>0</v>
      </c>
      <c r="U92" s="13" t="n">
        <f aca="false">U$91-U$90</f>
        <v>0</v>
      </c>
      <c r="V92" s="13" t="n">
        <f aca="false">V$91-V$90</f>
        <v>0</v>
      </c>
      <c r="W92" s="13" t="n">
        <f aca="false">W$91-W$90</f>
        <v>0</v>
      </c>
      <c r="X92" s="13" t="n">
        <f aca="false">X$91-X$90</f>
        <v>0</v>
      </c>
      <c r="Y92" s="13" t="n">
        <f aca="false">Y$91-Y$90</f>
        <v>0</v>
      </c>
      <c r="Z92" s="13" t="n">
        <f aca="false">Z$91-Z$90</f>
        <v>0</v>
      </c>
      <c r="AA92" s="13" t="n">
        <f aca="false">AA$91-AA$90</f>
        <v>0</v>
      </c>
      <c r="AB92" s="13" t="n">
        <f aca="false">AB$91-AB$90</f>
        <v>0</v>
      </c>
      <c r="AC92" s="13" t="n">
        <f aca="false">AC$91-AC$90</f>
        <v>0</v>
      </c>
      <c r="AD92" s="13" t="n">
        <f aca="false">AD$91-AD$90</f>
        <v>0</v>
      </c>
      <c r="AE92" s="13" t="n">
        <f aca="false">AE$91-AE$90</f>
        <v>0</v>
      </c>
      <c r="AF92" s="13" t="n">
        <f aca="false">AF$91-AF$90</f>
        <v>0</v>
      </c>
      <c r="AG92" s="13" t="n">
        <f aca="false">AG$91-AG$90</f>
        <v>0</v>
      </c>
      <c r="AH92" s="13" t="n">
        <f aca="false">AH$91-AH$90</f>
        <v>0</v>
      </c>
      <c r="AI92" s="13" t="n">
        <f aca="false">AI$91-AI$90</f>
        <v>0</v>
      </c>
      <c r="AJ92" s="13" t="n">
        <f aca="false">AJ$91-AJ$90</f>
        <v>0</v>
      </c>
      <c r="AK92" s="13" t="n">
        <f aca="false">AK$91-AK$90</f>
        <v>0</v>
      </c>
      <c r="AL92" s="13" t="n">
        <f aca="false">AL$91-AL$90</f>
        <v>0</v>
      </c>
      <c r="AM92" s="13" t="n">
        <f aca="false">AM$91-AM$90</f>
        <v>0</v>
      </c>
      <c r="AN92" s="13" t="n">
        <f aca="false">AN$91-AN$90</f>
        <v>0</v>
      </c>
      <c r="AO92" s="13" t="n">
        <f aca="false">AO$91-AO$90</f>
        <v>0</v>
      </c>
      <c r="AP92" s="13" t="n">
        <f aca="false">AP$91-AP$90</f>
        <v>0</v>
      </c>
      <c r="AQ92" s="13" t="n">
        <f aca="false">AQ$91-AQ$90</f>
        <v>0</v>
      </c>
      <c r="AR92" s="13" t="n">
        <f aca="false">AR$91-AR$90</f>
        <v>0</v>
      </c>
      <c r="AS92" s="13" t="n">
        <f aca="false">AS$91-AS$90</f>
        <v>0</v>
      </c>
      <c r="AT92" s="13" t="n">
        <f aca="false">AT$91-AT$90</f>
        <v>0</v>
      </c>
      <c r="AU92" s="13" t="n">
        <f aca="false">AU$91-AU$90</f>
        <v>0</v>
      </c>
      <c r="AV92" s="13" t="n">
        <f aca="false">AV$91-AV$90</f>
        <v>0</v>
      </c>
      <c r="AW92" s="13" t="n">
        <f aca="false">AW$91-AW$90</f>
        <v>0</v>
      </c>
      <c r="AX92" s="13" t="n">
        <f aca="false">AX$91-AX$90</f>
        <v>0</v>
      </c>
      <c r="AY92" s="13" t="n">
        <f aca="false">AY$91-AY$90</f>
        <v>0</v>
      </c>
      <c r="AZ92" s="13" t="n">
        <f aca="false">AZ$91-AZ$90</f>
        <v>0</v>
      </c>
      <c r="BA92" s="13" t="n">
        <f aca="false">BA$91-BA$90</f>
        <v>0</v>
      </c>
      <c r="BB92" s="13" t="n">
        <f aca="false">BB$91-BB$90</f>
        <v>0</v>
      </c>
      <c r="BC92" s="13" t="n">
        <f aca="false">BC$91-BC$90</f>
        <v>0</v>
      </c>
      <c r="BD92" s="13" t="n">
        <f aca="false">BD$91-BD$90</f>
        <v>0</v>
      </c>
      <c r="BE92" s="13" t="n">
        <f aca="false">BE$91-BE$90</f>
        <v>0</v>
      </c>
      <c r="BF92" s="13" t="n">
        <f aca="false">BF$91-BF$90</f>
        <v>0</v>
      </c>
      <c r="BG92" s="13" t="n">
        <f aca="false">BG$91-BG$90</f>
        <v>0</v>
      </c>
      <c r="BH92" s="13" t="n">
        <f aca="false">BH$91-BH$90</f>
        <v>0</v>
      </c>
      <c r="BI92" s="13" t="n">
        <f aca="false">BI$91-BI$90</f>
        <v>0</v>
      </c>
      <c r="BJ92" s="13" t="n">
        <f aca="false">BJ$91-BJ$90</f>
        <v>0</v>
      </c>
      <c r="BK92" s="13" t="n">
        <f aca="false">BK$91-BK$90</f>
        <v>0</v>
      </c>
      <c r="BL92" s="13" t="n">
        <f aca="false">BL$91-BL$90</f>
        <v>0</v>
      </c>
      <c r="BM92" s="13" t="n">
        <f aca="false">BM$91-BM$90</f>
        <v>0</v>
      </c>
      <c r="BN92" s="13" t="n">
        <f aca="false">BN$91-BN$90</f>
        <v>0</v>
      </c>
      <c r="BO92" s="13" t="n">
        <f aca="false">BO$91-BO$90</f>
        <v>0</v>
      </c>
      <c r="BP92" s="13" t="n">
        <f aca="false">BP$91-BP$90</f>
        <v>0</v>
      </c>
      <c r="BQ92" s="13" t="n">
        <f aca="false">BQ$91-BQ$90</f>
        <v>0</v>
      </c>
      <c r="BR92" s="13" t="n">
        <f aca="false">BR$91-BR$90</f>
        <v>0</v>
      </c>
      <c r="BS92" s="13" t="n">
        <f aca="false">BS$91-BS$90</f>
        <v>0</v>
      </c>
      <c r="BT92" s="13" t="n">
        <f aca="false">BT$91-BT$90</f>
        <v>0</v>
      </c>
      <c r="BU92" s="13" t="n">
        <f aca="false">BU$91-BU$90</f>
        <v>0</v>
      </c>
      <c r="BV92" s="13" t="n">
        <f aca="false">BV$91-BV$90</f>
        <v>0</v>
      </c>
      <c r="BW92" s="13" t="n">
        <f aca="false">BW$91-BW$90</f>
        <v>0</v>
      </c>
      <c r="BX92" s="13" t="n">
        <f aca="false">BX$91-BX$90</f>
        <v>0</v>
      </c>
      <c r="BY92" s="13" t="n">
        <f aca="false">BY$91-BY$90</f>
        <v>0</v>
      </c>
      <c r="BZ92" s="13" t="n">
        <f aca="false">BZ$91-BZ$90</f>
        <v>0</v>
      </c>
      <c r="CA92" s="13" t="n">
        <f aca="false">CA$91-CA$90</f>
        <v>0</v>
      </c>
      <c r="CB92" s="13" t="n">
        <f aca="false">CB$91-CB$90</f>
        <v>0</v>
      </c>
      <c r="CC92" s="13" t="n">
        <f aca="false">CC$91-CC$90</f>
        <v>0</v>
      </c>
      <c r="CD92" s="13" t="n">
        <f aca="false">CD$91-CD$90</f>
        <v>0</v>
      </c>
      <c r="CE92" s="13" t="n">
        <f aca="false">CE$91-CE$90</f>
        <v>0</v>
      </c>
      <c r="CF92" s="13" t="n">
        <f aca="false">CF$91-CF$90</f>
        <v>0</v>
      </c>
      <c r="CG92" s="13" t="n">
        <f aca="false">CG$91-CG$90</f>
        <v>0</v>
      </c>
      <c r="CH92" s="13" t="n">
        <f aca="false">CH$91-CH$90</f>
        <v>0</v>
      </c>
      <c r="CI92" s="13" t="n">
        <f aca="false">CI$91-CI$90</f>
        <v>0</v>
      </c>
      <c r="CJ92" s="13" t="n">
        <f aca="false">CJ$91-CJ$90</f>
        <v>0</v>
      </c>
      <c r="CK92" s="13" t="n">
        <f aca="false">CK$91-CK$90</f>
        <v>0</v>
      </c>
      <c r="CL92" s="13" t="n">
        <f aca="false">CL$91-CL$90</f>
        <v>0</v>
      </c>
      <c r="CM92" s="13" t="n">
        <f aca="false">CM$91-CM$90</f>
        <v>0</v>
      </c>
      <c r="CN92" s="13" t="n">
        <f aca="false">CN$91-CN$90</f>
        <v>0</v>
      </c>
      <c r="CO92" s="13" t="n">
        <f aca="false">CO$91-CO$90</f>
        <v>0</v>
      </c>
      <c r="CP92" s="13" t="n">
        <f aca="false">CP$91-CP$90</f>
        <v>0</v>
      </c>
      <c r="CQ92" s="13" t="n">
        <f aca="false">CQ$91-CQ$90</f>
        <v>0</v>
      </c>
      <c r="CR92" s="13" t="n">
        <f aca="false">CR$91-CR$90</f>
        <v>0</v>
      </c>
      <c r="CS92" s="13" t="n">
        <f aca="false">CS$91-CS$90</f>
        <v>0</v>
      </c>
      <c r="CT92" s="13" t="n">
        <f aca="false">CT$91-CT$90</f>
        <v>0</v>
      </c>
      <c r="CU92" s="13" t="n">
        <f aca="false">CU$91-CU$90</f>
        <v>0</v>
      </c>
      <c r="CV92" s="13" t="n">
        <f aca="false">CV$91-CV$90</f>
        <v>0</v>
      </c>
      <c r="CW92" s="13" t="n">
        <f aca="false">CW$91-CW$90</f>
        <v>0</v>
      </c>
      <c r="CX92" s="13" t="n">
        <f aca="false">CX$91-CX$90</f>
        <v>0</v>
      </c>
      <c r="CY92" s="13" t="n">
        <f aca="false">CY$91-CY$90</f>
        <v>0</v>
      </c>
      <c r="CZ92" s="13" t="n">
        <f aca="false">CZ$91-CZ$90</f>
        <v>0</v>
      </c>
      <c r="DA92" s="13" t="n">
        <f aca="false">DA$91-DA$90</f>
        <v>0</v>
      </c>
      <c r="DB92" s="13" t="n">
        <f aca="false">DB$91-DB$90</f>
        <v>0</v>
      </c>
      <c r="DC92" s="13" t="n">
        <f aca="false">DC$91-DC$90</f>
        <v>0</v>
      </c>
      <c r="DD92" s="13" t="n">
        <f aca="false">DD$91-DD$90</f>
        <v>0</v>
      </c>
      <c r="DE92" s="13" t="n">
        <f aca="false">DE$91-DE$90</f>
        <v>0</v>
      </c>
      <c r="DF92" s="13" t="n">
        <f aca="false">DF$91-DF$90</f>
        <v>0</v>
      </c>
      <c r="DG92" s="13" t="n">
        <f aca="false">DG$91-DG$90</f>
        <v>0</v>
      </c>
      <c r="DH92" s="13" t="n">
        <f aca="false">DH$91-DH$90</f>
        <v>0</v>
      </c>
      <c r="DI92" s="13" t="n">
        <f aca="false">DI$91-DI$90</f>
        <v>0</v>
      </c>
      <c r="DJ92" s="13" t="n">
        <f aca="false">DJ$91-DJ$90</f>
        <v>0</v>
      </c>
      <c r="DK92" s="13" t="n">
        <f aca="false">DK$91-DK$90</f>
        <v>0</v>
      </c>
      <c r="DL92" s="13" t="n">
        <f aca="false">DL$91-DL$90</f>
        <v>0</v>
      </c>
      <c r="DM92" s="13" t="n">
        <f aca="false">DM$91-DM$90</f>
        <v>0</v>
      </c>
      <c r="DN92" s="13" t="n">
        <f aca="false">DN$91-DN$90</f>
        <v>0</v>
      </c>
      <c r="DO92" s="13" t="n">
        <f aca="false">DO$91-DO$90</f>
        <v>0</v>
      </c>
      <c r="DP92" s="13" t="n">
        <f aca="false">DP$91-DP$90</f>
        <v>0</v>
      </c>
      <c r="DQ92" s="13" t="n">
        <f aca="false">DQ$91-DQ$90</f>
        <v>0</v>
      </c>
      <c r="DR92" s="13" t="n">
        <f aca="false">DR$91-DR$90</f>
        <v>0</v>
      </c>
      <c r="DS92" s="13" t="n">
        <f aca="false">DS$91-DS$90</f>
        <v>0</v>
      </c>
      <c r="DT92" s="13" t="n">
        <f aca="false">DT$91-DT$90</f>
        <v>0</v>
      </c>
      <c r="DU92" s="13" t="n">
        <f aca="false">DU$91-DU$90</f>
        <v>0</v>
      </c>
      <c r="DV92" s="13" t="n">
        <f aca="false">DV$91-DV$90</f>
        <v>0</v>
      </c>
      <c r="DW92" s="13" t="n">
        <f aca="false">DW$91-DW$90</f>
        <v>0</v>
      </c>
      <c r="DX92" s="13" t="n">
        <f aca="false">DX$91-DX$90</f>
        <v>0</v>
      </c>
      <c r="DY92" s="13" t="n">
        <f aca="false">DY$91-DY$90</f>
        <v>0</v>
      </c>
      <c r="DZ92" s="13" t="n">
        <f aca="false">DZ$91-DZ$90</f>
        <v>0</v>
      </c>
      <c r="EA92" s="13" t="n">
        <f aca="false">EA$91-EA$90</f>
        <v>0</v>
      </c>
      <c r="EB92" s="13" t="n">
        <f aca="false">EB$91-EB$90</f>
        <v>0</v>
      </c>
      <c r="EC92" s="13" t="n">
        <f aca="false">EC$91-EC$90</f>
        <v>0</v>
      </c>
      <c r="ED92" s="13" t="n">
        <f aca="false">ED$91-ED$90</f>
        <v>0</v>
      </c>
      <c r="EE92" s="13" t="n">
        <f aca="false">EE$91-EE$90</f>
        <v>0</v>
      </c>
      <c r="EF92" s="13" t="n">
        <f aca="false">EF$91-EF$90</f>
        <v>0</v>
      </c>
      <c r="EG92" s="13" t="n">
        <f aca="false">EG$91-EG$90</f>
        <v>0</v>
      </c>
      <c r="EH92" s="13" t="n">
        <f aca="false">EH$91-EH$90</f>
        <v>0</v>
      </c>
      <c r="EI92" s="13" t="n">
        <f aca="false">EI$91-EI$90</f>
        <v>0</v>
      </c>
      <c r="EJ92" s="13" t="n">
        <f aca="false">EJ$91-EJ$90</f>
        <v>0</v>
      </c>
      <c r="EK92" s="13" t="n">
        <f aca="false">EK$91-EK$90</f>
        <v>0</v>
      </c>
      <c r="EL92" s="13" t="n">
        <f aca="false">EL$91-EL$90</f>
        <v>0</v>
      </c>
      <c r="EM92" s="13" t="n">
        <f aca="false">EM$91-EM$90</f>
        <v>0</v>
      </c>
      <c r="EN92" s="13" t="n">
        <f aca="false">EN$91-EN$90</f>
        <v>0</v>
      </c>
      <c r="EO92" s="13" t="n">
        <f aca="false">EO$91-EO$90</f>
        <v>0</v>
      </c>
      <c r="EP92" s="13" t="n">
        <f aca="false">EP$91-EP$90</f>
        <v>0</v>
      </c>
      <c r="EQ92" s="13" t="n">
        <f aca="false">EQ$91-EQ$90</f>
        <v>0</v>
      </c>
      <c r="ER92" s="13" t="n">
        <f aca="false">ER$91-ER$90</f>
        <v>0</v>
      </c>
      <c r="ES92" s="13" t="n">
        <f aca="false">ES$91-ES$90</f>
        <v>0</v>
      </c>
      <c r="ET92" s="13" t="n">
        <f aca="false">ET$91-ET$90</f>
        <v>0</v>
      </c>
      <c r="EU92" s="13" t="n">
        <f aca="false">EU$91-EU$90</f>
        <v>0</v>
      </c>
      <c r="EV92" s="13" t="n">
        <f aca="false">EV$91-EV$90</f>
        <v>0</v>
      </c>
      <c r="EW92" s="13" t="n">
        <f aca="false">EW$91-EW$90</f>
        <v>0</v>
      </c>
      <c r="EX92" s="13" t="n">
        <f aca="false">EX$91-EX$90</f>
        <v>0</v>
      </c>
      <c r="EY92" s="13" t="n">
        <f aca="false">EY$91-EY$90</f>
        <v>0</v>
      </c>
      <c r="EZ92" s="13" t="n">
        <f aca="false">EZ$91-EZ$90</f>
        <v>0</v>
      </c>
      <c r="FA92" s="13" t="n">
        <f aca="false">FA$91-FA$90</f>
        <v>0</v>
      </c>
      <c r="FB92" s="13" t="n">
        <f aca="false">FB$91-FB$90</f>
        <v>0</v>
      </c>
      <c r="FC92" s="13" t="n">
        <f aca="false">FC$91-FC$90</f>
        <v>0</v>
      </c>
      <c r="FD92" s="13" t="n">
        <f aca="false">FD$91-FD$90</f>
        <v>0</v>
      </c>
      <c r="FE92" s="13" t="n">
        <f aca="false">FE$91-FE$90</f>
        <v>0</v>
      </c>
      <c r="FF92" s="13" t="n">
        <f aca="false">FF$91-FF$90</f>
        <v>0</v>
      </c>
    </row>
    <row r="93" customFormat="false" ht="15" hidden="false" customHeight="false" outlineLevel="0" collapsed="false">
      <c r="A93" s="2" t="s">
        <v>1595</v>
      </c>
      <c r="B93" s="66" t="s">
        <v>1596</v>
      </c>
      <c r="C93" s="8" t="s">
        <v>255</v>
      </c>
      <c r="E93" s="67" t="n">
        <f aca="false">MAX($F93:$FF93)</f>
        <v>589308.477036784</v>
      </c>
      <c r="F93" s="12" t="n">
        <f aca="false">MAX(0,F$74-F$91)*Calendario!F$13</f>
        <v>0</v>
      </c>
      <c r="G93" s="12" t="n">
        <f aca="false">MAX(0,G$74-G$91)*Calendario!G$13</f>
        <v>0</v>
      </c>
      <c r="H93" s="12" t="n">
        <f aca="false">MAX(0,H$74-H$91)*Calendario!H$13</f>
        <v>0</v>
      </c>
      <c r="I93" s="12" t="n">
        <f aca="false">MAX(0,I$74-I$91)*Calendario!I$13</f>
        <v>0</v>
      </c>
      <c r="J93" s="12" t="n">
        <f aca="false">MAX(0,J$74-J$91)*Calendario!J$13</f>
        <v>0</v>
      </c>
      <c r="K93" s="12" t="n">
        <f aca="false">MAX(0,K$74-K$91)*Calendario!K$13</f>
        <v>0</v>
      </c>
      <c r="L93" s="12" t="n">
        <f aca="false">MAX(0,L$74-L$91)*Calendario!L$13</f>
        <v>0</v>
      </c>
      <c r="M93" s="12" t="n">
        <f aca="false">MAX(0,M$74-M$91)*Calendario!M$13</f>
        <v>0</v>
      </c>
      <c r="N93" s="12" t="n">
        <f aca="false">MAX(0,N$74-N$91)*Calendario!N$13</f>
        <v>0</v>
      </c>
      <c r="O93" s="12" t="n">
        <f aca="false">MAX(0,O$74-O$91)*Calendario!O$13</f>
        <v>0</v>
      </c>
      <c r="P93" s="12" t="n">
        <f aca="false">MAX(0,P$74-P$91)*Calendario!P$13</f>
        <v>0</v>
      </c>
      <c r="Q93" s="12" t="n">
        <f aca="false">MAX(0,Q$74-Q$91)*Calendario!Q$13</f>
        <v>0</v>
      </c>
      <c r="R93" s="12" t="n">
        <f aca="false">MAX(0,R$74-R$91)*Calendario!R$13</f>
        <v>73603.5199840686</v>
      </c>
      <c r="S93" s="12" t="n">
        <f aca="false">MAX(0,S$74-S$91)*Calendario!S$13</f>
        <v>0</v>
      </c>
      <c r="T93" s="12" t="n">
        <f aca="false">MAX(0,T$74-T$91)*Calendario!T$13</f>
        <v>0</v>
      </c>
      <c r="U93" s="12" t="n">
        <f aca="false">MAX(0,U$74-U$91)*Calendario!U$13</f>
        <v>94216.6630529512</v>
      </c>
      <c r="V93" s="12" t="n">
        <f aca="false">MAX(0,V$74-V$91)*Calendario!V$13</f>
        <v>183435.938509979</v>
      </c>
      <c r="W93" s="12" t="n">
        <f aca="false">MAX(0,W$74-W$91)*Calendario!W$13</f>
        <v>167766.629369101</v>
      </c>
      <c r="X93" s="12" t="n">
        <f aca="false">MAX(0,X$74-X$91)*Calendario!X$13</f>
        <v>152063.276725286</v>
      </c>
      <c r="Y93" s="12" t="n">
        <f aca="false">MAX(0,Y$74-Y$91)*Calendario!Y$13</f>
        <v>136325.625252261</v>
      </c>
      <c r="Z93" s="12" t="n">
        <f aca="false">MAX(0,Z$74-Z$91)*Calendario!Z$13</f>
        <v>140996.359238176</v>
      </c>
      <c r="AA93" s="12" t="n">
        <f aca="false">MAX(0,AA$74-AA$91)*Calendario!AA$13</f>
        <v>190441.995774398</v>
      </c>
      <c r="AB93" s="12" t="n">
        <f aca="false">MAX(0,AB$74-AB$91)*Calendario!AB$13</f>
        <v>242381.519418057</v>
      </c>
      <c r="AC93" s="12" t="n">
        <f aca="false">MAX(0,AC$74-AC$91)*Calendario!AC$13</f>
        <v>294285.703633787</v>
      </c>
      <c r="AD93" s="12" t="n">
        <f aca="false">MAX(0,AD$74-AD$91)*Calendario!AD$13</f>
        <v>346172.133252781</v>
      </c>
      <c r="AE93" s="12" t="n">
        <f aca="false">MAX(0,AE$74-AE$91)*Calendario!AE$13</f>
        <v>414005.298071976</v>
      </c>
      <c r="AF93" s="12" t="n">
        <f aca="false">MAX(0,AF$74-AF$91)*Calendario!AF$13</f>
        <v>474542.158679199</v>
      </c>
      <c r="AG93" s="12" t="n">
        <f aca="false">MAX(0,AG$74-AG$91)*Calendario!AG$13</f>
        <v>535042.607688852</v>
      </c>
      <c r="AH93" s="12" t="n">
        <f aca="false">MAX(0,AH$74-AH$91)*Calendario!AH$13</f>
        <v>589308.477036784</v>
      </c>
      <c r="AI93" s="12" t="n">
        <f aca="false">MAX(0,AI$74-AI$91)*Calendario!AI$13</f>
        <v>536623.698208866</v>
      </c>
      <c r="AJ93" s="12" t="n">
        <f aca="false">MAX(0,AJ$74-AJ$91)*Calendario!AJ$13</f>
        <v>483901.682362613</v>
      </c>
      <c r="AK93" s="12" t="n">
        <f aca="false">MAX(0,AK$74-AK$91)*Calendario!AK$13</f>
        <v>431142.150220389</v>
      </c>
      <c r="AL93" s="12" t="n">
        <f aca="false">MAX(0,AL$74-AL$91)*Calendario!AL$13</f>
        <v>394877.427608079</v>
      </c>
      <c r="AM93" s="12" t="n">
        <f aca="false">MAX(0,AM$74-AM$91)*Calendario!AM$13</f>
        <v>395459.457129153</v>
      </c>
      <c r="AN93" s="12" t="n">
        <f aca="false">MAX(0,AN$74-AN$91)*Calendario!AN$13</f>
        <v>398085.81097916</v>
      </c>
      <c r="AO93" s="12" t="n">
        <f aca="false">MAX(0,AO$74-AO$91)*Calendario!AO$13</f>
        <v>400673.51031914</v>
      </c>
      <c r="AP93" s="12" t="n">
        <f aca="false">MAX(0,AP$74-AP$91)*Calendario!AP$13</f>
        <v>403236.700688835</v>
      </c>
      <c r="AQ93" s="12" t="n">
        <f aca="false">MAX(0,AQ$74-AQ$91)*Calendario!AQ$13</f>
        <v>419049.493489911</v>
      </c>
      <c r="AR93" s="12" t="n">
        <f aca="false">MAX(0,AR$74-AR$91)*Calendario!AR$13</f>
        <v>428783.569374705</v>
      </c>
      <c r="AS93" s="12" t="n">
        <f aca="false">MAX(0,AS$74-AS$91)*Calendario!AS$13</f>
        <v>438477.818002922</v>
      </c>
      <c r="AT93" s="12" t="n">
        <f aca="false">MAX(0,AT$74-AT$91)*Calendario!AT$13</f>
        <v>442894.961537716</v>
      </c>
      <c r="AU93" s="12" t="n">
        <f aca="false">MAX(0,AU$74-AU$91)*Calendario!AU$13</f>
        <v>356933.788132555</v>
      </c>
      <c r="AV93" s="12" t="n">
        <f aca="false">MAX(0,AV$74-AV$91)*Calendario!AV$13</f>
        <v>270931.884619891</v>
      </c>
      <c r="AW93" s="12" t="n">
        <f aca="false">MAX(0,AW$74-AW$91)*Calendario!AW$13</f>
        <v>184888.945523918</v>
      </c>
      <c r="AX93" s="12" t="n">
        <f aca="false">MAX(0,AX$74-AX$91)*Calendario!AX$13</f>
        <v>98804.6630777621</v>
      </c>
      <c r="AY93" s="12" t="n">
        <f aca="false">MAX(0,AY$74-AY$91)*Calendario!AY$13</f>
        <v>14872.7989318665</v>
      </c>
      <c r="AZ93" s="12" t="n">
        <f aca="false">MAX(0,AZ$74-AZ$91)*Calendario!AZ$13</f>
        <v>0</v>
      </c>
      <c r="BA93" s="12" t="n">
        <f aca="false">MAX(0,BA$74-BA$91)*Calendario!BA$13</f>
        <v>0</v>
      </c>
      <c r="BB93" s="12" t="n">
        <f aca="false">MAX(0,BB$74-BB$91)*Calendario!BB$13</f>
        <v>0</v>
      </c>
      <c r="BC93" s="12" t="n">
        <f aca="false">MAX(0,BC$74-BC$91)*Calendario!BC$13</f>
        <v>0</v>
      </c>
      <c r="BD93" s="12" t="n">
        <f aca="false">MAX(0,BD$74-BD$91)*Calendario!BD$13</f>
        <v>0</v>
      </c>
      <c r="BE93" s="12" t="n">
        <f aca="false">MAX(0,BE$74-BE$91)*Calendario!BE$13</f>
        <v>0</v>
      </c>
      <c r="BF93" s="12" t="n">
        <f aca="false">MAX(0,BF$74-BF$91)*Calendario!BF$13</f>
        <v>0</v>
      </c>
      <c r="BG93" s="12" t="n">
        <f aca="false">MAX(0,BG$74-BG$91)*Calendario!BG$13</f>
        <v>0</v>
      </c>
      <c r="BH93" s="12" t="n">
        <f aca="false">MAX(0,BH$74-BH$91)*Calendario!BH$13</f>
        <v>0</v>
      </c>
      <c r="BI93" s="12" t="n">
        <f aca="false">MAX(0,BI$74-BI$91)*Calendario!BI$13</f>
        <v>0</v>
      </c>
      <c r="BJ93" s="12" t="n">
        <f aca="false">MAX(0,BJ$74-BJ$91)*Calendario!BJ$13</f>
        <v>0</v>
      </c>
      <c r="BK93" s="12" t="n">
        <f aca="false">MAX(0,BK$74-BK$91)*Calendario!BK$13</f>
        <v>0</v>
      </c>
      <c r="BL93" s="12" t="n">
        <f aca="false">MAX(0,BL$74-BL$91)*Calendario!BL$13</f>
        <v>0</v>
      </c>
      <c r="BM93" s="12" t="n">
        <f aca="false">MAX(0,BM$74-BM$91)*Calendario!BM$13</f>
        <v>0</v>
      </c>
      <c r="BN93" s="12" t="n">
        <f aca="false">MAX(0,BN$74-BN$91)*Calendario!BN$13</f>
        <v>0</v>
      </c>
      <c r="BO93" s="12" t="n">
        <f aca="false">MAX(0,BO$74-BO$91)*Calendario!BO$13</f>
        <v>0</v>
      </c>
      <c r="BP93" s="12" t="n">
        <f aca="false">MAX(0,BP$74-BP$91)*Calendario!BP$13</f>
        <v>0</v>
      </c>
      <c r="BQ93" s="12" t="n">
        <f aca="false">MAX(0,BQ$74-BQ$91)*Calendario!BQ$13</f>
        <v>0</v>
      </c>
      <c r="BR93" s="12" t="n">
        <f aca="false">MAX(0,BR$74-BR$91)*Calendario!BR$13</f>
        <v>0</v>
      </c>
      <c r="BS93" s="12" t="n">
        <f aca="false">MAX(0,BS$74-BS$91)*Calendario!BS$13</f>
        <v>0</v>
      </c>
      <c r="BT93" s="12" t="n">
        <f aca="false">MAX(0,BT$74-BT$91)*Calendario!BT$13</f>
        <v>0</v>
      </c>
      <c r="BU93" s="12" t="n">
        <f aca="false">MAX(0,BU$74-BU$91)*Calendario!BU$13</f>
        <v>0</v>
      </c>
      <c r="BV93" s="12" t="n">
        <f aca="false">MAX(0,BV$74-BV$91)*Calendario!BV$13</f>
        <v>0</v>
      </c>
      <c r="BW93" s="12" t="n">
        <f aca="false">MAX(0,BW$74-BW$91)*Calendario!BW$13</f>
        <v>0</v>
      </c>
      <c r="BX93" s="12" t="n">
        <f aca="false">MAX(0,BX$74-BX$91)*Calendario!BX$13</f>
        <v>0</v>
      </c>
      <c r="BY93" s="12" t="n">
        <f aca="false">MAX(0,BY$74-BY$91)*Calendario!BY$13</f>
        <v>0</v>
      </c>
      <c r="BZ93" s="12" t="n">
        <f aca="false">MAX(0,BZ$74-BZ$91)*Calendario!BZ$13</f>
        <v>0</v>
      </c>
      <c r="CA93" s="12" t="n">
        <f aca="false">MAX(0,CA$74-CA$91)*Calendario!CA$13</f>
        <v>0</v>
      </c>
      <c r="CB93" s="12" t="n">
        <f aca="false">MAX(0,CB$74-CB$91)*Calendario!CB$13</f>
        <v>0</v>
      </c>
      <c r="CC93" s="12" t="n">
        <f aca="false">MAX(0,CC$74-CC$91)*Calendario!CC$13</f>
        <v>0</v>
      </c>
      <c r="CD93" s="12" t="n">
        <f aca="false">MAX(0,CD$74-CD$91)*Calendario!CD$13</f>
        <v>0</v>
      </c>
      <c r="CE93" s="12" t="n">
        <f aca="false">MAX(0,CE$74-CE$91)*Calendario!CE$13</f>
        <v>0</v>
      </c>
      <c r="CF93" s="12" t="n">
        <f aca="false">MAX(0,CF$74-CF$91)*Calendario!CF$13</f>
        <v>0</v>
      </c>
      <c r="CG93" s="12" t="n">
        <f aca="false">MAX(0,CG$74-CG$91)*Calendario!CG$13</f>
        <v>0</v>
      </c>
      <c r="CH93" s="12" t="n">
        <f aca="false">MAX(0,CH$74-CH$91)*Calendario!CH$13</f>
        <v>0</v>
      </c>
      <c r="CI93" s="12" t="n">
        <f aca="false">MAX(0,CI$74-CI$91)*Calendario!CI$13</f>
        <v>0</v>
      </c>
      <c r="CJ93" s="12" t="n">
        <f aca="false">MAX(0,CJ$74-CJ$91)*Calendario!CJ$13</f>
        <v>0</v>
      </c>
      <c r="CK93" s="12" t="n">
        <f aca="false">MAX(0,CK$74-CK$91)*Calendario!CK$13</f>
        <v>0</v>
      </c>
      <c r="CL93" s="12" t="n">
        <f aca="false">MAX(0,CL$74-CL$91)*Calendario!CL$13</f>
        <v>0</v>
      </c>
      <c r="CM93" s="12" t="n">
        <f aca="false">MAX(0,CM$74-CM$91)*Calendario!CM$13</f>
        <v>0</v>
      </c>
      <c r="CN93" s="12" t="n">
        <f aca="false">MAX(0,CN$74-CN$91)*Calendario!CN$13</f>
        <v>0</v>
      </c>
      <c r="CO93" s="12" t="n">
        <f aca="false">MAX(0,CO$74-CO$91)*Calendario!CO$13</f>
        <v>0</v>
      </c>
      <c r="CP93" s="12" t="n">
        <f aca="false">MAX(0,CP$74-CP$91)*Calendario!CP$13</f>
        <v>0</v>
      </c>
      <c r="CQ93" s="12" t="n">
        <f aca="false">MAX(0,CQ$74-CQ$91)*Calendario!CQ$13</f>
        <v>0</v>
      </c>
      <c r="CR93" s="12" t="n">
        <f aca="false">MAX(0,CR$74-CR$91)*Calendario!CR$13</f>
        <v>0</v>
      </c>
      <c r="CS93" s="12" t="n">
        <f aca="false">MAX(0,CS$74-CS$91)*Calendario!CS$13</f>
        <v>0</v>
      </c>
      <c r="CT93" s="12" t="n">
        <f aca="false">MAX(0,CT$74-CT$91)*Calendario!CT$13</f>
        <v>0</v>
      </c>
      <c r="CU93" s="12" t="n">
        <f aca="false">MAX(0,CU$74-CU$91)*Calendario!CU$13</f>
        <v>0</v>
      </c>
      <c r="CV93" s="12" t="n">
        <f aca="false">MAX(0,CV$74-CV$91)*Calendario!CV$13</f>
        <v>0</v>
      </c>
      <c r="CW93" s="12" t="n">
        <f aca="false">MAX(0,CW$74-CW$91)*Calendario!CW$13</f>
        <v>0</v>
      </c>
      <c r="CX93" s="12" t="n">
        <f aca="false">MAX(0,CX$74-CX$91)*Calendario!CX$13</f>
        <v>0</v>
      </c>
      <c r="CY93" s="12" t="n">
        <f aca="false">MAX(0,CY$74-CY$91)*Calendario!CY$13</f>
        <v>0</v>
      </c>
      <c r="CZ93" s="12" t="n">
        <f aca="false">MAX(0,CZ$74-CZ$91)*Calendario!CZ$13</f>
        <v>0</v>
      </c>
      <c r="DA93" s="12" t="n">
        <f aca="false">MAX(0,DA$74-DA$91)*Calendario!DA$13</f>
        <v>0</v>
      </c>
      <c r="DB93" s="12" t="n">
        <f aca="false">MAX(0,DB$74-DB$91)*Calendario!DB$13</f>
        <v>0</v>
      </c>
      <c r="DC93" s="12" t="n">
        <f aca="false">MAX(0,DC$74-DC$91)*Calendario!DC$13</f>
        <v>0</v>
      </c>
      <c r="DD93" s="12" t="n">
        <f aca="false">MAX(0,DD$74-DD$91)*Calendario!DD$13</f>
        <v>0</v>
      </c>
      <c r="DE93" s="12" t="n">
        <f aca="false">MAX(0,DE$74-DE$91)*Calendario!DE$13</f>
        <v>0</v>
      </c>
      <c r="DF93" s="12" t="n">
        <f aca="false">MAX(0,DF$74-DF$91)*Calendario!DF$13</f>
        <v>0</v>
      </c>
      <c r="DG93" s="12" t="n">
        <f aca="false">MAX(0,DG$74-DG$91)*Calendario!DG$13</f>
        <v>0</v>
      </c>
      <c r="DH93" s="12" t="n">
        <f aca="false">MAX(0,DH$74-DH$91)*Calendario!DH$13</f>
        <v>0</v>
      </c>
      <c r="DI93" s="12" t="n">
        <f aca="false">MAX(0,DI$74-DI$91)*Calendario!DI$13</f>
        <v>0</v>
      </c>
      <c r="DJ93" s="12" t="n">
        <f aca="false">MAX(0,DJ$74-DJ$91)*Calendario!DJ$13</f>
        <v>0</v>
      </c>
      <c r="DK93" s="12" t="n">
        <f aca="false">MAX(0,DK$74-DK$91)*Calendario!DK$13</f>
        <v>0</v>
      </c>
      <c r="DL93" s="12" t="n">
        <f aca="false">MAX(0,DL$74-DL$91)*Calendario!DL$13</f>
        <v>0</v>
      </c>
      <c r="DM93" s="12" t="n">
        <f aca="false">MAX(0,DM$74-DM$91)*Calendario!DM$13</f>
        <v>0</v>
      </c>
      <c r="DN93" s="12" t="n">
        <f aca="false">MAX(0,DN$74-DN$91)*Calendario!DN$13</f>
        <v>0</v>
      </c>
      <c r="DO93" s="12" t="n">
        <f aca="false">MAX(0,DO$74-DO$91)*Calendario!DO$13</f>
        <v>0</v>
      </c>
      <c r="DP93" s="12" t="n">
        <f aca="false">MAX(0,DP$74-DP$91)*Calendario!DP$13</f>
        <v>0</v>
      </c>
      <c r="DQ93" s="12" t="n">
        <f aca="false">MAX(0,DQ$74-DQ$91)*Calendario!DQ$13</f>
        <v>0</v>
      </c>
      <c r="DR93" s="12" t="n">
        <f aca="false">MAX(0,DR$74-DR$91)*Calendario!DR$13</f>
        <v>0</v>
      </c>
      <c r="DS93" s="12" t="n">
        <f aca="false">MAX(0,DS$74-DS$91)*Calendario!DS$13</f>
        <v>0</v>
      </c>
      <c r="DT93" s="12" t="n">
        <f aca="false">MAX(0,DT$74-DT$91)*Calendario!DT$13</f>
        <v>0</v>
      </c>
      <c r="DU93" s="12" t="n">
        <f aca="false">MAX(0,DU$74-DU$91)*Calendario!DU$13</f>
        <v>0</v>
      </c>
      <c r="DV93" s="12" t="n">
        <f aca="false">MAX(0,DV$74-DV$91)*Calendario!DV$13</f>
        <v>0</v>
      </c>
      <c r="DW93" s="12" t="n">
        <f aca="false">MAX(0,DW$74-DW$91)*Calendario!DW$13</f>
        <v>0</v>
      </c>
      <c r="DX93" s="12" t="n">
        <f aca="false">MAX(0,DX$74-DX$91)*Calendario!DX$13</f>
        <v>0</v>
      </c>
      <c r="DY93" s="12" t="n">
        <f aca="false">MAX(0,DY$74-DY$91)*Calendario!DY$13</f>
        <v>0</v>
      </c>
      <c r="DZ93" s="12" t="n">
        <f aca="false">MAX(0,DZ$74-DZ$91)*Calendario!DZ$13</f>
        <v>0</v>
      </c>
      <c r="EA93" s="12" t="n">
        <f aca="false">MAX(0,EA$74-EA$91)*Calendario!EA$13</f>
        <v>0</v>
      </c>
      <c r="EB93" s="12" t="n">
        <f aca="false">MAX(0,EB$74-EB$91)*Calendario!EB$13</f>
        <v>0</v>
      </c>
      <c r="EC93" s="12" t="n">
        <f aca="false">MAX(0,EC$74-EC$91)*Calendario!EC$13</f>
        <v>0</v>
      </c>
      <c r="ED93" s="12" t="n">
        <f aca="false">MAX(0,ED$74-ED$91)*Calendario!ED$13</f>
        <v>0</v>
      </c>
      <c r="EE93" s="12" t="n">
        <f aca="false">MAX(0,EE$74-EE$91)*Calendario!EE$13</f>
        <v>0</v>
      </c>
      <c r="EF93" s="12" t="n">
        <f aca="false">MAX(0,EF$74-EF$91)*Calendario!EF$13</f>
        <v>0</v>
      </c>
      <c r="EG93" s="12" t="n">
        <f aca="false">MAX(0,EG$74-EG$91)*Calendario!EG$13</f>
        <v>0</v>
      </c>
      <c r="EH93" s="12" t="n">
        <f aca="false">MAX(0,EH$74-EH$91)*Calendario!EH$13</f>
        <v>0</v>
      </c>
      <c r="EI93" s="12" t="n">
        <f aca="false">MAX(0,EI$74-EI$91)*Calendario!EI$13</f>
        <v>0</v>
      </c>
      <c r="EJ93" s="12" t="n">
        <f aca="false">MAX(0,EJ$74-EJ$91)*Calendario!EJ$13</f>
        <v>0</v>
      </c>
      <c r="EK93" s="12" t="n">
        <f aca="false">MAX(0,EK$74-EK$91)*Calendario!EK$13</f>
        <v>0</v>
      </c>
      <c r="EL93" s="12" t="n">
        <f aca="false">MAX(0,EL$74-EL$91)*Calendario!EL$13</f>
        <v>0</v>
      </c>
      <c r="EM93" s="12" t="n">
        <f aca="false">MAX(0,EM$74-EM$91)*Calendario!EM$13</f>
        <v>0</v>
      </c>
      <c r="EN93" s="12" t="n">
        <f aca="false">MAX(0,EN$74-EN$91)*Calendario!EN$13</f>
        <v>0</v>
      </c>
      <c r="EO93" s="12" t="n">
        <f aca="false">MAX(0,EO$74-EO$91)*Calendario!EO$13</f>
        <v>0</v>
      </c>
      <c r="EP93" s="12" t="n">
        <f aca="false">MAX(0,EP$74-EP$91)*Calendario!EP$13</f>
        <v>0</v>
      </c>
      <c r="EQ93" s="12" t="n">
        <f aca="false">MAX(0,EQ$74-EQ$91)*Calendario!EQ$13</f>
        <v>0</v>
      </c>
      <c r="ER93" s="12" t="n">
        <f aca="false">MAX(0,ER$74-ER$91)*Calendario!ER$13</f>
        <v>0</v>
      </c>
      <c r="ES93" s="12" t="n">
        <f aca="false">MAX(0,ES$74-ES$91)*Calendario!ES$13</f>
        <v>0</v>
      </c>
      <c r="ET93" s="12" t="n">
        <f aca="false">MAX(0,ET$74-ET$91)*Calendario!ET$13</f>
        <v>0</v>
      </c>
      <c r="EU93" s="12" t="n">
        <f aca="false">MAX(0,EU$74-EU$91)*Calendario!EU$13</f>
        <v>0</v>
      </c>
      <c r="EV93" s="12" t="n">
        <f aca="false">MAX(0,EV$74-EV$91)*Calendario!EV$13</f>
        <v>0</v>
      </c>
      <c r="EW93" s="12" t="n">
        <f aca="false">MAX(0,EW$74-EW$91)*Calendario!EW$13</f>
        <v>0</v>
      </c>
      <c r="EX93" s="12" t="n">
        <f aca="false">MAX(0,EX$74-EX$91)*Calendario!EX$13</f>
        <v>0</v>
      </c>
      <c r="EY93" s="12" t="n">
        <f aca="false">MAX(0,EY$74-EY$91)*Calendario!EY$13</f>
        <v>0</v>
      </c>
      <c r="EZ93" s="12" t="n">
        <f aca="false">MAX(0,EZ$74-EZ$91)*Calendario!EZ$13</f>
        <v>0</v>
      </c>
      <c r="FA93" s="12" t="n">
        <f aca="false">MAX(0,FA$74-FA$91)*Calendario!FA$13</f>
        <v>0</v>
      </c>
      <c r="FB93" s="12" t="n">
        <f aca="false">MAX(0,FB$74-FB$91)*Calendario!FB$13</f>
        <v>0</v>
      </c>
      <c r="FC93" s="12" t="n">
        <f aca="false">MAX(0,FC$74-FC$91)*Calendario!FC$13</f>
        <v>0</v>
      </c>
      <c r="FD93" s="12" t="n">
        <f aca="false">MAX(0,FD$74-FD$91)*Calendario!FD$13</f>
        <v>0</v>
      </c>
      <c r="FE93" s="12" t="n">
        <f aca="false">MAX(0,FE$74-FE$91)*Calendario!FE$13</f>
        <v>0</v>
      </c>
      <c r="FF93" s="12" t="n">
        <f aca="false">MAX(0,FF$74-FF$91)*Calendario!FF$13</f>
        <v>0</v>
      </c>
    </row>
    <row r="94" customFormat="false" ht="15" hidden="false" customHeight="false" outlineLevel="0" collapsed="false">
      <c r="A94" s="2" t="s">
        <v>1597</v>
      </c>
      <c r="B94" s="8" t="s">
        <v>1598</v>
      </c>
      <c r="C94" s="8" t="s">
        <v>255</v>
      </c>
      <c r="E94" s="65" t="n">
        <f aca="false">MIN($F94:$FF94)</f>
        <v>-1467057.88251624</v>
      </c>
      <c r="F94" s="13" t="n">
        <f aca="false">0+(F$57-F$58+Deuda_Tributos!F$24-Deuda_Tributos!F$27-Deuda_Tributos!F$26-Deuda_Tributos!F$28-Deuda_Tributos!F$29+Deuda_Tributos!F$49)*Calendario!F$13</f>
        <v>1272400.61780822</v>
      </c>
      <c r="G94" s="13" t="n">
        <f aca="false">F$94+(G$57-G$58+Deuda_Tributos!G$24-Deuda_Tributos!G$27-Deuda_Tributos!G$26-Deuda_Tributos!G$28-Deuda_Tributos!G$29+Deuda_Tributos!G$49)*Calendario!G$13</f>
        <v>918006.225381773</v>
      </c>
      <c r="H94" s="13" t="n">
        <f aca="false">G$94+(H$57-H$58+Deuda_Tributos!H$24-Deuda_Tributos!H$27-Deuda_Tributos!H$26-Deuda_Tributos!H$28-Deuda_Tributos!H$29+Deuda_Tributos!H$49)*Calendario!H$13</f>
        <v>528442.296215081</v>
      </c>
      <c r="I94" s="13" t="n">
        <f aca="false">H$94+(I$57-I$58+Deuda_Tributos!I$24-Deuda_Tributos!I$27-Deuda_Tributos!I$26-Deuda_Tributos!I$28-Deuda_Tributos!I$29+Deuda_Tributos!I$49)*Calendario!I$13</f>
        <v>143742.53696845</v>
      </c>
      <c r="J94" s="13" t="n">
        <f aca="false">I$94+(J$57-J$58+Deuda_Tributos!J$24-Deuda_Tributos!J$27-Deuda_Tributos!J$26-Deuda_Tributos!J$28-Deuda_Tributos!J$29+Deuda_Tributos!J$49)*Calendario!J$13</f>
        <v>-218811.103556721</v>
      </c>
      <c r="K94" s="13" t="n">
        <f aca="false">J$94+(K$57-K$58+Deuda_Tributos!K$24-Deuda_Tributos!K$27-Deuda_Tributos!K$26-Deuda_Tributos!K$28-Deuda_Tributos!K$29+Deuda_Tributos!K$49)*Calendario!K$13</f>
        <v>-199344.196136686</v>
      </c>
      <c r="L94" s="13" t="n">
        <f aca="false">K$94+(L$57-L$58+Deuda_Tributos!L$24-Deuda_Tributos!L$27-Deuda_Tributos!L$26-Deuda_Tributos!L$28-Deuda_Tributos!L$29+Deuda_Tributos!L$49)*Calendario!L$13</f>
        <v>-179877.288716651</v>
      </c>
      <c r="M94" s="13" t="n">
        <f aca="false">L$94+(M$57-M$58+Deuda_Tributos!M$24-Deuda_Tributos!M$27-Deuda_Tributos!M$26-Deuda_Tributos!M$28-Deuda_Tributos!M$29+Deuda_Tributos!M$49)*Calendario!M$13</f>
        <v>-202533.685391303</v>
      </c>
      <c r="N94" s="13" t="n">
        <f aca="false">M$94+(N$57-N$58+Deuda_Tributos!N$24-Deuda_Tributos!N$27-Deuda_Tributos!N$26-Deuda_Tributos!N$28-Deuda_Tributos!N$29+Deuda_Tributos!N$49)*Calendario!N$13</f>
        <v>-245495.766337745</v>
      </c>
      <c r="O94" s="13" t="n">
        <f aca="false">N$94+(O$57-O$58+Deuda_Tributos!O$24-Deuda_Tributos!O$27-Deuda_Tributos!O$26-Deuda_Tributos!O$28-Deuda_Tributos!O$29+Deuda_Tributos!O$49)*Calendario!O$13</f>
        <v>-332673.79821555</v>
      </c>
      <c r="P94" s="13" t="n">
        <f aca="false">O$94+(P$57-P$58+Deuda_Tributos!P$24-Deuda_Tributos!P$27-Deuda_Tributos!P$26-Deuda_Tributos!P$28-Deuda_Tributos!P$29+Deuda_Tributos!P$49)*Calendario!P$13</f>
        <v>-422316.50443149</v>
      </c>
      <c r="Q94" s="13" t="n">
        <f aca="false">P$94+(Q$57-Q$58+Deuda_Tributos!Q$24-Deuda_Tributos!Q$27-Deuda_Tributos!Q$26-Deuda_Tributos!Q$28-Deuda_Tributos!Q$29+Deuda_Tributos!Q$49)*Calendario!Q$13</f>
        <v>-511926.901994043</v>
      </c>
      <c r="R94" s="13" t="n">
        <f aca="false">Q$94+(R$57-R$58+Deuda_Tributos!R$24-Deuda_Tributos!R$27-Deuda_Tributos!R$26-Deuda_Tributos!R$28-Deuda_Tributos!R$29+Deuda_Tributos!R$49)*Calendario!R$13</f>
        <v>-601522.506285439</v>
      </c>
      <c r="S94" s="13" t="n">
        <f aca="false">R$94+(S$57-S$58+Deuda_Tributos!S$24-Deuda_Tributos!S$27-Deuda_Tributos!S$26-Deuda_Tributos!S$28-Deuda_Tributos!S$29+Deuda_Tributos!S$49)*Calendario!S$13</f>
        <v>-792426.28500326</v>
      </c>
      <c r="T94" s="13" t="n">
        <f aca="false">S$94+(T$57-T$58+Deuda_Tributos!T$24-Deuda_Tributos!T$27-Deuda_Tributos!T$26-Deuda_Tributos!T$28-Deuda_Tributos!T$29+Deuda_Tributos!T$49)*Calendario!T$13</f>
        <v>-887790.926683174</v>
      </c>
      <c r="U94" s="13" t="n">
        <f aca="false">T$94+(U$57-U$58+Deuda_Tributos!U$24-Deuda_Tributos!U$27-Deuda_Tributos!U$26-Deuda_Tributos!U$28-Deuda_Tributos!U$29+Deuda_Tributos!U$49)*Calendario!U$13</f>
        <v>-983122.279491307</v>
      </c>
      <c r="V94" s="13" t="n">
        <f aca="false">U$94+(V$57-V$58+Deuda_Tributos!V$24-Deuda_Tributos!V$27-Deuda_Tributos!V$26-Deuda_Tributos!V$28-Deuda_Tributos!V$29+Deuda_Tributos!V$49)*Calendario!V$13</f>
        <v>-1072341.55494834</v>
      </c>
      <c r="W94" s="13" t="n">
        <f aca="false">V$94+(W$57-W$58+Deuda_Tributos!W$24-Deuda_Tributos!W$27-Deuda_Tributos!W$26-Deuda_Tributos!W$28-Deuda_Tributos!W$29+Deuda_Tributos!W$49)*Calendario!W$13</f>
        <v>-1056672.24580746</v>
      </c>
      <c r="X94" s="13" t="n">
        <f aca="false">W$94+(X$57-X$58+Deuda_Tributos!X$24-Deuda_Tributos!X$27-Deuda_Tributos!X$26-Deuda_Tributos!X$28-Deuda_Tributos!X$29+Deuda_Tributos!X$49)*Calendario!X$13</f>
        <v>-1040968.89316364</v>
      </c>
      <c r="Y94" s="13" t="n">
        <f aca="false">X$94+(Y$57-Y$58+Deuda_Tributos!Y$24-Deuda_Tributos!Y$27-Deuda_Tributos!Y$26-Deuda_Tributos!Y$28-Deuda_Tributos!Y$29+Deuda_Tributos!Y$49)*Calendario!Y$13</f>
        <v>-1025231.24169062</v>
      </c>
      <c r="Z94" s="13" t="n">
        <f aca="false">Y$94+(Z$57-Z$58+Deuda_Tributos!Z$24-Deuda_Tributos!Z$27-Deuda_Tributos!Z$26-Deuda_Tributos!Z$28-Deuda_Tributos!Z$29+Deuda_Tributos!Z$49)*Calendario!Z$13</f>
        <v>-1029901.97567653</v>
      </c>
      <c r="AA94" s="13" t="n">
        <f aca="false">Z$94+(AA$57-AA$58+Deuda_Tributos!AA$24-Deuda_Tributos!AA$27-Deuda_Tributos!AA$26-Deuda_Tributos!AA$28-Deuda_Tributos!AA$29+Deuda_Tributos!AA$49)*Calendario!AA$13</f>
        <v>-1079347.61221275</v>
      </c>
      <c r="AB94" s="13" t="n">
        <f aca="false">AA$94+(AB$57-AB$58+Deuda_Tributos!AB$24-Deuda_Tributos!AB$27-Deuda_Tributos!AB$26-Deuda_Tributos!AB$28-Deuda_Tributos!AB$29+Deuda_Tributos!AB$49)*Calendario!AB$13</f>
        <v>-1131287.13585641</v>
      </c>
      <c r="AC94" s="13" t="n">
        <f aca="false">AB$94+(AC$57-AC$58+Deuda_Tributos!AC$24-Deuda_Tributos!AC$27-Deuda_Tributos!AC$26-Deuda_Tributos!AC$28-Deuda_Tributos!AC$29+Deuda_Tributos!AC$49)*Calendario!AC$13</f>
        <v>-1183191.32007214</v>
      </c>
      <c r="AD94" s="13" t="n">
        <f aca="false">AC$94+(AD$57-AD$58+Deuda_Tributos!AD$24-Deuda_Tributos!AD$27-Deuda_Tributos!AD$26-Deuda_Tributos!AD$28-Deuda_Tributos!AD$29+Deuda_Tributos!AD$49)*Calendario!AD$13</f>
        <v>-1235077.74969114</v>
      </c>
      <c r="AE94" s="13" t="n">
        <f aca="false">AD$94+(AE$57-AE$58+Deuda_Tributos!AE$24-Deuda_Tributos!AE$27-Deuda_Tributos!AE$26-Deuda_Tributos!AE$28-Deuda_Tributos!AE$29+Deuda_Tributos!AE$49)*Calendario!AE$13</f>
        <v>-1291754.70355143</v>
      </c>
      <c r="AF94" s="13" t="n">
        <f aca="false">AE$94+(AF$57-AF$58+Deuda_Tributos!AF$24-Deuda_Tributos!AF$27-Deuda_Tributos!AF$26-Deuda_Tributos!AF$28-Deuda_Tributos!AF$29+Deuda_Tributos!AF$49)*Calendario!AF$13</f>
        <v>-1352291.56415865</v>
      </c>
      <c r="AG94" s="13" t="n">
        <f aca="false">AF$94+(AG$57-AG$58+Deuda_Tributos!AG$24-Deuda_Tributos!AG$27-Deuda_Tributos!AG$26-Deuda_Tributos!AG$28-Deuda_Tributos!AG$29+Deuda_Tributos!AG$49)*Calendario!AG$13</f>
        <v>-1412792.0131683</v>
      </c>
      <c r="AH94" s="13" t="n">
        <f aca="false">AG$94+(AH$57-AH$58+Deuda_Tributos!AH$24-Deuda_Tributos!AH$27-Deuda_Tributos!AH$26-Deuda_Tributos!AH$28-Deuda_Tributos!AH$29+Deuda_Tributos!AH$49)*Calendario!AH$13</f>
        <v>-1467057.88251624</v>
      </c>
      <c r="AI94" s="13" t="n">
        <f aca="false">AH$94+(AI$57-AI$58+Deuda_Tributos!AI$24-Deuda_Tributos!AI$27-Deuda_Tributos!AI$26-Deuda_Tributos!AI$28-Deuda_Tributos!AI$29+Deuda_Tributos!AI$49)*Calendario!AI$13</f>
        <v>-1414373.10368832</v>
      </c>
      <c r="AJ94" s="13" t="n">
        <f aca="false">AI$94+(AJ$57-AJ$58+Deuda_Tributos!AJ$24-Deuda_Tributos!AJ$27-Deuda_Tributos!AJ$26-Deuda_Tributos!AJ$28-Deuda_Tributos!AJ$29+Deuda_Tributos!AJ$49)*Calendario!AJ$13</f>
        <v>-1361651.08784207</v>
      </c>
      <c r="AK94" s="13" t="n">
        <f aca="false">AJ$94+(AK$57-AK$58+Deuda_Tributos!AK$24-Deuda_Tributos!AK$27-Deuda_Tributos!AK$26-Deuda_Tributos!AK$28-Deuda_Tributos!AK$29+Deuda_Tributos!AK$49)*Calendario!AK$13</f>
        <v>-1308891.55569984</v>
      </c>
      <c r="AL94" s="13" t="n">
        <f aca="false">AK$94+(AL$57-AL$58+Deuda_Tributos!AL$24-Deuda_Tributos!AL$27-Deuda_Tributos!AL$26-Deuda_Tributos!AL$28-Deuda_Tributos!AL$29+Deuda_Tributos!AL$49)*Calendario!AL$13</f>
        <v>-1272626.83308753</v>
      </c>
      <c r="AM94" s="13" t="n">
        <f aca="false">AL$94+(AM$57-AM$58+Deuda_Tributos!AM$24-Deuda_Tributos!AM$27-Deuda_Tributos!AM$26-Deuda_Tributos!AM$28-Deuda_Tributos!AM$29+Deuda_Tributos!AM$49)*Calendario!AM$13</f>
        <v>-1273208.8626086</v>
      </c>
      <c r="AN94" s="13" t="n">
        <f aca="false">AM$94+(AN$57-AN$58+Deuda_Tributos!AN$24-Deuda_Tributos!AN$27-Deuda_Tributos!AN$26-Deuda_Tributos!AN$28-Deuda_Tributos!AN$29+Deuda_Tributos!AN$49)*Calendario!AN$13</f>
        <v>-1275835.21645861</v>
      </c>
      <c r="AO94" s="13" t="n">
        <f aca="false">AN$94+(AO$57-AO$58+Deuda_Tributos!AO$24-Deuda_Tributos!AO$27-Deuda_Tributos!AO$26-Deuda_Tributos!AO$28-Deuda_Tributos!AO$29+Deuda_Tributos!AO$49)*Calendario!AO$13</f>
        <v>-1278422.91579859</v>
      </c>
      <c r="AP94" s="13" t="n">
        <f aca="false">AO$94+(AP$57-AP$58+Deuda_Tributos!AP$24-Deuda_Tributos!AP$27-Deuda_Tributos!AP$26-Deuda_Tributos!AP$28-Deuda_Tributos!AP$29+Deuda_Tributos!AP$49)*Calendario!AP$13</f>
        <v>-1280986.10616829</v>
      </c>
      <c r="AQ94" s="13" t="n">
        <f aca="false">AP$94+(AQ$57-AQ$58+Deuda_Tributos!AQ$24-Deuda_Tributos!AQ$27-Deuda_Tributos!AQ$26-Deuda_Tributos!AQ$28-Deuda_Tributos!AQ$29+Deuda_Tributos!AQ$49)*Calendario!AQ$13</f>
        <v>-1287372.33653101</v>
      </c>
      <c r="AR94" s="13" t="n">
        <f aca="false">AQ$94+(AR$57-AR$58+Deuda_Tributos!AR$24-Deuda_Tributos!AR$27-Deuda_Tributos!AR$26-Deuda_Tributos!AR$28-Deuda_Tributos!AR$29+Deuda_Tributos!AR$49)*Calendario!AR$13</f>
        <v>-1297106.4124158</v>
      </c>
      <c r="AS94" s="13" t="n">
        <f aca="false">AR$94+(AS$57-AS$58+Deuda_Tributos!AS$24-Deuda_Tributos!AS$27-Deuda_Tributos!AS$26-Deuda_Tributos!AS$28-Deuda_Tributos!AS$29+Deuda_Tributos!AS$49)*Calendario!AS$13</f>
        <v>-1306800.66104402</v>
      </c>
      <c r="AT94" s="13" t="n">
        <f aca="false">AS$94+(AT$57-AT$58+Deuda_Tributos!AT$24-Deuda_Tributos!AT$27-Deuda_Tributos!AT$26-Deuda_Tributos!AT$28-Deuda_Tributos!AT$29+Deuda_Tributos!AT$49)*Calendario!AT$13</f>
        <v>-1311217.80457881</v>
      </c>
      <c r="AU94" s="13" t="n">
        <f aca="false">AT$94+(AU$57-AU$58+Deuda_Tributos!AU$24-Deuda_Tributos!AU$27-Deuda_Tributos!AU$26-Deuda_Tributos!AU$28-Deuda_Tributos!AU$29+Deuda_Tributos!AU$49)*Calendario!AU$13</f>
        <v>-1225256.63117365</v>
      </c>
      <c r="AV94" s="13" t="n">
        <f aca="false">AU$94+(AV$57-AV$58+Deuda_Tributos!AV$24-Deuda_Tributos!AV$27-Deuda_Tributos!AV$26-Deuda_Tributos!AV$28-Deuda_Tributos!AV$29+Deuda_Tributos!AV$49)*Calendario!AV$13</f>
        <v>-1139254.72766099</v>
      </c>
      <c r="AW94" s="13" t="n">
        <f aca="false">AV$94+(AW$57-AW$58+Deuda_Tributos!AW$24-Deuda_Tributos!AW$27-Deuda_Tributos!AW$26-Deuda_Tributos!AW$28-Deuda_Tributos!AW$29+Deuda_Tributos!AW$49)*Calendario!AW$13</f>
        <v>-1053211.78856501</v>
      </c>
      <c r="AX94" s="13" t="n">
        <f aca="false">AW$94+(AX$57-AX$58+Deuda_Tributos!AX$24-Deuda_Tributos!AX$27-Deuda_Tributos!AX$26-Deuda_Tributos!AX$28-Deuda_Tributos!AX$29+Deuda_Tributos!AX$49)*Calendario!AX$13</f>
        <v>-967127.506118858</v>
      </c>
      <c r="AY94" s="13" t="n">
        <f aca="false">AX$94+(AY$57-AY$58+Deuda_Tributos!AY$24-Deuda_Tributos!AY$27-Deuda_Tributos!AY$26-Deuda_Tributos!AY$28-Deuda_Tributos!AY$29+Deuda_Tributos!AY$49)*Calendario!AY$13</f>
        <v>-883195.641972963</v>
      </c>
      <c r="AZ94" s="13" t="n">
        <f aca="false">AY$94+(AZ$57-AZ$58+Deuda_Tributos!AZ$24-Deuda_Tributos!AZ$27-Deuda_Tributos!AZ$26-Deuda_Tributos!AZ$28-Deuda_Tributos!AZ$29+Deuda_Tributos!AZ$49)*Calendario!AZ$13</f>
        <v>-799349.004564868</v>
      </c>
      <c r="BA94" s="13" t="n">
        <f aca="false">AZ$94+(BA$57-BA$58+Deuda_Tributos!BA$24-Deuda_Tributos!BA$27-Deuda_Tributos!BA$26-Deuda_Tributos!BA$28-Deuda_Tributos!BA$29+Deuda_Tributos!BA$49)*Calendario!BA$13</f>
        <v>-715460.08658708</v>
      </c>
      <c r="BB94" s="13" t="n">
        <f aca="false">BA$94+(BB$57-BB$58+Deuda_Tributos!BB$24-Deuda_Tributos!BB$27-Deuda_Tributos!BB$26-Deuda_Tributos!BB$28-Deuda_Tributos!BB$29+Deuda_Tributos!BB$49)*Calendario!BB$13</f>
        <v>-631528.570935323</v>
      </c>
      <c r="BC94" s="13" t="n">
        <f aca="false">BB$94+(BC$57-BC$58+Deuda_Tributos!BC$24-Deuda_Tributos!BC$27-Deuda_Tributos!BC$26-Deuda_Tributos!BC$28-Deuda_Tributos!BC$29+Deuda_Tributos!BC$49)*Calendario!BC$13</f>
        <v>-550959.668305821</v>
      </c>
      <c r="BD94" s="13" t="n">
        <f aca="false">BC$94+(BD$57-BD$58+Deuda_Tributos!BD$24-Deuda_Tributos!BD$27-Deuda_Tributos!BD$26-Deuda_Tributos!BD$28-Deuda_Tributos!BD$29+Deuda_Tributos!BD$49)*Calendario!BD$13</f>
        <v>-470535.829484464</v>
      </c>
      <c r="BE94" s="13" t="n">
        <f aca="false">BD$94+(BE$57-BE$58+Deuda_Tributos!BE$24-Deuda_Tributos!BE$27-Deuda_Tributos!BE$26-Deuda_Tributos!BE$28-Deuda_Tributos!BE$29+Deuda_Tributos!BE$49)*Calendario!BE$13</f>
        <v>-390068.427335146</v>
      </c>
      <c r="BF94" s="13" t="n">
        <f aca="false">BE$94+(BF$57-BF$58+Deuda_Tributos!BF$24-Deuda_Tributos!BF$27-Deuda_Tributos!BF$26-Deuda_Tributos!BF$28-Deuda_Tributos!BF$29+Deuda_Tributos!BF$49)*Calendario!BF$13</f>
        <v>-309160.539816471</v>
      </c>
      <c r="BG94" s="13" t="n">
        <f aca="false">BF$94+(BG$57-BG$58+Deuda_Tributos!BG$24-Deuda_Tributos!BG$27-Deuda_Tributos!BG$26-Deuda_Tributos!BG$28-Deuda_Tributos!BG$29+Deuda_Tributos!BG$49)*Calendario!BG$13</f>
        <v>-221367.163860918</v>
      </c>
      <c r="BH94" s="13" t="n">
        <f aca="false">BG$94+(BH$57-BH$58+Deuda_Tributos!BH$24-Deuda_Tributos!BH$27-Deuda_Tributos!BH$26-Deuda_Tributos!BH$28-Deuda_Tributos!BH$29+Deuda_Tributos!BH$49)*Calendario!BH$13</f>
        <v>-133529.237032836</v>
      </c>
      <c r="BI94" s="13" t="n">
        <f aca="false">BH$94+(BI$57-BI$58+Deuda_Tributos!BI$24-Deuda_Tributos!BI$27-Deuda_Tributos!BI$26-Deuda_Tributos!BI$28-Deuda_Tributos!BI$29+Deuda_Tributos!BI$49)*Calendario!BI$13</f>
        <v>-45646.4252006804</v>
      </c>
      <c r="BJ94" s="13" t="n">
        <f aca="false">BI$94+(BJ$57-BJ$58+Deuda_Tributos!BJ$24-Deuda_Tributos!BJ$27-Deuda_Tributos!BJ$26-Deuda_Tributos!BJ$28-Deuda_Tributos!BJ$29+Deuda_Tributos!BJ$49)*Calendario!BJ$13</f>
        <v>42281.6082730783</v>
      </c>
      <c r="BK94" s="13" t="n">
        <f aca="false">BJ$94+(BK$57-BK$58+Deuda_Tributos!BK$24-Deuda_Tributos!BK$27-Deuda_Tributos!BK$26-Deuda_Tributos!BK$28-Deuda_Tributos!BK$29+Deuda_Tributos!BK$49)*Calendario!BK$13</f>
        <v>128039.190107927</v>
      </c>
      <c r="BL94" s="13" t="n">
        <f aca="false">BK$94+(BL$57-BL$58+Deuda_Tributos!BL$24-Deuda_Tributos!BL$27-Deuda_Tributos!BL$26-Deuda_Tributos!BL$28-Deuda_Tributos!BL$29+Deuda_Tributos!BL$49)*Calendario!BL$13</f>
        <v>213714.20996328</v>
      </c>
      <c r="BM94" s="13" t="n">
        <f aca="false">BL$94+(BM$57-BM$58+Deuda_Tributos!BM$24-Deuda_Tributos!BM$27-Deuda_Tributos!BM$26-Deuda_Tributos!BM$28-Deuda_Tributos!BM$29+Deuda_Tributos!BM$49)*Calendario!BM$13</f>
        <v>299435.476597404</v>
      </c>
      <c r="BN94" s="13" t="n">
        <f aca="false">BM$94+(BN$57-BN$58+Deuda_Tributos!BN$24-Deuda_Tributos!BN$27-Deuda_Tributos!BN$26-Deuda_Tributos!BN$28-Deuda_Tributos!BN$29+Deuda_Tributos!BN$49)*Calendario!BN$13</f>
        <v>385203.336861136</v>
      </c>
      <c r="BO94" s="13" t="n">
        <f aca="false">BN$94+(BO$57-BO$58+Deuda_Tributos!BO$24-Deuda_Tributos!BO$27-Deuda_Tributos!BO$26-Deuda_Tributos!BO$28-Deuda_Tributos!BO$29+Deuda_Tributos!BO$49)*Calendario!BO$13</f>
        <v>534066.371408579</v>
      </c>
      <c r="BP94" s="13" t="n">
        <f aca="false">BO$94+(BP$57-BP$58+Deuda_Tributos!BP$24-Deuda_Tributos!BP$27-Deuda_Tributos!BP$26-Deuda_Tributos!BP$28-Deuda_Tributos!BP$29+Deuda_Tributos!BP$49)*Calendario!BP$13</f>
        <v>682067.177673636</v>
      </c>
      <c r="BQ94" s="13" t="n">
        <f aca="false">BP$94+(BQ$57-BQ$58+Deuda_Tributos!BQ$24-Deuda_Tributos!BQ$27-Deuda_Tributos!BQ$26-Deuda_Tributos!BQ$28-Deuda_Tributos!BQ$29+Deuda_Tributos!BQ$49)*Calendario!BQ$13</f>
        <v>830067.983938693</v>
      </c>
      <c r="BR94" s="13" t="n">
        <f aca="false">BQ$94+(BR$57-BR$58+Deuda_Tributos!BR$24-Deuda_Tributos!BR$27-Deuda_Tributos!BR$26-Deuda_Tributos!BR$28-Deuda_Tributos!BR$29+Deuda_Tributos!BR$49)*Calendario!BR$13</f>
        <v>978469.351473353</v>
      </c>
      <c r="BS94" s="13" t="n">
        <f aca="false">BR$94+(BS$57-BS$58+Deuda_Tributos!BS$24-Deuda_Tributos!BS$27-Deuda_Tributos!BS$26-Deuda_Tributos!BS$28-Deuda_Tributos!BS$29+Deuda_Tributos!BS$49)*Calendario!BS$13</f>
        <v>1133780.40090866</v>
      </c>
      <c r="BT94" s="13" t="n">
        <f aca="false">BS$94+(BT$57-BT$58+Deuda_Tributos!BT$24-Deuda_Tributos!BT$27-Deuda_Tributos!BT$26-Deuda_Tributos!BT$28-Deuda_Tributos!BT$29+Deuda_Tributos!BT$49)*Calendario!BT$13</f>
        <v>1289091.45034397</v>
      </c>
      <c r="BU94" s="13" t="n">
        <f aca="false">BT$94+(BU$57-BU$58+Deuda_Tributos!BU$24-Deuda_Tributos!BU$27-Deuda_Tributos!BU$26-Deuda_Tributos!BU$28-Deuda_Tributos!BU$29+Deuda_Tributos!BU$49)*Calendario!BU$13</f>
        <v>1444402.49977928</v>
      </c>
      <c r="BV94" s="13" t="n">
        <f aca="false">BU$94+(BV$57-BV$58+Deuda_Tributos!BV$24-Deuda_Tributos!BV$27-Deuda_Tributos!BV$26-Deuda_Tributos!BV$28-Deuda_Tributos!BV$29+Deuda_Tributos!BV$49)*Calendario!BV$13</f>
        <v>1599713.54921458</v>
      </c>
      <c r="BW94" s="13" t="n">
        <f aca="false">BV$94+(BW$57-BW$58+Deuda_Tributos!BW$24-Deuda_Tributos!BW$27-Deuda_Tributos!BW$26-Deuda_Tributos!BW$28-Deuda_Tributos!BW$29+Deuda_Tributos!BW$49)*Calendario!BW$13</f>
        <v>1752786.42608264</v>
      </c>
      <c r="BX94" s="13" t="n">
        <f aca="false">BW$94+(BX$57-BX$58+Deuda_Tributos!BX$24-Deuda_Tributos!BX$27-Deuda_Tributos!BX$26-Deuda_Tributos!BX$28-Deuda_Tributos!BX$29+Deuda_Tributos!BX$49)*Calendario!BX$13</f>
        <v>1905729.55381636</v>
      </c>
      <c r="BY94" s="13" t="n">
        <f aca="false">BX$94+(BY$57-BY$58+Deuda_Tributos!BY$24-Deuda_Tributos!BY$27-Deuda_Tributos!BY$26-Deuda_Tributos!BY$28-Deuda_Tributos!BY$29+Deuda_Tributos!BY$49)*Calendario!BY$13</f>
        <v>2058672.68155008</v>
      </c>
      <c r="BZ94" s="13" t="n">
        <f aca="false">BY$94+(BZ$57-BZ$58+Deuda_Tributos!BZ$24-Deuda_Tributos!BZ$27-Deuda_Tributos!BZ$26-Deuda_Tributos!BZ$28-Deuda_Tributos!BZ$29+Deuda_Tributos!BZ$49)*Calendario!BZ$13</f>
        <v>2211615.8092838</v>
      </c>
      <c r="CA94" s="13" t="n">
        <f aca="false">BZ$94+(CA$57-CA$58+Deuda_Tributos!CA$24-Deuda_Tributos!CA$27-Deuda_Tributos!CA$26-Deuda_Tributos!CA$28-Deuda_Tributos!CA$29+Deuda_Tributos!CA$49)*Calendario!CA$13</f>
        <v>2364546.68452334</v>
      </c>
      <c r="CB94" s="13" t="n">
        <f aca="false">CA$94+(CB$57-CB$58+Deuda_Tributos!CB$24-Deuda_Tributos!CB$27-Deuda_Tributos!CB$26-Deuda_Tributos!CB$28-Deuda_Tributos!CB$29+Deuda_Tributos!CB$49)*Calendario!CB$13</f>
        <v>2516595.38018244</v>
      </c>
      <c r="CC94" s="13" t="n">
        <f aca="false">CB$94+(CC$57-CC$58+Deuda_Tributos!CC$24-Deuda_Tributos!CC$27-Deuda_Tributos!CC$26-Deuda_Tributos!CC$28-Deuda_Tributos!CC$29+Deuda_Tributos!CC$49)*Calendario!CC$13</f>
        <v>2668644.07584153</v>
      </c>
      <c r="CD94" s="13" t="n">
        <f aca="false">CC$94+(CD$57-CD$58+Deuda_Tributos!CD$24-Deuda_Tributos!CD$27-Deuda_Tributos!CD$26-Deuda_Tributos!CD$28-Deuda_Tributos!CD$29+Deuda_Tributos!CD$49)*Calendario!CD$13</f>
        <v>2821097.33838292</v>
      </c>
      <c r="CE94" s="13" t="n">
        <f aca="false">CD$94+(CE$57-CE$58+Deuda_Tributos!CE$24-Deuda_Tributos!CE$27-Deuda_Tributos!CE$26-Deuda_Tributos!CE$28-Deuda_Tributos!CE$29+Deuda_Tributos!CE$49)*Calendario!CE$13</f>
        <v>2980529.37964396</v>
      </c>
      <c r="CF94" s="13" t="n">
        <f aca="false">CE$94+(CF$57-CF$58+Deuda_Tributos!CF$24-Deuda_Tributos!CF$27-Deuda_Tributos!CF$26-Deuda_Tributos!CF$28-Deuda_Tributos!CF$29+Deuda_Tributos!CF$49)*Calendario!CF$13</f>
        <v>3139961.42090501</v>
      </c>
      <c r="CG94" s="13" t="n">
        <f aca="false">CF$94+(CG$57-CG$58+Deuda_Tributos!CG$24-Deuda_Tributos!CG$27-Deuda_Tributos!CG$26-Deuda_Tributos!CG$28-Deuda_Tributos!CG$29+Deuda_Tributos!CG$49)*Calendario!CG$13</f>
        <v>3299393.46216605</v>
      </c>
      <c r="CH94" s="13" t="n">
        <f aca="false">CG$94+(CH$57-CH$58+Deuda_Tributos!CH$24-Deuda_Tributos!CH$27-Deuda_Tributos!CH$26-Deuda_Tributos!CH$28-Deuda_Tributos!CH$29+Deuda_Tributos!CH$49)*Calendario!CH$13</f>
        <v>3458825.5034271</v>
      </c>
      <c r="CI94" s="13" t="n">
        <f aca="false">CH$94+(CI$57-CI$58+Deuda_Tributos!CI$24-Deuda_Tributos!CI$27-Deuda_Tributos!CI$26-Deuda_Tributos!CI$28-Deuda_Tributos!CI$29+Deuda_Tributos!CI$49)*Calendario!CI$13</f>
        <v>3615996.99039521</v>
      </c>
      <c r="CJ94" s="13" t="n">
        <f aca="false">CI$94+(CJ$57-CJ$58+Deuda_Tributos!CJ$24-Deuda_Tributos!CJ$27-Deuda_Tributos!CJ$26-Deuda_Tributos!CJ$28-Deuda_Tributos!CJ$29+Deuda_Tributos!CJ$49)*Calendario!CJ$13</f>
        <v>3773037.43073765</v>
      </c>
      <c r="CK94" s="13" t="n">
        <f aca="false">CJ$94+(CK$57-CK$58+Deuda_Tributos!CK$24-Deuda_Tributos!CK$27-Deuda_Tributos!CK$26-Deuda_Tributos!CK$28-Deuda_Tributos!CK$29+Deuda_Tributos!CK$49)*Calendario!CK$13</f>
        <v>3930077.87108009</v>
      </c>
      <c r="CL94" s="13" t="n">
        <f aca="false">CK$94+(CL$57-CL$58+Deuda_Tributos!CL$24-Deuda_Tributos!CL$27-Deuda_Tributos!CL$26-Deuda_Tributos!CL$28-Deuda_Tributos!CL$29+Deuda_Tributos!CL$49)*Calendario!CL$13</f>
        <v>4087118.31142254</v>
      </c>
      <c r="CM94" s="13" t="n">
        <f aca="false">CL$94+(CM$57-CM$58+Deuda_Tributos!CM$24-Deuda_Tributos!CM$27-Deuda_Tributos!CM$26-Deuda_Tributos!CM$28-Deuda_Tributos!CM$29+Deuda_Tributos!CM$49)*Calendario!CM$13</f>
        <v>4244146.21446435</v>
      </c>
      <c r="CN94" s="13" t="n">
        <f aca="false">CM$94+(CN$57-CN$58+Deuda_Tributos!CN$24-Deuda_Tributos!CN$27-Deuda_Tributos!CN$26-Deuda_Tributos!CN$28-Deuda_Tributos!CN$29+Deuda_Tributos!CN$49)*Calendario!CN$13</f>
        <v>4400271.43186116</v>
      </c>
      <c r="CO94" s="13" t="n">
        <f aca="false">CN$94+(CO$57-CO$58+Deuda_Tributos!CO$24-Deuda_Tributos!CO$27-Deuda_Tributos!CO$26-Deuda_Tributos!CO$28-Deuda_Tributos!CO$29+Deuda_Tributos!CO$49)*Calendario!CO$13</f>
        <v>4556396.64925797</v>
      </c>
      <c r="CP94" s="13" t="n">
        <f aca="false">CO$94+(CP$57-CP$58+Deuda_Tributos!CP$24-Deuda_Tributos!CP$27-Deuda_Tributos!CP$26-Deuda_Tributos!CP$28-Deuda_Tributos!CP$29+Deuda_Tributos!CP$49)*Calendario!CP$13</f>
        <v>4712930.47920589</v>
      </c>
      <c r="CQ94" s="13" t="n">
        <f aca="false">CP$94+(CQ$57-CQ$58+Deuda_Tributos!CQ$24-Deuda_Tributos!CQ$27-Deuda_Tributos!CQ$26-Deuda_Tributos!CQ$28-Deuda_Tributos!CQ$29+Deuda_Tributos!CQ$49)*Calendario!CQ$13</f>
        <v>4876512.87566067</v>
      </c>
      <c r="CR94" s="13" t="n">
        <f aca="false">CQ$94+(CR$57-CR$58+Deuda_Tributos!CR$24-Deuda_Tributos!CR$27-Deuda_Tributos!CR$26-Deuda_Tributos!CR$28-Deuda_Tributos!CR$29+Deuda_Tributos!CR$49)*Calendario!CR$13</f>
        <v>5040095.27211545</v>
      </c>
      <c r="CS94" s="13" t="n">
        <f aca="false">CR$94+(CS$57-CS$58+Deuda_Tributos!CS$24-Deuda_Tributos!CS$27-Deuda_Tributos!CS$26-Deuda_Tributos!CS$28-Deuda_Tributos!CS$29+Deuda_Tributos!CS$49)*Calendario!CS$13</f>
        <v>5203677.66857023</v>
      </c>
      <c r="CT94" s="13" t="n">
        <f aca="false">CS$94+(CT$57-CT$58+Deuda_Tributos!CT$24-Deuda_Tributos!CT$27-Deuda_Tributos!CT$26-Deuda_Tributos!CT$28-Deuda_Tributos!CT$29+Deuda_Tributos!CT$49)*Calendario!CT$13</f>
        <v>5367260.06502501</v>
      </c>
      <c r="CU94" s="13" t="n">
        <f aca="false">CT$94+(CU$57-CU$58+Deuda_Tributos!CU$24-Deuda_Tributos!CU$27-Deuda_Tributos!CU$26-Deuda_Tributos!CU$28-Deuda_Tributos!CU$29+Deuda_Tributos!CU$49)*Calendario!CU$13</f>
        <v>5528559.30164393</v>
      </c>
      <c r="CV94" s="13" t="n">
        <f aca="false">CU$94+(CV$57-CV$58+Deuda_Tributos!CV$24-Deuda_Tributos!CV$27-Deuda_Tributos!CV$26-Deuda_Tributos!CV$28-Deuda_Tributos!CV$29+Deuda_Tributos!CV$49)*Calendario!CV$13</f>
        <v>5689726.18117092</v>
      </c>
      <c r="CW94" s="13" t="n">
        <f aca="false">CV$94+(CW$57-CW$58+Deuda_Tributos!CW$24-Deuda_Tributos!CW$27-Deuda_Tributos!CW$26-Deuda_Tributos!CW$28-Deuda_Tributos!CW$29+Deuda_Tributos!CW$49)*Calendario!CW$13</f>
        <v>5850893.06069791</v>
      </c>
      <c r="CX94" s="13" t="n">
        <f aca="false">CW$94+(CX$57-CX$58+Deuda_Tributos!CX$24-Deuda_Tributos!CX$27-Deuda_Tributos!CX$26-Deuda_Tributos!CX$28-Deuda_Tributos!CX$29+Deuda_Tributos!CX$49)*Calendario!CX$13</f>
        <v>6012059.9402249</v>
      </c>
      <c r="CY94" s="13" t="n">
        <f aca="false">CX$94+(CY$57-CY$58+Deuda_Tributos!CY$24-Deuda_Tributos!CY$27-Deuda_Tributos!CY$26-Deuda_Tributos!CY$28-Deuda_Tributos!CY$29+Deuda_Tributos!CY$49)*Calendario!CY$13</f>
        <v>6173213.98971464</v>
      </c>
      <c r="CZ94" s="13" t="n">
        <f aca="false">CY$94+(CZ$57-CZ$58+Deuda_Tributos!CZ$24-Deuda_Tributos!CZ$27-Deuda_Tributos!CZ$26-Deuda_Tributos!CZ$28-Deuda_Tributos!CZ$29+Deuda_Tributos!CZ$49)*Calendario!CZ$13</f>
        <v>6333444.27652307</v>
      </c>
      <c r="DA94" s="13" t="n">
        <f aca="false">CZ$94+(DA$57-DA$58+Deuda_Tributos!DA$24-Deuda_Tributos!DA$27-Deuda_Tributos!DA$26-Deuda_Tributos!DA$28-Deuda_Tributos!DA$29+Deuda_Tributos!DA$49)*Calendario!DA$13</f>
        <v>6493674.5633315</v>
      </c>
      <c r="DB94" s="13" t="n">
        <f aca="false">DA$94+(DB$57-DB$58+Deuda_Tributos!DB$24-Deuda_Tributos!DB$27-Deuda_Tributos!DB$26-Deuda_Tributos!DB$28-Deuda_Tributos!DB$29+Deuda_Tributos!DB$49)*Calendario!DB$13</f>
        <v>6654317.54881657</v>
      </c>
      <c r="DC94" s="13" t="n">
        <f aca="false">DB$94+(DC$57-DC$58+Deuda_Tributos!DC$24-Deuda_Tributos!DC$27-Deuda_Tributos!DC$26-Deuda_Tributos!DC$28-Deuda_Tributos!DC$29+Deuda_Tributos!DC$49)*Calendario!DC$13</f>
        <v>6822079.58647355</v>
      </c>
      <c r="DD94" s="13" t="n">
        <f aca="false">DC$94+(DD$57-DD$58+Deuda_Tributos!DD$24-Deuda_Tributos!DD$27-Deuda_Tributos!DD$26-Deuda_Tributos!DD$28-Deuda_Tributos!DD$29+Deuda_Tributos!DD$49)*Calendario!DD$13</f>
        <v>6989841.62413053</v>
      </c>
      <c r="DE94" s="13" t="n">
        <f aca="false">DD$94+(DE$57-DE$58+Deuda_Tributos!DE$24-Deuda_Tributos!DE$27-Deuda_Tributos!DE$26-Deuda_Tributos!DE$28-Deuda_Tributos!DE$29+Deuda_Tributos!DE$49)*Calendario!DE$13</f>
        <v>7157603.66178752</v>
      </c>
      <c r="DF94" s="13" t="n">
        <f aca="false">DE$94+(DF$57-DF$58+Deuda_Tributos!DF$24-Deuda_Tributos!DF$27-Deuda_Tributos!DF$26-Deuda_Tributos!DF$28-Deuda_Tributos!DF$29+Deuda_Tributos!DF$49)*Calendario!DF$13</f>
        <v>7325365.6994445</v>
      </c>
      <c r="DG94" s="13" t="n">
        <f aca="false">DF$94+(DG$57-DG$58+Deuda_Tributos!DG$24-Deuda_Tributos!DG$27-Deuda_Tributos!DG$26-Deuda_Tributos!DG$28-Deuda_Tributos!DG$29+Deuda_Tributos!DG$49)*Calendario!DG$13</f>
        <v>7490821.74566727</v>
      </c>
      <c r="DH94" s="13" t="n">
        <f aca="false">DG$94+(DH$57-DH$58+Deuda_Tributos!DH$24-Deuda_Tributos!DH$27-Deuda_Tributos!DH$26-Deuda_Tributos!DH$28-Deuda_Tributos!DH$29+Deuda_Tributos!DH$49)*Calendario!DH$13</f>
        <v>7656144.11122718</v>
      </c>
      <c r="DI94" s="13" t="n">
        <f aca="false">DH$94+(DI$57-DI$58+Deuda_Tributos!DI$24-Deuda_Tributos!DI$27-Deuda_Tributos!DI$26-Deuda_Tributos!DI$28-Deuda_Tributos!DI$29+Deuda_Tributos!DI$49)*Calendario!DI$13</f>
        <v>7821466.4767871</v>
      </c>
      <c r="DJ94" s="13" t="n">
        <f aca="false">DI$94+(DJ$57-DJ$58+Deuda_Tributos!DJ$24-Deuda_Tributos!DJ$27-Deuda_Tributos!DJ$26-Deuda_Tributos!DJ$28-Deuda_Tributos!DJ$29+Deuda_Tributos!DJ$49)*Calendario!DJ$13</f>
        <v>7986788.84234701</v>
      </c>
      <c r="DK94" s="13" t="n">
        <f aca="false">DJ$94+(DK$57-DK$58+Deuda_Tributos!DK$24-Deuda_Tributos!DK$27-Deuda_Tributos!DK$26-Deuda_Tributos!DK$28-Deuda_Tributos!DK$29+Deuda_Tributos!DK$49)*Calendario!DK$13</f>
        <v>8152098.07697114</v>
      </c>
      <c r="DL94" s="13" t="n">
        <f aca="false">DK$94+(DL$57-DL$58+Deuda_Tributos!DL$24-Deuda_Tributos!DL$27-Deuda_Tributos!DL$26-Deuda_Tributos!DL$28-Deuda_Tributos!DL$29+Deuda_Tributos!DL$49)*Calendario!DL$13</f>
        <v>8316461.88421884</v>
      </c>
      <c r="DM94" s="13" t="n">
        <f aca="false">DL$94+(DM$57-DM$58+Deuda_Tributos!DM$24-Deuda_Tributos!DM$27-Deuda_Tributos!DM$26-Deuda_Tributos!DM$28-Deuda_Tributos!DM$29+Deuda_Tributos!DM$49)*Calendario!DM$13</f>
        <v>8480825.69146654</v>
      </c>
      <c r="DN94" s="13" t="n">
        <f aca="false">DM$94+(DN$57-DN$58+Deuda_Tributos!DN$24-Deuda_Tributos!DN$27-Deuda_Tributos!DN$26-Deuda_Tributos!DN$28-Deuda_Tributos!DN$29+Deuda_Tributos!DN$49)*Calendario!DN$13</f>
        <v>8645606.32437764</v>
      </c>
      <c r="DO94" s="13" t="n">
        <f aca="false">DN$94+(DO$57-DO$58+Deuda_Tributos!DO$24-Deuda_Tributos!DO$27-Deuda_Tributos!DO$26-Deuda_Tributos!DO$28-Deuda_Tributos!DO$29+Deuda_Tributos!DO$49)*Calendario!DO$13</f>
        <v>8817577.19998237</v>
      </c>
      <c r="DP94" s="13" t="n">
        <f aca="false">DO$94+(DP$57-DP$58+Deuda_Tributos!DP$24-Deuda_Tributos!DP$27-Deuda_Tributos!DP$26-Deuda_Tributos!DP$28-Deuda_Tributos!DP$29+Deuda_Tributos!DP$49)*Calendario!DP$13</f>
        <v>8989548.07558711</v>
      </c>
      <c r="DQ94" s="13" t="n">
        <f aca="false">DP$94+(DQ$57-DQ$58+Deuda_Tributos!DQ$24-Deuda_Tributos!DQ$27-Deuda_Tributos!DQ$26-Deuda_Tributos!DQ$28-Deuda_Tributos!DQ$29+Deuda_Tributos!DQ$49)*Calendario!DQ$13</f>
        <v>9161518.95119184</v>
      </c>
      <c r="DR94" s="13" t="n">
        <f aca="false">DQ$94+(DR$57-DR$58+Deuda_Tributos!DR$24-Deuda_Tributos!DR$27-Deuda_Tributos!DR$26-Deuda_Tributos!DR$28-Deuda_Tributos!DR$29+Deuda_Tributos!DR$49)*Calendario!DR$13</f>
        <v>9474455.23889399</v>
      </c>
      <c r="DS94" s="13" t="n">
        <f aca="false">DR$94+(DS$57-DS$58+Deuda_Tributos!DS$24-Deuda_Tributos!DS$27-Deuda_Tributos!DS$26-Deuda_Tributos!DS$28-Deuda_Tributos!DS$29+Deuda_Tributos!DS$49)*Calendario!DS$13</f>
        <v>10083367.817576</v>
      </c>
      <c r="DT94" s="13" t="n">
        <f aca="false">DS$94+(DT$57-DT$58+Deuda_Tributos!DT$24-Deuda_Tributos!DT$27-Deuda_Tributos!DT$26-Deuda_Tributos!DT$28-Deuda_Tributos!DT$29+Deuda_Tributos!DT$49)*Calendario!DT$13</f>
        <v>10708964.7083179</v>
      </c>
      <c r="DU94" s="13" t="n">
        <f aca="false">DT$94+(DU$57-DU$58+Deuda_Tributos!DU$24-Deuda_Tributos!DU$27-Deuda_Tributos!DU$26-Deuda_Tributos!DU$28-Deuda_Tributos!DU$29+Deuda_Tributos!DU$49)*Calendario!DU$13</f>
        <v>11334561.5990598</v>
      </c>
      <c r="DV94" s="13" t="n">
        <f aca="false">DU$94+(DV$57-DV$58+Deuda_Tributos!DV$24-Deuda_Tributos!DV$27-Deuda_Tributos!DV$26-Deuda_Tributos!DV$28-Deuda_Tributos!DV$29+Deuda_Tributos!DV$49)*Calendario!DV$13</f>
        <v>11960281.5699874</v>
      </c>
      <c r="DW94" s="13" t="n">
        <f aca="false">DV$94+(DW$57-DW$58+Deuda_Tributos!DW$24-Deuda_Tributos!DW$27-Deuda_Tributos!DW$26-Deuda_Tributos!DW$28-Deuda_Tributos!DW$29+Deuda_Tributos!DW$49)*Calendario!DW$13</f>
        <v>11960281.5699874</v>
      </c>
      <c r="DX94" s="13" t="n">
        <f aca="false">DW$94+(DX$57-DX$58+Deuda_Tributos!DX$24-Deuda_Tributos!DX$27-Deuda_Tributos!DX$26-Deuda_Tributos!DX$28-Deuda_Tributos!DX$29+Deuda_Tributos!DX$49)*Calendario!DX$13</f>
        <v>11960281.5699874</v>
      </c>
      <c r="DY94" s="13" t="n">
        <f aca="false">DX$94+(DY$57-DY$58+Deuda_Tributos!DY$24-Deuda_Tributos!DY$27-Deuda_Tributos!DY$26-Deuda_Tributos!DY$28-Deuda_Tributos!DY$29+Deuda_Tributos!DY$49)*Calendario!DY$13</f>
        <v>11960281.5699874</v>
      </c>
      <c r="DZ94" s="13" t="n">
        <f aca="false">DY$94+(DZ$57-DZ$58+Deuda_Tributos!DZ$24-Deuda_Tributos!DZ$27-Deuda_Tributos!DZ$26-Deuda_Tributos!DZ$28-Deuda_Tributos!DZ$29+Deuda_Tributos!DZ$49)*Calendario!DZ$13</f>
        <v>11960281.5699874</v>
      </c>
      <c r="EA94" s="13" t="n">
        <f aca="false">DZ$94+(EA$57-EA$58+Deuda_Tributos!EA$24-Deuda_Tributos!EA$27-Deuda_Tributos!EA$26-Deuda_Tributos!EA$28-Deuda_Tributos!EA$29+Deuda_Tributos!EA$49)*Calendario!EA$13</f>
        <v>11960281.5699874</v>
      </c>
      <c r="EB94" s="13" t="n">
        <f aca="false">EA$94+(EB$57-EB$58+Deuda_Tributos!EB$24-Deuda_Tributos!EB$27-Deuda_Tributos!EB$26-Deuda_Tributos!EB$28-Deuda_Tributos!EB$29+Deuda_Tributos!EB$49)*Calendario!EB$13</f>
        <v>11960281.5699874</v>
      </c>
      <c r="EC94" s="13" t="n">
        <f aca="false">EB$94+(EC$57-EC$58+Deuda_Tributos!EC$24-Deuda_Tributos!EC$27-Deuda_Tributos!EC$26-Deuda_Tributos!EC$28-Deuda_Tributos!EC$29+Deuda_Tributos!EC$49)*Calendario!EC$13</f>
        <v>11960281.5699874</v>
      </c>
      <c r="ED94" s="13" t="n">
        <f aca="false">EC$94+(ED$57-ED$58+Deuda_Tributos!ED$24-Deuda_Tributos!ED$27-Deuda_Tributos!ED$26-Deuda_Tributos!ED$28-Deuda_Tributos!ED$29+Deuda_Tributos!ED$49)*Calendario!ED$13</f>
        <v>11960281.5699874</v>
      </c>
      <c r="EE94" s="13" t="n">
        <f aca="false">ED$94+(EE$57-EE$58+Deuda_Tributos!EE$24-Deuda_Tributos!EE$27-Deuda_Tributos!EE$26-Deuda_Tributos!EE$28-Deuda_Tributos!EE$29+Deuda_Tributos!EE$49)*Calendario!EE$13</f>
        <v>11960281.5699874</v>
      </c>
      <c r="EF94" s="13" t="n">
        <f aca="false">EE$94+(EF$57-EF$58+Deuda_Tributos!EF$24-Deuda_Tributos!EF$27-Deuda_Tributos!EF$26-Deuda_Tributos!EF$28-Deuda_Tributos!EF$29+Deuda_Tributos!EF$49)*Calendario!EF$13</f>
        <v>11960281.5699874</v>
      </c>
      <c r="EG94" s="13" t="n">
        <f aca="false">EF$94+(EG$57-EG$58+Deuda_Tributos!EG$24-Deuda_Tributos!EG$27-Deuda_Tributos!EG$26-Deuda_Tributos!EG$28-Deuda_Tributos!EG$29+Deuda_Tributos!EG$49)*Calendario!EG$13</f>
        <v>11960281.5699874</v>
      </c>
      <c r="EH94" s="13" t="n">
        <f aca="false">EG$94+(EH$57-EH$58+Deuda_Tributos!EH$24-Deuda_Tributos!EH$27-Deuda_Tributos!EH$26-Deuda_Tributos!EH$28-Deuda_Tributos!EH$29+Deuda_Tributos!EH$49)*Calendario!EH$13</f>
        <v>11960281.5699874</v>
      </c>
      <c r="EI94" s="13" t="n">
        <f aca="false">EH$94+(EI$57-EI$58+Deuda_Tributos!EI$24-Deuda_Tributos!EI$27-Deuda_Tributos!EI$26-Deuda_Tributos!EI$28-Deuda_Tributos!EI$29+Deuda_Tributos!EI$49)*Calendario!EI$13</f>
        <v>11960281.5699874</v>
      </c>
      <c r="EJ94" s="13" t="n">
        <f aca="false">EI$94+(EJ$57-EJ$58+Deuda_Tributos!EJ$24-Deuda_Tributos!EJ$27-Deuda_Tributos!EJ$26-Deuda_Tributos!EJ$28-Deuda_Tributos!EJ$29+Deuda_Tributos!EJ$49)*Calendario!EJ$13</f>
        <v>11960281.5699874</v>
      </c>
      <c r="EK94" s="13" t="n">
        <f aca="false">EJ$94+(EK$57-EK$58+Deuda_Tributos!EK$24-Deuda_Tributos!EK$27-Deuda_Tributos!EK$26-Deuda_Tributos!EK$28-Deuda_Tributos!EK$29+Deuda_Tributos!EK$49)*Calendario!EK$13</f>
        <v>11960281.5699874</v>
      </c>
      <c r="EL94" s="13" t="n">
        <f aca="false">EK$94+(EL$57-EL$58+Deuda_Tributos!EL$24-Deuda_Tributos!EL$27-Deuda_Tributos!EL$26-Deuda_Tributos!EL$28-Deuda_Tributos!EL$29+Deuda_Tributos!EL$49)*Calendario!EL$13</f>
        <v>11960281.5699874</v>
      </c>
      <c r="EM94" s="13" t="n">
        <f aca="false">EL$94+(EM$57-EM$58+Deuda_Tributos!EM$24-Deuda_Tributos!EM$27-Deuda_Tributos!EM$26-Deuda_Tributos!EM$28-Deuda_Tributos!EM$29+Deuda_Tributos!EM$49)*Calendario!EM$13</f>
        <v>11960281.5699874</v>
      </c>
      <c r="EN94" s="13" t="n">
        <f aca="false">EM$94+(EN$57-EN$58+Deuda_Tributos!EN$24-Deuda_Tributos!EN$27-Deuda_Tributos!EN$26-Deuda_Tributos!EN$28-Deuda_Tributos!EN$29+Deuda_Tributos!EN$49)*Calendario!EN$13</f>
        <v>11960281.5699874</v>
      </c>
      <c r="EO94" s="13" t="n">
        <f aca="false">EN$94+(EO$57-EO$58+Deuda_Tributos!EO$24-Deuda_Tributos!EO$27-Deuda_Tributos!EO$26-Deuda_Tributos!EO$28-Deuda_Tributos!EO$29+Deuda_Tributos!EO$49)*Calendario!EO$13</f>
        <v>11960281.5699874</v>
      </c>
      <c r="EP94" s="13" t="n">
        <f aca="false">EO$94+(EP$57-EP$58+Deuda_Tributos!EP$24-Deuda_Tributos!EP$27-Deuda_Tributos!EP$26-Deuda_Tributos!EP$28-Deuda_Tributos!EP$29+Deuda_Tributos!EP$49)*Calendario!EP$13</f>
        <v>11960281.5699874</v>
      </c>
      <c r="EQ94" s="13" t="n">
        <f aca="false">EP$94+(EQ$57-EQ$58+Deuda_Tributos!EQ$24-Deuda_Tributos!EQ$27-Deuda_Tributos!EQ$26-Deuda_Tributos!EQ$28-Deuda_Tributos!EQ$29+Deuda_Tributos!EQ$49)*Calendario!EQ$13</f>
        <v>11960281.5699874</v>
      </c>
      <c r="ER94" s="13" t="n">
        <f aca="false">EQ$94+(ER$57-ER$58+Deuda_Tributos!ER$24-Deuda_Tributos!ER$27-Deuda_Tributos!ER$26-Deuda_Tributos!ER$28-Deuda_Tributos!ER$29+Deuda_Tributos!ER$49)*Calendario!ER$13</f>
        <v>11960281.5699874</v>
      </c>
      <c r="ES94" s="13" t="n">
        <f aca="false">ER$94+(ES$57-ES$58+Deuda_Tributos!ES$24-Deuda_Tributos!ES$27-Deuda_Tributos!ES$26-Deuda_Tributos!ES$28-Deuda_Tributos!ES$29+Deuda_Tributos!ES$49)*Calendario!ES$13</f>
        <v>11960281.5699874</v>
      </c>
      <c r="ET94" s="13" t="n">
        <f aca="false">ES$94+(ET$57-ET$58+Deuda_Tributos!ET$24-Deuda_Tributos!ET$27-Deuda_Tributos!ET$26-Deuda_Tributos!ET$28-Deuda_Tributos!ET$29+Deuda_Tributos!ET$49)*Calendario!ET$13</f>
        <v>11960281.5699874</v>
      </c>
      <c r="EU94" s="13" t="n">
        <f aca="false">ET$94+(EU$57-EU$58+Deuda_Tributos!EU$24-Deuda_Tributos!EU$27-Deuda_Tributos!EU$26-Deuda_Tributos!EU$28-Deuda_Tributos!EU$29+Deuda_Tributos!EU$49)*Calendario!EU$13</f>
        <v>11960281.5699874</v>
      </c>
      <c r="EV94" s="13" t="n">
        <f aca="false">EU$94+(EV$57-EV$58+Deuda_Tributos!EV$24-Deuda_Tributos!EV$27-Deuda_Tributos!EV$26-Deuda_Tributos!EV$28-Deuda_Tributos!EV$29+Deuda_Tributos!EV$49)*Calendario!EV$13</f>
        <v>11960281.5699874</v>
      </c>
      <c r="EW94" s="13" t="n">
        <f aca="false">EV$94+(EW$57-EW$58+Deuda_Tributos!EW$24-Deuda_Tributos!EW$27-Deuda_Tributos!EW$26-Deuda_Tributos!EW$28-Deuda_Tributos!EW$29+Deuda_Tributos!EW$49)*Calendario!EW$13</f>
        <v>11960281.5699874</v>
      </c>
      <c r="EX94" s="13" t="n">
        <f aca="false">EW$94+(EX$57-EX$58+Deuda_Tributos!EX$24-Deuda_Tributos!EX$27-Deuda_Tributos!EX$26-Deuda_Tributos!EX$28-Deuda_Tributos!EX$29+Deuda_Tributos!EX$49)*Calendario!EX$13</f>
        <v>11960281.5699874</v>
      </c>
      <c r="EY94" s="13" t="n">
        <f aca="false">EX$94+(EY$57-EY$58+Deuda_Tributos!EY$24-Deuda_Tributos!EY$27-Deuda_Tributos!EY$26-Deuda_Tributos!EY$28-Deuda_Tributos!EY$29+Deuda_Tributos!EY$49)*Calendario!EY$13</f>
        <v>11960281.5699874</v>
      </c>
      <c r="EZ94" s="13" t="n">
        <f aca="false">EY$94+(EZ$57-EZ$58+Deuda_Tributos!EZ$24-Deuda_Tributos!EZ$27-Deuda_Tributos!EZ$26-Deuda_Tributos!EZ$28-Deuda_Tributos!EZ$29+Deuda_Tributos!EZ$49)*Calendario!EZ$13</f>
        <v>11960281.5699874</v>
      </c>
      <c r="FA94" s="13" t="n">
        <f aca="false">EZ$94+(FA$57-FA$58+Deuda_Tributos!FA$24-Deuda_Tributos!FA$27-Deuda_Tributos!FA$26-Deuda_Tributos!FA$28-Deuda_Tributos!FA$29+Deuda_Tributos!FA$49)*Calendario!FA$13</f>
        <v>11960281.5699874</v>
      </c>
      <c r="FB94" s="13" t="n">
        <f aca="false">FA$94+(FB$57-FB$58+Deuda_Tributos!FB$24-Deuda_Tributos!FB$27-Deuda_Tributos!FB$26-Deuda_Tributos!FB$28-Deuda_Tributos!FB$29+Deuda_Tributos!FB$49)*Calendario!FB$13</f>
        <v>11960281.5699874</v>
      </c>
      <c r="FC94" s="13" t="n">
        <f aca="false">FB$94+(FC$57-FC$58+Deuda_Tributos!FC$24-Deuda_Tributos!FC$27-Deuda_Tributos!FC$26-Deuda_Tributos!FC$28-Deuda_Tributos!FC$29+Deuda_Tributos!FC$49)*Calendario!FC$13</f>
        <v>11960281.5699874</v>
      </c>
      <c r="FD94" s="13" t="n">
        <f aca="false">FC$94+(FD$57-FD$58+Deuda_Tributos!FD$24-Deuda_Tributos!FD$27-Deuda_Tributos!FD$26-Deuda_Tributos!FD$28-Deuda_Tributos!FD$29+Deuda_Tributos!FD$49)*Calendario!FD$13</f>
        <v>11960281.5699874</v>
      </c>
      <c r="FE94" s="13" t="n">
        <f aca="false">FD$94+(FE$57-FE$58+Deuda_Tributos!FE$24-Deuda_Tributos!FE$27-Deuda_Tributos!FE$26-Deuda_Tributos!FE$28-Deuda_Tributos!FE$29+Deuda_Tributos!FE$49)*Calendario!FE$13</f>
        <v>11960281.5699874</v>
      </c>
      <c r="FF94" s="13" t="n">
        <f aca="false">FE$94+(FF$57-FF$58+Deuda_Tributos!FF$24-Deuda_Tributos!FF$27-Deuda_Tributos!FF$26-Deuda_Tributos!FF$28-Deuda_Tributos!FF$29+Deuda_Tributos!FF$49)*Calendario!FF$13</f>
        <v>11960281.5699874</v>
      </c>
    </row>
    <row r="95" customFormat="false" ht="15" hidden="false" customHeight="false" outlineLevel="0" collapsed="false">
      <c r="A95" s="2" t="s">
        <v>1599</v>
      </c>
      <c r="B95" s="66" t="s">
        <v>1600</v>
      </c>
      <c r="C95" s="8" t="s">
        <v>255</v>
      </c>
      <c r="E95" s="67" t="n">
        <f aca="false">MAX($F95:$FF95)</f>
        <v>1529018.47703678</v>
      </c>
      <c r="F95" s="12" t="n">
        <f aca="false">MAX(0,F$74-F$94)*Calendario!F$13</f>
        <v>0</v>
      </c>
      <c r="G95" s="12" t="n">
        <f aca="false">MAX(0,G$74-G$94)*Calendario!G$13</f>
        <v>0</v>
      </c>
      <c r="H95" s="12" t="n">
        <f aca="false">MAX(0,H$74-H$94)*Calendario!H$13</f>
        <v>0</v>
      </c>
      <c r="I95" s="12" t="n">
        <f aca="false">MAX(0,I$74-I$94)*Calendario!I$13</f>
        <v>0</v>
      </c>
      <c r="J95" s="12" t="n">
        <f aca="false">MAX(0,J$74-J$94)*Calendario!J$13</f>
        <v>258674.117255351</v>
      </c>
      <c r="K95" s="12" t="n">
        <f aca="false">MAX(0,K$74-K$94)*Calendario!K$13</f>
        <v>239207.209835316</v>
      </c>
      <c r="L95" s="12" t="n">
        <f aca="false">MAX(0,L$74-L$94)*Calendario!L$13</f>
        <v>219740.302415281</v>
      </c>
      <c r="M95" s="12" t="n">
        <f aca="false">MAX(0,M$74-M$94)*Calendario!M$13</f>
        <v>242396.699089934</v>
      </c>
      <c r="N95" s="12" t="n">
        <f aca="false">MAX(0,N$74-N$94)*Calendario!N$13</f>
        <v>285358.780036375</v>
      </c>
      <c r="O95" s="12" t="n">
        <f aca="false">MAX(0,O$74-O$94)*Calendario!O$13</f>
        <v>372536.81191418</v>
      </c>
      <c r="P95" s="12" t="n">
        <f aca="false">MAX(0,P$74-P$94)*Calendario!P$13</f>
        <v>462179.51813012</v>
      </c>
      <c r="Q95" s="12" t="n">
        <f aca="false">MAX(0,Q$74-Q$94)*Calendario!Q$13</f>
        <v>551789.915692673</v>
      </c>
      <c r="R95" s="12" t="n">
        <f aca="false">MAX(0,R$74-R$94)*Calendario!R$13</f>
        <v>641385.519984069</v>
      </c>
      <c r="S95" s="12" t="n">
        <f aca="false">MAX(0,S$74-S$94)*Calendario!S$13</f>
        <v>843230.668564904</v>
      </c>
      <c r="T95" s="12" t="n">
        <f aca="false">MAX(0,T$74-T$94)*Calendario!T$13</f>
        <v>938595.310244818</v>
      </c>
      <c r="U95" s="12" t="n">
        <f aca="false">MAX(0,U$74-U$94)*Calendario!U$13</f>
        <v>1033926.66305295</v>
      </c>
      <c r="V95" s="12" t="n">
        <f aca="false">MAX(0,V$74-V$94)*Calendario!V$13</f>
        <v>1123145.93850998</v>
      </c>
      <c r="W95" s="12" t="n">
        <f aca="false">MAX(0,W$74-W$94)*Calendario!W$13</f>
        <v>1107476.6293691</v>
      </c>
      <c r="X95" s="12" t="n">
        <f aca="false">MAX(0,X$74-X$94)*Calendario!X$13</f>
        <v>1091773.27672529</v>
      </c>
      <c r="Y95" s="12" t="n">
        <f aca="false">MAX(0,Y$74-Y$94)*Calendario!Y$13</f>
        <v>1076035.62525226</v>
      </c>
      <c r="Z95" s="12" t="n">
        <f aca="false">MAX(0,Z$74-Z$94)*Calendario!Z$13</f>
        <v>1080706.35923818</v>
      </c>
      <c r="AA95" s="12" t="n">
        <f aca="false">MAX(0,AA$74-AA$94)*Calendario!AA$13</f>
        <v>1130151.9957744</v>
      </c>
      <c r="AB95" s="12" t="n">
        <f aca="false">MAX(0,AB$74-AB$94)*Calendario!AB$13</f>
        <v>1182091.51941806</v>
      </c>
      <c r="AC95" s="12" t="n">
        <f aca="false">MAX(0,AC$74-AC$94)*Calendario!AC$13</f>
        <v>1233995.70363379</v>
      </c>
      <c r="AD95" s="12" t="n">
        <f aca="false">MAX(0,AD$74-AD$94)*Calendario!AD$13</f>
        <v>1285882.13325278</v>
      </c>
      <c r="AE95" s="12" t="n">
        <f aca="false">MAX(0,AE$74-AE$94)*Calendario!AE$13</f>
        <v>1353715.29807198</v>
      </c>
      <c r="AF95" s="12" t="n">
        <f aca="false">MAX(0,AF$74-AF$94)*Calendario!AF$13</f>
        <v>1414252.1586792</v>
      </c>
      <c r="AG95" s="12" t="n">
        <f aca="false">MAX(0,AG$74-AG$94)*Calendario!AG$13</f>
        <v>1474752.60768885</v>
      </c>
      <c r="AH95" s="12" t="n">
        <f aca="false">MAX(0,AH$74-AH$94)*Calendario!AH$13</f>
        <v>1529018.47703678</v>
      </c>
      <c r="AI95" s="12" t="n">
        <f aca="false">MAX(0,AI$74-AI$94)*Calendario!AI$13</f>
        <v>1476333.69820887</v>
      </c>
      <c r="AJ95" s="12" t="n">
        <f aca="false">MAX(0,AJ$74-AJ$94)*Calendario!AJ$13</f>
        <v>1423611.68236261</v>
      </c>
      <c r="AK95" s="12" t="n">
        <f aca="false">MAX(0,AK$74-AK$94)*Calendario!AK$13</f>
        <v>1370852.15022039</v>
      </c>
      <c r="AL95" s="12" t="n">
        <f aca="false">MAX(0,AL$74-AL$94)*Calendario!AL$13</f>
        <v>1334587.42760808</v>
      </c>
      <c r="AM95" s="12" t="n">
        <f aca="false">MAX(0,AM$74-AM$94)*Calendario!AM$13</f>
        <v>1335169.45712915</v>
      </c>
      <c r="AN95" s="12" t="n">
        <f aca="false">MAX(0,AN$74-AN$94)*Calendario!AN$13</f>
        <v>1337795.81097916</v>
      </c>
      <c r="AO95" s="12" t="n">
        <f aca="false">MAX(0,AO$74-AO$94)*Calendario!AO$13</f>
        <v>1340383.51031914</v>
      </c>
      <c r="AP95" s="12" t="n">
        <f aca="false">MAX(0,AP$74-AP$94)*Calendario!AP$13</f>
        <v>1342946.70068884</v>
      </c>
      <c r="AQ95" s="12" t="n">
        <f aca="false">MAX(0,AQ$74-AQ$94)*Calendario!AQ$13</f>
        <v>1358759.49348991</v>
      </c>
      <c r="AR95" s="12" t="n">
        <f aca="false">MAX(0,AR$74-AR$94)*Calendario!AR$13</f>
        <v>1368493.56937471</v>
      </c>
      <c r="AS95" s="12" t="n">
        <f aca="false">MAX(0,AS$74-AS$94)*Calendario!AS$13</f>
        <v>1378187.81800292</v>
      </c>
      <c r="AT95" s="12" t="n">
        <f aca="false">MAX(0,AT$74-AT$94)*Calendario!AT$13</f>
        <v>1382604.96153772</v>
      </c>
      <c r="AU95" s="12" t="n">
        <f aca="false">MAX(0,AU$74-AU$94)*Calendario!AU$13</f>
        <v>1296643.78813255</v>
      </c>
      <c r="AV95" s="12" t="n">
        <f aca="false">MAX(0,AV$74-AV$94)*Calendario!AV$13</f>
        <v>1210641.88461989</v>
      </c>
      <c r="AW95" s="12" t="n">
        <f aca="false">MAX(0,AW$74-AW$94)*Calendario!AW$13</f>
        <v>1124598.94552392</v>
      </c>
      <c r="AX95" s="12" t="n">
        <f aca="false">MAX(0,AX$74-AX$94)*Calendario!AX$13</f>
        <v>1038514.66307776</v>
      </c>
      <c r="AY95" s="12" t="n">
        <f aca="false">MAX(0,AY$74-AY$94)*Calendario!AY$13</f>
        <v>954582.798931867</v>
      </c>
      <c r="AZ95" s="12" t="n">
        <f aca="false">MAX(0,AZ$74-AZ$94)*Calendario!AZ$13</f>
        <v>870736.161523772</v>
      </c>
      <c r="BA95" s="12" t="n">
        <f aca="false">MAX(0,BA$74-BA$94)*Calendario!BA$13</f>
        <v>786847.243545984</v>
      </c>
      <c r="BB95" s="12" t="n">
        <f aca="false">MAX(0,BB$74-BB$94)*Calendario!BB$13</f>
        <v>702915.727894228</v>
      </c>
      <c r="BC95" s="12" t="n">
        <f aca="false">MAX(0,BC$74-BC$94)*Calendario!BC$13</f>
        <v>623060.696834314</v>
      </c>
      <c r="BD95" s="12" t="n">
        <f aca="false">MAX(0,BD$74-BD$94)*Calendario!BD$13</f>
        <v>542636.858012957</v>
      </c>
      <c r="BE95" s="12" t="n">
        <f aca="false">MAX(0,BE$74-BE$94)*Calendario!BE$13</f>
        <v>462169.45586364</v>
      </c>
      <c r="BF95" s="12" t="n">
        <f aca="false">MAX(0,BF$74-BF$94)*Calendario!BF$13</f>
        <v>381261.568344964</v>
      </c>
      <c r="BG95" s="12" t="n">
        <f aca="false">MAX(0,BG$74-BG$94)*Calendario!BG$13</f>
        <v>293468.192389411</v>
      </c>
      <c r="BH95" s="12" t="n">
        <f aca="false">MAX(0,BH$74-BH$94)*Calendario!BH$13</f>
        <v>205630.265561329</v>
      </c>
      <c r="BI95" s="12" t="n">
        <f aca="false">MAX(0,BI$74-BI$94)*Calendario!BI$13</f>
        <v>117747.453729174</v>
      </c>
      <c r="BJ95" s="12" t="n">
        <f aca="false">MAX(0,BJ$74-BJ$94)*Calendario!BJ$13</f>
        <v>29819.4202554149</v>
      </c>
      <c r="BK95" s="12" t="n">
        <f aca="false">MAX(0,BK$74-BK$94)*Calendario!BK$13</f>
        <v>0</v>
      </c>
      <c r="BL95" s="12" t="n">
        <f aca="false">MAX(0,BL$74-BL$94)*Calendario!BL$13</f>
        <v>0</v>
      </c>
      <c r="BM95" s="12" t="n">
        <f aca="false">MAX(0,BM$74-BM$94)*Calendario!BM$13</f>
        <v>0</v>
      </c>
      <c r="BN95" s="12" t="n">
        <f aca="false">MAX(0,BN$74-BN$94)*Calendario!BN$13</f>
        <v>0</v>
      </c>
      <c r="BO95" s="12" t="n">
        <f aca="false">MAX(0,BO$74-BO$94)*Calendario!BO$13</f>
        <v>0</v>
      </c>
      <c r="BP95" s="12" t="n">
        <f aca="false">MAX(0,BP$74-BP$94)*Calendario!BP$13</f>
        <v>0</v>
      </c>
      <c r="BQ95" s="12" t="n">
        <f aca="false">MAX(0,BQ$74-BQ$94)*Calendario!BQ$13</f>
        <v>0</v>
      </c>
      <c r="BR95" s="12" t="n">
        <f aca="false">MAX(0,BR$74-BR$94)*Calendario!BR$13</f>
        <v>0</v>
      </c>
      <c r="BS95" s="12" t="n">
        <f aca="false">MAX(0,BS$74-BS$94)*Calendario!BS$13</f>
        <v>0</v>
      </c>
      <c r="BT95" s="12" t="n">
        <f aca="false">MAX(0,BT$74-BT$94)*Calendario!BT$13</f>
        <v>0</v>
      </c>
      <c r="BU95" s="12" t="n">
        <f aca="false">MAX(0,BU$74-BU$94)*Calendario!BU$13</f>
        <v>0</v>
      </c>
      <c r="BV95" s="12" t="n">
        <f aca="false">MAX(0,BV$74-BV$94)*Calendario!BV$13</f>
        <v>0</v>
      </c>
      <c r="BW95" s="12" t="n">
        <f aca="false">MAX(0,BW$74-BW$94)*Calendario!BW$13</f>
        <v>0</v>
      </c>
      <c r="BX95" s="12" t="n">
        <f aca="false">MAX(0,BX$74-BX$94)*Calendario!BX$13</f>
        <v>0</v>
      </c>
      <c r="BY95" s="12" t="n">
        <f aca="false">MAX(0,BY$74-BY$94)*Calendario!BY$13</f>
        <v>0</v>
      </c>
      <c r="BZ95" s="12" t="n">
        <f aca="false">MAX(0,BZ$74-BZ$94)*Calendario!BZ$13</f>
        <v>0</v>
      </c>
      <c r="CA95" s="12" t="n">
        <f aca="false">MAX(0,CA$74-CA$94)*Calendario!CA$13</f>
        <v>0</v>
      </c>
      <c r="CB95" s="12" t="n">
        <f aca="false">MAX(0,CB$74-CB$94)*Calendario!CB$13</f>
        <v>0</v>
      </c>
      <c r="CC95" s="12" t="n">
        <f aca="false">MAX(0,CC$74-CC$94)*Calendario!CC$13</f>
        <v>0</v>
      </c>
      <c r="CD95" s="12" t="n">
        <f aca="false">MAX(0,CD$74-CD$94)*Calendario!CD$13</f>
        <v>0</v>
      </c>
      <c r="CE95" s="12" t="n">
        <f aca="false">MAX(0,CE$74-CE$94)*Calendario!CE$13</f>
        <v>0</v>
      </c>
      <c r="CF95" s="12" t="n">
        <f aca="false">MAX(0,CF$74-CF$94)*Calendario!CF$13</f>
        <v>0</v>
      </c>
      <c r="CG95" s="12" t="n">
        <f aca="false">MAX(0,CG$74-CG$94)*Calendario!CG$13</f>
        <v>0</v>
      </c>
      <c r="CH95" s="12" t="n">
        <f aca="false">MAX(0,CH$74-CH$94)*Calendario!CH$13</f>
        <v>0</v>
      </c>
      <c r="CI95" s="12" t="n">
        <f aca="false">MAX(0,CI$74-CI$94)*Calendario!CI$13</f>
        <v>0</v>
      </c>
      <c r="CJ95" s="12" t="n">
        <f aca="false">MAX(0,CJ$74-CJ$94)*Calendario!CJ$13</f>
        <v>0</v>
      </c>
      <c r="CK95" s="12" t="n">
        <f aca="false">MAX(0,CK$74-CK$94)*Calendario!CK$13</f>
        <v>0</v>
      </c>
      <c r="CL95" s="12" t="n">
        <f aca="false">MAX(0,CL$74-CL$94)*Calendario!CL$13</f>
        <v>0</v>
      </c>
      <c r="CM95" s="12" t="n">
        <f aca="false">MAX(0,CM$74-CM$94)*Calendario!CM$13</f>
        <v>0</v>
      </c>
      <c r="CN95" s="12" t="n">
        <f aca="false">MAX(0,CN$74-CN$94)*Calendario!CN$13</f>
        <v>0</v>
      </c>
      <c r="CO95" s="12" t="n">
        <f aca="false">MAX(0,CO$74-CO$94)*Calendario!CO$13</f>
        <v>0</v>
      </c>
      <c r="CP95" s="12" t="n">
        <f aca="false">MAX(0,CP$74-CP$94)*Calendario!CP$13</f>
        <v>0</v>
      </c>
      <c r="CQ95" s="12" t="n">
        <f aca="false">MAX(0,CQ$74-CQ$94)*Calendario!CQ$13</f>
        <v>0</v>
      </c>
      <c r="CR95" s="12" t="n">
        <f aca="false">MAX(0,CR$74-CR$94)*Calendario!CR$13</f>
        <v>0</v>
      </c>
      <c r="CS95" s="12" t="n">
        <f aca="false">MAX(0,CS$74-CS$94)*Calendario!CS$13</f>
        <v>0</v>
      </c>
      <c r="CT95" s="12" t="n">
        <f aca="false">MAX(0,CT$74-CT$94)*Calendario!CT$13</f>
        <v>0</v>
      </c>
      <c r="CU95" s="12" t="n">
        <f aca="false">MAX(0,CU$74-CU$94)*Calendario!CU$13</f>
        <v>0</v>
      </c>
      <c r="CV95" s="12" t="n">
        <f aca="false">MAX(0,CV$74-CV$94)*Calendario!CV$13</f>
        <v>0</v>
      </c>
      <c r="CW95" s="12" t="n">
        <f aca="false">MAX(0,CW$74-CW$94)*Calendario!CW$13</f>
        <v>0</v>
      </c>
      <c r="CX95" s="12" t="n">
        <f aca="false">MAX(0,CX$74-CX$94)*Calendario!CX$13</f>
        <v>0</v>
      </c>
      <c r="CY95" s="12" t="n">
        <f aca="false">MAX(0,CY$74-CY$94)*Calendario!CY$13</f>
        <v>0</v>
      </c>
      <c r="CZ95" s="12" t="n">
        <f aca="false">MAX(0,CZ$74-CZ$94)*Calendario!CZ$13</f>
        <v>0</v>
      </c>
      <c r="DA95" s="12" t="n">
        <f aca="false">MAX(0,DA$74-DA$94)*Calendario!DA$13</f>
        <v>0</v>
      </c>
      <c r="DB95" s="12" t="n">
        <f aca="false">MAX(0,DB$74-DB$94)*Calendario!DB$13</f>
        <v>0</v>
      </c>
      <c r="DC95" s="12" t="n">
        <f aca="false">MAX(0,DC$74-DC$94)*Calendario!DC$13</f>
        <v>0</v>
      </c>
      <c r="DD95" s="12" t="n">
        <f aca="false">MAX(0,DD$74-DD$94)*Calendario!DD$13</f>
        <v>0</v>
      </c>
      <c r="DE95" s="12" t="n">
        <f aca="false">MAX(0,DE$74-DE$94)*Calendario!DE$13</f>
        <v>0</v>
      </c>
      <c r="DF95" s="12" t="n">
        <f aca="false">MAX(0,DF$74-DF$94)*Calendario!DF$13</f>
        <v>0</v>
      </c>
      <c r="DG95" s="12" t="n">
        <f aca="false">MAX(0,DG$74-DG$94)*Calendario!DG$13</f>
        <v>0</v>
      </c>
      <c r="DH95" s="12" t="n">
        <f aca="false">MAX(0,DH$74-DH$94)*Calendario!DH$13</f>
        <v>0</v>
      </c>
      <c r="DI95" s="12" t="n">
        <f aca="false">MAX(0,DI$74-DI$94)*Calendario!DI$13</f>
        <v>0</v>
      </c>
      <c r="DJ95" s="12" t="n">
        <f aca="false">MAX(0,DJ$74-DJ$94)*Calendario!DJ$13</f>
        <v>0</v>
      </c>
      <c r="DK95" s="12" t="n">
        <f aca="false">MAX(0,DK$74-DK$94)*Calendario!DK$13</f>
        <v>0</v>
      </c>
      <c r="DL95" s="12" t="n">
        <f aca="false">MAX(0,DL$74-DL$94)*Calendario!DL$13</f>
        <v>0</v>
      </c>
      <c r="DM95" s="12" t="n">
        <f aca="false">MAX(0,DM$74-DM$94)*Calendario!DM$13</f>
        <v>0</v>
      </c>
      <c r="DN95" s="12" t="n">
        <f aca="false">MAX(0,DN$74-DN$94)*Calendario!DN$13</f>
        <v>0</v>
      </c>
      <c r="DO95" s="12" t="n">
        <f aca="false">MAX(0,DO$74-DO$94)*Calendario!DO$13</f>
        <v>0</v>
      </c>
      <c r="DP95" s="12" t="n">
        <f aca="false">MAX(0,DP$74-DP$94)*Calendario!DP$13</f>
        <v>0</v>
      </c>
      <c r="DQ95" s="12" t="n">
        <f aca="false">MAX(0,DQ$74-DQ$94)*Calendario!DQ$13</f>
        <v>0</v>
      </c>
      <c r="DR95" s="12" t="n">
        <f aca="false">MAX(0,DR$74-DR$94)*Calendario!DR$13</f>
        <v>0</v>
      </c>
      <c r="DS95" s="12" t="n">
        <f aca="false">MAX(0,DS$74-DS$94)*Calendario!DS$13</f>
        <v>0</v>
      </c>
      <c r="DT95" s="12" t="n">
        <f aca="false">MAX(0,DT$74-DT$94)*Calendario!DT$13</f>
        <v>0</v>
      </c>
      <c r="DU95" s="12" t="n">
        <f aca="false">MAX(0,DU$74-DU$94)*Calendario!DU$13</f>
        <v>0</v>
      </c>
      <c r="DV95" s="12" t="n">
        <f aca="false">MAX(0,DV$74-DV$94)*Calendario!DV$13</f>
        <v>0</v>
      </c>
      <c r="DW95" s="12" t="n">
        <f aca="false">MAX(0,DW$74-DW$94)*Calendario!DW$13</f>
        <v>0</v>
      </c>
      <c r="DX95" s="12" t="n">
        <f aca="false">MAX(0,DX$74-DX$94)*Calendario!DX$13</f>
        <v>0</v>
      </c>
      <c r="DY95" s="12" t="n">
        <f aca="false">MAX(0,DY$74-DY$94)*Calendario!DY$13</f>
        <v>0</v>
      </c>
      <c r="DZ95" s="12" t="n">
        <f aca="false">MAX(0,DZ$74-DZ$94)*Calendario!DZ$13</f>
        <v>0</v>
      </c>
      <c r="EA95" s="12" t="n">
        <f aca="false">MAX(0,EA$74-EA$94)*Calendario!EA$13</f>
        <v>0</v>
      </c>
      <c r="EB95" s="12" t="n">
        <f aca="false">MAX(0,EB$74-EB$94)*Calendario!EB$13</f>
        <v>0</v>
      </c>
      <c r="EC95" s="12" t="n">
        <f aca="false">MAX(0,EC$74-EC$94)*Calendario!EC$13</f>
        <v>0</v>
      </c>
      <c r="ED95" s="12" t="n">
        <f aca="false">MAX(0,ED$74-ED$94)*Calendario!ED$13</f>
        <v>0</v>
      </c>
      <c r="EE95" s="12" t="n">
        <f aca="false">MAX(0,EE$74-EE$94)*Calendario!EE$13</f>
        <v>0</v>
      </c>
      <c r="EF95" s="12" t="n">
        <f aca="false">MAX(0,EF$74-EF$94)*Calendario!EF$13</f>
        <v>0</v>
      </c>
      <c r="EG95" s="12" t="n">
        <f aca="false">MAX(0,EG$74-EG$94)*Calendario!EG$13</f>
        <v>0</v>
      </c>
      <c r="EH95" s="12" t="n">
        <f aca="false">MAX(0,EH$74-EH$94)*Calendario!EH$13</f>
        <v>0</v>
      </c>
      <c r="EI95" s="12" t="n">
        <f aca="false">MAX(0,EI$74-EI$94)*Calendario!EI$13</f>
        <v>0</v>
      </c>
      <c r="EJ95" s="12" t="n">
        <f aca="false">MAX(0,EJ$74-EJ$94)*Calendario!EJ$13</f>
        <v>0</v>
      </c>
      <c r="EK95" s="12" t="n">
        <f aca="false">MAX(0,EK$74-EK$94)*Calendario!EK$13</f>
        <v>0</v>
      </c>
      <c r="EL95" s="12" t="n">
        <f aca="false">MAX(0,EL$74-EL$94)*Calendario!EL$13</f>
        <v>0</v>
      </c>
      <c r="EM95" s="12" t="n">
        <f aca="false">MAX(0,EM$74-EM$94)*Calendario!EM$13</f>
        <v>0</v>
      </c>
      <c r="EN95" s="12" t="n">
        <f aca="false">MAX(0,EN$74-EN$94)*Calendario!EN$13</f>
        <v>0</v>
      </c>
      <c r="EO95" s="12" t="n">
        <f aca="false">MAX(0,EO$74-EO$94)*Calendario!EO$13</f>
        <v>0</v>
      </c>
      <c r="EP95" s="12" t="n">
        <f aca="false">MAX(0,EP$74-EP$94)*Calendario!EP$13</f>
        <v>0</v>
      </c>
      <c r="EQ95" s="12" t="n">
        <f aca="false">MAX(0,EQ$74-EQ$94)*Calendario!EQ$13</f>
        <v>0</v>
      </c>
      <c r="ER95" s="12" t="n">
        <f aca="false">MAX(0,ER$74-ER$94)*Calendario!ER$13</f>
        <v>0</v>
      </c>
      <c r="ES95" s="12" t="n">
        <f aca="false">MAX(0,ES$74-ES$94)*Calendario!ES$13</f>
        <v>0</v>
      </c>
      <c r="ET95" s="12" t="n">
        <f aca="false">MAX(0,ET$74-ET$94)*Calendario!ET$13</f>
        <v>0</v>
      </c>
      <c r="EU95" s="12" t="n">
        <f aca="false">MAX(0,EU$74-EU$94)*Calendario!EU$13</f>
        <v>0</v>
      </c>
      <c r="EV95" s="12" t="n">
        <f aca="false">MAX(0,EV$74-EV$94)*Calendario!EV$13</f>
        <v>0</v>
      </c>
      <c r="EW95" s="12" t="n">
        <f aca="false">MAX(0,EW$74-EW$94)*Calendario!EW$13</f>
        <v>0</v>
      </c>
      <c r="EX95" s="12" t="n">
        <f aca="false">MAX(0,EX$74-EX$94)*Calendario!EX$13</f>
        <v>0</v>
      </c>
      <c r="EY95" s="12" t="n">
        <f aca="false">MAX(0,EY$74-EY$94)*Calendario!EY$13</f>
        <v>0</v>
      </c>
      <c r="EZ95" s="12" t="n">
        <f aca="false">MAX(0,EZ$74-EZ$94)*Calendario!EZ$13</f>
        <v>0</v>
      </c>
      <c r="FA95" s="12" t="n">
        <f aca="false">MAX(0,FA$74-FA$94)*Calendario!FA$13</f>
        <v>0</v>
      </c>
      <c r="FB95" s="12" t="n">
        <f aca="false">MAX(0,FB$74-FB$94)*Calendario!FB$13</f>
        <v>0</v>
      </c>
      <c r="FC95" s="12" t="n">
        <f aca="false">MAX(0,FC$74-FC$94)*Calendario!FC$13</f>
        <v>0</v>
      </c>
      <c r="FD95" s="12" t="n">
        <f aca="false">MAX(0,FD$74-FD$94)*Calendario!FD$13</f>
        <v>0</v>
      </c>
      <c r="FE95" s="12" t="n">
        <f aca="false">MAX(0,FE$74-FE$94)*Calendario!FE$13</f>
        <v>0</v>
      </c>
      <c r="FF95" s="12" t="n">
        <f aca="false">MAX(0,FF$74-FF$94)*Calendario!FF$13</f>
        <v>0</v>
      </c>
    </row>
    <row r="96" customFormat="false" ht="15" hidden="false" customHeight="false" outlineLevel="0" collapsed="false">
      <c r="A96" s="2" t="s">
        <v>1601</v>
      </c>
      <c r="B96" s="8" t="s">
        <v>1602</v>
      </c>
      <c r="C96" s="8" t="s">
        <v>255</v>
      </c>
      <c r="E96" s="65" t="n">
        <f aca="false">MAX($F96:$FF96)</f>
        <v>2791587</v>
      </c>
      <c r="F96" s="13" t="n">
        <f aca="false">Deuda_Tributos!F$31+Deuda_Tributos!F$45+F$88</f>
        <v>2791587</v>
      </c>
      <c r="G96" s="13" t="n">
        <f aca="false">Deuda_Tributos!G$31+Deuda_Tributos!G$45+G$88</f>
        <v>2791587</v>
      </c>
      <c r="H96" s="13" t="n">
        <f aca="false">Deuda_Tributos!H$31+Deuda_Tributos!H$45+H$88</f>
        <v>2791587</v>
      </c>
      <c r="I96" s="13" t="n">
        <f aca="false">Deuda_Tributos!I$31+Deuda_Tributos!I$45+I$88</f>
        <v>2791587</v>
      </c>
      <c r="J96" s="13" t="n">
        <f aca="false">Deuda_Tributos!J$31+Deuda_Tributos!J$45+J$88</f>
        <v>2791587</v>
      </c>
      <c r="K96" s="13" t="n">
        <f aca="false">Deuda_Tributos!K$31+Deuda_Tributos!K$45+K$88</f>
        <v>2791587</v>
      </c>
      <c r="L96" s="13" t="n">
        <f aca="false">Deuda_Tributos!L$31+Deuda_Tributos!L$45+L$88</f>
        <v>2791587</v>
      </c>
      <c r="M96" s="13" t="n">
        <f aca="false">Deuda_Tributos!M$31+Deuda_Tributos!M$45+M$88</f>
        <v>2749463.69590531</v>
      </c>
      <c r="N96" s="13" t="n">
        <f aca="false">Deuda_Tributos!N$31+Deuda_Tributos!N$45+N$88</f>
        <v>2707024.46702991</v>
      </c>
      <c r="O96" s="13" t="n">
        <f aca="false">Deuda_Tributos!O$31+Deuda_Tributos!O$45+O$88</f>
        <v>2664266.94393795</v>
      </c>
      <c r="P96" s="13" t="n">
        <f aca="false">Deuda_Tributos!P$31+Deuda_Tributos!P$45+P$88</f>
        <v>2621188.7394228</v>
      </c>
      <c r="Q96" s="13" t="n">
        <f aca="false">Deuda_Tributos!Q$31+Deuda_Tributos!Q$45+Q$88</f>
        <v>2577787.44837378</v>
      </c>
      <c r="R96" s="13" t="n">
        <f aca="false">Deuda_Tributos!R$31+Deuda_Tributos!R$45+R$88</f>
        <v>2534060.6476419</v>
      </c>
      <c r="S96" s="13" t="n">
        <f aca="false">Deuda_Tributos!S$31+Deuda_Tributos!S$45+S$88</f>
        <v>2490005.89590452</v>
      </c>
      <c r="T96" s="13" t="n">
        <f aca="false">Deuda_Tributos!T$31+Deuda_Tributos!T$45+T$88</f>
        <v>2445620.73352912</v>
      </c>
      <c r="U96" s="13" t="n">
        <f aca="false">Deuda_Tributos!U$31+Deuda_Tributos!U$45+U$88</f>
        <v>2400902.6824359</v>
      </c>
      <c r="V96" s="13" t="n">
        <f aca="false">Deuda_Tributos!V$31+Deuda_Tributos!V$45+V$88</f>
        <v>2355849.24595948</v>
      </c>
      <c r="W96" s="13" t="n">
        <f aca="false">Deuda_Tributos!W$31+Deuda_Tributos!W$45+W$88</f>
        <v>2310457.90870949</v>
      </c>
      <c r="X96" s="13" t="n">
        <f aca="false">Deuda_Tributos!X$31+Deuda_Tributos!X$45+X$88</f>
        <v>2264726.13643012</v>
      </c>
      <c r="Y96" s="13" t="n">
        <f aca="false">Deuda_Tributos!Y$31+Deuda_Tributos!Y$45+Y$88</f>
        <v>2218651.37585866</v>
      </c>
      <c r="Z96" s="13" t="n">
        <f aca="false">Deuda_Tributos!Z$31+Deuda_Tributos!Z$45+Z$88</f>
        <v>2172231.05458292</v>
      </c>
      <c r="AA96" s="13" t="n">
        <f aca="false">Deuda_Tributos!AA$31+Deuda_Tributos!AA$45+AA$88</f>
        <v>2125462.5808976</v>
      </c>
      <c r="AB96" s="13" t="n">
        <f aca="false">Deuda_Tributos!AB$31+Deuda_Tributos!AB$45+AB$88</f>
        <v>2078343.34365964</v>
      </c>
      <c r="AC96" s="13" t="n">
        <f aca="false">Deuda_Tributos!AC$31+Deuda_Tributos!AC$45+AC$88</f>
        <v>2030870.7121424</v>
      </c>
      <c r="AD96" s="13" t="n">
        <f aca="false">Deuda_Tributos!AD$31+Deuda_Tributos!AD$45+AD$88</f>
        <v>1983042.03588878</v>
      </c>
      <c r="AE96" s="13" t="n">
        <f aca="false">Deuda_Tributos!AE$31+Deuda_Tributos!AE$45+AE$88</f>
        <v>1934854.64456326</v>
      </c>
      <c r="AF96" s="13" t="n">
        <f aca="false">Deuda_Tributos!AF$31+Deuda_Tributos!AF$45+AF$88</f>
        <v>1886305.8478028</v>
      </c>
      <c r="AG96" s="13" t="n">
        <f aca="false">Deuda_Tributos!AG$31+Deuda_Tributos!AG$45+AG$88</f>
        <v>1837392.93506663</v>
      </c>
      <c r="AH96" s="13" t="n">
        <f aca="false">Deuda_Tributos!AH$31+Deuda_Tributos!AH$45+AH$88</f>
        <v>1788113.17548494</v>
      </c>
      <c r="AI96" s="13" t="n">
        <f aca="false">Deuda_Tributos!AI$31+Deuda_Tributos!AI$45+AI$88</f>
        <v>1738463.81770639</v>
      </c>
      <c r="AJ96" s="13" t="n">
        <f aca="false">Deuda_Tributos!AJ$31+Deuda_Tributos!AJ$45+AJ$88</f>
        <v>1688442.0897445</v>
      </c>
      <c r="AK96" s="13" t="n">
        <f aca="false">Deuda_Tributos!AK$31+Deuda_Tributos!AK$45+AK$88</f>
        <v>1638045.1988229</v>
      </c>
      <c r="AL96" s="13" t="n">
        <f aca="false">Deuda_Tributos!AL$31+Deuda_Tributos!AL$45+AL$88</f>
        <v>1587270.33121938</v>
      </c>
      <c r="AM96" s="13" t="n">
        <f aca="false">Deuda_Tributos!AM$31+Deuda_Tributos!AM$45+AM$88</f>
        <v>1536114.65210884</v>
      </c>
      <c r="AN96" s="13" t="n">
        <f aca="false">Deuda_Tributos!AN$31+Deuda_Tributos!AN$45+AN$88</f>
        <v>1484575.30540497</v>
      </c>
      <c r="AO96" s="13" t="n">
        <f aca="false">Deuda_Tributos!AO$31+Deuda_Tributos!AO$45+AO$88</f>
        <v>1432649.41360082</v>
      </c>
      <c r="AP96" s="13" t="n">
        <f aca="false">Deuda_Tributos!AP$31+Deuda_Tributos!AP$45+AP$88</f>
        <v>1380334.07760814</v>
      </c>
      <c r="AQ96" s="13" t="n">
        <f aca="false">Deuda_Tributos!AQ$31+Deuda_Tributos!AQ$45+AQ$88</f>
        <v>1327626.37659551</v>
      </c>
      <c r="AR96" s="13" t="n">
        <f aca="false">Deuda_Tributos!AR$31+Deuda_Tributos!AR$45+AR$88</f>
        <v>1274523.36782529</v>
      </c>
      <c r="AS96" s="13" t="n">
        <f aca="false">Deuda_Tributos!AS$31+Deuda_Tributos!AS$45+AS$88</f>
        <v>1221022.08648929</v>
      </c>
      <c r="AT96" s="13" t="n">
        <f aca="false">Deuda_Tributos!AT$31+Deuda_Tributos!AT$45+AT$88</f>
        <v>1167119.54554327</v>
      </c>
      <c r="AU96" s="13" t="n">
        <f aca="false">Deuda_Tributos!AU$31+Deuda_Tributos!AU$45+AU$88</f>
        <v>1112812.73554016</v>
      </c>
      <c r="AV96" s="13" t="n">
        <f aca="false">Deuda_Tributos!AV$31+Deuda_Tributos!AV$45+AV$88</f>
        <v>1058098.62446202</v>
      </c>
      <c r="AW96" s="13" t="n">
        <f aca="false">Deuda_Tributos!AW$31+Deuda_Tributos!AW$45+AW$88</f>
        <v>1002974.1575508</v>
      </c>
      <c r="AX96" s="13" t="n">
        <f aca="false">Deuda_Tributos!AX$31+Deuda_Tributos!AX$45+AX$88</f>
        <v>947436.257137743</v>
      </c>
      <c r="AY96" s="13" t="n">
        <f aca="false">Deuda_Tributos!AY$31+Deuda_Tributos!AY$45+AY$88</f>
        <v>891481.822471588</v>
      </c>
      <c r="AZ96" s="13" t="n">
        <f aca="false">Deuda_Tributos!AZ$31+Deuda_Tributos!AZ$45+AZ$88</f>
        <v>835107.729545437</v>
      </c>
      <c r="BA96" s="13" t="n">
        <f aca="false">Deuda_Tributos!BA$31+Deuda_Tributos!BA$45+BA$88</f>
        <v>778310.83092234</v>
      </c>
      <c r="BB96" s="13" t="n">
        <f aca="false">Deuda_Tributos!BB$31+Deuda_Tributos!BB$45+BB$88</f>
        <v>721087.95555957</v>
      </c>
      <c r="BC96" s="13" t="n">
        <f aca="false">Deuda_Tributos!BC$31+Deuda_Tributos!BC$45+BC$88</f>
        <v>663435.908631579</v>
      </c>
      <c r="BD96" s="13" t="n">
        <f aca="false">Deuda_Tributos!BD$31+Deuda_Tributos!BD$45+BD$88</f>
        <v>605351.471351628</v>
      </c>
      <c r="BE96" s="13" t="n">
        <f aca="false">Deuda_Tributos!BE$31+Deuda_Tributos!BE$45+BE$88</f>
        <v>546831.400792078</v>
      </c>
      <c r="BF96" s="13" t="n">
        <f aca="false">Deuda_Tributos!BF$31+Deuda_Tributos!BF$45+BF$88</f>
        <v>487872.429703331</v>
      </c>
      <c r="BG96" s="13" t="n">
        <f aca="false">Deuda_Tributos!BG$31+Deuda_Tributos!BG$45+BG$88</f>
        <v>428471.266331418</v>
      </c>
      <c r="BH96" s="13" t="n">
        <f aca="false">Deuda_Tributos!BH$31+Deuda_Tributos!BH$45+BH$88</f>
        <v>368624.594234216</v>
      </c>
      <c r="BI96" s="13" t="n">
        <f aca="false">Deuda_Tributos!BI$31+Deuda_Tributos!BI$45+BI$88</f>
        <v>308329.072096285</v>
      </c>
      <c r="BJ96" s="13" t="n">
        <f aca="false">Deuda_Tributos!BJ$31+Deuda_Tributos!BJ$45+BJ$88</f>
        <v>247581.333542319</v>
      </c>
      <c r="BK96" s="13" t="n">
        <f aca="false">Deuda_Tributos!BK$31+Deuda_Tributos!BK$45+BK$88</f>
        <v>186377.986949199</v>
      </c>
      <c r="BL96" s="13" t="n">
        <f aca="false">Deuda_Tributos!BL$31+Deuda_Tributos!BL$45+BL$88</f>
        <v>124715.61525663</v>
      </c>
      <c r="BM96" s="13" t="n">
        <f aca="false">Deuda_Tributos!BM$31+Deuda_Tributos!BM$45+BM$88</f>
        <v>62590.7757763667</v>
      </c>
      <c r="BN96" s="13" t="n">
        <f aca="false">Deuda_Tributos!BN$31+Deuda_Tributos!BN$45+BN$88</f>
        <v>0</v>
      </c>
      <c r="BO96" s="13" t="n">
        <f aca="false">Deuda_Tributos!BO$31+Deuda_Tributos!BO$45+BO$88</f>
        <v>0</v>
      </c>
      <c r="BP96" s="13" t="n">
        <f aca="false">Deuda_Tributos!BP$31+Deuda_Tributos!BP$45+BP$88</f>
        <v>0</v>
      </c>
      <c r="BQ96" s="13" t="n">
        <f aca="false">Deuda_Tributos!BQ$31+Deuda_Tributos!BQ$45+BQ$88</f>
        <v>0</v>
      </c>
      <c r="BR96" s="13" t="n">
        <f aca="false">Deuda_Tributos!BR$31+Deuda_Tributos!BR$45+BR$88</f>
        <v>0</v>
      </c>
      <c r="BS96" s="13" t="n">
        <f aca="false">Deuda_Tributos!BS$31+Deuda_Tributos!BS$45+BS$88</f>
        <v>0</v>
      </c>
      <c r="BT96" s="13" t="n">
        <f aca="false">Deuda_Tributos!BT$31+Deuda_Tributos!BT$45+BT$88</f>
        <v>0</v>
      </c>
      <c r="BU96" s="13" t="n">
        <f aca="false">Deuda_Tributos!BU$31+Deuda_Tributos!BU$45+BU$88</f>
        <v>0</v>
      </c>
      <c r="BV96" s="13" t="n">
        <f aca="false">Deuda_Tributos!BV$31+Deuda_Tributos!BV$45+BV$88</f>
        <v>0</v>
      </c>
      <c r="BW96" s="13" t="n">
        <f aca="false">Deuda_Tributos!BW$31+Deuda_Tributos!BW$45+BW$88</f>
        <v>0</v>
      </c>
      <c r="BX96" s="13" t="n">
        <f aca="false">Deuda_Tributos!BX$31+Deuda_Tributos!BX$45+BX$88</f>
        <v>0</v>
      </c>
      <c r="BY96" s="13" t="n">
        <f aca="false">Deuda_Tributos!BY$31+Deuda_Tributos!BY$45+BY$88</f>
        <v>0</v>
      </c>
      <c r="BZ96" s="13" t="n">
        <f aca="false">Deuda_Tributos!BZ$31+Deuda_Tributos!BZ$45+BZ$88</f>
        <v>0</v>
      </c>
      <c r="CA96" s="13" t="n">
        <f aca="false">Deuda_Tributos!CA$31+Deuda_Tributos!CA$45+CA$88</f>
        <v>0</v>
      </c>
      <c r="CB96" s="13" t="n">
        <f aca="false">Deuda_Tributos!CB$31+Deuda_Tributos!CB$45+CB$88</f>
        <v>0</v>
      </c>
      <c r="CC96" s="13" t="n">
        <f aca="false">Deuda_Tributos!CC$31+Deuda_Tributos!CC$45+CC$88</f>
        <v>0</v>
      </c>
      <c r="CD96" s="13" t="n">
        <f aca="false">Deuda_Tributos!CD$31+Deuda_Tributos!CD$45+CD$88</f>
        <v>0</v>
      </c>
      <c r="CE96" s="13" t="n">
        <f aca="false">Deuda_Tributos!CE$31+Deuda_Tributos!CE$45+CE$88</f>
        <v>0</v>
      </c>
      <c r="CF96" s="13" t="n">
        <f aca="false">Deuda_Tributos!CF$31+Deuda_Tributos!CF$45+CF$88</f>
        <v>0</v>
      </c>
      <c r="CG96" s="13" t="n">
        <f aca="false">Deuda_Tributos!CG$31+Deuda_Tributos!CG$45+CG$88</f>
        <v>0</v>
      </c>
      <c r="CH96" s="13" t="n">
        <f aca="false">Deuda_Tributos!CH$31+Deuda_Tributos!CH$45+CH$88</f>
        <v>0</v>
      </c>
      <c r="CI96" s="13" t="n">
        <f aca="false">Deuda_Tributos!CI$31+Deuda_Tributos!CI$45+CI$88</f>
        <v>0</v>
      </c>
      <c r="CJ96" s="13" t="n">
        <f aca="false">Deuda_Tributos!CJ$31+Deuda_Tributos!CJ$45+CJ$88</f>
        <v>0</v>
      </c>
      <c r="CK96" s="13" t="n">
        <f aca="false">Deuda_Tributos!CK$31+Deuda_Tributos!CK$45+CK$88</f>
        <v>0</v>
      </c>
      <c r="CL96" s="13" t="n">
        <f aca="false">Deuda_Tributos!CL$31+Deuda_Tributos!CL$45+CL$88</f>
        <v>0</v>
      </c>
      <c r="CM96" s="13" t="n">
        <f aca="false">Deuda_Tributos!CM$31+Deuda_Tributos!CM$45+CM$88</f>
        <v>0</v>
      </c>
      <c r="CN96" s="13" t="n">
        <f aca="false">Deuda_Tributos!CN$31+Deuda_Tributos!CN$45+CN$88</f>
        <v>0</v>
      </c>
      <c r="CO96" s="13" t="n">
        <f aca="false">Deuda_Tributos!CO$31+Deuda_Tributos!CO$45+CO$88</f>
        <v>0</v>
      </c>
      <c r="CP96" s="13" t="n">
        <f aca="false">Deuda_Tributos!CP$31+Deuda_Tributos!CP$45+CP$88</f>
        <v>0</v>
      </c>
      <c r="CQ96" s="13" t="n">
        <f aca="false">Deuda_Tributos!CQ$31+Deuda_Tributos!CQ$45+CQ$88</f>
        <v>0</v>
      </c>
      <c r="CR96" s="13" t="n">
        <f aca="false">Deuda_Tributos!CR$31+Deuda_Tributos!CR$45+CR$88</f>
        <v>0</v>
      </c>
      <c r="CS96" s="13" t="n">
        <f aca="false">Deuda_Tributos!CS$31+Deuda_Tributos!CS$45+CS$88</f>
        <v>0</v>
      </c>
      <c r="CT96" s="13" t="n">
        <f aca="false">Deuda_Tributos!CT$31+Deuda_Tributos!CT$45+CT$88</f>
        <v>0</v>
      </c>
      <c r="CU96" s="13" t="n">
        <f aca="false">Deuda_Tributos!CU$31+Deuda_Tributos!CU$45+CU$88</f>
        <v>0</v>
      </c>
      <c r="CV96" s="13" t="n">
        <f aca="false">Deuda_Tributos!CV$31+Deuda_Tributos!CV$45+CV$88</f>
        <v>0</v>
      </c>
      <c r="CW96" s="13" t="n">
        <f aca="false">Deuda_Tributos!CW$31+Deuda_Tributos!CW$45+CW$88</f>
        <v>0</v>
      </c>
      <c r="CX96" s="13" t="n">
        <f aca="false">Deuda_Tributos!CX$31+Deuda_Tributos!CX$45+CX$88</f>
        <v>0</v>
      </c>
      <c r="CY96" s="13" t="n">
        <f aca="false">Deuda_Tributos!CY$31+Deuda_Tributos!CY$45+CY$88</f>
        <v>0</v>
      </c>
      <c r="CZ96" s="13" t="n">
        <f aca="false">Deuda_Tributos!CZ$31+Deuda_Tributos!CZ$45+CZ$88</f>
        <v>0</v>
      </c>
      <c r="DA96" s="13" t="n">
        <f aca="false">Deuda_Tributos!DA$31+Deuda_Tributos!DA$45+DA$88</f>
        <v>0</v>
      </c>
      <c r="DB96" s="13" t="n">
        <f aca="false">Deuda_Tributos!DB$31+Deuda_Tributos!DB$45+DB$88</f>
        <v>0</v>
      </c>
      <c r="DC96" s="13" t="n">
        <f aca="false">Deuda_Tributos!DC$31+Deuda_Tributos!DC$45+DC$88</f>
        <v>0</v>
      </c>
      <c r="DD96" s="13" t="n">
        <f aca="false">Deuda_Tributos!DD$31+Deuda_Tributos!DD$45+DD$88</f>
        <v>0</v>
      </c>
      <c r="DE96" s="13" t="n">
        <f aca="false">Deuda_Tributos!DE$31+Deuda_Tributos!DE$45+DE$88</f>
        <v>0</v>
      </c>
      <c r="DF96" s="13" t="n">
        <f aca="false">Deuda_Tributos!DF$31+Deuda_Tributos!DF$45+DF$88</f>
        <v>0</v>
      </c>
      <c r="DG96" s="13" t="n">
        <f aca="false">Deuda_Tributos!DG$31+Deuda_Tributos!DG$45+DG$88</f>
        <v>0</v>
      </c>
      <c r="DH96" s="13" t="n">
        <f aca="false">Deuda_Tributos!DH$31+Deuda_Tributos!DH$45+DH$88</f>
        <v>0</v>
      </c>
      <c r="DI96" s="13" t="n">
        <f aca="false">Deuda_Tributos!DI$31+Deuda_Tributos!DI$45+DI$88</f>
        <v>0</v>
      </c>
      <c r="DJ96" s="13" t="n">
        <f aca="false">Deuda_Tributos!DJ$31+Deuda_Tributos!DJ$45+DJ$88</f>
        <v>0</v>
      </c>
      <c r="DK96" s="13" t="n">
        <f aca="false">Deuda_Tributos!DK$31+Deuda_Tributos!DK$45+DK$88</f>
        <v>0</v>
      </c>
      <c r="DL96" s="13" t="n">
        <f aca="false">Deuda_Tributos!DL$31+Deuda_Tributos!DL$45+DL$88</f>
        <v>0</v>
      </c>
      <c r="DM96" s="13" t="n">
        <f aca="false">Deuda_Tributos!DM$31+Deuda_Tributos!DM$45+DM$88</f>
        <v>0</v>
      </c>
      <c r="DN96" s="13" t="n">
        <f aca="false">Deuda_Tributos!DN$31+Deuda_Tributos!DN$45+DN$88</f>
        <v>0</v>
      </c>
      <c r="DO96" s="13" t="n">
        <f aca="false">Deuda_Tributos!DO$31+Deuda_Tributos!DO$45+DO$88</f>
        <v>0</v>
      </c>
      <c r="DP96" s="13" t="n">
        <f aca="false">Deuda_Tributos!DP$31+Deuda_Tributos!DP$45+DP$88</f>
        <v>0</v>
      </c>
      <c r="DQ96" s="13" t="n">
        <f aca="false">Deuda_Tributos!DQ$31+Deuda_Tributos!DQ$45+DQ$88</f>
        <v>0</v>
      </c>
      <c r="DR96" s="13" t="n">
        <f aca="false">Deuda_Tributos!DR$31+Deuda_Tributos!DR$45+DR$88</f>
        <v>0</v>
      </c>
      <c r="DS96" s="13" t="n">
        <f aca="false">Deuda_Tributos!DS$31+Deuda_Tributos!DS$45+DS$88</f>
        <v>0</v>
      </c>
      <c r="DT96" s="13" t="n">
        <f aca="false">Deuda_Tributos!DT$31+Deuda_Tributos!DT$45+DT$88</f>
        <v>0</v>
      </c>
      <c r="DU96" s="13" t="n">
        <f aca="false">Deuda_Tributos!DU$31+Deuda_Tributos!DU$45+DU$88</f>
        <v>0</v>
      </c>
      <c r="DV96" s="13" t="n">
        <f aca="false">Deuda_Tributos!DV$31+Deuda_Tributos!DV$45+DV$88</f>
        <v>0</v>
      </c>
      <c r="DW96" s="13" t="n">
        <f aca="false">Deuda_Tributos!DW$31+Deuda_Tributos!DW$45+DW$88</f>
        <v>0</v>
      </c>
      <c r="DX96" s="13" t="n">
        <f aca="false">Deuda_Tributos!DX$31+Deuda_Tributos!DX$45+DX$88</f>
        <v>0</v>
      </c>
      <c r="DY96" s="13" t="n">
        <f aca="false">Deuda_Tributos!DY$31+Deuda_Tributos!DY$45+DY$88</f>
        <v>0</v>
      </c>
      <c r="DZ96" s="13" t="n">
        <f aca="false">Deuda_Tributos!DZ$31+Deuda_Tributos!DZ$45+DZ$88</f>
        <v>0</v>
      </c>
      <c r="EA96" s="13" t="n">
        <f aca="false">Deuda_Tributos!EA$31+Deuda_Tributos!EA$45+EA$88</f>
        <v>0</v>
      </c>
      <c r="EB96" s="13" t="n">
        <f aca="false">Deuda_Tributos!EB$31+Deuda_Tributos!EB$45+EB$88</f>
        <v>0</v>
      </c>
      <c r="EC96" s="13" t="n">
        <f aca="false">Deuda_Tributos!EC$31+Deuda_Tributos!EC$45+EC$88</f>
        <v>0</v>
      </c>
      <c r="ED96" s="13" t="n">
        <f aca="false">Deuda_Tributos!ED$31+Deuda_Tributos!ED$45+ED$88</f>
        <v>0</v>
      </c>
      <c r="EE96" s="13" t="n">
        <f aca="false">Deuda_Tributos!EE$31+Deuda_Tributos!EE$45+EE$88</f>
        <v>0</v>
      </c>
      <c r="EF96" s="13" t="n">
        <f aca="false">Deuda_Tributos!EF$31+Deuda_Tributos!EF$45+EF$88</f>
        <v>0</v>
      </c>
      <c r="EG96" s="13" t="n">
        <f aca="false">Deuda_Tributos!EG$31+Deuda_Tributos!EG$45+EG$88</f>
        <v>0</v>
      </c>
      <c r="EH96" s="13" t="n">
        <f aca="false">Deuda_Tributos!EH$31+Deuda_Tributos!EH$45+EH$88</f>
        <v>0</v>
      </c>
      <c r="EI96" s="13" t="n">
        <f aca="false">Deuda_Tributos!EI$31+Deuda_Tributos!EI$45+EI$88</f>
        <v>0</v>
      </c>
      <c r="EJ96" s="13" t="n">
        <f aca="false">Deuda_Tributos!EJ$31+Deuda_Tributos!EJ$45+EJ$88</f>
        <v>0</v>
      </c>
      <c r="EK96" s="13" t="n">
        <f aca="false">Deuda_Tributos!EK$31+Deuda_Tributos!EK$45+EK$88</f>
        <v>0</v>
      </c>
      <c r="EL96" s="13" t="n">
        <f aca="false">Deuda_Tributos!EL$31+Deuda_Tributos!EL$45+EL$88</f>
        <v>0</v>
      </c>
      <c r="EM96" s="13" t="n">
        <f aca="false">Deuda_Tributos!EM$31+Deuda_Tributos!EM$45+EM$88</f>
        <v>0</v>
      </c>
      <c r="EN96" s="13" t="n">
        <f aca="false">Deuda_Tributos!EN$31+Deuda_Tributos!EN$45+EN$88</f>
        <v>0</v>
      </c>
      <c r="EO96" s="13" t="n">
        <f aca="false">Deuda_Tributos!EO$31+Deuda_Tributos!EO$45+EO$88</f>
        <v>0</v>
      </c>
      <c r="EP96" s="13" t="n">
        <f aca="false">Deuda_Tributos!EP$31+Deuda_Tributos!EP$45+EP$88</f>
        <v>0</v>
      </c>
      <c r="EQ96" s="13" t="n">
        <f aca="false">Deuda_Tributos!EQ$31+Deuda_Tributos!EQ$45+EQ$88</f>
        <v>0</v>
      </c>
      <c r="ER96" s="13" t="n">
        <f aca="false">Deuda_Tributos!ER$31+Deuda_Tributos!ER$45+ER$88</f>
        <v>0</v>
      </c>
      <c r="ES96" s="13" t="n">
        <f aca="false">Deuda_Tributos!ES$31+Deuda_Tributos!ES$45+ES$88</f>
        <v>0</v>
      </c>
      <c r="ET96" s="13" t="n">
        <f aca="false">Deuda_Tributos!ET$31+Deuda_Tributos!ET$45+ET$88</f>
        <v>0</v>
      </c>
      <c r="EU96" s="13" t="n">
        <f aca="false">Deuda_Tributos!EU$31+Deuda_Tributos!EU$45+EU$88</f>
        <v>0</v>
      </c>
      <c r="EV96" s="13" t="n">
        <f aca="false">Deuda_Tributos!EV$31+Deuda_Tributos!EV$45+EV$88</f>
        <v>0</v>
      </c>
      <c r="EW96" s="13" t="n">
        <f aca="false">Deuda_Tributos!EW$31+Deuda_Tributos!EW$45+EW$88</f>
        <v>0</v>
      </c>
      <c r="EX96" s="13" t="n">
        <f aca="false">Deuda_Tributos!EX$31+Deuda_Tributos!EX$45+EX$88</f>
        <v>0</v>
      </c>
      <c r="EY96" s="13" t="n">
        <f aca="false">Deuda_Tributos!EY$31+Deuda_Tributos!EY$45+EY$88</f>
        <v>0</v>
      </c>
      <c r="EZ96" s="13" t="n">
        <f aca="false">Deuda_Tributos!EZ$31+Deuda_Tributos!EZ$45+EZ$88</f>
        <v>0</v>
      </c>
      <c r="FA96" s="13" t="n">
        <f aca="false">Deuda_Tributos!FA$31+Deuda_Tributos!FA$45+FA$88</f>
        <v>0</v>
      </c>
      <c r="FB96" s="13" t="n">
        <f aca="false">Deuda_Tributos!FB$31+Deuda_Tributos!FB$45+FB$88</f>
        <v>0</v>
      </c>
      <c r="FC96" s="13" t="n">
        <f aca="false">Deuda_Tributos!FC$31+Deuda_Tributos!FC$45+FC$88</f>
        <v>0</v>
      </c>
      <c r="FD96" s="13" t="n">
        <f aca="false">Deuda_Tributos!FD$31+Deuda_Tributos!FD$45+FD$88</f>
        <v>0</v>
      </c>
      <c r="FE96" s="13" t="n">
        <f aca="false">Deuda_Tributos!FE$31+Deuda_Tributos!FE$45+FE$88</f>
        <v>0</v>
      </c>
      <c r="FF96" s="13" t="n">
        <f aca="false">Deuda_Tributos!FF$31+Deuda_Tributos!FF$45+FF$88</f>
        <v>0</v>
      </c>
    </row>
    <row r="97" customFormat="false" ht="15" hidden="false" customHeight="false" outlineLevel="0" collapsed="false">
      <c r="A97" s="4"/>
      <c r="B97" s="3" t="s">
        <v>1603</v>
      </c>
      <c r="C97" s="4"/>
      <c r="D97" s="4"/>
      <c r="E97" s="4"/>
    </row>
    <row r="98" customFormat="false" ht="15" hidden="false" customHeight="false" outlineLevel="0" collapsed="false">
      <c r="A98" s="2" t="s">
        <v>1604</v>
      </c>
      <c r="B98" s="8" t="s">
        <v>1605</v>
      </c>
      <c r="C98" s="8" t="s">
        <v>255</v>
      </c>
      <c r="E98" s="65" t="n">
        <f aca="false">INDEX($F98:$FF98,1,p_MesFin+1)</f>
        <v>5637923.36321829</v>
      </c>
      <c r="F98" s="13" t="n">
        <f aca="false">F$91+Capital_Trabajo!F$22+Capital_Trabajo!F$31+Capital_Trabajo!F$56+Capital_Trabajo!F$36+Capital_Trabajo!F$58+Deuda_Tributos!F$17+Inversion_Activos!F$66</f>
        <v>2991587</v>
      </c>
      <c r="G98" s="13" t="n">
        <f aca="false">G$91+Capital_Trabajo!G$22+Capital_Trabajo!G$31+Capital_Trabajo!G$56+Capital_Trabajo!G$36+Capital_Trabajo!G$58+Deuda_Tributos!G$17+Inversion_Activos!G$66</f>
        <v>3637874.26650205</v>
      </c>
      <c r="H98" s="13" t="n">
        <f aca="false">H$91+Capital_Trabajo!H$22+Capital_Trabajo!H$31+Capital_Trabajo!H$56+Capital_Trabajo!H$36+Capital_Trabajo!H$58+Deuda_Tributos!H$17+Inversion_Activos!H$66</f>
        <v>3651210.61433366</v>
      </c>
      <c r="I98" s="13" t="n">
        <f aca="false">I$91+Capital_Trabajo!I$22+Capital_Trabajo!I$31+Capital_Trabajo!I$56+Capital_Trabajo!I$36+Capital_Trabajo!I$58+Deuda_Tributos!I$17+Inversion_Activos!I$66</f>
        <v>3664711.5042537</v>
      </c>
      <c r="J98" s="13" t="n">
        <f aca="false">J$91+Capital_Trabajo!J$22+Capital_Trabajo!J$31+Capital_Trabajo!J$56+Capital_Trabajo!J$36+Capital_Trabajo!J$58+Deuda_Tributos!J$17+Inversion_Activos!J$66</f>
        <v>3678212.39417373</v>
      </c>
      <c r="K98" s="13" t="n">
        <f aca="false">K$91+Capital_Trabajo!K$22+Capital_Trabajo!K$31+Capital_Trabajo!K$56+Capital_Trabajo!K$36+Capital_Trabajo!K$58+Deuda_Tributos!K$17+Inversion_Activos!K$66</f>
        <v>3691713.28409377</v>
      </c>
      <c r="L98" s="13" t="n">
        <f aca="false">L$91+Capital_Trabajo!L$22+Capital_Trabajo!L$31+Capital_Trabajo!L$56+Capital_Trabajo!L$36+Capital_Trabajo!L$58+Deuda_Tributos!L$17+Inversion_Activos!L$66</f>
        <v>3705214.1740138</v>
      </c>
      <c r="M98" s="13" t="n">
        <f aca="false">M$91+Capital_Trabajo!M$22+Capital_Trabajo!M$31+Capital_Trabajo!M$56+Capital_Trabajo!M$36+Capital_Trabajo!M$58+Deuda_Tributos!M$17+Inversion_Activos!M$66</f>
        <v>3676591.75983915</v>
      </c>
      <c r="N98" s="13" t="n">
        <f aca="false">N$91+Capital_Trabajo!N$22+Capital_Trabajo!N$31+Capital_Trabajo!N$56+Capital_Trabajo!N$36+Capital_Trabajo!N$58+Deuda_Tributos!N$17+Inversion_Activos!N$66</f>
        <v>3648000.93814257</v>
      </c>
      <c r="O98" s="13" t="n">
        <f aca="false">O$91+Capital_Trabajo!O$22+Capital_Trabajo!O$31+Capital_Trabajo!O$56+Capital_Trabajo!O$36+Capital_Trabajo!O$58+Deuda_Tributos!O$17+Inversion_Activos!O$66</f>
        <v>3619441.94586764</v>
      </c>
      <c r="P98" s="13" t="n">
        <f aca="false">P$91+Capital_Trabajo!P$22+Capital_Trabajo!P$31+Capital_Trabajo!P$56+Capital_Trabajo!P$36+Capital_Trabajo!P$58+Deuda_Tributos!P$17+Inversion_Activos!P$66</f>
        <v>3590915.02173504</v>
      </c>
      <c r="Q98" s="13" t="n">
        <f aca="false">Q$91+Capital_Trabajo!Q$22+Capital_Trabajo!Q$31+Capital_Trabajo!Q$56+Capital_Trabajo!Q$36+Capital_Trabajo!Q$58+Deuda_Tributos!Q$17+Inversion_Activos!Q$66</f>
        <v>3562420.40625582</v>
      </c>
      <c r="R98" s="13" t="n">
        <f aca="false">R$91+Capital_Trabajo!R$22+Capital_Trabajo!R$31+Capital_Trabajo!R$56+Capital_Trabajo!R$36+Capital_Trabajo!R$58+Deuda_Tributos!R$17+Inversion_Activos!R$66</f>
        <v>3537223.78929406</v>
      </c>
      <c r="S98" s="13" t="n">
        <f aca="false">S$91+Capital_Trabajo!S$22+Capital_Trabajo!S$31+Capital_Trabajo!S$56+Capital_Trabajo!S$36+Capital_Trabajo!S$58+Deuda_Tributos!S$17+Inversion_Activos!S$66</f>
        <v>3919868.33029569</v>
      </c>
      <c r="T98" s="13" t="n">
        <f aca="false">T$91+Capital_Trabajo!T$22+Capital_Trabajo!T$31+Capital_Trabajo!T$56+Capital_Trabajo!T$36+Capital_Trabajo!T$58+Deuda_Tributos!T$17+Inversion_Activos!T$66</f>
        <v>3928637.67111577</v>
      </c>
      <c r="U98" s="13" t="n">
        <f aca="false">U$91+Capital_Trabajo!U$22+Capital_Trabajo!U$31+Capital_Trabajo!U$56+Capital_Trabajo!U$36+Capital_Trabajo!U$58+Deuda_Tributos!U$17+Inversion_Activos!U$66</f>
        <v>3937440.30080764</v>
      </c>
      <c r="V98" s="13" t="n">
        <f aca="false">V$91+Capital_Trabajo!V$22+Capital_Trabajo!V$31+Capital_Trabajo!V$56+Capital_Trabajo!V$36+Capital_Trabajo!V$58+Deuda_Tributos!V$17+Inversion_Activos!V$66</f>
        <v>3946276.46903783</v>
      </c>
      <c r="W98" s="13" t="n">
        <f aca="false">W$91+Capital_Trabajo!W$22+Capital_Trabajo!W$31+Capital_Trabajo!W$56+Capital_Trabajo!W$36+Capital_Trabajo!W$58+Deuda_Tributos!W$17+Inversion_Activos!W$66</f>
        <v>3955146.42734537</v>
      </c>
      <c r="X98" s="13" t="n">
        <f aca="false">X$91+Capital_Trabajo!X$22+Capital_Trabajo!X$31+Capital_Trabajo!X$56+Capital_Trabajo!X$36+Capital_Trabajo!X$58+Deuda_Tributos!X$17+Inversion_Activos!X$66</f>
        <v>3964050.42915586</v>
      </c>
      <c r="Y98" s="13" t="n">
        <f aca="false">Y$91+Capital_Trabajo!Y$22+Capital_Trabajo!Y$31+Capital_Trabajo!Y$56+Capital_Trabajo!Y$36+Capital_Trabajo!Y$58+Deuda_Tributos!Y$17+Inversion_Activos!Y$66</f>
        <v>3972988.72979555</v>
      </c>
      <c r="Z98" s="13" t="n">
        <f aca="false">Z$91+Capital_Trabajo!Z$22+Capital_Trabajo!Z$31+Capital_Trabajo!Z$56+Capital_Trabajo!Z$36+Capital_Trabajo!Z$58+Deuda_Tributos!Z$17+Inversion_Activos!Z$66</f>
        <v>3981961.58650567</v>
      </c>
      <c r="AA98" s="13" t="n">
        <f aca="false">AA$91+Capital_Trabajo!AA$22+Capital_Trabajo!AA$31+Capital_Trabajo!AA$56+Capital_Trabajo!AA$36+Capital_Trabajo!AA$58+Deuda_Tributos!AA$17+Inversion_Activos!AA$66</f>
        <v>3990969.25845674</v>
      </c>
      <c r="AB98" s="13" t="n">
        <f aca="false">AB$91+Capital_Trabajo!AB$22+Capital_Trabajo!AB$31+Capital_Trabajo!AB$56+Capital_Trabajo!AB$36+Capital_Trabajo!AB$58+Deuda_Tributos!AB$17+Inversion_Activos!AB$66</f>
        <v>4000012.00676308</v>
      </c>
      <c r="AC98" s="13" t="n">
        <f aca="false">AC$91+Capital_Trabajo!AC$22+Capital_Trabajo!AC$31+Capital_Trabajo!AC$56+Capital_Trabajo!AC$36+Capital_Trabajo!AC$58+Deuda_Tributos!AC$17+Inversion_Activos!AC$66</f>
        <v>4009090.09449735</v>
      </c>
      <c r="AD98" s="13" t="n">
        <f aca="false">AD$91+Capital_Trabajo!AD$22+Capital_Trabajo!AD$31+Capital_Trabajo!AD$56+Capital_Trabajo!AD$36+Capital_Trabajo!AD$58+Deuda_Tributos!AD$17+Inversion_Activos!AD$66</f>
        <v>4020875.37362865</v>
      </c>
      <c r="AE98" s="13" t="n">
        <f aca="false">AE$91+Capital_Trabajo!AE$22+Capital_Trabajo!AE$31+Capital_Trabajo!AE$56+Capital_Trabajo!AE$36+Capital_Trabajo!AE$58+Deuda_Tributos!AE$17+Inversion_Activos!AE$66</f>
        <v>4070419.84917948</v>
      </c>
      <c r="AF98" s="13" t="n">
        <f aca="false">AF$91+Capital_Trabajo!AF$22+Capital_Trabajo!AF$31+Capital_Trabajo!AF$56+Capital_Trabajo!AF$36+Capital_Trabajo!AF$58+Deuda_Tributos!AF$17+Inversion_Activos!AF$66</f>
        <v>4116195.22107226</v>
      </c>
      <c r="AG98" s="13" t="n">
        <f aca="false">AG$91+Capital_Trabajo!AG$22+Capital_Trabajo!AG$31+Capital_Trabajo!AG$56+Capital_Trabajo!AG$36+Capital_Trabajo!AG$58+Deuda_Tributos!AG$17+Inversion_Activos!AG$66</f>
        <v>4162007.0045626</v>
      </c>
      <c r="AH98" s="13" t="n">
        <f aca="false">AH$91+Capital_Trabajo!AH$22+Capital_Trabajo!AH$31+Capital_Trabajo!AH$56+Capital_Trabajo!AH$36+Capital_Trabajo!AH$58+Deuda_Tributos!AH$17+Inversion_Activos!AH$66</f>
        <v>4207855.4727375</v>
      </c>
      <c r="AI98" s="13" t="n">
        <f aca="false">AI$91+Capital_Trabajo!AI$22+Capital_Trabajo!AI$31+Capital_Trabajo!AI$56+Capital_Trabajo!AI$36+Capital_Trabajo!AI$58+Deuda_Tributos!AI$17+Inversion_Activos!AI$66</f>
        <v>4253740.90073209</v>
      </c>
      <c r="AJ98" s="13" t="n">
        <f aca="false">AJ$91+Capital_Trabajo!AJ$22+Capital_Trabajo!AJ$31+Capital_Trabajo!AJ$56+Capital_Trabajo!AJ$36+Capital_Trabajo!AJ$58+Deuda_Tributos!AJ$17+Inversion_Activos!AJ$66</f>
        <v>4299663.56574501</v>
      </c>
      <c r="AK98" s="13" t="n">
        <f aca="false">AK$91+Capital_Trabajo!AK$22+Capital_Trabajo!AK$31+Capital_Trabajo!AK$56+Capital_Trabajo!AK$36+Capital_Trabajo!AK$58+Deuda_Tributos!AK$17+Inversion_Activos!AK$66</f>
        <v>4345623.7470539</v>
      </c>
      <c r="AL98" s="13" t="n">
        <f aca="false">AL$91+Capital_Trabajo!AL$22+Capital_Trabajo!AL$31+Capital_Trabajo!AL$56+Capital_Trabajo!AL$36+Capital_Trabajo!AL$58+Deuda_Tributos!AL$17+Inversion_Activos!AL$66</f>
        <v>4391621.72603098</v>
      </c>
      <c r="AM98" s="13" t="n">
        <f aca="false">AM$91+Capital_Trabajo!AM$22+Capital_Trabajo!AM$31+Capital_Trabajo!AM$56+Capital_Trabajo!AM$36+Capital_Trabajo!AM$58+Deuda_Tributos!AM$17+Inversion_Activos!AM$66</f>
        <v>4437657.78615876</v>
      </c>
      <c r="AN98" s="13" t="n">
        <f aca="false">AN$91+Capital_Trabajo!AN$22+Capital_Trabajo!AN$31+Capital_Trabajo!AN$56+Capital_Trabajo!AN$36+Capital_Trabajo!AN$58+Deuda_Tributos!AN$17+Inversion_Activos!AN$66</f>
        <v>4483732.21304588</v>
      </c>
      <c r="AO98" s="13" t="n">
        <f aca="false">AO$91+Capital_Trabajo!AO$22+Capital_Trabajo!AO$31+Capital_Trabajo!AO$56+Capital_Trabajo!AO$36+Capital_Trabajo!AO$58+Deuda_Tributos!AO$17+Inversion_Activos!AO$66</f>
        <v>4529845.29444303</v>
      </c>
      <c r="AP98" s="13" t="n">
        <f aca="false">AP$91+Capital_Trabajo!AP$22+Capital_Trabajo!AP$31+Capital_Trabajo!AP$56+Capital_Trabajo!AP$36+Capital_Trabajo!AP$58+Deuda_Tributos!AP$17+Inversion_Activos!AP$66</f>
        <v>4577953.00309347</v>
      </c>
      <c r="AQ98" s="13" t="n">
        <f aca="false">AQ$91+Capital_Trabajo!AQ$22+Capital_Trabajo!AQ$31+Capital_Trabajo!AQ$56+Capital_Trabajo!AQ$36+Capital_Trabajo!AQ$58+Deuda_Tributos!AQ$17+Inversion_Activos!AQ$66</f>
        <v>4660674.00396655</v>
      </c>
      <c r="AR98" s="13" t="n">
        <f aca="false">AR$91+Capital_Trabajo!AR$22+Capital_Trabajo!AR$31+Capital_Trabajo!AR$56+Capital_Trabajo!AR$36+Capital_Trabajo!AR$58+Deuda_Tributos!AR$17+Inversion_Activos!AR$66</f>
        <v>4739715.44641509</v>
      </c>
      <c r="AS98" s="13" t="n">
        <f aca="false">AS$91+Capital_Trabajo!AS$22+Capital_Trabajo!AS$31+Capital_Trabajo!AS$56+Capital_Trabajo!AS$36+Capital_Trabajo!AS$58+Deuda_Tributos!AS$17+Inversion_Activos!AS$66</f>
        <v>4818796.7161202</v>
      </c>
      <c r="AT98" s="13" t="n">
        <f aca="false">AT$91+Capital_Trabajo!AT$22+Capital_Trabajo!AT$31+Capital_Trabajo!AT$56+Capital_Trabajo!AT$36+Capital_Trabajo!AT$58+Deuda_Tributos!AT$17+Inversion_Activos!AT$66</f>
        <v>4897918.11178632</v>
      </c>
      <c r="AU98" s="13" t="n">
        <f aca="false">AU$91+Capital_Trabajo!AU$22+Capital_Trabajo!AU$31+Capital_Trabajo!AU$56+Capital_Trabajo!AU$36+Capital_Trabajo!AU$58+Deuda_Tributos!AU$17+Inversion_Activos!AU$66</f>
        <v>4977079.93435815</v>
      </c>
      <c r="AV98" s="13" t="n">
        <f aca="false">AV$91+Capital_Trabajo!AV$22+Capital_Trabajo!AV$31+Capital_Trabajo!AV$56+Capital_Trabajo!AV$36+Capital_Trabajo!AV$58+Deuda_Tributos!AV$17+Inversion_Activos!AV$66</f>
        <v>5056282.48703748</v>
      </c>
      <c r="AW98" s="13" t="n">
        <f aca="false">AW$91+Capital_Trabajo!AW$22+Capital_Trabajo!AW$31+Capital_Trabajo!AW$56+Capital_Trabajo!AW$36+Capital_Trabajo!AW$58+Deuda_Tributos!AW$17+Inversion_Activos!AW$66</f>
        <v>5135526.07530012</v>
      </c>
      <c r="AX98" s="13" t="n">
        <f aca="false">AX$91+Capital_Trabajo!AX$22+Capital_Trabajo!AX$31+Capital_Trabajo!AX$56+Capital_Trabajo!AX$36+Capital_Trabajo!AX$58+Deuda_Tributos!AX$17+Inversion_Activos!AX$66</f>
        <v>5214811.00691294</v>
      </c>
      <c r="AY98" s="13" t="n">
        <f aca="false">AY$91+Capital_Trabajo!AY$22+Capital_Trabajo!AY$31+Capital_Trabajo!AY$56+Capital_Trabajo!AY$36+Capital_Trabajo!AY$58+Deuda_Tributos!AY$17+Inversion_Activos!AY$66</f>
        <v>5294137.59195108</v>
      </c>
      <c r="AZ98" s="13" t="n">
        <f aca="false">AZ$91+Capital_Trabajo!AZ$22+Capital_Trabajo!AZ$31+Capital_Trabajo!AZ$56+Capital_Trabajo!AZ$36+Capital_Trabajo!AZ$58+Deuda_Tributos!AZ$17+Inversion_Activos!AZ$66</f>
        <v>5304532.30433898</v>
      </c>
      <c r="BA98" s="13" t="n">
        <f aca="false">BA$91+Capital_Trabajo!BA$22+Capital_Trabajo!BA$31+Capital_Trabajo!BA$56+Capital_Trabajo!BA$36+Capital_Trabajo!BA$58+Deuda_Tributos!BA$17+Inversion_Activos!BA$66</f>
        <v>5300054.21779502</v>
      </c>
      <c r="BB98" s="13" t="n">
        <f aca="false">BB$91+Capital_Trabajo!BB$22+Capital_Trabajo!BB$31+Capital_Trabajo!BB$56+Capital_Trabajo!BB$36+Capital_Trabajo!BB$58+Deuda_Tributos!BB$17+Inversion_Activos!BB$66</f>
        <v>5295576.13125106</v>
      </c>
      <c r="BC98" s="13" t="n">
        <f aca="false">BC$91+Capital_Trabajo!BC$22+Capital_Trabajo!BC$31+Capital_Trabajo!BC$56+Capital_Trabajo!BC$36+Capital_Trabajo!BC$58+Deuda_Tributos!BC$17+Inversion_Activos!BC$66</f>
        <v>5299181.71570131</v>
      </c>
      <c r="BD98" s="13" t="n">
        <f aca="false">BD$91+Capital_Trabajo!BD$22+Capital_Trabajo!BD$31+Capital_Trabajo!BD$56+Capital_Trabajo!BD$36+Capital_Trabajo!BD$58+Deuda_Tributos!BD$17+Inversion_Activos!BD$66</f>
        <v>5350487.35849423</v>
      </c>
      <c r="BE98" s="13" t="n">
        <f aca="false">BE$91+Capital_Trabajo!BE$22+Capital_Trabajo!BE$31+Capital_Trabajo!BE$56+Capital_Trabajo!BE$36+Capital_Trabajo!BE$58+Deuda_Tributos!BE$17+Inversion_Activos!BE$66</f>
        <v>5431393.27433521</v>
      </c>
      <c r="BF98" s="13" t="n">
        <f aca="false">BF$91+Capital_Trabajo!BF$22+Capital_Trabajo!BF$31+Capital_Trabajo!BF$56+Capital_Trabajo!BF$36+Capital_Trabajo!BF$58+Deuda_Tributos!BF$17+Inversion_Activos!BF$66</f>
        <v>5300100.66145987</v>
      </c>
      <c r="BG98" s="13" t="n">
        <f aca="false">BG$91+Capital_Trabajo!BG$22+Capital_Trabajo!BG$31+Capital_Trabajo!BG$56+Capital_Trabajo!BG$36+Capital_Trabajo!BG$58+Deuda_Tributos!BG$17+Inversion_Activos!BG$66</f>
        <v>5293301.31062654</v>
      </c>
      <c r="BH98" s="13" t="n">
        <f aca="false">BH$91+Capital_Trabajo!BH$22+Capital_Trabajo!BH$31+Capital_Trabajo!BH$56+Capital_Trabajo!BH$36+Capital_Trabajo!BH$58+Deuda_Tributos!BH$17+Inversion_Activos!BH$66</f>
        <v>5286501.95979321</v>
      </c>
      <c r="BI98" s="13" t="n">
        <f aca="false">BI$91+Capital_Trabajo!BI$22+Capital_Trabajo!BI$31+Capital_Trabajo!BI$56+Capital_Trabajo!BI$36+Capital_Trabajo!BI$58+Deuda_Tributos!BI$17+Inversion_Activos!BI$66</f>
        <v>5279702.60895987</v>
      </c>
      <c r="BJ98" s="13" t="n">
        <f aca="false">BJ$91+Capital_Trabajo!BJ$22+Capital_Trabajo!BJ$31+Capital_Trabajo!BJ$56+Capital_Trabajo!BJ$36+Capital_Trabajo!BJ$58+Deuda_Tributos!BJ$17+Inversion_Activos!BJ$66</f>
        <v>5272903.25812654</v>
      </c>
      <c r="BK98" s="13" t="n">
        <f aca="false">BK$91+Capital_Trabajo!BK$22+Capital_Trabajo!BK$31+Capital_Trabajo!BK$56+Capital_Trabajo!BK$36+Capital_Trabajo!BK$58+Deuda_Tributos!BK$17+Inversion_Activos!BK$66</f>
        <v>5268319.91973603</v>
      </c>
      <c r="BL98" s="13" t="n">
        <f aca="false">BL$91+Capital_Trabajo!BL$22+Capital_Trabajo!BL$31+Capital_Trabajo!BL$56+Capital_Trabajo!BL$36+Capital_Trabajo!BL$58+Deuda_Tributos!BL$17+Inversion_Activos!BL$66</f>
        <v>5263865.04583497</v>
      </c>
      <c r="BM98" s="13" t="n">
        <f aca="false">BM$91+Capital_Trabajo!BM$22+Capital_Trabajo!BM$31+Capital_Trabajo!BM$56+Capital_Trabajo!BM$36+Capital_Trabajo!BM$58+Deuda_Tributos!BM$17+Inversion_Activos!BM$66</f>
        <v>5275434.78470483</v>
      </c>
      <c r="BN98" s="13" t="n">
        <f aca="false">BN$91+Capital_Trabajo!BN$22+Capital_Trabajo!BN$31+Capital_Trabajo!BN$56+Capital_Trabajo!BN$36+Capital_Trabajo!BN$58+Deuda_Tributos!BN$17+Inversion_Activos!BN$66</f>
        <v>5356747.77106749</v>
      </c>
      <c r="BO98" s="13" t="n">
        <f aca="false">BO$91+Capital_Trabajo!BO$22+Capital_Trabajo!BO$31+Capital_Trabajo!BO$56+Capital_Trabajo!BO$36+Capital_Trabajo!BO$58+Deuda_Tributos!BO$17+Inversion_Activos!BO$66</f>
        <v>5507930.8799463</v>
      </c>
      <c r="BP98" s="13" t="n">
        <f aca="false">BP$91+Capital_Trabajo!BP$22+Capital_Trabajo!BP$31+Capital_Trabajo!BP$56+Capital_Trabajo!BP$36+Capital_Trabajo!BP$58+Deuda_Tributos!BP$17+Inversion_Activos!BP$66</f>
        <v>5657457.2118816</v>
      </c>
      <c r="BQ98" s="13" t="n">
        <f aca="false">BQ$91+Capital_Trabajo!BQ$22+Capital_Trabajo!BQ$31+Capital_Trabajo!BQ$56+Capital_Trabajo!BQ$36+Capital_Trabajo!BQ$58+Deuda_Tributos!BQ$17+Inversion_Activos!BQ$66</f>
        <v>5806983.54381691</v>
      </c>
      <c r="BR98" s="13" t="n">
        <f aca="false">BR$91+Capital_Trabajo!BR$22+Capital_Trabajo!BR$31+Capital_Trabajo!BR$56+Capital_Trabajo!BR$36+Capital_Trabajo!BR$58+Deuda_Tributos!BR$17+Inversion_Activos!BR$66</f>
        <v>5262172.39839063</v>
      </c>
      <c r="BS98" s="13" t="n">
        <f aca="false">BS$91+Capital_Trabajo!BS$22+Capital_Trabajo!BS$31+Capital_Trabajo!BS$56+Capital_Trabajo!BS$36+Capital_Trabajo!BS$58+Deuda_Tributos!BS$17+Inversion_Activos!BS$66</f>
        <v>5256387.68089063</v>
      </c>
      <c r="BT98" s="13" t="n">
        <f aca="false">BT$91+Capital_Trabajo!BT$22+Capital_Trabajo!BT$31+Capital_Trabajo!BT$56+Capital_Trabajo!BT$36+Capital_Trabajo!BT$58+Deuda_Tributos!BT$17+Inversion_Activos!BT$66</f>
        <v>5250602.96339063</v>
      </c>
      <c r="BU98" s="13" t="n">
        <f aca="false">BU$91+Capital_Trabajo!BU$22+Capital_Trabajo!BU$31+Capital_Trabajo!BU$56+Capital_Trabajo!BU$36+Capital_Trabajo!BU$58+Deuda_Tributos!BU$17+Inversion_Activos!BU$66</f>
        <v>5244818.24589063</v>
      </c>
      <c r="BV98" s="13" t="n">
        <f aca="false">BV$91+Capital_Trabajo!BV$22+Capital_Trabajo!BV$31+Capital_Trabajo!BV$56+Capital_Trabajo!BV$36+Capital_Trabajo!BV$58+Deuda_Tributos!BV$17+Inversion_Activos!BV$66</f>
        <v>5239033.52839063</v>
      </c>
      <c r="BW98" s="13" t="n">
        <f aca="false">BW$91+Capital_Trabajo!BW$22+Capital_Trabajo!BW$31+Capital_Trabajo!BW$56+Capital_Trabajo!BW$36+Capital_Trabajo!BW$58+Deuda_Tributos!BW$17+Inversion_Activos!BW$66</f>
        <v>5235486.98345788</v>
      </c>
      <c r="BX98" s="13" t="n">
        <f aca="false">BX$91+Capital_Trabajo!BX$22+Capital_Trabajo!BX$31+Capital_Trabajo!BX$56+Capital_Trabajo!BX$36+Capital_Trabajo!BX$58+Deuda_Tributos!BX$17+Inversion_Activos!BX$66</f>
        <v>5232070.18765947</v>
      </c>
      <c r="BY98" s="13" t="n">
        <f aca="false">BY$91+Capital_Trabajo!BY$22+Capital_Trabajo!BY$31+Capital_Trabajo!BY$56+Capital_Trabajo!BY$36+Capital_Trabajo!BY$58+Deuda_Tributos!BY$17+Inversion_Activos!BY$66</f>
        <v>5307705.98977454</v>
      </c>
      <c r="BZ98" s="13" t="n">
        <f aca="false">BZ$91+Capital_Trabajo!BZ$22+Capital_Trabajo!BZ$31+Capital_Trabajo!BZ$56+Capital_Trabajo!BZ$36+Capital_Trabajo!BZ$58+Deuda_Tributos!BZ$17+Inversion_Activos!BZ$66</f>
        <v>5457232.32170985</v>
      </c>
      <c r="CA98" s="13" t="n">
        <f aca="false">CA$91+Capital_Trabajo!CA$22+Capital_Trabajo!CA$31+Capital_Trabajo!CA$56+Capital_Trabajo!CA$36+Capital_Trabajo!CA$58+Deuda_Tributos!CA$17+Inversion_Activos!CA$66</f>
        <v>5612564.15641551</v>
      </c>
      <c r="CB98" s="13" t="n">
        <f aca="false">CB$91+Capital_Trabajo!CB$22+Capital_Trabajo!CB$31+Capital_Trabajo!CB$56+Capital_Trabajo!CB$36+Capital_Trabajo!CB$58+Deuda_Tributos!CB$17+Inversion_Activos!CB$66</f>
        <v>5766211.48017656</v>
      </c>
      <c r="CC98" s="13" t="n">
        <f aca="false">CC$91+Capital_Trabajo!CC$22+Capital_Trabajo!CC$31+Capital_Trabajo!CC$56+Capital_Trabajo!CC$36+Capital_Trabajo!CC$58+Deuda_Tributos!CC$17+Inversion_Activos!CC$66</f>
        <v>5919858.8039376</v>
      </c>
      <c r="CD98" s="13" t="n">
        <f aca="false">CD$91+Capital_Trabajo!CD$22+Capital_Trabajo!CD$31+Capital_Trabajo!CD$56+Capital_Trabajo!CD$36+Capital_Trabajo!CD$58+Deuda_Tributos!CD$17+Inversion_Activos!CD$66</f>
        <v>5232757.09334046</v>
      </c>
      <c r="CE98" s="13" t="n">
        <f aca="false">CE$91+Capital_Trabajo!CE$22+Capital_Trabajo!CE$31+Capital_Trabajo!CE$56+Capital_Trabajo!CE$36+Capital_Trabajo!CE$58+Deuda_Tributos!CE$17+Inversion_Activos!CE$66</f>
        <v>5226972.37584046</v>
      </c>
      <c r="CF98" s="13" t="n">
        <f aca="false">CF$91+Capital_Trabajo!CF$22+Capital_Trabajo!CF$31+Capital_Trabajo!CF$56+Capital_Trabajo!CF$36+Capital_Trabajo!CF$58+Deuda_Tributos!CF$17+Inversion_Activos!CF$66</f>
        <v>5221187.65834046</v>
      </c>
      <c r="CG98" s="13" t="n">
        <f aca="false">CG$91+Capital_Trabajo!CG$22+Capital_Trabajo!CG$31+Capital_Trabajo!CG$56+Capital_Trabajo!CG$36+Capital_Trabajo!CG$58+Deuda_Tributos!CG$17+Inversion_Activos!CG$66</f>
        <v>5215402.94084046</v>
      </c>
      <c r="CH98" s="13" t="n">
        <f aca="false">CH$91+Capital_Trabajo!CH$22+Capital_Trabajo!CH$31+Capital_Trabajo!CH$56+Capital_Trabajo!CH$36+Capital_Trabajo!CH$58+Deuda_Tributos!CH$17+Inversion_Activos!CH$66</f>
        <v>5209618.22334046</v>
      </c>
      <c r="CI98" s="13" t="n">
        <f aca="false">CI$91+Capital_Trabajo!CI$22+Capital_Trabajo!CI$31+Capital_Trabajo!CI$56+Capital_Trabajo!CI$36+Capital_Trabajo!CI$58+Deuda_Tributos!CI$17+Inversion_Activos!CI$66</f>
        <v>5206094.06013339</v>
      </c>
      <c r="CJ98" s="13" t="n">
        <f aca="false">CJ$91+Capital_Trabajo!CJ$22+Capital_Trabajo!CJ$31+Capital_Trabajo!CJ$56+Capital_Trabajo!CJ$36+Capital_Trabajo!CJ$58+Deuda_Tributos!CJ$17+Inversion_Activos!CJ$66</f>
        <v>5202700.94355199</v>
      </c>
      <c r="CK98" s="13" t="n">
        <f aca="false">CK$91+Capital_Trabajo!CK$22+Capital_Trabajo!CK$31+Capital_Trabajo!CK$56+Capital_Trabajo!CK$36+Capital_Trabajo!CK$58+Deuda_Tributos!CK$17+Inversion_Activos!CK$66</f>
        <v>5353926.86214115</v>
      </c>
      <c r="CL98" s="13" t="n">
        <f aca="false">CL$91+Capital_Trabajo!CL$22+Capital_Trabajo!CL$31+Capital_Trabajo!CL$56+Capital_Trabajo!CL$36+Capital_Trabajo!CL$58+Deuda_Tributos!CL$17+Inversion_Activos!CL$66</f>
        <v>5507574.1859022</v>
      </c>
      <c r="CM98" s="13" t="n">
        <f aca="false">CM$91+Capital_Trabajo!CM$22+Capital_Trabajo!CM$31+Capital_Trabajo!CM$56+Capital_Trabajo!CM$36+Capital_Trabajo!CM$58+Deuda_Tributos!CM$17+Inversion_Activos!CM$66</f>
        <v>5667084.74239623</v>
      </c>
      <c r="CN98" s="13" t="n">
        <f aca="false">CN$91+Capital_Trabajo!CN$22+Capital_Trabajo!CN$31+Capital_Trabajo!CN$56+Capital_Trabajo!CN$36+Capital_Trabajo!CN$58+Deuda_Tributos!CN$17+Inversion_Activos!CN$66</f>
        <v>5824882.42135101</v>
      </c>
      <c r="CO98" s="13" t="n">
        <f aca="false">CO$91+Capital_Trabajo!CO$22+Capital_Trabajo!CO$31+Capital_Trabajo!CO$56+Capital_Trabajo!CO$36+Capital_Trabajo!CO$58+Deuda_Tributos!CO$17+Inversion_Activos!CO$66</f>
        <v>5982680.10030579</v>
      </c>
      <c r="CP98" s="13" t="n">
        <f aca="false">CP$91+Capital_Trabajo!CP$22+Capital_Trabajo!CP$31+Capital_Trabajo!CP$56+Capital_Trabajo!CP$36+Capital_Trabajo!CP$58+Deuda_Tributos!CP$17+Inversion_Activos!CP$66</f>
        <v>5203741.63855623</v>
      </c>
      <c r="CQ98" s="13" t="n">
        <f aca="false">CQ$91+Capital_Trabajo!CQ$22+Capital_Trabajo!CQ$31+Capital_Trabajo!CQ$56+Capital_Trabajo!CQ$36+Capital_Trabajo!CQ$58+Deuda_Tributos!CQ$17+Inversion_Activos!CQ$66</f>
        <v>5197956.92105623</v>
      </c>
      <c r="CR98" s="13" t="n">
        <f aca="false">CR$91+Capital_Trabajo!CR$22+Capital_Trabajo!CR$31+Capital_Trabajo!CR$56+Capital_Trabajo!CR$36+Capital_Trabajo!CR$58+Deuda_Tributos!CR$17+Inversion_Activos!CR$66</f>
        <v>5192172.20355623</v>
      </c>
      <c r="CS98" s="13" t="n">
        <f aca="false">CS$91+Capital_Trabajo!CS$22+Capital_Trabajo!CS$31+Capital_Trabajo!CS$56+Capital_Trabajo!CS$36+Capital_Trabajo!CS$58+Deuda_Tributos!CS$17+Inversion_Activos!CS$66</f>
        <v>5186387.48605623</v>
      </c>
      <c r="CT98" s="13" t="n">
        <f aca="false">CT$91+Capital_Trabajo!CT$22+Capital_Trabajo!CT$31+Capital_Trabajo!CT$56+Capital_Trabajo!CT$36+Capital_Trabajo!CT$58+Deuda_Tributos!CT$17+Inversion_Activos!CT$66</f>
        <v>5180602.76855623</v>
      </c>
      <c r="CU98" s="13" t="n">
        <f aca="false">CU$91+Capital_Trabajo!CU$22+Capital_Trabajo!CU$31+Capital_Trabajo!CU$56+Capital_Trabajo!CU$36+Capital_Trabajo!CU$58+Deuda_Tributos!CU$17+Inversion_Activos!CU$66</f>
        <v>5177101.21089208</v>
      </c>
      <c r="CV98" s="13" t="n">
        <f aca="false">CV$91+Capital_Trabajo!CV$22+Capital_Trabajo!CV$31+Capital_Trabajo!CV$56+Capital_Trabajo!CV$36+Capital_Trabajo!CV$58+Deuda_Tributos!CV$17+Inversion_Activos!CV$66</f>
        <v>5242693.63649254</v>
      </c>
      <c r="CW98" s="13" t="n">
        <f aca="false">CW$91+Capital_Trabajo!CW$22+Capital_Trabajo!CW$31+Capital_Trabajo!CW$56+Capital_Trabajo!CW$36+Capital_Trabajo!CW$58+Deuda_Tributos!CW$17+Inversion_Activos!CW$66</f>
        <v>5400491.31544732</v>
      </c>
      <c r="CX98" s="13" t="n">
        <f aca="false">CX$91+Capital_Trabajo!CX$22+Capital_Trabajo!CX$31+Capital_Trabajo!CX$56+Capital_Trabajo!CX$36+Capital_Trabajo!CX$58+Deuda_Tributos!CX$17+Inversion_Activos!CX$66</f>
        <v>5558288.99440209</v>
      </c>
      <c r="CY98" s="13" t="n">
        <f aca="false">CY$91+Capital_Trabajo!CY$22+Capital_Trabajo!CY$31+Capital_Trabajo!CY$56+Capital_Trabajo!CY$36+Capital_Trabajo!CY$58+Deuda_Tributos!CY$17+Inversion_Activos!CY$66</f>
        <v>5722008.20827002</v>
      </c>
      <c r="CZ98" s="13" t="n">
        <f aca="false">CZ$91+Capital_Trabajo!CZ$22+Capital_Trabajo!CZ$31+Capital_Trabajo!CZ$56+Capital_Trabajo!CZ$36+Capital_Trabajo!CZ$58+Deuda_Tributos!CZ$17+Inversion_Activos!CZ$66</f>
        <v>5883985.528427</v>
      </c>
      <c r="DA98" s="13" t="n">
        <f aca="false">DA$91+Capital_Trabajo!DA$22+Capital_Trabajo!DA$31+Capital_Trabajo!DA$56+Capital_Trabajo!DA$36+Capital_Trabajo!DA$58+Deuda_Tributos!DA$17+Inversion_Activos!DA$66</f>
        <v>6045962.84858398</v>
      </c>
      <c r="DB98" s="13" t="n">
        <f aca="false">DB$91+Capital_Trabajo!DB$22+Capital_Trabajo!DB$31+Capital_Trabajo!DB$56+Capital_Trabajo!DB$36+Capital_Trabajo!DB$58+Deuda_Tributos!DB$17+Inversion_Activos!DB$66</f>
        <v>5175130.03254059</v>
      </c>
      <c r="DC98" s="13" t="n">
        <f aca="false">DC$91+Capital_Trabajo!DC$22+Capital_Trabajo!DC$31+Capital_Trabajo!DC$56+Capital_Trabajo!DC$36+Capital_Trabajo!DC$58+Deuda_Tributos!DC$17+Inversion_Activos!DC$66</f>
        <v>5169345.31504059</v>
      </c>
      <c r="DD98" s="13" t="n">
        <f aca="false">DD$91+Capital_Trabajo!DD$22+Capital_Trabajo!DD$31+Capital_Trabajo!DD$56+Capital_Trabajo!DD$36+Capital_Trabajo!DD$58+Deuda_Tributos!DD$17+Inversion_Activos!DD$66</f>
        <v>5163560.59754059</v>
      </c>
      <c r="DE98" s="13" t="n">
        <f aca="false">DE$91+Capital_Trabajo!DE$22+Capital_Trabajo!DE$31+Capital_Trabajo!DE$56+Capital_Trabajo!DE$36+Capital_Trabajo!DE$58+Deuda_Tributos!DE$17+Inversion_Activos!DE$66</f>
        <v>5157775.88004059</v>
      </c>
      <c r="DF98" s="13" t="n">
        <f aca="false">DF$91+Capital_Trabajo!DF$22+Capital_Trabajo!DF$31+Capital_Trabajo!DF$56+Capital_Trabajo!DF$36+Capital_Trabajo!DF$58+Deuda_Tributos!DF$17+Inversion_Activos!DF$66</f>
        <v>5151991.16254059</v>
      </c>
      <c r="DG98" s="13" t="n">
        <f aca="false">DG$91+Capital_Trabajo!DG$22+Capital_Trabajo!DG$31+Capital_Trabajo!DG$56+Capital_Trabajo!DG$36+Capital_Trabajo!DG$58+Deuda_Tributos!DG$17+Inversion_Activos!DG$66</f>
        <v>5148512.43647481</v>
      </c>
      <c r="DH98" s="13" t="n">
        <f aca="false">DH$91+Capital_Trabajo!DH$22+Capital_Trabajo!DH$31+Capital_Trabajo!DH$56+Capital_Trabajo!DH$36+Capital_Trabajo!DH$58+Deuda_Tributos!DH$17+Inversion_Activos!DH$66</f>
        <v>5285421.75033127</v>
      </c>
      <c r="DI98" s="13" t="n">
        <f aca="false">DI$91+Capital_Trabajo!DI$22+Capital_Trabajo!DI$31+Capital_Trabajo!DI$56+Capital_Trabajo!DI$36+Capital_Trabajo!DI$58+Deuda_Tributos!DI$17+Inversion_Activos!DI$66</f>
        <v>5447399.07048825</v>
      </c>
      <c r="DJ98" s="13" t="n">
        <f aca="false">DJ$91+Capital_Trabajo!DJ$22+Capital_Trabajo!DJ$31+Capital_Trabajo!DJ$56+Capital_Trabajo!DJ$36+Capital_Trabajo!DJ$58+Deuda_Tributos!DJ$17+Inversion_Activos!DJ$66</f>
        <v>5609376.39064524</v>
      </c>
      <c r="DK98" s="13" t="n">
        <f aca="false">DK$91+Capital_Trabajo!DK$22+Capital_Trabajo!DK$31+Capital_Trabajo!DK$56+Capital_Trabajo!DK$36+Capital_Trabajo!DK$58+Deuda_Tributos!DK$17+Inversion_Activos!DK$66</f>
        <v>5777334.12568277</v>
      </c>
      <c r="DL98" s="13" t="n">
        <f aca="false">DL$91+Capital_Trabajo!DL$22+Capital_Trabajo!DL$31+Capital_Trabajo!DL$56+Capital_Trabajo!DL$36+Capital_Trabajo!DL$58+Deuda_Tributos!DL$17+Inversion_Activos!DL$66</f>
        <v>5943520.2837875</v>
      </c>
      <c r="DM98" s="13" t="n">
        <f aca="false">DM$91+Capital_Trabajo!DM$22+Capital_Trabajo!DM$31+Capital_Trabajo!DM$56+Capital_Trabajo!DM$36+Capital_Trabajo!DM$58+Deuda_Tributos!DM$17+Inversion_Activos!DM$66</f>
        <v>6109706.44189224</v>
      </c>
      <c r="DN98" s="13" t="n">
        <f aca="false">DN$91+Capital_Trabajo!DN$22+Capital_Trabajo!DN$31+Capital_Trabajo!DN$56+Capital_Trabajo!DN$36+Capital_Trabajo!DN$58+Deuda_Tributos!DN$17+Inversion_Activos!DN$66</f>
        <v>5146926.31378124</v>
      </c>
      <c r="DO98" s="13" t="n">
        <f aca="false">DO$91+Capital_Trabajo!DO$22+Capital_Trabajo!DO$31+Capital_Trabajo!DO$56+Capital_Trabajo!DO$36+Capital_Trabajo!DO$58+Deuda_Tributos!DO$17+Inversion_Activos!DO$66</f>
        <v>5141141.59628124</v>
      </c>
      <c r="DP98" s="13" t="n">
        <f aca="false">DP$91+Capital_Trabajo!DP$22+Capital_Trabajo!DP$31+Capital_Trabajo!DP$56+Capital_Trabajo!DP$36+Capital_Trabajo!DP$58+Deuda_Tributos!DP$17+Inversion_Activos!DP$66</f>
        <v>5135356.87878124</v>
      </c>
      <c r="DQ98" s="13" t="n">
        <f aca="false">DQ$91+Capital_Trabajo!DQ$22+Capital_Trabajo!DQ$31+Capital_Trabajo!DQ$56+Capital_Trabajo!DQ$36+Capital_Trabajo!DQ$58+Deuda_Tributos!DQ$17+Inversion_Activos!DQ$66</f>
        <v>5129572.16128124</v>
      </c>
      <c r="DR98" s="13" t="n">
        <f aca="false">DR$91+Capital_Trabajo!DR$22+Capital_Trabajo!DR$31+Capital_Trabajo!DR$56+Capital_Trabajo!DR$36+Capital_Trabajo!DR$58+Deuda_Tributos!DR$17+Inversion_Activos!DR$66</f>
        <v>4996091.2595025</v>
      </c>
      <c r="DS98" s="13" t="n">
        <f aca="false">DS$91+Capital_Trabajo!DS$22+Capital_Trabajo!DS$31+Capital_Trabajo!DS$56+Capital_Trabajo!DS$36+Capital_Trabajo!DS$58+Deuda_Tributos!DS$17+Inversion_Activos!DS$66</f>
        <v>5162277.41760724</v>
      </c>
      <c r="DT98" s="13" t="n">
        <f aca="false">DT$91+Capital_Trabajo!DT$22+Capital_Trabajo!DT$31+Capital_Trabajo!DT$56+Capital_Trabajo!DT$36+Capital_Trabajo!DT$58+Deuda_Tributos!DT$17+Inversion_Activos!DT$66</f>
        <v>5328463.57571198</v>
      </c>
      <c r="DU98" s="13" t="n">
        <f aca="false">DU$91+Capital_Trabajo!DU$22+Capital_Trabajo!DU$31+Capital_Trabajo!DU$56+Capital_Trabajo!DU$36+Capital_Trabajo!DU$58+Deuda_Tributos!DU$17+Inversion_Activos!DU$66</f>
        <v>5494649.73381671</v>
      </c>
      <c r="DV98" s="13" t="n">
        <f aca="false">DV$91+Capital_Trabajo!DV$22+Capital_Trabajo!DV$31+Capital_Trabajo!DV$56+Capital_Trabajo!DV$36+Capital_Trabajo!DV$58+Deuda_Tributos!DV$17+Inversion_Activos!DV$66</f>
        <v>5637923.36321829</v>
      </c>
      <c r="DW98" s="13" t="n">
        <f aca="false">DW$91+Capital_Trabajo!DW$22+Capital_Trabajo!DW$31+Capital_Trabajo!DW$56+Capital_Trabajo!DW$36+Capital_Trabajo!DW$58+Deuda_Tributos!DW$17+Inversion_Activos!DW$66</f>
        <v>5637923.36321829</v>
      </c>
      <c r="DX98" s="13" t="n">
        <f aca="false">DX$91+Capital_Trabajo!DX$22+Capital_Trabajo!DX$31+Capital_Trabajo!DX$56+Capital_Trabajo!DX$36+Capital_Trabajo!DX$58+Deuda_Tributos!DX$17+Inversion_Activos!DX$66</f>
        <v>5637923.36321829</v>
      </c>
      <c r="DY98" s="13" t="n">
        <f aca="false">DY$91+Capital_Trabajo!DY$22+Capital_Trabajo!DY$31+Capital_Trabajo!DY$56+Capital_Trabajo!DY$36+Capital_Trabajo!DY$58+Deuda_Tributos!DY$17+Inversion_Activos!DY$66</f>
        <v>5637923.36321829</v>
      </c>
      <c r="DZ98" s="13" t="n">
        <f aca="false">DZ$91+Capital_Trabajo!DZ$22+Capital_Trabajo!DZ$31+Capital_Trabajo!DZ$56+Capital_Trabajo!DZ$36+Capital_Trabajo!DZ$58+Deuda_Tributos!DZ$17+Inversion_Activos!DZ$66</f>
        <v>5637923.36321829</v>
      </c>
      <c r="EA98" s="13" t="n">
        <f aca="false">EA$91+Capital_Trabajo!EA$22+Capital_Trabajo!EA$31+Capital_Trabajo!EA$56+Capital_Trabajo!EA$36+Capital_Trabajo!EA$58+Deuda_Tributos!EA$17+Inversion_Activos!EA$66</f>
        <v>5637923.36321829</v>
      </c>
      <c r="EB98" s="13" t="n">
        <f aca="false">EB$91+Capital_Trabajo!EB$22+Capital_Trabajo!EB$31+Capital_Trabajo!EB$56+Capital_Trabajo!EB$36+Capital_Trabajo!EB$58+Deuda_Tributos!EB$17+Inversion_Activos!EB$66</f>
        <v>5637923.36321829</v>
      </c>
      <c r="EC98" s="13" t="n">
        <f aca="false">EC$91+Capital_Trabajo!EC$22+Capital_Trabajo!EC$31+Capital_Trabajo!EC$56+Capital_Trabajo!EC$36+Capital_Trabajo!EC$58+Deuda_Tributos!EC$17+Inversion_Activos!EC$66</f>
        <v>5637923.36321829</v>
      </c>
      <c r="ED98" s="13" t="n">
        <f aca="false">ED$91+Capital_Trabajo!ED$22+Capital_Trabajo!ED$31+Capital_Trabajo!ED$56+Capital_Trabajo!ED$36+Capital_Trabajo!ED$58+Deuda_Tributos!ED$17+Inversion_Activos!ED$66</f>
        <v>5637923.36321829</v>
      </c>
      <c r="EE98" s="13" t="n">
        <f aca="false">EE$91+Capital_Trabajo!EE$22+Capital_Trabajo!EE$31+Capital_Trabajo!EE$56+Capital_Trabajo!EE$36+Capital_Trabajo!EE$58+Deuda_Tributos!EE$17+Inversion_Activos!EE$66</f>
        <v>5637923.36321829</v>
      </c>
      <c r="EF98" s="13" t="n">
        <f aca="false">EF$91+Capital_Trabajo!EF$22+Capital_Trabajo!EF$31+Capital_Trabajo!EF$56+Capital_Trabajo!EF$36+Capital_Trabajo!EF$58+Deuda_Tributos!EF$17+Inversion_Activos!EF$66</f>
        <v>5637923.36321829</v>
      </c>
      <c r="EG98" s="13" t="n">
        <f aca="false">EG$91+Capital_Trabajo!EG$22+Capital_Trabajo!EG$31+Capital_Trabajo!EG$56+Capital_Trabajo!EG$36+Capital_Trabajo!EG$58+Deuda_Tributos!EG$17+Inversion_Activos!EG$66</f>
        <v>5637923.36321829</v>
      </c>
      <c r="EH98" s="13" t="n">
        <f aca="false">EH$91+Capital_Trabajo!EH$22+Capital_Trabajo!EH$31+Capital_Trabajo!EH$56+Capital_Trabajo!EH$36+Capital_Trabajo!EH$58+Deuda_Tributos!EH$17+Inversion_Activos!EH$66</f>
        <v>5637923.36321829</v>
      </c>
      <c r="EI98" s="13" t="n">
        <f aca="false">EI$91+Capital_Trabajo!EI$22+Capital_Trabajo!EI$31+Capital_Trabajo!EI$56+Capital_Trabajo!EI$36+Capital_Trabajo!EI$58+Deuda_Tributos!EI$17+Inversion_Activos!EI$66</f>
        <v>5637923.36321829</v>
      </c>
      <c r="EJ98" s="13" t="n">
        <f aca="false">EJ$91+Capital_Trabajo!EJ$22+Capital_Trabajo!EJ$31+Capital_Trabajo!EJ$56+Capital_Trabajo!EJ$36+Capital_Trabajo!EJ$58+Deuda_Tributos!EJ$17+Inversion_Activos!EJ$66</f>
        <v>5637923.36321829</v>
      </c>
      <c r="EK98" s="13" t="n">
        <f aca="false">EK$91+Capital_Trabajo!EK$22+Capital_Trabajo!EK$31+Capital_Trabajo!EK$56+Capital_Trabajo!EK$36+Capital_Trabajo!EK$58+Deuda_Tributos!EK$17+Inversion_Activos!EK$66</f>
        <v>5637923.36321829</v>
      </c>
      <c r="EL98" s="13" t="n">
        <f aca="false">EL$91+Capital_Trabajo!EL$22+Capital_Trabajo!EL$31+Capital_Trabajo!EL$56+Capital_Trabajo!EL$36+Capital_Trabajo!EL$58+Deuda_Tributos!EL$17+Inversion_Activos!EL$66</f>
        <v>5637923.36321829</v>
      </c>
      <c r="EM98" s="13" t="n">
        <f aca="false">EM$91+Capital_Trabajo!EM$22+Capital_Trabajo!EM$31+Capital_Trabajo!EM$56+Capital_Trabajo!EM$36+Capital_Trabajo!EM$58+Deuda_Tributos!EM$17+Inversion_Activos!EM$66</f>
        <v>5637923.36321829</v>
      </c>
      <c r="EN98" s="13" t="n">
        <f aca="false">EN$91+Capital_Trabajo!EN$22+Capital_Trabajo!EN$31+Capital_Trabajo!EN$56+Capital_Trabajo!EN$36+Capital_Trabajo!EN$58+Deuda_Tributos!EN$17+Inversion_Activos!EN$66</f>
        <v>5637923.36321829</v>
      </c>
      <c r="EO98" s="13" t="n">
        <f aca="false">EO$91+Capital_Trabajo!EO$22+Capital_Trabajo!EO$31+Capital_Trabajo!EO$56+Capital_Trabajo!EO$36+Capital_Trabajo!EO$58+Deuda_Tributos!EO$17+Inversion_Activos!EO$66</f>
        <v>5637923.36321829</v>
      </c>
      <c r="EP98" s="13" t="n">
        <f aca="false">EP$91+Capital_Trabajo!EP$22+Capital_Trabajo!EP$31+Capital_Trabajo!EP$56+Capital_Trabajo!EP$36+Capital_Trabajo!EP$58+Deuda_Tributos!EP$17+Inversion_Activos!EP$66</f>
        <v>5637923.36321829</v>
      </c>
      <c r="EQ98" s="13" t="n">
        <f aca="false">EQ$91+Capital_Trabajo!EQ$22+Capital_Trabajo!EQ$31+Capital_Trabajo!EQ$56+Capital_Trabajo!EQ$36+Capital_Trabajo!EQ$58+Deuda_Tributos!EQ$17+Inversion_Activos!EQ$66</f>
        <v>5637923.36321829</v>
      </c>
      <c r="ER98" s="13" t="n">
        <f aca="false">ER$91+Capital_Trabajo!ER$22+Capital_Trabajo!ER$31+Capital_Trabajo!ER$56+Capital_Trabajo!ER$36+Capital_Trabajo!ER$58+Deuda_Tributos!ER$17+Inversion_Activos!ER$66</f>
        <v>5637923.36321829</v>
      </c>
      <c r="ES98" s="13" t="n">
        <f aca="false">ES$91+Capital_Trabajo!ES$22+Capital_Trabajo!ES$31+Capital_Trabajo!ES$56+Capital_Trabajo!ES$36+Capital_Trabajo!ES$58+Deuda_Tributos!ES$17+Inversion_Activos!ES$66</f>
        <v>5637923.36321829</v>
      </c>
      <c r="ET98" s="13" t="n">
        <f aca="false">ET$91+Capital_Trabajo!ET$22+Capital_Trabajo!ET$31+Capital_Trabajo!ET$56+Capital_Trabajo!ET$36+Capital_Trabajo!ET$58+Deuda_Tributos!ET$17+Inversion_Activos!ET$66</f>
        <v>5637923.36321829</v>
      </c>
      <c r="EU98" s="13" t="n">
        <f aca="false">EU$91+Capital_Trabajo!EU$22+Capital_Trabajo!EU$31+Capital_Trabajo!EU$56+Capital_Trabajo!EU$36+Capital_Trabajo!EU$58+Deuda_Tributos!EU$17+Inversion_Activos!EU$66</f>
        <v>5637923.36321829</v>
      </c>
      <c r="EV98" s="13" t="n">
        <f aca="false">EV$91+Capital_Trabajo!EV$22+Capital_Trabajo!EV$31+Capital_Trabajo!EV$56+Capital_Trabajo!EV$36+Capital_Trabajo!EV$58+Deuda_Tributos!EV$17+Inversion_Activos!EV$66</f>
        <v>5637923.36321829</v>
      </c>
      <c r="EW98" s="13" t="n">
        <f aca="false">EW$91+Capital_Trabajo!EW$22+Capital_Trabajo!EW$31+Capital_Trabajo!EW$56+Capital_Trabajo!EW$36+Capital_Trabajo!EW$58+Deuda_Tributos!EW$17+Inversion_Activos!EW$66</f>
        <v>5637923.36321829</v>
      </c>
      <c r="EX98" s="13" t="n">
        <f aca="false">EX$91+Capital_Trabajo!EX$22+Capital_Trabajo!EX$31+Capital_Trabajo!EX$56+Capital_Trabajo!EX$36+Capital_Trabajo!EX$58+Deuda_Tributos!EX$17+Inversion_Activos!EX$66</f>
        <v>5637923.36321829</v>
      </c>
      <c r="EY98" s="13" t="n">
        <f aca="false">EY$91+Capital_Trabajo!EY$22+Capital_Trabajo!EY$31+Capital_Trabajo!EY$56+Capital_Trabajo!EY$36+Capital_Trabajo!EY$58+Deuda_Tributos!EY$17+Inversion_Activos!EY$66</f>
        <v>5637923.36321829</v>
      </c>
      <c r="EZ98" s="13" t="n">
        <f aca="false">EZ$91+Capital_Trabajo!EZ$22+Capital_Trabajo!EZ$31+Capital_Trabajo!EZ$56+Capital_Trabajo!EZ$36+Capital_Trabajo!EZ$58+Deuda_Tributos!EZ$17+Inversion_Activos!EZ$66</f>
        <v>5637923.36321829</v>
      </c>
      <c r="FA98" s="13" t="n">
        <f aca="false">FA$91+Capital_Trabajo!FA$22+Capital_Trabajo!FA$31+Capital_Trabajo!FA$56+Capital_Trabajo!FA$36+Capital_Trabajo!FA$58+Deuda_Tributos!FA$17+Inversion_Activos!FA$66</f>
        <v>5637923.36321829</v>
      </c>
      <c r="FB98" s="13" t="n">
        <f aca="false">FB$91+Capital_Trabajo!FB$22+Capital_Trabajo!FB$31+Capital_Trabajo!FB$56+Capital_Trabajo!FB$36+Capital_Trabajo!FB$58+Deuda_Tributos!FB$17+Inversion_Activos!FB$66</f>
        <v>5637923.36321829</v>
      </c>
      <c r="FC98" s="13" t="n">
        <f aca="false">FC$91+Capital_Trabajo!FC$22+Capital_Trabajo!FC$31+Capital_Trabajo!FC$56+Capital_Trabajo!FC$36+Capital_Trabajo!FC$58+Deuda_Tributos!FC$17+Inversion_Activos!FC$66</f>
        <v>5637923.36321829</v>
      </c>
      <c r="FD98" s="13" t="n">
        <f aca="false">FD$91+Capital_Trabajo!FD$22+Capital_Trabajo!FD$31+Capital_Trabajo!FD$56+Capital_Trabajo!FD$36+Capital_Trabajo!FD$58+Deuda_Tributos!FD$17+Inversion_Activos!FD$66</f>
        <v>5637923.36321829</v>
      </c>
      <c r="FE98" s="13" t="n">
        <f aca="false">FE$91+Capital_Trabajo!FE$22+Capital_Trabajo!FE$31+Capital_Trabajo!FE$56+Capital_Trabajo!FE$36+Capital_Trabajo!FE$58+Deuda_Tributos!FE$17+Inversion_Activos!FE$66</f>
        <v>5637923.36321829</v>
      </c>
      <c r="FF98" s="13" t="n">
        <f aca="false">FF$91+Capital_Trabajo!FF$22+Capital_Trabajo!FF$31+Capital_Trabajo!FF$56+Capital_Trabajo!FF$36+Capital_Trabajo!FF$58+Deuda_Tributos!FF$17+Inversion_Activos!FF$66</f>
        <v>5637923.36321829</v>
      </c>
    </row>
    <row r="99" customFormat="false" ht="15" hidden="false" customHeight="false" outlineLevel="0" collapsed="false">
      <c r="A99" s="2" t="s">
        <v>1606</v>
      </c>
      <c r="B99" s="8" t="s">
        <v>1607</v>
      </c>
      <c r="C99" s="8" t="s">
        <v>255</v>
      </c>
      <c r="E99" s="65" t="n">
        <f aca="false">INDEX($F99:$FF99,1,p_MesFin+1)</f>
        <v>2044498.12895637</v>
      </c>
      <c r="F99" s="13" t="n">
        <f aca="false">Capital_Trabajo!F$42+Capital_Trabajo!F$51+Capital_Trabajo!F$25+Inversion_Activos!F$43+Deuda_Tributos!F$31+Deuda_Tributos!F$45+F$88+F$82+F$84</f>
        <v>2791587</v>
      </c>
      <c r="G99" s="13" t="n">
        <f aca="false">Capital_Trabajo!G$42+Capital_Trabajo!G$51+Capital_Trabajo!G$25+Inversion_Activos!G$43+Deuda_Tributos!G$31+Deuda_Tributos!G$45+G$88+G$82+G$84</f>
        <v>2846429.47652107</v>
      </c>
      <c r="H99" s="13" t="n">
        <f aca="false">Capital_Trabajo!H$42+Capital_Trabajo!H$51+Capital_Trabajo!H$25+Inversion_Activos!H$43+Deuda_Tributos!H$31+Deuda_Tributos!H$45+H$88+H$82+H$84</f>
        <v>2841565.30660101</v>
      </c>
      <c r="I99" s="13" t="n">
        <f aca="false">Capital_Trabajo!I$42+Capital_Trabajo!I$51+Capital_Trabajo!I$25+Inversion_Activos!I$43+Deuda_Tributos!I$31+Deuda_Tributos!I$45+I$88+I$82+I$84</f>
        <v>2841565.30660101</v>
      </c>
      <c r="J99" s="13" t="n">
        <f aca="false">Capital_Trabajo!J$42+Capital_Trabajo!J$51+Capital_Trabajo!J$25+Inversion_Activos!J$43+Deuda_Tributos!J$31+Deuda_Tributos!J$45+J$88+J$82+J$84</f>
        <v>2841565.30660101</v>
      </c>
      <c r="K99" s="13" t="n">
        <f aca="false">Capital_Trabajo!K$42+Capital_Trabajo!K$51+Capital_Trabajo!K$25+Inversion_Activos!K$43+Deuda_Tributos!K$31+Deuda_Tributos!K$45+K$88+K$82+K$84</f>
        <v>2841565.30660101</v>
      </c>
      <c r="L99" s="13" t="n">
        <f aca="false">Capital_Trabajo!L$42+Capital_Trabajo!L$51+Capital_Trabajo!L$25+Inversion_Activos!L$43+Deuda_Tributos!L$31+Deuda_Tributos!L$45+L$88+L$82+L$84</f>
        <v>2841565.30660101</v>
      </c>
      <c r="M99" s="13" t="n">
        <f aca="false">Capital_Trabajo!M$42+Capital_Trabajo!M$51+Capital_Trabajo!M$25+Inversion_Activos!M$43+Deuda_Tributos!M$31+Deuda_Tributos!M$45+M$88+M$82+M$84</f>
        <v>2799442.00250632</v>
      </c>
      <c r="N99" s="13" t="n">
        <f aca="false">Capital_Trabajo!N$42+Capital_Trabajo!N$51+Capital_Trabajo!N$25+Inversion_Activos!N$43+Deuda_Tributos!N$31+Deuda_Tributos!N$45+N$88+N$82+N$84</f>
        <v>2757002.77363092</v>
      </c>
      <c r="O99" s="13" t="n">
        <f aca="false">Capital_Trabajo!O$42+Capital_Trabajo!O$51+Capital_Trabajo!O$25+Inversion_Activos!O$43+Deuda_Tributos!O$31+Deuda_Tributos!O$45+O$88+O$82+O$84</f>
        <v>2714245.25053896</v>
      </c>
      <c r="P99" s="13" t="n">
        <f aca="false">Capital_Trabajo!P$42+Capital_Trabajo!P$51+Capital_Trabajo!P$25+Inversion_Activos!P$43+Deuda_Tributos!P$31+Deuda_Tributos!P$45+P$88+P$82+P$84</f>
        <v>2671167.04602381</v>
      </c>
      <c r="Q99" s="13" t="n">
        <f aca="false">Capital_Trabajo!Q$42+Capital_Trabajo!Q$51+Capital_Trabajo!Q$25+Inversion_Activos!Q$43+Deuda_Tributos!Q$31+Deuda_Tributos!Q$45+Q$88+Q$82+Q$84</f>
        <v>2627765.75497479</v>
      </c>
      <c r="R99" s="13" t="n">
        <f aca="false">Capital_Trabajo!R$42+Capital_Trabajo!R$51+Capital_Trabajo!R$25+Inversion_Activos!R$43+Deuda_Tributos!R$31+Deuda_Tributos!R$45+R$88+R$82+R$84</f>
        <v>2585317.50843619</v>
      </c>
      <c r="S99" s="13" t="n">
        <f aca="false">Capital_Trabajo!S$42+Capital_Trabajo!S$51+Capital_Trabajo!S$25+Inversion_Activos!S$43+Deuda_Tributos!S$31+Deuda_Tributos!S$45+S$88+S$82+S$84</f>
        <v>2545756.66072471</v>
      </c>
      <c r="T99" s="13" t="n">
        <f aca="false">Capital_Trabajo!T$42+Capital_Trabajo!T$51+Capital_Trabajo!T$25+Inversion_Activos!T$43+Deuda_Tributos!T$31+Deuda_Tributos!T$45+T$88+T$82+T$84</f>
        <v>2501371.49834931</v>
      </c>
      <c r="U99" s="13" t="n">
        <f aca="false">Capital_Trabajo!U$42+Capital_Trabajo!U$51+Capital_Trabajo!U$25+Inversion_Activos!U$43+Deuda_Tributos!U$31+Deuda_Tributos!U$45+U$88+U$82+U$84</f>
        <v>2456653.44725609</v>
      </c>
      <c r="V99" s="13" t="n">
        <f aca="false">Capital_Trabajo!V$42+Capital_Trabajo!V$51+Capital_Trabajo!V$25+Inversion_Activos!V$43+Deuda_Tributos!V$31+Deuda_Tributos!V$45+V$88+V$82+V$84</f>
        <v>2411600.01077967</v>
      </c>
      <c r="W99" s="13" t="n">
        <f aca="false">Capital_Trabajo!W$42+Capital_Trabajo!W$51+Capital_Trabajo!W$25+Inversion_Activos!W$43+Deuda_Tributos!W$31+Deuda_Tributos!W$45+W$88+W$82+W$84</f>
        <v>2366208.67352968</v>
      </c>
      <c r="X99" s="13" t="n">
        <f aca="false">Capital_Trabajo!X$42+Capital_Trabajo!X$51+Capital_Trabajo!X$25+Inversion_Activos!X$43+Deuda_Tributos!X$31+Deuda_Tributos!X$45+X$88+X$82+X$84</f>
        <v>2320476.90125031</v>
      </c>
      <c r="Y99" s="13" t="n">
        <f aca="false">Capital_Trabajo!Y$42+Capital_Trabajo!Y$51+Capital_Trabajo!Y$25+Inversion_Activos!Y$43+Deuda_Tributos!Y$31+Deuda_Tributos!Y$45+Y$88+Y$82+Y$84</f>
        <v>2274402.14067885</v>
      </c>
      <c r="Z99" s="13" t="n">
        <f aca="false">Capital_Trabajo!Z$42+Capital_Trabajo!Z$51+Capital_Trabajo!Z$25+Inversion_Activos!Z$43+Deuda_Tributos!Z$31+Deuda_Tributos!Z$45+Z$88+Z$82+Z$84</f>
        <v>2227981.8194031</v>
      </c>
      <c r="AA99" s="13" t="n">
        <f aca="false">Capital_Trabajo!AA$42+Capital_Trabajo!AA$51+Capital_Trabajo!AA$25+Inversion_Activos!AA$43+Deuda_Tributos!AA$31+Deuda_Tributos!AA$45+AA$88+AA$82+AA$84</f>
        <v>2181213.34571778</v>
      </c>
      <c r="AB99" s="13" t="n">
        <f aca="false">Capital_Trabajo!AB$42+Capital_Trabajo!AB$51+Capital_Trabajo!AB$25+Inversion_Activos!AB$43+Deuda_Tributos!AB$31+Deuda_Tributos!AB$45+AB$88+AB$82+AB$84</f>
        <v>2134094.10847983</v>
      </c>
      <c r="AC99" s="13" t="n">
        <f aca="false">Capital_Trabajo!AC$42+Capital_Trabajo!AC$51+Capital_Trabajo!AC$25+Inversion_Activos!AC$43+Deuda_Tributos!AC$31+Deuda_Tributos!AC$45+AC$88+AC$82+AC$84</f>
        <v>2086621.47696259</v>
      </c>
      <c r="AD99" s="13" t="n">
        <f aca="false">Capital_Trabajo!AD$42+Capital_Trabajo!AD$51+Capital_Trabajo!AD$25+Inversion_Activos!AD$43+Deuda_Tributos!AD$31+Deuda_Tributos!AD$45+AD$88+AD$82+AD$84</f>
        <v>2040077.99184577</v>
      </c>
      <c r="AE99" s="13" t="n">
        <f aca="false">Capital_Trabajo!AE$42+Capital_Trabajo!AE$51+Capital_Trabajo!AE$25+Inversion_Activos!AE$43+Deuda_Tributos!AE$31+Deuda_Tributos!AE$45+AE$88+AE$82+AE$84</f>
        <v>1996616.79301615</v>
      </c>
      <c r="AF99" s="13" t="n">
        <f aca="false">Capital_Trabajo!AF$42+Capital_Trabajo!AF$51+Capital_Trabajo!AF$25+Inversion_Activos!AF$43+Deuda_Tributos!AF$31+Deuda_Tributos!AF$45+AF$88+AF$82+AF$84</f>
        <v>1948067.99625569</v>
      </c>
      <c r="AG99" s="13" t="n">
        <f aca="false">Capital_Trabajo!AG$42+Capital_Trabajo!AG$51+Capital_Trabajo!AG$25+Inversion_Activos!AG$43+Deuda_Tributos!AG$31+Deuda_Tributos!AG$45+AG$88+AG$82+AG$84</f>
        <v>1899155.08351952</v>
      </c>
      <c r="AH99" s="13" t="n">
        <f aca="false">Capital_Trabajo!AH$42+Capital_Trabajo!AH$51+Capital_Trabajo!AH$25+Inversion_Activos!AH$43+Deuda_Tributos!AH$31+Deuda_Tributos!AH$45+AH$88+AH$82+AH$84</f>
        <v>1849875.32393783</v>
      </c>
      <c r="AI99" s="13" t="n">
        <f aca="false">Capital_Trabajo!AI$42+Capital_Trabajo!AI$51+Capital_Trabajo!AI$25+Inversion_Activos!AI$43+Deuda_Tributos!AI$31+Deuda_Tributos!AI$45+AI$88+AI$82+AI$84</f>
        <v>1800225.96615928</v>
      </c>
      <c r="AJ99" s="13" t="n">
        <f aca="false">Capital_Trabajo!AJ$42+Capital_Trabajo!AJ$51+Capital_Trabajo!AJ$25+Inversion_Activos!AJ$43+Deuda_Tributos!AJ$31+Deuda_Tributos!AJ$45+AJ$88+AJ$82+AJ$84</f>
        <v>1750204.23819739</v>
      </c>
      <c r="AK99" s="13" t="n">
        <f aca="false">Capital_Trabajo!AK$42+Capital_Trabajo!AK$51+Capital_Trabajo!AK$25+Inversion_Activos!AK$43+Deuda_Tributos!AK$31+Deuda_Tributos!AK$45+AK$88+AK$82+AK$84</f>
        <v>1699807.34727579</v>
      </c>
      <c r="AL99" s="13" t="n">
        <f aca="false">Capital_Trabajo!AL$42+Capital_Trabajo!AL$51+Capital_Trabajo!AL$25+Inversion_Activos!AL$43+Deuda_Tributos!AL$31+Deuda_Tributos!AL$45+AL$88+AL$82+AL$84</f>
        <v>1649032.47967227</v>
      </c>
      <c r="AM99" s="13" t="n">
        <f aca="false">Capital_Trabajo!AM$42+Capital_Trabajo!AM$51+Capital_Trabajo!AM$25+Inversion_Activos!AM$43+Deuda_Tributos!AM$31+Deuda_Tributos!AM$45+AM$88+AM$82+AM$84</f>
        <v>1597876.80056173</v>
      </c>
      <c r="AN99" s="13" t="n">
        <f aca="false">Capital_Trabajo!AN$42+Capital_Trabajo!AN$51+Capital_Trabajo!AN$25+Inversion_Activos!AN$43+Deuda_Tributos!AN$31+Deuda_Tributos!AN$45+AN$88+AN$82+AN$84</f>
        <v>1546337.45385786</v>
      </c>
      <c r="AO99" s="13" t="n">
        <f aca="false">Capital_Trabajo!AO$42+Capital_Trabajo!AO$51+Capital_Trabajo!AO$25+Inversion_Activos!AO$43+Deuda_Tributos!AO$31+Deuda_Tributos!AO$45+AO$88+AO$82+AO$84</f>
        <v>1494411.56205371</v>
      </c>
      <c r="AP99" s="13" t="n">
        <f aca="false">Capital_Trabajo!AP$42+Capital_Trabajo!AP$51+Capital_Trabajo!AP$25+Inversion_Activos!AP$43+Deuda_Tributos!AP$31+Deuda_Tributos!AP$45+AP$88+AP$82+AP$84</f>
        <v>1789341.59124373</v>
      </c>
      <c r="AQ99" s="13" t="n">
        <f aca="false">Capital_Trabajo!AQ$42+Capital_Trabajo!AQ$51+Capital_Trabajo!AQ$25+Inversion_Activos!AQ$43+Deuda_Tributos!AQ$31+Deuda_Tributos!AQ$45+AQ$88+AQ$82+AQ$84</f>
        <v>1740669.76771866</v>
      </c>
      <c r="AR99" s="13" t="n">
        <f aca="false">Capital_Trabajo!AR$42+Capital_Trabajo!AR$51+Capital_Trabajo!AR$25+Inversion_Activos!AR$43+Deuda_Tributos!AR$31+Deuda_Tributos!AR$45+AR$88+AR$82+AR$84</f>
        <v>1687566.75894843</v>
      </c>
      <c r="AS99" s="13" t="n">
        <f aca="false">Capital_Trabajo!AS$42+Capital_Trabajo!AS$51+Capital_Trabajo!AS$25+Inversion_Activos!AS$43+Deuda_Tributos!AS$31+Deuda_Tributos!AS$45+AS$88+AS$82+AS$84</f>
        <v>1634065.47761244</v>
      </c>
      <c r="AT99" s="13" t="n">
        <f aca="false">Capital_Trabajo!AT$42+Capital_Trabajo!AT$51+Capital_Trabajo!AT$25+Inversion_Activos!AT$43+Deuda_Tributos!AT$31+Deuda_Tributos!AT$45+AT$88+AT$82+AT$84</f>
        <v>1580162.93666642</v>
      </c>
      <c r="AU99" s="13" t="n">
        <f aca="false">Capital_Trabajo!AU$42+Capital_Trabajo!AU$51+Capital_Trabajo!AU$25+Inversion_Activos!AU$43+Deuda_Tributos!AU$31+Deuda_Tributos!AU$45+AU$88+AU$82+AU$84</f>
        <v>1525856.1266633</v>
      </c>
      <c r="AV99" s="13" t="n">
        <f aca="false">Capital_Trabajo!AV$42+Capital_Trabajo!AV$51+Capital_Trabajo!AV$25+Inversion_Activos!AV$43+Deuda_Tributos!AV$31+Deuda_Tributos!AV$45+AV$88+AV$82+AV$84</f>
        <v>1471142.01558517</v>
      </c>
      <c r="AW99" s="13" t="n">
        <f aca="false">Capital_Trabajo!AW$42+Capital_Trabajo!AW$51+Capital_Trabajo!AW$25+Inversion_Activos!AW$43+Deuda_Tributos!AW$31+Deuda_Tributos!AW$45+AW$88+AW$82+AW$84</f>
        <v>1416017.54867395</v>
      </c>
      <c r="AX99" s="13" t="n">
        <f aca="false">Capital_Trabajo!AX$42+Capital_Trabajo!AX$51+Capital_Trabajo!AX$25+Inversion_Activos!AX$43+Deuda_Tributos!AX$31+Deuda_Tributos!AX$45+AX$88+AX$82+AX$84</f>
        <v>1360479.64826089</v>
      </c>
      <c r="AY99" s="13" t="n">
        <f aca="false">Capital_Trabajo!AY$42+Capital_Trabajo!AY$51+Capital_Trabajo!AY$25+Inversion_Activos!AY$43+Deuda_Tributos!AY$31+Deuda_Tributos!AY$45+AY$88+AY$82+AY$84</f>
        <v>1304525.21359473</v>
      </c>
      <c r="AZ99" s="13" t="n">
        <f aca="false">Capital_Trabajo!AZ$42+Capital_Trabajo!AZ$51+Capital_Trabajo!AZ$25+Inversion_Activos!AZ$43+Deuda_Tributos!AZ$31+Deuda_Tributos!AZ$45+AZ$88+AZ$82+AZ$84</f>
        <v>1179177.28219236</v>
      </c>
      <c r="BA99" s="13" t="n">
        <f aca="false">Capital_Trabajo!BA$42+Capital_Trabajo!BA$51+Capital_Trabajo!BA$25+Inversion_Activos!BA$43+Deuda_Tributos!BA$31+Deuda_Tributos!BA$45+BA$88+BA$82+BA$84</f>
        <v>1038491.46559147</v>
      </c>
      <c r="BB99" s="13" t="n">
        <f aca="false">Capital_Trabajo!BB$42+Capital_Trabajo!BB$51+Capital_Trabajo!BB$25+Inversion_Activos!BB$43+Deuda_Tributos!BB$31+Deuda_Tributos!BB$45+BB$88+BB$82+BB$84</f>
        <v>1702150.89698913</v>
      </c>
      <c r="BC99" s="13" t="n">
        <f aca="false">Capital_Trabajo!BC$42+Capital_Trabajo!BC$51+Capital_Trabajo!BC$25+Inversion_Activos!BC$43+Deuda_Tributos!BC$31+Deuda_Tributos!BC$45+BC$88+BC$82+BC$84</f>
        <v>1565640.76804461</v>
      </c>
      <c r="BD99" s="13" t="n">
        <f aca="false">Capital_Trabajo!BD$42+Capital_Trabajo!BD$51+Capital_Trabajo!BD$25+Inversion_Activos!BD$43+Deuda_Tributos!BD$31+Deuda_Tributos!BD$45+BD$88+BD$82+BD$84</f>
        <v>1477999.62104455</v>
      </c>
      <c r="BE99" s="13" t="n">
        <f aca="false">Capital_Trabajo!BE$42+Capital_Trabajo!BE$51+Capital_Trabajo!BE$25+Inversion_Activos!BE$43+Deuda_Tributos!BE$31+Deuda_Tributos!BE$45+BE$88+BE$82+BE$84</f>
        <v>1419479.550485</v>
      </c>
      <c r="BF99" s="13" t="n">
        <f aca="false">Capital_Trabajo!BF$42+Capital_Trabajo!BF$51+Capital_Trabajo!BF$25+Inversion_Activos!BF$43+Deuda_Tributos!BF$31+Deuda_Tributos!BF$45+BF$88+BF$82+BF$84</f>
        <v>1148278.16062701</v>
      </c>
      <c r="BG99" s="13" t="n">
        <f aca="false">Capital_Trabajo!BG$42+Capital_Trabajo!BG$51+Capital_Trabajo!BG$25+Inversion_Activos!BG$43+Deuda_Tributos!BG$31+Deuda_Tributos!BG$45+BG$88+BG$82+BG$84</f>
        <v>1001083.62129954</v>
      </c>
      <c r="BH99" s="13" t="n">
        <f aca="false">Capital_Trabajo!BH$42+Capital_Trabajo!BH$51+Capital_Trabajo!BH$25+Inversion_Activos!BH$43+Deuda_Tributos!BH$31+Deuda_Tributos!BH$45+BH$88+BH$82+BH$84</f>
        <v>853399.022374258</v>
      </c>
      <c r="BI99" s="13" t="n">
        <f aca="false">Capital_Trabajo!BI$42+Capital_Trabajo!BI$51+Capital_Trabajo!BI$25+Inversion_Activos!BI$43+Deuda_Tributos!BI$31+Deuda_Tributos!BI$45+BI$88+BI$82+BI$84</f>
        <v>705220.688404171</v>
      </c>
      <c r="BJ99" s="13" t="n">
        <f aca="false">Capital_Trabajo!BJ$42+Capital_Trabajo!BJ$51+Capital_Trabajo!BJ$25+Inversion_Activos!BJ$43+Deuda_Tributos!BJ$31+Deuda_Tributos!BJ$45+BJ$88+BJ$82+BJ$84</f>
        <v>556544.916376447</v>
      </c>
      <c r="BK99" s="13" t="n">
        <f aca="false">Capital_Trabajo!BK$42+Capital_Trabajo!BK$51+Capital_Trabajo!BK$25+Inversion_Activos!BK$43+Deuda_Tributos!BK$31+Deuda_Tributos!BK$45+BK$88+BK$82+BK$84</f>
        <v>409583.987948478</v>
      </c>
      <c r="BL99" s="13" t="n">
        <f aca="false">Capital_Trabajo!BL$42+Capital_Trabajo!BL$51+Capital_Trabajo!BL$25+Inversion_Activos!BL$43+Deuda_Tributos!BL$31+Deuda_Tributos!BL$45+BL$88+BL$82+BL$84</f>
        <v>262246.596400556</v>
      </c>
      <c r="BM99" s="13" t="n">
        <f aca="false">Capital_Trabajo!BM$42+Capital_Trabajo!BM$51+Capital_Trabajo!BM$25+Inversion_Activos!BM$43+Deuda_Tributos!BM$31+Deuda_Tributos!BM$45+BM$88+BM$82+BM$84</f>
        <v>130425.103057098</v>
      </c>
      <c r="BN99" s="13" t="n">
        <f aca="false">Capital_Trabajo!BN$42+Capital_Trabajo!BN$51+Capital_Trabajo!BN$25+Inversion_Activos!BN$43+Deuda_Tributos!BN$31+Deuda_Tributos!BN$45+BN$88+BN$82+BN$84</f>
        <v>1763322.53680556</v>
      </c>
      <c r="BO99" s="13" t="n">
        <f aca="false">Capital_Trabajo!BO$42+Capital_Trabajo!BO$51+Capital_Trabajo!BO$25+Inversion_Activos!BO$43+Deuda_Tributos!BO$31+Deuda_Tributos!BO$45+BO$88+BO$82+BO$84</f>
        <v>1764184.76508795</v>
      </c>
      <c r="BP99" s="13" t="n">
        <f aca="false">Capital_Trabajo!BP$42+Capital_Trabajo!BP$51+Capital_Trabajo!BP$25+Inversion_Activos!BP$43+Deuda_Tributos!BP$31+Deuda_Tributos!BP$45+BP$88+BP$82+BP$84</f>
        <v>1764184.76508795</v>
      </c>
      <c r="BQ99" s="13" t="n">
        <f aca="false">Capital_Trabajo!BQ$42+Capital_Trabajo!BQ$51+Capital_Trabajo!BQ$25+Inversion_Activos!BQ$43+Deuda_Tributos!BQ$31+Deuda_Tributos!BQ$45+BQ$88+BQ$82+BQ$84</f>
        <v>1764184.76508795</v>
      </c>
      <c r="BR99" s="13" t="n">
        <f aca="false">Capital_Trabajo!BR$42+Capital_Trabajo!BR$51+Capital_Trabajo!BR$25+Inversion_Activos!BR$43+Deuda_Tributos!BR$31+Deuda_Tributos!BR$45+BR$88+BR$82+BR$84</f>
        <v>1069847.28772635</v>
      </c>
      <c r="BS99" s="13" t="n">
        <f aca="false">Capital_Trabajo!BS$42+Capital_Trabajo!BS$51+Capital_Trabajo!BS$25+Inversion_Activos!BS$43+Deuda_Tributos!BS$31+Deuda_Tributos!BS$45+BS$88+BS$82+BS$84</f>
        <v>914536.238291047</v>
      </c>
      <c r="BT99" s="13" t="n">
        <f aca="false">Capital_Trabajo!BT$42+Capital_Trabajo!BT$51+Capital_Trabajo!BT$25+Inversion_Activos!BT$43+Deuda_Tributos!BT$31+Deuda_Tributos!BT$45+BT$88+BT$82+BT$84</f>
        <v>759225.18885574</v>
      </c>
      <c r="BU99" s="13" t="n">
        <f aca="false">Capital_Trabajo!BU$42+Capital_Trabajo!BU$51+Capital_Trabajo!BU$25+Inversion_Activos!BU$43+Deuda_Tributos!BU$31+Deuda_Tributos!BU$45+BU$88+BU$82+BU$84</f>
        <v>603914.139420432</v>
      </c>
      <c r="BV99" s="13" t="n">
        <f aca="false">Capital_Trabajo!BV$42+Capital_Trabajo!BV$51+Capital_Trabajo!BV$25+Inversion_Activos!BV$43+Deuda_Tributos!BV$31+Deuda_Tributos!BV$45+BV$88+BV$82+BV$84</f>
        <v>448603.089985125</v>
      </c>
      <c r="BW99" s="13" t="n">
        <f aca="false">Capital_Trabajo!BW$42+Capital_Trabajo!BW$51+Capital_Trabajo!BW$25+Inversion_Activos!BW$43+Deuda_Tributos!BW$31+Deuda_Tributos!BW$45+BW$88+BW$82+BW$84</f>
        <v>295530.213117072</v>
      </c>
      <c r="BX99" s="13" t="n">
        <f aca="false">Capital_Trabajo!BX$42+Capital_Trabajo!BX$51+Capital_Trabajo!BX$25+Inversion_Activos!BX$43+Deuda_Tributos!BX$31+Deuda_Tributos!BX$45+BX$88+BX$82+BX$84</f>
        <v>142587.085383352</v>
      </c>
      <c r="BY99" s="13" t="n">
        <f aca="false">Capital_Trabajo!BY$42+Capital_Trabajo!BY$51+Capital_Trabajo!BY$25+Inversion_Activos!BY$43+Deuda_Tributos!BY$31+Deuda_Tributos!BY$45+BY$88+BY$82+BY$84</f>
        <v>68696.5555631169</v>
      </c>
      <c r="BZ99" s="13" t="n">
        <f aca="false">Capital_Trabajo!BZ$42+Capital_Trabajo!BZ$51+Capital_Trabajo!BZ$25+Inversion_Activos!BZ$43+Deuda_Tributos!BZ$31+Deuda_Tributos!BZ$45+BZ$88+BZ$82+BZ$84</f>
        <v>1863807.08744792</v>
      </c>
      <c r="CA99" s="13" t="n">
        <f aca="false">Capital_Trabajo!CA$42+Capital_Trabajo!CA$51+Capital_Trabajo!CA$25+Inversion_Activos!CA$43+Deuda_Tributos!CA$31+Deuda_Tributos!CA$45+CA$88+CA$82+CA$84</f>
        <v>1864689.26702838</v>
      </c>
      <c r="CB99" s="13" t="n">
        <f aca="false">Capital_Trabajo!CB$42+Capital_Trabajo!CB$51+Capital_Trabajo!CB$25+Inversion_Activos!CB$43+Deuda_Tributos!CB$31+Deuda_Tributos!CB$45+CB$88+CB$82+CB$84</f>
        <v>1864689.26702838</v>
      </c>
      <c r="CC99" s="13" t="n">
        <f aca="false">Capital_Trabajo!CC$42+Capital_Trabajo!CC$51+Capital_Trabajo!CC$25+Inversion_Activos!CC$43+Deuda_Tributos!CC$31+Deuda_Tributos!CC$45+CC$88+CC$82+CC$84</f>
        <v>1864689.26702838</v>
      </c>
      <c r="CD99" s="13" t="n">
        <f aca="false">Capital_Trabajo!CD$42+Capital_Trabajo!CD$51+Capital_Trabajo!CD$25+Inversion_Activos!CD$43+Deuda_Tributos!CD$31+Deuda_Tributos!CD$45+CD$88+CD$82+CD$84</f>
        <v>1023940.23267019</v>
      </c>
      <c r="CE99" s="13" t="n">
        <f aca="false">Capital_Trabajo!CE$42+Capital_Trabajo!CE$51+Capital_Trabajo!CE$25+Inversion_Activos!CE$43+Deuda_Tributos!CE$31+Deuda_Tributos!CE$45+CE$88+CE$82+CE$84</f>
        <v>864508.191409145</v>
      </c>
      <c r="CF99" s="13" t="n">
        <f aca="false">Capital_Trabajo!CF$42+Capital_Trabajo!CF$51+Capital_Trabajo!CF$25+Inversion_Activos!CF$43+Deuda_Tributos!CF$31+Deuda_Tributos!CF$45+CF$88+CF$82+CF$84</f>
        <v>705076.1501481</v>
      </c>
      <c r="CG99" s="13" t="n">
        <f aca="false">Capital_Trabajo!CG$42+Capital_Trabajo!CG$51+Capital_Trabajo!CG$25+Inversion_Activos!CG$43+Deuda_Tributos!CG$31+Deuda_Tributos!CG$45+CG$88+CG$82+CG$84</f>
        <v>545644.108887056</v>
      </c>
      <c r="CH99" s="13" t="n">
        <f aca="false">Capital_Trabajo!CH$42+Capital_Trabajo!CH$51+Capital_Trabajo!CH$25+Inversion_Activos!CH$43+Deuda_Tributos!CH$31+Deuda_Tributos!CH$45+CH$88+CH$82+CH$84</f>
        <v>386212.067626011</v>
      </c>
      <c r="CI99" s="13" t="n">
        <f aca="false">Capital_Trabajo!CI$42+Capital_Trabajo!CI$51+Capital_Trabajo!CI$25+Inversion_Activos!CI$43+Deuda_Tributos!CI$31+Deuda_Tributos!CI$45+CI$88+CI$82+CI$84</f>
        <v>229040.580657894</v>
      </c>
      <c r="CJ99" s="13" t="n">
        <f aca="false">Capital_Trabajo!CJ$42+Capital_Trabajo!CJ$51+Capital_Trabajo!CJ$25+Inversion_Activos!CJ$43+Deuda_Tributos!CJ$31+Deuda_Tributos!CJ$45+CJ$88+CJ$82+CJ$84</f>
        <v>72000.1403154522</v>
      </c>
      <c r="CK99" s="13" t="n">
        <f aca="false">Capital_Trabajo!CK$42+Capital_Trabajo!CK$51+Capital_Trabajo!CK$25+Inversion_Activos!CK$43+Deuda_Tributos!CK$31+Deuda_Tributos!CK$45+CK$88+CK$82+CK$84</f>
        <v>69578.7351435718</v>
      </c>
      <c r="CL99" s="13" t="n">
        <f aca="false">Capital_Trabajo!CL$42+Capital_Trabajo!CL$51+Capital_Trabajo!CL$25+Inversion_Activos!CL$43+Deuda_Tributos!CL$31+Deuda_Tributos!CL$45+CL$88+CL$82+CL$84</f>
        <v>1914148.95164027</v>
      </c>
      <c r="CM99" s="13" t="n">
        <f aca="false">Capital_Trabajo!CM$42+Capital_Trabajo!CM$51+Capital_Trabajo!CM$25+Inversion_Activos!CM$43+Deuda_Tributos!CM$31+Deuda_Tributos!CM$45+CM$88+CM$82+CM$84</f>
        <v>1915051.63728528</v>
      </c>
      <c r="CN99" s="13" t="n">
        <f aca="false">Capital_Trabajo!CN$42+Capital_Trabajo!CN$51+Capital_Trabajo!CN$25+Inversion_Activos!CN$43+Deuda_Tributos!CN$31+Deuda_Tributos!CN$45+CN$88+CN$82+CN$84</f>
        <v>1915051.63728528</v>
      </c>
      <c r="CO99" s="13" t="n">
        <f aca="false">Capital_Trabajo!CO$42+Capital_Trabajo!CO$51+Capital_Trabajo!CO$25+Inversion_Activos!CO$43+Deuda_Tributos!CO$31+Deuda_Tributos!CO$45+CO$88+CO$82+CO$84</f>
        <v>1915051.63728528</v>
      </c>
      <c r="CP99" s="13" t="n">
        <f aca="false">Capital_Trabajo!CP$42+Capital_Trabajo!CP$51+Capital_Trabajo!CP$25+Inversion_Activos!CP$43+Deuda_Tributos!CP$31+Deuda_Tributos!CP$45+CP$88+CP$82+CP$84</f>
        <v>978315.496580941</v>
      </c>
      <c r="CQ99" s="13" t="n">
        <f aca="false">Capital_Trabajo!CQ$42+Capital_Trabajo!CQ$51+Capital_Trabajo!CQ$25+Inversion_Activos!CQ$43+Deuda_Tributos!CQ$31+Deuda_Tributos!CQ$45+CQ$88+CQ$82+CQ$84</f>
        <v>814733.100126162</v>
      </c>
      <c r="CR99" s="13" t="n">
        <f aca="false">Capital_Trabajo!CR$42+Capital_Trabajo!CR$51+Capital_Trabajo!CR$25+Inversion_Activos!CR$43+Deuda_Tributos!CR$31+Deuda_Tributos!CR$45+CR$88+CR$82+CR$84</f>
        <v>651150.703671384</v>
      </c>
      <c r="CS99" s="13" t="n">
        <f aca="false">Capital_Trabajo!CS$42+Capital_Trabajo!CS$51+Capital_Trabajo!CS$25+Inversion_Activos!CS$43+Deuda_Tributos!CS$31+Deuda_Tributos!CS$45+CS$88+CS$82+CS$84</f>
        <v>487568.307216606</v>
      </c>
      <c r="CT99" s="13" t="n">
        <f aca="false">Capital_Trabajo!CT$42+Capital_Trabajo!CT$51+Capital_Trabajo!CT$25+Inversion_Activos!CT$43+Deuda_Tributos!CT$31+Deuda_Tributos!CT$45+CT$88+CT$82+CT$84</f>
        <v>323985.910761827</v>
      </c>
      <c r="CU99" s="13" t="n">
        <f aca="false">Capital_Trabajo!CU$42+Capital_Trabajo!CU$51+Capital_Trabajo!CU$25+Inversion_Activos!CU$43+Deuda_Tributos!CU$31+Deuda_Tributos!CU$45+CU$88+CU$82+CU$84</f>
        <v>162686.674142905</v>
      </c>
      <c r="CV99" s="13" t="n">
        <f aca="false">Capital_Trabajo!CV$42+Capital_Trabajo!CV$51+Capital_Trabajo!CV$25+Inversion_Activos!CV$43+Deuda_Tributos!CV$31+Deuda_Tributos!CV$45+CV$88+CV$82+CV$84</f>
        <v>70481.4207885811</v>
      </c>
      <c r="CW99" s="13" t="n">
        <f aca="false">Capital_Trabajo!CW$42+Capital_Trabajo!CW$51+Capital_Trabajo!CW$25+Inversion_Activos!CW$43+Deuda_Tributos!CW$31+Deuda_Tributos!CW$45+CW$88+CW$82+CW$84</f>
        <v>70481.4207885811</v>
      </c>
      <c r="CX99" s="13" t="n">
        <f aca="false">Capital_Trabajo!CX$42+Capital_Trabajo!CX$51+Capital_Trabajo!CX$25+Inversion_Activos!CX$43+Deuda_Tributos!CX$31+Deuda_Tributos!CX$45+CX$88+CX$82+CX$84</f>
        <v>1964863.76014017</v>
      </c>
      <c r="CY99" s="13" t="n">
        <f aca="false">Capital_Trabajo!CY$42+Capital_Trabajo!CY$51+Capital_Trabajo!CY$25+Inversion_Activos!CY$43+Deuda_Tributos!CY$31+Deuda_Tributos!CY$45+CY$88+CY$82+CY$84</f>
        <v>1965787.52282149</v>
      </c>
      <c r="CZ99" s="13" t="n">
        <f aca="false">Capital_Trabajo!CZ$42+Capital_Trabajo!CZ$51+Capital_Trabajo!CZ$25+Inversion_Activos!CZ$43+Deuda_Tributos!CZ$31+Deuda_Tributos!CZ$45+CZ$88+CZ$82+CZ$84</f>
        <v>1965787.52282149</v>
      </c>
      <c r="DA99" s="13" t="n">
        <f aca="false">Capital_Trabajo!DA$42+Capital_Trabajo!DA$51+Capital_Trabajo!DA$25+Inversion_Activos!DA$43+Deuda_Tributos!DA$31+Deuda_Tributos!DA$45+DA$88+DA$82+DA$84</f>
        <v>1965787.52282149</v>
      </c>
      <c r="DB99" s="13" t="n">
        <f aca="false">Capital_Trabajo!DB$42+Capital_Trabajo!DB$51+Capital_Trabajo!DB$25+Inversion_Activos!DB$43+Deuda_Tributos!DB$31+Deuda_Tributos!DB$45+DB$88+DB$82+DB$84</f>
        <v>932977.386621111</v>
      </c>
      <c r="DC99" s="13" t="n">
        <f aca="false">Capital_Trabajo!DC$42+Capital_Trabajo!DC$51+Capital_Trabajo!DC$25+Inversion_Activos!DC$43+Deuda_Tributos!DC$31+Deuda_Tributos!DC$45+DC$88+DC$82+DC$84</f>
        <v>765215.348964129</v>
      </c>
      <c r="DD99" s="13" t="n">
        <f aca="false">Capital_Trabajo!DD$42+Capital_Trabajo!DD$51+Capital_Trabajo!DD$25+Inversion_Activos!DD$43+Deuda_Tributos!DD$31+Deuda_Tributos!DD$45+DD$88+DD$82+DD$84</f>
        <v>597453.311307147</v>
      </c>
      <c r="DE99" s="13" t="n">
        <f aca="false">Capital_Trabajo!DE$42+Capital_Trabajo!DE$51+Capital_Trabajo!DE$25+Inversion_Activos!DE$43+Deuda_Tributos!DE$31+Deuda_Tributos!DE$45+DE$88+DE$82+DE$84</f>
        <v>429691.273650165</v>
      </c>
      <c r="DF99" s="13" t="n">
        <f aca="false">Capital_Trabajo!DF$42+Capital_Trabajo!DF$51+Capital_Trabajo!DF$25+Inversion_Activos!DF$43+Deuda_Tributos!DF$31+Deuda_Tributos!DF$45+DF$88+DF$82+DF$84</f>
        <v>261929.235993183</v>
      </c>
      <c r="DG99" s="13" t="n">
        <f aca="false">Capital_Trabajo!DG$42+Capital_Trabajo!DG$51+Capital_Trabajo!DG$25+Inversion_Activos!DG$43+Deuda_Tributos!DG$31+Deuda_Tributos!DG$45+DG$88+DG$82+DG$84</f>
        <v>96473.1897704152</v>
      </c>
      <c r="DH99" s="13" t="n">
        <f aca="false">Capital_Trabajo!DH$42+Capital_Trabajo!DH$51+Capital_Trabajo!DH$25+Inversion_Activos!DH$43+Deuda_Tributos!DH$31+Deuda_Tributos!DH$45+DH$88+DH$82+DH$84</f>
        <v>71405.1834698992</v>
      </c>
      <c r="DI99" s="13" t="n">
        <f aca="false">Capital_Trabajo!DI$42+Capital_Trabajo!DI$51+Capital_Trabajo!DI$25+Inversion_Activos!DI$43+Deuda_Tributos!DI$31+Deuda_Tributos!DI$45+DI$88+DI$82+DI$84</f>
        <v>71405.1834698992</v>
      </c>
      <c r="DJ99" s="13" t="n">
        <f aca="false">Capital_Trabajo!DJ$42+Capital_Trabajo!DJ$51+Capital_Trabajo!DJ$25+Inversion_Activos!DJ$43+Deuda_Tributos!DJ$31+Deuda_Tributos!DJ$45+DJ$88+DJ$82+DJ$84</f>
        <v>2015951.15638331</v>
      </c>
      <c r="DK99" s="13" t="n">
        <f aca="false">Capital_Trabajo!DK$42+Capital_Trabajo!DK$51+Capital_Trabajo!DK$25+Inversion_Activos!DK$43+Deuda_Tributos!DK$31+Deuda_Tributos!DK$45+DK$88+DK$82+DK$84</f>
        <v>2016896.58375974</v>
      </c>
      <c r="DL99" s="13" t="n">
        <f aca="false">Capital_Trabajo!DL$42+Capital_Trabajo!DL$51+Capital_Trabajo!DL$25+Inversion_Activos!DL$43+Deuda_Tributos!DL$31+Deuda_Tributos!DL$45+DL$88+DL$82+DL$84</f>
        <v>2016896.58375974</v>
      </c>
      <c r="DM99" s="13" t="n">
        <f aca="false">Capital_Trabajo!DM$42+Capital_Trabajo!DM$51+Capital_Trabajo!DM$25+Inversion_Activos!DM$43+Deuda_Tributos!DM$31+Deuda_Tributos!DM$45+DM$88+DM$82+DM$84</f>
        <v>2016896.58375974</v>
      </c>
      <c r="DN99" s="13" t="n">
        <f aca="false">Capital_Trabajo!DN$42+Capital_Trabajo!DN$51+Capital_Trabajo!DN$25+Inversion_Activos!DN$43+Deuda_Tributos!DN$31+Deuda_Tributos!DN$45+DN$88+DN$82+DN$84</f>
        <v>887930.297544007</v>
      </c>
      <c r="DO99" s="13" t="n">
        <f aca="false">Capital_Trabajo!DO$42+Capital_Trabajo!DO$51+Capital_Trabajo!DO$25+Inversion_Activos!DO$43+Deuda_Tributos!DO$31+Deuda_Tributos!DO$45+DO$88+DO$82+DO$84</f>
        <v>715959.421939272</v>
      </c>
      <c r="DP99" s="13" t="n">
        <f aca="false">Capital_Trabajo!DP$42+Capital_Trabajo!DP$51+Capital_Trabajo!DP$25+Inversion_Activos!DP$43+Deuda_Tributos!DP$31+Deuda_Tributos!DP$45+DP$88+DP$82+DP$84</f>
        <v>543988.546334536</v>
      </c>
      <c r="DQ99" s="13" t="n">
        <f aca="false">Capital_Trabajo!DQ$42+Capital_Trabajo!DQ$51+Capital_Trabajo!DQ$25+Inversion_Activos!DQ$43+Deuda_Tributos!DQ$31+Deuda_Tributos!DQ$45+DQ$88+DQ$82+DQ$84</f>
        <v>372017.6707298</v>
      </c>
      <c r="DR99" s="13" t="n">
        <f aca="false">Capital_Trabajo!DR$42+Capital_Trabajo!DR$51+Capital_Trabajo!DR$25+Inversion_Activos!DR$43+Deuda_Tributos!DR$31+Deuda_Tributos!DR$45+DR$88+DR$82+DR$84</f>
        <v>72350.6108463317</v>
      </c>
      <c r="DS99" s="13" t="n">
        <f aca="false">Capital_Trabajo!DS$42+Capital_Trabajo!DS$51+Capital_Trabajo!DS$25+Inversion_Activos!DS$43+Deuda_Tributos!DS$31+Deuda_Tributos!DS$45+DS$88+DS$82+DS$84</f>
        <v>72350.6108463317</v>
      </c>
      <c r="DT99" s="13" t="n">
        <f aca="false">Capital_Trabajo!DT$42+Capital_Trabajo!DT$51+Capital_Trabajo!DT$25+Inversion_Activos!DT$43+Deuda_Tributos!DT$31+Deuda_Tributos!DT$45+DT$88+DT$82+DT$84</f>
        <v>72350.6108463317</v>
      </c>
      <c r="DU99" s="13" t="n">
        <f aca="false">Capital_Trabajo!DU$42+Capital_Trabajo!DU$51+Capital_Trabajo!DU$25+Inversion_Activos!DU$43+Deuda_Tributos!DU$31+Deuda_Tributos!DU$45+DU$88+DU$82+DU$84</f>
        <v>72350.6108463317</v>
      </c>
      <c r="DV99" s="13" t="n">
        <f aca="false">Capital_Trabajo!DV$42+Capital_Trabajo!DV$51+Capital_Trabajo!DV$25+Inversion_Activos!DV$43+Deuda_Tributos!DV$31+Deuda_Tributos!DV$45+DV$88+DV$82+DV$84</f>
        <v>2044498.12895637</v>
      </c>
      <c r="DW99" s="13" t="n">
        <f aca="false">Capital_Trabajo!DW$42+Capital_Trabajo!DW$51+Capital_Trabajo!DW$25+Inversion_Activos!DW$43+Deuda_Tributos!DW$31+Deuda_Tributos!DW$45+DW$88+DW$82+DW$84</f>
        <v>2044498.12895637</v>
      </c>
      <c r="DX99" s="13" t="n">
        <f aca="false">Capital_Trabajo!DX$42+Capital_Trabajo!DX$51+Capital_Trabajo!DX$25+Inversion_Activos!DX$43+Deuda_Tributos!DX$31+Deuda_Tributos!DX$45+DX$88+DX$82+DX$84</f>
        <v>2044498.12895637</v>
      </c>
      <c r="DY99" s="13" t="n">
        <f aca="false">Capital_Trabajo!DY$42+Capital_Trabajo!DY$51+Capital_Trabajo!DY$25+Inversion_Activos!DY$43+Deuda_Tributos!DY$31+Deuda_Tributos!DY$45+DY$88+DY$82+DY$84</f>
        <v>2044498.12895637</v>
      </c>
      <c r="DZ99" s="13" t="n">
        <f aca="false">Capital_Trabajo!DZ$42+Capital_Trabajo!DZ$51+Capital_Trabajo!DZ$25+Inversion_Activos!DZ$43+Deuda_Tributos!DZ$31+Deuda_Tributos!DZ$45+DZ$88+DZ$82+DZ$84</f>
        <v>2044498.12895637</v>
      </c>
      <c r="EA99" s="13" t="n">
        <f aca="false">Capital_Trabajo!EA$42+Capital_Trabajo!EA$51+Capital_Trabajo!EA$25+Inversion_Activos!EA$43+Deuda_Tributos!EA$31+Deuda_Tributos!EA$45+EA$88+EA$82+EA$84</f>
        <v>2044498.12895637</v>
      </c>
      <c r="EB99" s="13" t="n">
        <f aca="false">Capital_Trabajo!EB$42+Capital_Trabajo!EB$51+Capital_Trabajo!EB$25+Inversion_Activos!EB$43+Deuda_Tributos!EB$31+Deuda_Tributos!EB$45+EB$88+EB$82+EB$84</f>
        <v>2044498.12895637</v>
      </c>
      <c r="EC99" s="13" t="n">
        <f aca="false">Capital_Trabajo!EC$42+Capital_Trabajo!EC$51+Capital_Trabajo!EC$25+Inversion_Activos!EC$43+Deuda_Tributos!EC$31+Deuda_Tributos!EC$45+EC$88+EC$82+EC$84</f>
        <v>2044498.12895637</v>
      </c>
      <c r="ED99" s="13" t="n">
        <f aca="false">Capital_Trabajo!ED$42+Capital_Trabajo!ED$51+Capital_Trabajo!ED$25+Inversion_Activos!ED$43+Deuda_Tributos!ED$31+Deuda_Tributos!ED$45+ED$88+ED$82+ED$84</f>
        <v>2044498.12895637</v>
      </c>
      <c r="EE99" s="13" t="n">
        <f aca="false">Capital_Trabajo!EE$42+Capital_Trabajo!EE$51+Capital_Trabajo!EE$25+Inversion_Activos!EE$43+Deuda_Tributos!EE$31+Deuda_Tributos!EE$45+EE$88+EE$82+EE$84</f>
        <v>2044498.12895637</v>
      </c>
      <c r="EF99" s="13" t="n">
        <f aca="false">Capital_Trabajo!EF$42+Capital_Trabajo!EF$51+Capital_Trabajo!EF$25+Inversion_Activos!EF$43+Deuda_Tributos!EF$31+Deuda_Tributos!EF$45+EF$88+EF$82+EF$84</f>
        <v>2044498.12895637</v>
      </c>
      <c r="EG99" s="13" t="n">
        <f aca="false">Capital_Trabajo!EG$42+Capital_Trabajo!EG$51+Capital_Trabajo!EG$25+Inversion_Activos!EG$43+Deuda_Tributos!EG$31+Deuda_Tributos!EG$45+EG$88+EG$82+EG$84</f>
        <v>2044498.12895637</v>
      </c>
      <c r="EH99" s="13" t="n">
        <f aca="false">Capital_Trabajo!EH$42+Capital_Trabajo!EH$51+Capital_Trabajo!EH$25+Inversion_Activos!EH$43+Deuda_Tributos!EH$31+Deuda_Tributos!EH$45+EH$88+EH$82+EH$84</f>
        <v>2044498.12895637</v>
      </c>
      <c r="EI99" s="13" t="n">
        <f aca="false">Capital_Trabajo!EI$42+Capital_Trabajo!EI$51+Capital_Trabajo!EI$25+Inversion_Activos!EI$43+Deuda_Tributos!EI$31+Deuda_Tributos!EI$45+EI$88+EI$82+EI$84</f>
        <v>2044498.12895637</v>
      </c>
      <c r="EJ99" s="13" t="n">
        <f aca="false">Capital_Trabajo!EJ$42+Capital_Trabajo!EJ$51+Capital_Trabajo!EJ$25+Inversion_Activos!EJ$43+Deuda_Tributos!EJ$31+Deuda_Tributos!EJ$45+EJ$88+EJ$82+EJ$84</f>
        <v>2044498.12895637</v>
      </c>
      <c r="EK99" s="13" t="n">
        <f aca="false">Capital_Trabajo!EK$42+Capital_Trabajo!EK$51+Capital_Trabajo!EK$25+Inversion_Activos!EK$43+Deuda_Tributos!EK$31+Deuda_Tributos!EK$45+EK$88+EK$82+EK$84</f>
        <v>2044498.12895637</v>
      </c>
      <c r="EL99" s="13" t="n">
        <f aca="false">Capital_Trabajo!EL$42+Capital_Trabajo!EL$51+Capital_Trabajo!EL$25+Inversion_Activos!EL$43+Deuda_Tributos!EL$31+Deuda_Tributos!EL$45+EL$88+EL$82+EL$84</f>
        <v>2044498.12895637</v>
      </c>
      <c r="EM99" s="13" t="n">
        <f aca="false">Capital_Trabajo!EM$42+Capital_Trabajo!EM$51+Capital_Trabajo!EM$25+Inversion_Activos!EM$43+Deuda_Tributos!EM$31+Deuda_Tributos!EM$45+EM$88+EM$82+EM$84</f>
        <v>2044498.12895637</v>
      </c>
      <c r="EN99" s="13" t="n">
        <f aca="false">Capital_Trabajo!EN$42+Capital_Trabajo!EN$51+Capital_Trabajo!EN$25+Inversion_Activos!EN$43+Deuda_Tributos!EN$31+Deuda_Tributos!EN$45+EN$88+EN$82+EN$84</f>
        <v>2044498.12895637</v>
      </c>
      <c r="EO99" s="13" t="n">
        <f aca="false">Capital_Trabajo!EO$42+Capital_Trabajo!EO$51+Capital_Trabajo!EO$25+Inversion_Activos!EO$43+Deuda_Tributos!EO$31+Deuda_Tributos!EO$45+EO$88+EO$82+EO$84</f>
        <v>2044498.12895637</v>
      </c>
      <c r="EP99" s="13" t="n">
        <f aca="false">Capital_Trabajo!EP$42+Capital_Trabajo!EP$51+Capital_Trabajo!EP$25+Inversion_Activos!EP$43+Deuda_Tributos!EP$31+Deuda_Tributos!EP$45+EP$88+EP$82+EP$84</f>
        <v>2044498.12895637</v>
      </c>
      <c r="EQ99" s="13" t="n">
        <f aca="false">Capital_Trabajo!EQ$42+Capital_Trabajo!EQ$51+Capital_Trabajo!EQ$25+Inversion_Activos!EQ$43+Deuda_Tributos!EQ$31+Deuda_Tributos!EQ$45+EQ$88+EQ$82+EQ$84</f>
        <v>2044498.12895637</v>
      </c>
      <c r="ER99" s="13" t="n">
        <f aca="false">Capital_Trabajo!ER$42+Capital_Trabajo!ER$51+Capital_Trabajo!ER$25+Inversion_Activos!ER$43+Deuda_Tributos!ER$31+Deuda_Tributos!ER$45+ER$88+ER$82+ER$84</f>
        <v>2044498.12895637</v>
      </c>
      <c r="ES99" s="13" t="n">
        <f aca="false">Capital_Trabajo!ES$42+Capital_Trabajo!ES$51+Capital_Trabajo!ES$25+Inversion_Activos!ES$43+Deuda_Tributos!ES$31+Deuda_Tributos!ES$45+ES$88+ES$82+ES$84</f>
        <v>2044498.12895637</v>
      </c>
      <c r="ET99" s="13" t="n">
        <f aca="false">Capital_Trabajo!ET$42+Capital_Trabajo!ET$51+Capital_Trabajo!ET$25+Inversion_Activos!ET$43+Deuda_Tributos!ET$31+Deuda_Tributos!ET$45+ET$88+ET$82+ET$84</f>
        <v>2044498.12895637</v>
      </c>
      <c r="EU99" s="13" t="n">
        <f aca="false">Capital_Trabajo!EU$42+Capital_Trabajo!EU$51+Capital_Trabajo!EU$25+Inversion_Activos!EU$43+Deuda_Tributos!EU$31+Deuda_Tributos!EU$45+EU$88+EU$82+EU$84</f>
        <v>2044498.12895637</v>
      </c>
      <c r="EV99" s="13" t="n">
        <f aca="false">Capital_Trabajo!EV$42+Capital_Trabajo!EV$51+Capital_Trabajo!EV$25+Inversion_Activos!EV$43+Deuda_Tributos!EV$31+Deuda_Tributos!EV$45+EV$88+EV$82+EV$84</f>
        <v>2044498.12895637</v>
      </c>
      <c r="EW99" s="13" t="n">
        <f aca="false">Capital_Trabajo!EW$42+Capital_Trabajo!EW$51+Capital_Trabajo!EW$25+Inversion_Activos!EW$43+Deuda_Tributos!EW$31+Deuda_Tributos!EW$45+EW$88+EW$82+EW$84</f>
        <v>2044498.12895637</v>
      </c>
      <c r="EX99" s="13" t="n">
        <f aca="false">Capital_Trabajo!EX$42+Capital_Trabajo!EX$51+Capital_Trabajo!EX$25+Inversion_Activos!EX$43+Deuda_Tributos!EX$31+Deuda_Tributos!EX$45+EX$88+EX$82+EX$84</f>
        <v>2044498.12895637</v>
      </c>
      <c r="EY99" s="13" t="n">
        <f aca="false">Capital_Trabajo!EY$42+Capital_Trabajo!EY$51+Capital_Trabajo!EY$25+Inversion_Activos!EY$43+Deuda_Tributos!EY$31+Deuda_Tributos!EY$45+EY$88+EY$82+EY$84</f>
        <v>2044498.12895637</v>
      </c>
      <c r="EZ99" s="13" t="n">
        <f aca="false">Capital_Trabajo!EZ$42+Capital_Trabajo!EZ$51+Capital_Trabajo!EZ$25+Inversion_Activos!EZ$43+Deuda_Tributos!EZ$31+Deuda_Tributos!EZ$45+EZ$88+EZ$82+EZ$84</f>
        <v>2044498.12895637</v>
      </c>
      <c r="FA99" s="13" t="n">
        <f aca="false">Capital_Trabajo!FA$42+Capital_Trabajo!FA$51+Capital_Trabajo!FA$25+Inversion_Activos!FA$43+Deuda_Tributos!FA$31+Deuda_Tributos!FA$45+FA$88+FA$82+FA$84</f>
        <v>2044498.12895637</v>
      </c>
      <c r="FB99" s="13" t="n">
        <f aca="false">Capital_Trabajo!FB$42+Capital_Trabajo!FB$51+Capital_Trabajo!FB$25+Inversion_Activos!FB$43+Deuda_Tributos!FB$31+Deuda_Tributos!FB$45+FB$88+FB$82+FB$84</f>
        <v>2044498.12895637</v>
      </c>
      <c r="FC99" s="13" t="n">
        <f aca="false">Capital_Trabajo!FC$42+Capital_Trabajo!FC$51+Capital_Trabajo!FC$25+Inversion_Activos!FC$43+Deuda_Tributos!FC$31+Deuda_Tributos!FC$45+FC$88+FC$82+FC$84</f>
        <v>2044498.12895637</v>
      </c>
      <c r="FD99" s="13" t="n">
        <f aca="false">Capital_Trabajo!FD$42+Capital_Trabajo!FD$51+Capital_Trabajo!FD$25+Inversion_Activos!FD$43+Deuda_Tributos!FD$31+Deuda_Tributos!FD$45+FD$88+FD$82+FD$84</f>
        <v>2044498.12895637</v>
      </c>
      <c r="FE99" s="13" t="n">
        <f aca="false">Capital_Trabajo!FE$42+Capital_Trabajo!FE$51+Capital_Trabajo!FE$25+Inversion_Activos!FE$43+Deuda_Tributos!FE$31+Deuda_Tributos!FE$45+FE$88+FE$82+FE$84</f>
        <v>2044498.12895637</v>
      </c>
      <c r="FF99" s="13" t="n">
        <f aca="false">Capital_Trabajo!FF$42+Capital_Trabajo!FF$51+Capital_Trabajo!FF$25+Inversion_Activos!FF$43+Deuda_Tributos!FF$31+Deuda_Tributos!FF$45+FF$88+FF$82+FF$84</f>
        <v>2044498.12895637</v>
      </c>
    </row>
    <row r="100" customFormat="false" ht="15" hidden="false" customHeight="false" outlineLevel="0" collapsed="false">
      <c r="A100" s="2" t="s">
        <v>1608</v>
      </c>
      <c r="B100" s="8" t="s">
        <v>1609</v>
      </c>
      <c r="C100" s="8" t="s">
        <v>255</v>
      </c>
      <c r="E100" s="65" t="n">
        <f aca="false">INDEX($F100:$FF100,1,p_MesFin+1)</f>
        <v>1139710</v>
      </c>
      <c r="F100" s="13" t="n">
        <f aca="false">0+F$68+F$89+F$59</f>
        <v>200000</v>
      </c>
      <c r="G100" s="13" t="n">
        <f aca="false">F$100+G$68+G$89+G$59</f>
        <v>767782</v>
      </c>
      <c r="H100" s="13" t="n">
        <f aca="false">G$100+H$68+H$89+H$59</f>
        <v>767782</v>
      </c>
      <c r="I100" s="13" t="n">
        <f aca="false">H$100+I$68+I$89+I$59</f>
        <v>767782</v>
      </c>
      <c r="J100" s="13" t="n">
        <f aca="false">I$100+J$68+J$89+J$59</f>
        <v>767782</v>
      </c>
      <c r="K100" s="13" t="n">
        <f aca="false">J$100+K$68+K$89+K$59</f>
        <v>767782</v>
      </c>
      <c r="L100" s="13" t="n">
        <f aca="false">K$100+L$68+L$89+L$59</f>
        <v>767782</v>
      </c>
      <c r="M100" s="13" t="n">
        <f aca="false">L$100+M$68+M$89+M$59</f>
        <v>767782</v>
      </c>
      <c r="N100" s="13" t="n">
        <f aca="false">M$100+N$68+N$89+N$59</f>
        <v>767782</v>
      </c>
      <c r="O100" s="13" t="n">
        <f aca="false">N$100+O$68+O$89+O$59</f>
        <v>767782</v>
      </c>
      <c r="P100" s="13" t="n">
        <f aca="false">O$100+P$68+P$89+P$59</f>
        <v>767782</v>
      </c>
      <c r="Q100" s="13" t="n">
        <f aca="false">P$100+Q$68+Q$89+Q$59</f>
        <v>767782</v>
      </c>
      <c r="R100" s="13" t="n">
        <f aca="false">Q$100+R$68+R$89+R$59</f>
        <v>767782</v>
      </c>
      <c r="S100" s="13" t="n">
        <f aca="false">R$100+S$68+S$89+S$59</f>
        <v>1139710</v>
      </c>
      <c r="T100" s="13" t="n">
        <f aca="false">S$100+T$68+T$89+T$59</f>
        <v>1139710</v>
      </c>
      <c r="U100" s="13" t="n">
        <f aca="false">T$100+U$68+U$89+U$59</f>
        <v>1139710</v>
      </c>
      <c r="V100" s="13" t="n">
        <f aca="false">U$100+V$68+V$89+V$59</f>
        <v>1139710</v>
      </c>
      <c r="W100" s="13" t="n">
        <f aca="false">V$100+W$68+W$89+W$59</f>
        <v>1139710</v>
      </c>
      <c r="X100" s="13" t="n">
        <f aca="false">W$100+X$68+X$89+X$59</f>
        <v>1139710</v>
      </c>
      <c r="Y100" s="13" t="n">
        <f aca="false">X$100+Y$68+Y$89+Y$59</f>
        <v>1139710</v>
      </c>
      <c r="Z100" s="13" t="n">
        <f aca="false">Y$100+Z$68+Z$89+Z$59</f>
        <v>1139710</v>
      </c>
      <c r="AA100" s="13" t="n">
        <f aca="false">Z$100+AA$68+AA$89+AA$59</f>
        <v>1139710</v>
      </c>
      <c r="AB100" s="13" t="n">
        <f aca="false">AA$100+AB$68+AB$89+AB$59</f>
        <v>1139710</v>
      </c>
      <c r="AC100" s="13" t="n">
        <f aca="false">AB$100+AC$68+AC$89+AC$59</f>
        <v>1139710</v>
      </c>
      <c r="AD100" s="13" t="n">
        <f aca="false">AC$100+AD$68+AD$89+AD$59</f>
        <v>1139710</v>
      </c>
      <c r="AE100" s="13" t="n">
        <f aca="false">AD$100+AE$68+AE$89+AE$59</f>
        <v>1139710</v>
      </c>
      <c r="AF100" s="13" t="n">
        <f aca="false">AE$100+AF$68+AF$89+AF$59</f>
        <v>1139710</v>
      </c>
      <c r="AG100" s="13" t="n">
        <f aca="false">AF$100+AG$68+AG$89+AG$59</f>
        <v>1139710</v>
      </c>
      <c r="AH100" s="13" t="n">
        <f aca="false">AG$100+AH$68+AH$89+AH$59</f>
        <v>1139710</v>
      </c>
      <c r="AI100" s="13" t="n">
        <f aca="false">AH$100+AI$68+AI$89+AI$59</f>
        <v>1139710</v>
      </c>
      <c r="AJ100" s="13" t="n">
        <f aca="false">AI$100+AJ$68+AJ$89+AJ$59</f>
        <v>1139710</v>
      </c>
      <c r="AK100" s="13" t="n">
        <f aca="false">AJ$100+AK$68+AK$89+AK$59</f>
        <v>1139710</v>
      </c>
      <c r="AL100" s="13" t="n">
        <f aca="false">AK$100+AL$68+AL$89+AL$59</f>
        <v>1139710</v>
      </c>
      <c r="AM100" s="13" t="n">
        <f aca="false">AL$100+AM$68+AM$89+AM$59</f>
        <v>1139710</v>
      </c>
      <c r="AN100" s="13" t="n">
        <f aca="false">AM$100+AN$68+AN$89+AN$59</f>
        <v>1139710</v>
      </c>
      <c r="AO100" s="13" t="n">
        <f aca="false">AN$100+AO$68+AO$89+AO$59</f>
        <v>1139710</v>
      </c>
      <c r="AP100" s="13" t="n">
        <f aca="false">AO$100+AP$68+AP$89+AP$59</f>
        <v>1139710</v>
      </c>
      <c r="AQ100" s="13" t="n">
        <f aca="false">AP$100+AQ$68+AQ$89+AQ$59</f>
        <v>1139710</v>
      </c>
      <c r="AR100" s="13" t="n">
        <f aca="false">AQ$100+AR$68+AR$89+AR$59</f>
        <v>1139710</v>
      </c>
      <c r="AS100" s="13" t="n">
        <f aca="false">AR$100+AS$68+AS$89+AS$59</f>
        <v>1139710</v>
      </c>
      <c r="AT100" s="13" t="n">
        <f aca="false">AS$100+AT$68+AT$89+AT$59</f>
        <v>1139710</v>
      </c>
      <c r="AU100" s="13" t="n">
        <f aca="false">AT$100+AU$68+AU$89+AU$59</f>
        <v>1139710</v>
      </c>
      <c r="AV100" s="13" t="n">
        <f aca="false">AU$100+AV$68+AV$89+AV$59</f>
        <v>1139710</v>
      </c>
      <c r="AW100" s="13" t="n">
        <f aca="false">AV$100+AW$68+AW$89+AW$59</f>
        <v>1139710</v>
      </c>
      <c r="AX100" s="13" t="n">
        <f aca="false">AW$100+AX$68+AX$89+AX$59</f>
        <v>1139710</v>
      </c>
      <c r="AY100" s="13" t="n">
        <f aca="false">AX$100+AY$68+AY$89+AY$59</f>
        <v>1139710</v>
      </c>
      <c r="AZ100" s="13" t="n">
        <f aca="false">AY$100+AZ$68+AZ$89+AZ$59</f>
        <v>1139710</v>
      </c>
      <c r="BA100" s="13" t="n">
        <f aca="false">AZ$100+BA$68+BA$89+BA$59</f>
        <v>1139710</v>
      </c>
      <c r="BB100" s="13" t="n">
        <f aca="false">BA$100+BB$68+BB$89+BB$59</f>
        <v>1139710</v>
      </c>
      <c r="BC100" s="13" t="n">
        <f aca="false">BB$100+BC$68+BC$89+BC$59</f>
        <v>1139710</v>
      </c>
      <c r="BD100" s="13" t="n">
        <f aca="false">BC$100+BD$68+BD$89+BD$59</f>
        <v>1139710</v>
      </c>
      <c r="BE100" s="13" t="n">
        <f aca="false">BD$100+BE$68+BE$89+BE$59</f>
        <v>1139710</v>
      </c>
      <c r="BF100" s="13" t="n">
        <f aca="false">BE$100+BF$68+BF$89+BF$59</f>
        <v>1139710</v>
      </c>
      <c r="BG100" s="13" t="n">
        <f aca="false">BF$100+BG$68+BG$89+BG$59</f>
        <v>1139710</v>
      </c>
      <c r="BH100" s="13" t="n">
        <f aca="false">BG$100+BH$68+BH$89+BH$59</f>
        <v>1139710</v>
      </c>
      <c r="BI100" s="13" t="n">
        <f aca="false">BH$100+BI$68+BI$89+BI$59</f>
        <v>1139710</v>
      </c>
      <c r="BJ100" s="13" t="n">
        <f aca="false">BI$100+BJ$68+BJ$89+BJ$59</f>
        <v>1139710</v>
      </c>
      <c r="BK100" s="13" t="n">
        <f aca="false">BJ$100+BK$68+BK$89+BK$59</f>
        <v>1139710</v>
      </c>
      <c r="BL100" s="13" t="n">
        <f aca="false">BK$100+BL$68+BL$89+BL$59</f>
        <v>1139710</v>
      </c>
      <c r="BM100" s="13" t="n">
        <f aca="false">BL$100+BM$68+BM$89+BM$59</f>
        <v>1139710</v>
      </c>
      <c r="BN100" s="13" t="n">
        <f aca="false">BM$100+BN$68+BN$89+BN$59</f>
        <v>1139710</v>
      </c>
      <c r="BO100" s="13" t="n">
        <f aca="false">BN$100+BO$68+BO$89+BO$59</f>
        <v>1139710</v>
      </c>
      <c r="BP100" s="13" t="n">
        <f aca="false">BO$100+BP$68+BP$89+BP$59</f>
        <v>1139710</v>
      </c>
      <c r="BQ100" s="13" t="n">
        <f aca="false">BP$100+BQ$68+BQ$89+BQ$59</f>
        <v>1139710</v>
      </c>
      <c r="BR100" s="13" t="n">
        <f aca="false">BQ$100+BR$68+BR$89+BR$59</f>
        <v>1139710</v>
      </c>
      <c r="BS100" s="13" t="n">
        <f aca="false">BR$100+BS$68+BS$89+BS$59</f>
        <v>1139710</v>
      </c>
      <c r="BT100" s="13" t="n">
        <f aca="false">BS$100+BT$68+BT$89+BT$59</f>
        <v>1139710</v>
      </c>
      <c r="BU100" s="13" t="n">
        <f aca="false">BT$100+BU$68+BU$89+BU$59</f>
        <v>1139710</v>
      </c>
      <c r="BV100" s="13" t="n">
        <f aca="false">BU$100+BV$68+BV$89+BV$59</f>
        <v>1139710</v>
      </c>
      <c r="BW100" s="13" t="n">
        <f aca="false">BV$100+BW$68+BW$89+BW$59</f>
        <v>1139710</v>
      </c>
      <c r="BX100" s="13" t="n">
        <f aca="false">BW$100+BX$68+BX$89+BX$59</f>
        <v>1139710</v>
      </c>
      <c r="BY100" s="13" t="n">
        <f aca="false">BX$100+BY$68+BY$89+BY$59</f>
        <v>1139710</v>
      </c>
      <c r="BZ100" s="13" t="n">
        <f aca="false">BY$100+BZ$68+BZ$89+BZ$59</f>
        <v>1139710</v>
      </c>
      <c r="CA100" s="13" t="n">
        <f aca="false">BZ$100+CA$68+CA$89+CA$59</f>
        <v>1139710</v>
      </c>
      <c r="CB100" s="13" t="n">
        <f aca="false">CA$100+CB$68+CB$89+CB$59</f>
        <v>1139710</v>
      </c>
      <c r="CC100" s="13" t="n">
        <f aca="false">CB$100+CC$68+CC$89+CC$59</f>
        <v>1139710</v>
      </c>
      <c r="CD100" s="13" t="n">
        <f aca="false">CC$100+CD$68+CD$89+CD$59</f>
        <v>1139710</v>
      </c>
      <c r="CE100" s="13" t="n">
        <f aca="false">CD$100+CE$68+CE$89+CE$59</f>
        <v>1139710</v>
      </c>
      <c r="CF100" s="13" t="n">
        <f aca="false">CE$100+CF$68+CF$89+CF$59</f>
        <v>1139710</v>
      </c>
      <c r="CG100" s="13" t="n">
        <f aca="false">CF$100+CG$68+CG$89+CG$59</f>
        <v>1139710</v>
      </c>
      <c r="CH100" s="13" t="n">
        <f aca="false">CG$100+CH$68+CH$89+CH$59</f>
        <v>1139710</v>
      </c>
      <c r="CI100" s="13" t="n">
        <f aca="false">CH$100+CI$68+CI$89+CI$59</f>
        <v>1139710</v>
      </c>
      <c r="CJ100" s="13" t="n">
        <f aca="false">CI$100+CJ$68+CJ$89+CJ$59</f>
        <v>1139710</v>
      </c>
      <c r="CK100" s="13" t="n">
        <f aca="false">CJ$100+CK$68+CK$89+CK$59</f>
        <v>1139710</v>
      </c>
      <c r="CL100" s="13" t="n">
        <f aca="false">CK$100+CL$68+CL$89+CL$59</f>
        <v>1139710</v>
      </c>
      <c r="CM100" s="13" t="n">
        <f aca="false">CL$100+CM$68+CM$89+CM$59</f>
        <v>1139710</v>
      </c>
      <c r="CN100" s="13" t="n">
        <f aca="false">CM$100+CN$68+CN$89+CN$59</f>
        <v>1139710</v>
      </c>
      <c r="CO100" s="13" t="n">
        <f aca="false">CN$100+CO$68+CO$89+CO$59</f>
        <v>1139710</v>
      </c>
      <c r="CP100" s="13" t="n">
        <f aca="false">CO$100+CP$68+CP$89+CP$59</f>
        <v>1139710</v>
      </c>
      <c r="CQ100" s="13" t="n">
        <f aca="false">CP$100+CQ$68+CQ$89+CQ$59</f>
        <v>1139710</v>
      </c>
      <c r="CR100" s="13" t="n">
        <f aca="false">CQ$100+CR$68+CR$89+CR$59</f>
        <v>1139710</v>
      </c>
      <c r="CS100" s="13" t="n">
        <f aca="false">CR$100+CS$68+CS$89+CS$59</f>
        <v>1139710</v>
      </c>
      <c r="CT100" s="13" t="n">
        <f aca="false">CS$100+CT$68+CT$89+CT$59</f>
        <v>1139710</v>
      </c>
      <c r="CU100" s="13" t="n">
        <f aca="false">CT$100+CU$68+CU$89+CU$59</f>
        <v>1139710</v>
      </c>
      <c r="CV100" s="13" t="n">
        <f aca="false">CU$100+CV$68+CV$89+CV$59</f>
        <v>1139710</v>
      </c>
      <c r="CW100" s="13" t="n">
        <f aca="false">CV$100+CW$68+CW$89+CW$59</f>
        <v>1139710</v>
      </c>
      <c r="CX100" s="13" t="n">
        <f aca="false">CW$100+CX$68+CX$89+CX$59</f>
        <v>1139710</v>
      </c>
      <c r="CY100" s="13" t="n">
        <f aca="false">CX$100+CY$68+CY$89+CY$59</f>
        <v>1139710</v>
      </c>
      <c r="CZ100" s="13" t="n">
        <f aca="false">CY$100+CZ$68+CZ$89+CZ$59</f>
        <v>1139710</v>
      </c>
      <c r="DA100" s="13" t="n">
        <f aca="false">CZ$100+DA$68+DA$89+DA$59</f>
        <v>1139710</v>
      </c>
      <c r="DB100" s="13" t="n">
        <f aca="false">DA$100+DB$68+DB$89+DB$59</f>
        <v>1139710</v>
      </c>
      <c r="DC100" s="13" t="n">
        <f aca="false">DB$100+DC$68+DC$89+DC$59</f>
        <v>1139710</v>
      </c>
      <c r="DD100" s="13" t="n">
        <f aca="false">DC$100+DD$68+DD$89+DD$59</f>
        <v>1139710</v>
      </c>
      <c r="DE100" s="13" t="n">
        <f aca="false">DD$100+DE$68+DE$89+DE$59</f>
        <v>1139710</v>
      </c>
      <c r="DF100" s="13" t="n">
        <f aca="false">DE$100+DF$68+DF$89+DF$59</f>
        <v>1139710</v>
      </c>
      <c r="DG100" s="13" t="n">
        <f aca="false">DF$100+DG$68+DG$89+DG$59</f>
        <v>1139710</v>
      </c>
      <c r="DH100" s="13" t="n">
        <f aca="false">DG$100+DH$68+DH$89+DH$59</f>
        <v>1139710</v>
      </c>
      <c r="DI100" s="13" t="n">
        <f aca="false">DH$100+DI$68+DI$89+DI$59</f>
        <v>1139710</v>
      </c>
      <c r="DJ100" s="13" t="n">
        <f aca="false">DI$100+DJ$68+DJ$89+DJ$59</f>
        <v>1139710</v>
      </c>
      <c r="DK100" s="13" t="n">
        <f aca="false">DJ$100+DK$68+DK$89+DK$59</f>
        <v>1139710</v>
      </c>
      <c r="DL100" s="13" t="n">
        <f aca="false">DK$100+DL$68+DL$89+DL$59</f>
        <v>1139710</v>
      </c>
      <c r="DM100" s="13" t="n">
        <f aca="false">DL$100+DM$68+DM$89+DM$59</f>
        <v>1139710</v>
      </c>
      <c r="DN100" s="13" t="n">
        <f aca="false">DM$100+DN$68+DN$89+DN$59</f>
        <v>1139710</v>
      </c>
      <c r="DO100" s="13" t="n">
        <f aca="false">DN$100+DO$68+DO$89+DO$59</f>
        <v>1139710</v>
      </c>
      <c r="DP100" s="13" t="n">
        <f aca="false">DO$100+DP$68+DP$89+DP$59</f>
        <v>1139710</v>
      </c>
      <c r="DQ100" s="13" t="n">
        <f aca="false">DP$100+DQ$68+DQ$89+DQ$59</f>
        <v>1139710</v>
      </c>
      <c r="DR100" s="13" t="n">
        <f aca="false">DQ$100+DR$68+DR$89+DR$59</f>
        <v>1139710</v>
      </c>
      <c r="DS100" s="13" t="n">
        <f aca="false">DR$100+DS$68+DS$89+DS$59</f>
        <v>1139710</v>
      </c>
      <c r="DT100" s="13" t="n">
        <f aca="false">DS$100+DT$68+DT$89+DT$59</f>
        <v>1139710</v>
      </c>
      <c r="DU100" s="13" t="n">
        <f aca="false">DT$100+DU$68+DU$89+DU$59</f>
        <v>1139710</v>
      </c>
      <c r="DV100" s="13" t="n">
        <f aca="false">DU$100+DV$68+DV$89+DV$59</f>
        <v>1139710</v>
      </c>
      <c r="DW100" s="13" t="n">
        <f aca="false">DV$100+DW$68+DW$89+DW$59</f>
        <v>1139710</v>
      </c>
      <c r="DX100" s="13" t="n">
        <f aca="false">DW$100+DX$68+DX$89+DX$59</f>
        <v>1139710</v>
      </c>
      <c r="DY100" s="13" t="n">
        <f aca="false">DX$100+DY$68+DY$89+DY$59</f>
        <v>1139710</v>
      </c>
      <c r="DZ100" s="13" t="n">
        <f aca="false">DY$100+DZ$68+DZ$89+DZ$59</f>
        <v>1139710</v>
      </c>
      <c r="EA100" s="13" t="n">
        <f aca="false">DZ$100+EA$68+EA$89+EA$59</f>
        <v>1139710</v>
      </c>
      <c r="EB100" s="13" t="n">
        <f aca="false">EA$100+EB$68+EB$89+EB$59</f>
        <v>1139710</v>
      </c>
      <c r="EC100" s="13" t="n">
        <f aca="false">EB$100+EC$68+EC$89+EC$59</f>
        <v>1139710</v>
      </c>
      <c r="ED100" s="13" t="n">
        <f aca="false">EC$100+ED$68+ED$89+ED$59</f>
        <v>1139710</v>
      </c>
      <c r="EE100" s="13" t="n">
        <f aca="false">ED$100+EE$68+EE$89+EE$59</f>
        <v>1139710</v>
      </c>
      <c r="EF100" s="13" t="n">
        <f aca="false">EE$100+EF$68+EF$89+EF$59</f>
        <v>1139710</v>
      </c>
      <c r="EG100" s="13" t="n">
        <f aca="false">EF$100+EG$68+EG$89+EG$59</f>
        <v>1139710</v>
      </c>
      <c r="EH100" s="13" t="n">
        <f aca="false">EG$100+EH$68+EH$89+EH$59</f>
        <v>1139710</v>
      </c>
      <c r="EI100" s="13" t="n">
        <f aca="false">EH$100+EI$68+EI$89+EI$59</f>
        <v>1139710</v>
      </c>
      <c r="EJ100" s="13" t="n">
        <f aca="false">EI$100+EJ$68+EJ$89+EJ$59</f>
        <v>1139710</v>
      </c>
      <c r="EK100" s="13" t="n">
        <f aca="false">EJ$100+EK$68+EK$89+EK$59</f>
        <v>1139710</v>
      </c>
      <c r="EL100" s="13" t="n">
        <f aca="false">EK$100+EL$68+EL$89+EL$59</f>
        <v>1139710</v>
      </c>
      <c r="EM100" s="13" t="n">
        <f aca="false">EL$100+EM$68+EM$89+EM$59</f>
        <v>1139710</v>
      </c>
      <c r="EN100" s="13" t="n">
        <f aca="false">EM$100+EN$68+EN$89+EN$59</f>
        <v>1139710</v>
      </c>
      <c r="EO100" s="13" t="n">
        <f aca="false">EN$100+EO$68+EO$89+EO$59</f>
        <v>1139710</v>
      </c>
      <c r="EP100" s="13" t="n">
        <f aca="false">EO$100+EP$68+EP$89+EP$59</f>
        <v>1139710</v>
      </c>
      <c r="EQ100" s="13" t="n">
        <f aca="false">EP$100+EQ$68+EQ$89+EQ$59</f>
        <v>1139710</v>
      </c>
      <c r="ER100" s="13" t="n">
        <f aca="false">EQ$100+ER$68+ER$89+ER$59</f>
        <v>1139710</v>
      </c>
      <c r="ES100" s="13" t="n">
        <f aca="false">ER$100+ES$68+ES$89+ES$59</f>
        <v>1139710</v>
      </c>
      <c r="ET100" s="13" t="n">
        <f aca="false">ES$100+ET$68+ET$89+ET$59</f>
        <v>1139710</v>
      </c>
      <c r="EU100" s="13" t="n">
        <f aca="false">ET$100+EU$68+EU$89+EU$59</f>
        <v>1139710</v>
      </c>
      <c r="EV100" s="13" t="n">
        <f aca="false">EU$100+EV$68+EV$89+EV$59</f>
        <v>1139710</v>
      </c>
      <c r="EW100" s="13" t="n">
        <f aca="false">EV$100+EW$68+EW$89+EW$59</f>
        <v>1139710</v>
      </c>
      <c r="EX100" s="13" t="n">
        <f aca="false">EW$100+EX$68+EX$89+EX$59</f>
        <v>1139710</v>
      </c>
      <c r="EY100" s="13" t="n">
        <f aca="false">EX$100+EY$68+EY$89+EY$59</f>
        <v>1139710</v>
      </c>
      <c r="EZ100" s="13" t="n">
        <f aca="false">EY$100+EZ$68+EZ$89+EZ$59</f>
        <v>1139710</v>
      </c>
      <c r="FA100" s="13" t="n">
        <f aca="false">EZ$100+FA$68+FA$89+FA$59</f>
        <v>1139710</v>
      </c>
      <c r="FB100" s="13" t="n">
        <f aca="false">FA$100+FB$68+FB$89+FB$59</f>
        <v>1139710</v>
      </c>
      <c r="FC100" s="13" t="n">
        <f aca="false">FB$100+FC$68+FC$89+FC$59</f>
        <v>1139710</v>
      </c>
      <c r="FD100" s="13" t="n">
        <f aca="false">FC$100+FD$68+FD$89+FD$59</f>
        <v>1139710</v>
      </c>
      <c r="FE100" s="13" t="n">
        <f aca="false">FD$100+FE$68+FE$89+FE$59</f>
        <v>1139710</v>
      </c>
      <c r="FF100" s="13" t="n">
        <f aca="false">FE$100+FF$68+FF$89+FF$59</f>
        <v>1139710</v>
      </c>
    </row>
    <row r="101" customFormat="false" ht="15" hidden="false" customHeight="false" outlineLevel="0" collapsed="false">
      <c r="A101" s="2" t="s">
        <v>1610</v>
      </c>
      <c r="B101" s="8" t="s">
        <v>1611</v>
      </c>
      <c r="C101" s="8" t="s">
        <v>255</v>
      </c>
      <c r="E101" s="65" t="n">
        <f aca="false">INDEX($F101:$FF101,1,p_MesFin+1)</f>
        <v>14759841.6312133</v>
      </c>
      <c r="F101" s="13" t="n">
        <f aca="false">0+F$47</f>
        <v>0</v>
      </c>
      <c r="G101" s="13" t="n">
        <f aca="false">F$101+G$47</f>
        <v>23662.7899809864</v>
      </c>
      <c r="H101" s="13" t="n">
        <f aca="false">G$101+H$47</f>
        <v>41863.3077326571</v>
      </c>
      <c r="I101" s="13" t="n">
        <f aca="false">H$101+I$47</f>
        <v>55364.1976526921</v>
      </c>
      <c r="J101" s="13" t="n">
        <f aca="false">I$101+J$47</f>
        <v>68865.0875727271</v>
      </c>
      <c r="K101" s="13" t="n">
        <f aca="false">J$101+K$47</f>
        <v>82365.9774927621</v>
      </c>
      <c r="L101" s="13" t="n">
        <f aca="false">K$101+L$47</f>
        <v>95866.8674127971</v>
      </c>
      <c r="M101" s="13" t="n">
        <f aca="false">L$101+M$47</f>
        <v>109367.757332832</v>
      </c>
      <c r="N101" s="13" t="n">
        <f aca="false">M$101+N$47</f>
        <v>123216.164511648</v>
      </c>
      <c r="O101" s="13" t="n">
        <f aca="false">N$101+O$47</f>
        <v>137414.695328686</v>
      </c>
      <c r="P101" s="13" t="n">
        <f aca="false">O$101+P$47</f>
        <v>151965.975711233</v>
      </c>
      <c r="Q101" s="13" t="n">
        <f aca="false">P$101+Q$47</f>
        <v>166872.65128103</v>
      </c>
      <c r="R101" s="13" t="n">
        <f aca="false">Q$101+R$47</f>
        <v>184124.280857872</v>
      </c>
      <c r="S101" s="13" t="n">
        <f aca="false">R$101+S$47</f>
        <v>234401.66957098</v>
      </c>
      <c r="T101" s="13" t="n">
        <f aca="false">S$101+T$47</f>
        <v>287556.172766469</v>
      </c>
      <c r="U101" s="13" t="n">
        <f aca="false">T$101+U$47</f>
        <v>341076.853551556</v>
      </c>
      <c r="V101" s="13" t="n">
        <f aca="false">U$101+V$47</f>
        <v>394966.458258161</v>
      </c>
      <c r="W101" s="13" t="n">
        <f aca="false">V$101+W$47</f>
        <v>449227.753815697</v>
      </c>
      <c r="X101" s="13" t="n">
        <f aca="false">W$101+X$47</f>
        <v>503863.527905546</v>
      </c>
      <c r="Y101" s="13" t="n">
        <f aca="false">X$101+Y$47</f>
        <v>558876.589116699</v>
      </c>
      <c r="Z101" s="13" t="n">
        <f aca="false">Y$101+Z$47</f>
        <v>614269.767102567</v>
      </c>
      <c r="AA101" s="13" t="n">
        <f aca="false">Z$101+AA$47</f>
        <v>670045.912738959</v>
      </c>
      <c r="AB101" s="13" t="n">
        <f aca="false">AA$101+AB$47</f>
        <v>726207.898283256</v>
      </c>
      <c r="AC101" s="13" t="n">
        <f aca="false">AB$101+AC$47</f>
        <v>782758.617534766</v>
      </c>
      <c r="AD101" s="13" t="n">
        <f aca="false">AC$101+AD$47</f>
        <v>841087.381782882</v>
      </c>
      <c r="AE101" s="13" t="n">
        <f aca="false">AD$101+AE$47</f>
        <v>934093.056163328</v>
      </c>
      <c r="AF101" s="13" t="n">
        <f aca="false">AE$101+AF$47</f>
        <v>1028417.22481657</v>
      </c>
      <c r="AG101" s="13" t="n">
        <f aca="false">AF$101+AG$47</f>
        <v>1123141.92104308</v>
      </c>
      <c r="AH101" s="13" t="n">
        <f aca="false">AG$101+AH$47</f>
        <v>1218270.14879967</v>
      </c>
      <c r="AI101" s="13" t="n">
        <f aca="false">AH$101+AI$47</f>
        <v>1313804.9345728</v>
      </c>
      <c r="AJ101" s="13" t="n">
        <f aca="false">AI$101+AJ$47</f>
        <v>1409749.32754761</v>
      </c>
      <c r="AK101" s="13" t="n">
        <f aca="false">AJ$101+AK$47</f>
        <v>1506106.39977811</v>
      </c>
      <c r="AL101" s="13" t="n">
        <f aca="false">AK$101+AL$47</f>
        <v>1602879.2463587</v>
      </c>
      <c r="AM101" s="13" t="n">
        <f aca="false">AL$101+AM$47</f>
        <v>1700070.98559703</v>
      </c>
      <c r="AN101" s="13" t="n">
        <f aca="false">AM$101+AN$47</f>
        <v>1797684.75918802</v>
      </c>
      <c r="AO101" s="13" t="n">
        <f aca="false">AN$101+AO$47</f>
        <v>1895723.73238932</v>
      </c>
      <c r="AP101" s="13" t="n">
        <f aca="false">AO$101+AP$47</f>
        <v>1995107.42473553</v>
      </c>
      <c r="AQ101" s="13" t="n">
        <f aca="false">AP$101+AQ$47</f>
        <v>2126500.24913368</v>
      </c>
      <c r="AR101" s="13" t="n">
        <f aca="false">AQ$101+AR$47</f>
        <v>2258644.70035245</v>
      </c>
      <c r="AS101" s="13" t="n">
        <f aca="false">AR$101+AS$47</f>
        <v>2391227.25139356</v>
      </c>
      <c r="AT101" s="13" t="n">
        <f aca="false">AS$101+AT$47</f>
        <v>2524251.1880057</v>
      </c>
      <c r="AU101" s="13" t="n">
        <f aca="false">AT$101+AU$47</f>
        <v>2657719.82058064</v>
      </c>
      <c r="AV101" s="13" t="n">
        <f aca="false">AU$101+AV$47</f>
        <v>2791636.4843381</v>
      </c>
      <c r="AW101" s="13" t="n">
        <f aca="false">AV$101+AW$47</f>
        <v>2926004.53951197</v>
      </c>
      <c r="AX101" s="13" t="n">
        <f aca="false">AW$101+AX$47</f>
        <v>3060827.37153785</v>
      </c>
      <c r="AY101" s="13" t="n">
        <f aca="false">AX$101+AY$47</f>
        <v>3196108.39124213</v>
      </c>
      <c r="AZ101" s="13" t="n">
        <f aca="false">AY$101+AZ$47</f>
        <v>3331851.03503242</v>
      </c>
      <c r="BA101" s="13" t="n">
        <f aca="false">AZ$101+BA$47</f>
        <v>3468058.76508934</v>
      </c>
      <c r="BB101" s="13" t="n">
        <f aca="false">BA$101+BB$47</f>
        <v>3604735.0695599</v>
      </c>
      <c r="BC101" s="13" t="n">
        <f aca="false">BB$101+BC$47</f>
        <v>3744850.78295468</v>
      </c>
      <c r="BD101" s="13" t="n">
        <f aca="false">BC$101+BD$47</f>
        <v>3883797.57274766</v>
      </c>
      <c r="BE101" s="13" t="n">
        <f aca="false">BD$101+BE$47</f>
        <v>4023223.55914819</v>
      </c>
      <c r="BF101" s="13" t="n">
        <f aca="false">BE$101+BF$47</f>
        <v>4163132.33613084</v>
      </c>
      <c r="BG101" s="13" t="n">
        <f aca="false">BF$101+BG$47</f>
        <v>4303527.52462498</v>
      </c>
      <c r="BH101" s="13" t="n">
        <f aca="false">BG$101+BH$47</f>
        <v>4444412.77271693</v>
      </c>
      <c r="BI101" s="13" t="n">
        <f aca="false">BH$101+BI$47</f>
        <v>4585791.75585368</v>
      </c>
      <c r="BJ101" s="13" t="n">
        <f aca="false">BI$101+BJ$47</f>
        <v>4727668.17704807</v>
      </c>
      <c r="BK101" s="13" t="n">
        <f aca="false">BJ$101+BK$47</f>
        <v>4870045.76708553</v>
      </c>
      <c r="BL101" s="13" t="n">
        <f aca="false">BK$101+BL$47</f>
        <v>5012928.28473239</v>
      </c>
      <c r="BM101" s="13" t="n">
        <f aca="false">BL$101+BM$47</f>
        <v>5156319.51694571</v>
      </c>
      <c r="BN101" s="13" t="n">
        <f aca="false">BM$101+BN$47</f>
        <v>5300223.27908474</v>
      </c>
      <c r="BO101" s="13" t="n">
        <f aca="false">BN$101+BO$47</f>
        <v>5450544.15968116</v>
      </c>
      <c r="BP101" s="13" t="n">
        <f aca="false">BO$101+BP$47</f>
        <v>5600070.49161647</v>
      </c>
      <c r="BQ101" s="13" t="n">
        <f aca="false">BP$101+BQ$47</f>
        <v>5749596.82355177</v>
      </c>
      <c r="BR101" s="13" t="n">
        <f aca="false">BQ$101+BR$47</f>
        <v>5899123.15548708</v>
      </c>
      <c r="BS101" s="13" t="n">
        <f aca="false">BR$101+BS$47</f>
        <v>6048649.48742239</v>
      </c>
      <c r="BT101" s="13" t="n">
        <f aca="false">BS$101+BT$47</f>
        <v>6198175.81935769</v>
      </c>
      <c r="BU101" s="13" t="n">
        <f aca="false">BT$101+BU$47</f>
        <v>6347702.151293</v>
      </c>
      <c r="BV101" s="13" t="n">
        <f aca="false">BU$101+BV$47</f>
        <v>6497228.48322831</v>
      </c>
      <c r="BW101" s="13" t="n">
        <f aca="false">BV$101+BW$47</f>
        <v>6646754.81516361</v>
      </c>
      <c r="BX101" s="13" t="n">
        <f aca="false">BW$101+BX$47</f>
        <v>6796281.14709892</v>
      </c>
      <c r="BY101" s="13" t="n">
        <f aca="false">BX$101+BY$47</f>
        <v>6945807.47903423</v>
      </c>
      <c r="BZ101" s="13" t="n">
        <f aca="false">BY$101+BZ$47</f>
        <v>7095333.81096954</v>
      </c>
      <c r="CA101" s="13" t="n">
        <f aca="false">BZ$101+CA$47</f>
        <v>7249783.46609475</v>
      </c>
      <c r="CB101" s="13" t="n">
        <f aca="false">CA$101+CB$47</f>
        <v>7403430.78985579</v>
      </c>
      <c r="CC101" s="13" t="n">
        <f aca="false">CB$101+CC$47</f>
        <v>7557078.11361683</v>
      </c>
      <c r="CD101" s="13" t="n">
        <f aca="false">CC$101+CD$47</f>
        <v>7710725.43737788</v>
      </c>
      <c r="CE101" s="13" t="n">
        <f aca="false">CD$101+CE$47</f>
        <v>7864372.76113892</v>
      </c>
      <c r="CF101" s="13" t="n">
        <f aca="false">CE$101+CF$47</f>
        <v>8018020.08489997</v>
      </c>
      <c r="CG101" s="13" t="n">
        <f aca="false">CF$101+CG$47</f>
        <v>8171667.40866101</v>
      </c>
      <c r="CH101" s="13" t="n">
        <f aca="false">CG$101+CH$47</f>
        <v>8325314.73242205</v>
      </c>
      <c r="CI101" s="13" t="n">
        <f aca="false">CH$101+CI$47</f>
        <v>8478962.0561831</v>
      </c>
      <c r="CJ101" s="13" t="n">
        <f aca="false">CI$101+CJ$47</f>
        <v>8632609.37994414</v>
      </c>
      <c r="CK101" s="13" t="n">
        <f aca="false">CJ$101+CK$47</f>
        <v>8786256.70370519</v>
      </c>
      <c r="CL101" s="13" t="n">
        <f aca="false">CK$101+CL$47</f>
        <v>8939904.02746623</v>
      </c>
      <c r="CM101" s="13" t="n">
        <f aca="false">CL$101+CM$47</f>
        <v>9098511.89831526</v>
      </c>
      <c r="CN101" s="13" t="n">
        <f aca="false">CM$101+CN$47</f>
        <v>9256309.57727003</v>
      </c>
      <c r="CO101" s="13" t="n">
        <f aca="false">CN$101+CO$47</f>
        <v>9414107.25622481</v>
      </c>
      <c r="CP101" s="13" t="n">
        <f aca="false">CO$101+CP$47</f>
        <v>9571904.93517959</v>
      </c>
      <c r="CQ101" s="13" t="n">
        <f aca="false">CP$101+CQ$47</f>
        <v>9729702.61413437</v>
      </c>
      <c r="CR101" s="13" t="n">
        <f aca="false">CQ$101+CR$47</f>
        <v>9887500.29308915</v>
      </c>
      <c r="CS101" s="13" t="n">
        <f aca="false">CR$101+CS$47</f>
        <v>10045297.9720439</v>
      </c>
      <c r="CT101" s="13" t="n">
        <f aca="false">CS$101+CT$47</f>
        <v>10203095.6509987</v>
      </c>
      <c r="CU101" s="13" t="n">
        <f aca="false">CT$101+CU$47</f>
        <v>10360893.3299535</v>
      </c>
      <c r="CV101" s="13" t="n">
        <f aca="false">CU$101+CV$47</f>
        <v>10518691.0089083</v>
      </c>
      <c r="CW101" s="13" t="n">
        <f aca="false">CV$101+CW$47</f>
        <v>10676488.687863</v>
      </c>
      <c r="CX101" s="13" t="n">
        <f aca="false">CW$101+CX$47</f>
        <v>10834286.3668178</v>
      </c>
      <c r="CY101" s="13" t="n">
        <f aca="false">CX$101+CY$47</f>
        <v>10997081.8180044</v>
      </c>
      <c r="CZ101" s="13" t="n">
        <f aca="false">CY$101+CZ$47</f>
        <v>11159059.1381614</v>
      </c>
      <c r="DA101" s="13" t="n">
        <f aca="false">CZ$101+DA$47</f>
        <v>11321036.4583184</v>
      </c>
      <c r="DB101" s="13" t="n">
        <f aca="false">DA$101+DB$47</f>
        <v>11483013.7784754</v>
      </c>
      <c r="DC101" s="13" t="n">
        <f aca="false">DB$101+DC$47</f>
        <v>11644991.0986324</v>
      </c>
      <c r="DD101" s="13" t="n">
        <f aca="false">DC$101+DD$47</f>
        <v>11806968.4187893</v>
      </c>
      <c r="DE101" s="13" t="n">
        <f aca="false">DD$101+DE$47</f>
        <v>11968945.7389463</v>
      </c>
      <c r="DF101" s="13" t="n">
        <f aca="false">DE$101+DF$47</f>
        <v>12130923.0591033</v>
      </c>
      <c r="DG101" s="13" t="n">
        <f aca="false">DF$101+DG$47</f>
        <v>12292900.3792603</v>
      </c>
      <c r="DH101" s="13" t="n">
        <f aca="false">DG$101+DH$47</f>
        <v>12454877.6994173</v>
      </c>
      <c r="DI101" s="13" t="n">
        <f aca="false">DH$101+DI$47</f>
        <v>12616855.0195742</v>
      </c>
      <c r="DJ101" s="13" t="n">
        <f aca="false">DI$101+DJ$47</f>
        <v>12778832.3397312</v>
      </c>
      <c r="DK101" s="13" t="n">
        <f aca="false">DJ$101+DK$47</f>
        <v>12945844.6473923</v>
      </c>
      <c r="DL101" s="13" t="n">
        <f aca="false">DK$101+DL$47</f>
        <v>13112030.8054971</v>
      </c>
      <c r="DM101" s="13" t="n">
        <f aca="false">DL$101+DM$47</f>
        <v>13278216.9636018</v>
      </c>
      <c r="DN101" s="13" t="n">
        <f aca="false">DM$101+DN$47</f>
        <v>13444403.1217065</v>
      </c>
      <c r="DO101" s="13" t="n">
        <f aca="false">DN$101+DO$47</f>
        <v>13610589.2798113</v>
      </c>
      <c r="DP101" s="13" t="n">
        <f aca="false">DO$101+DP$47</f>
        <v>13776775.437916</v>
      </c>
      <c r="DQ101" s="13" t="n">
        <f aca="false">DP$101+DQ$47</f>
        <v>13942961.5960207</v>
      </c>
      <c r="DR101" s="13" t="n">
        <f aca="false">DQ$101+DR$47</f>
        <v>14109147.7541255</v>
      </c>
      <c r="DS101" s="13" t="n">
        <f aca="false">DR$101+DS$47</f>
        <v>14275333.9122302</v>
      </c>
      <c r="DT101" s="13" t="n">
        <f aca="false">DS$101+DT$47</f>
        <v>14441520.070335</v>
      </c>
      <c r="DU101" s="13" t="n">
        <f aca="false">DT$101+DU$47</f>
        <v>14607706.2284397</v>
      </c>
      <c r="DV101" s="13" t="n">
        <f aca="false">DU$101+DV$47</f>
        <v>14759841.6312133</v>
      </c>
      <c r="DW101" s="13" t="n">
        <f aca="false">DV$101+DW$47</f>
        <v>14759841.6312133</v>
      </c>
      <c r="DX101" s="13" t="n">
        <f aca="false">DW$101+DX$47</f>
        <v>14759841.6312133</v>
      </c>
      <c r="DY101" s="13" t="n">
        <f aca="false">DX$101+DY$47</f>
        <v>14759841.6312133</v>
      </c>
      <c r="DZ101" s="13" t="n">
        <f aca="false">DY$101+DZ$47</f>
        <v>14759841.6312133</v>
      </c>
      <c r="EA101" s="13" t="n">
        <f aca="false">DZ$101+EA$47</f>
        <v>14759841.6312133</v>
      </c>
      <c r="EB101" s="13" t="n">
        <f aca="false">EA$101+EB$47</f>
        <v>14759841.6312133</v>
      </c>
      <c r="EC101" s="13" t="n">
        <f aca="false">EB$101+EC$47</f>
        <v>14759841.6312133</v>
      </c>
      <c r="ED101" s="13" t="n">
        <f aca="false">EC$101+ED$47</f>
        <v>14759841.6312133</v>
      </c>
      <c r="EE101" s="13" t="n">
        <f aca="false">ED$101+EE$47</f>
        <v>14759841.6312133</v>
      </c>
      <c r="EF101" s="13" t="n">
        <f aca="false">EE$101+EF$47</f>
        <v>14759841.6312133</v>
      </c>
      <c r="EG101" s="13" t="n">
        <f aca="false">EF$101+EG$47</f>
        <v>14759841.6312133</v>
      </c>
      <c r="EH101" s="13" t="n">
        <f aca="false">EG$101+EH$47</f>
        <v>14759841.6312133</v>
      </c>
      <c r="EI101" s="13" t="n">
        <f aca="false">EH$101+EI$47</f>
        <v>14759841.6312133</v>
      </c>
      <c r="EJ101" s="13" t="n">
        <f aca="false">EI$101+EJ$47</f>
        <v>14759841.6312133</v>
      </c>
      <c r="EK101" s="13" t="n">
        <f aca="false">EJ$101+EK$47</f>
        <v>14759841.6312133</v>
      </c>
      <c r="EL101" s="13" t="n">
        <f aca="false">EK$101+EL$47</f>
        <v>14759841.6312133</v>
      </c>
      <c r="EM101" s="13" t="n">
        <f aca="false">EL$101+EM$47</f>
        <v>14759841.6312133</v>
      </c>
      <c r="EN101" s="13" t="n">
        <f aca="false">EM$101+EN$47</f>
        <v>14759841.6312133</v>
      </c>
      <c r="EO101" s="13" t="n">
        <f aca="false">EN$101+EO$47</f>
        <v>14759841.6312133</v>
      </c>
      <c r="EP101" s="13" t="n">
        <f aca="false">EO$101+EP$47</f>
        <v>14759841.6312133</v>
      </c>
      <c r="EQ101" s="13" t="n">
        <f aca="false">EP$101+EQ$47</f>
        <v>14759841.6312133</v>
      </c>
      <c r="ER101" s="13" t="n">
        <f aca="false">EQ$101+ER$47</f>
        <v>14759841.6312133</v>
      </c>
      <c r="ES101" s="13" t="n">
        <f aca="false">ER$101+ES$47</f>
        <v>14759841.6312133</v>
      </c>
      <c r="ET101" s="13" t="n">
        <f aca="false">ES$101+ET$47</f>
        <v>14759841.6312133</v>
      </c>
      <c r="EU101" s="13" t="n">
        <f aca="false">ET$101+EU$47</f>
        <v>14759841.6312133</v>
      </c>
      <c r="EV101" s="13" t="n">
        <f aca="false">EU$101+EV$47</f>
        <v>14759841.6312133</v>
      </c>
      <c r="EW101" s="13" t="n">
        <f aca="false">EV$101+EW$47</f>
        <v>14759841.6312133</v>
      </c>
      <c r="EX101" s="13" t="n">
        <f aca="false">EW$101+EX$47</f>
        <v>14759841.6312133</v>
      </c>
      <c r="EY101" s="13" t="n">
        <f aca="false">EX$101+EY$47</f>
        <v>14759841.6312133</v>
      </c>
      <c r="EZ101" s="13" t="n">
        <f aca="false">EY$101+EZ$47</f>
        <v>14759841.6312133</v>
      </c>
      <c r="FA101" s="13" t="n">
        <f aca="false">EZ$101+FA$47</f>
        <v>14759841.6312133</v>
      </c>
      <c r="FB101" s="13" t="n">
        <f aca="false">FA$101+FB$47</f>
        <v>14759841.6312133</v>
      </c>
      <c r="FC101" s="13" t="n">
        <f aca="false">FB$101+FC$47</f>
        <v>14759841.6312133</v>
      </c>
      <c r="FD101" s="13" t="n">
        <f aca="false">FC$101+FD$47</f>
        <v>14759841.6312133</v>
      </c>
      <c r="FE101" s="13" t="n">
        <f aca="false">FD$101+FE$47</f>
        <v>14759841.6312133</v>
      </c>
      <c r="FF101" s="13" t="n">
        <f aca="false">FE$101+FF$47</f>
        <v>14759841.6312133</v>
      </c>
    </row>
    <row r="102" customFormat="false" ht="15" hidden="false" customHeight="false" outlineLevel="0" collapsed="false">
      <c r="A102" s="2" t="s">
        <v>1612</v>
      </c>
      <c r="B102" s="8" t="s">
        <v>1613</v>
      </c>
      <c r="C102" s="8" t="s">
        <v>255</v>
      </c>
      <c r="E102" s="65" t="n">
        <f aca="false">INDEX($F102:$FF102,1,p_MesFin+1)</f>
        <v>12306126.3969513</v>
      </c>
      <c r="F102" s="13" t="n">
        <f aca="false">0+F$78</f>
        <v>0</v>
      </c>
      <c r="G102" s="13" t="n">
        <f aca="false">F$102+G$78</f>
        <v>0</v>
      </c>
      <c r="H102" s="13" t="n">
        <f aca="false">G$102+H$78</f>
        <v>0</v>
      </c>
      <c r="I102" s="13" t="n">
        <f aca="false">H$102+I$78</f>
        <v>0</v>
      </c>
      <c r="J102" s="13" t="n">
        <f aca="false">I$102+J$78</f>
        <v>0</v>
      </c>
      <c r="K102" s="13" t="n">
        <f aca="false">J$102+K$78</f>
        <v>0</v>
      </c>
      <c r="L102" s="13" t="n">
        <f aca="false">K$102+L$78</f>
        <v>0</v>
      </c>
      <c r="M102" s="13" t="n">
        <f aca="false">L$102+M$78</f>
        <v>0</v>
      </c>
      <c r="N102" s="13" t="n">
        <f aca="false">M$102+N$78</f>
        <v>0</v>
      </c>
      <c r="O102" s="13" t="n">
        <f aca="false">N$102+O$78</f>
        <v>0</v>
      </c>
      <c r="P102" s="13" t="n">
        <f aca="false">O$102+P$78</f>
        <v>0</v>
      </c>
      <c r="Q102" s="13" t="n">
        <f aca="false">P$102+Q$78</f>
        <v>0</v>
      </c>
      <c r="R102" s="13" t="n">
        <f aca="false">Q$102+R$78</f>
        <v>0</v>
      </c>
      <c r="S102" s="13" t="n">
        <f aca="false">R$102+S$78</f>
        <v>0</v>
      </c>
      <c r="T102" s="13" t="n">
        <f aca="false">S$102+T$78</f>
        <v>0</v>
      </c>
      <c r="U102" s="13" t="n">
        <f aca="false">T$102+U$78</f>
        <v>0</v>
      </c>
      <c r="V102" s="13" t="n">
        <f aca="false">U$102+V$78</f>
        <v>0</v>
      </c>
      <c r="W102" s="13" t="n">
        <f aca="false">V$102+W$78</f>
        <v>0</v>
      </c>
      <c r="X102" s="13" t="n">
        <f aca="false">W$102+X$78</f>
        <v>0</v>
      </c>
      <c r="Y102" s="13" t="n">
        <f aca="false">X$102+Y$78</f>
        <v>0</v>
      </c>
      <c r="Z102" s="13" t="n">
        <f aca="false">Y$102+Z$78</f>
        <v>0</v>
      </c>
      <c r="AA102" s="13" t="n">
        <f aca="false">Z$102+AA$78</f>
        <v>0</v>
      </c>
      <c r="AB102" s="13" t="n">
        <f aca="false">AA$102+AB$78</f>
        <v>0</v>
      </c>
      <c r="AC102" s="13" t="n">
        <f aca="false">AB$102+AC$78</f>
        <v>0</v>
      </c>
      <c r="AD102" s="13" t="n">
        <f aca="false">AC$102+AD$78</f>
        <v>0</v>
      </c>
      <c r="AE102" s="13" t="n">
        <f aca="false">AD$102+AE$78</f>
        <v>0</v>
      </c>
      <c r="AF102" s="13" t="n">
        <f aca="false">AE$102+AF$78</f>
        <v>0</v>
      </c>
      <c r="AG102" s="13" t="n">
        <f aca="false">AF$102+AG$78</f>
        <v>0</v>
      </c>
      <c r="AH102" s="13" t="n">
        <f aca="false">AG$102+AH$78</f>
        <v>0</v>
      </c>
      <c r="AI102" s="13" t="n">
        <f aca="false">AH$102+AI$78</f>
        <v>0</v>
      </c>
      <c r="AJ102" s="13" t="n">
        <f aca="false">AI$102+AJ$78</f>
        <v>0</v>
      </c>
      <c r="AK102" s="13" t="n">
        <f aca="false">AJ$102+AK$78</f>
        <v>0</v>
      </c>
      <c r="AL102" s="13" t="n">
        <f aca="false">AK$102+AL$78</f>
        <v>0</v>
      </c>
      <c r="AM102" s="13" t="n">
        <f aca="false">AL$102+AM$78</f>
        <v>0</v>
      </c>
      <c r="AN102" s="13" t="n">
        <f aca="false">AM$102+AN$78</f>
        <v>0</v>
      </c>
      <c r="AO102" s="13" t="n">
        <f aca="false">AN$102+AO$78</f>
        <v>0</v>
      </c>
      <c r="AP102" s="13" t="n">
        <f aca="false">AO$102+AP$78</f>
        <v>346206.012885793</v>
      </c>
      <c r="AQ102" s="13" t="n">
        <f aca="false">AP$102+AQ$78</f>
        <v>346206.012885793</v>
      </c>
      <c r="AR102" s="13" t="n">
        <f aca="false">AQ$102+AR$78</f>
        <v>346206.012885793</v>
      </c>
      <c r="AS102" s="13" t="n">
        <f aca="false">AR$102+AS$78</f>
        <v>346206.012885793</v>
      </c>
      <c r="AT102" s="13" t="n">
        <f aca="false">AS$102+AT$78</f>
        <v>346206.012885793</v>
      </c>
      <c r="AU102" s="13" t="n">
        <f aca="false">AT$102+AU$78</f>
        <v>346206.012885793</v>
      </c>
      <c r="AV102" s="13" t="n">
        <f aca="false">AU$102+AV$78</f>
        <v>346206.012885793</v>
      </c>
      <c r="AW102" s="13" t="n">
        <f aca="false">AV$102+AW$78</f>
        <v>346206.012885793</v>
      </c>
      <c r="AX102" s="13" t="n">
        <f aca="false">AW$102+AX$78</f>
        <v>346206.012885793</v>
      </c>
      <c r="AY102" s="13" t="n">
        <f aca="false">AX$102+AY$78</f>
        <v>346206.012885793</v>
      </c>
      <c r="AZ102" s="13" t="n">
        <f aca="false">AY$102+AZ$78</f>
        <v>346206.012885793</v>
      </c>
      <c r="BA102" s="13" t="n">
        <f aca="false">AZ$102+BA$78</f>
        <v>346206.012885793</v>
      </c>
      <c r="BB102" s="13" t="n">
        <f aca="false">BA$102+BB$78</f>
        <v>1151019.83529798</v>
      </c>
      <c r="BC102" s="13" t="n">
        <f aca="false">BB$102+BC$78</f>
        <v>1151019.83529798</v>
      </c>
      <c r="BD102" s="13" t="n">
        <f aca="false">BC$102+BD$78</f>
        <v>1151019.83529798</v>
      </c>
      <c r="BE102" s="13" t="n">
        <f aca="false">BD$102+BE$78</f>
        <v>1151019.83529798</v>
      </c>
      <c r="BF102" s="13" t="n">
        <f aca="false">BE$102+BF$78</f>
        <v>1151019.83529798</v>
      </c>
      <c r="BG102" s="13" t="n">
        <f aca="false">BF$102+BG$78</f>
        <v>1151019.83529798</v>
      </c>
      <c r="BH102" s="13" t="n">
        <f aca="false">BG$102+BH$78</f>
        <v>1151019.83529798</v>
      </c>
      <c r="BI102" s="13" t="n">
        <f aca="false">BH$102+BI$78</f>
        <v>1151019.83529798</v>
      </c>
      <c r="BJ102" s="13" t="n">
        <f aca="false">BI$102+BJ$78</f>
        <v>1151019.83529798</v>
      </c>
      <c r="BK102" s="13" t="n">
        <f aca="false">BJ$102+BK$78</f>
        <v>1151019.83529798</v>
      </c>
      <c r="BL102" s="13" t="n">
        <f aca="false">BK$102+BL$78</f>
        <v>1151019.83529798</v>
      </c>
      <c r="BM102" s="13" t="n">
        <f aca="false">BL$102+BM$78</f>
        <v>1151019.83529798</v>
      </c>
      <c r="BN102" s="13" t="n">
        <f aca="false">BM$102+BN$78</f>
        <v>2846508.04482281</v>
      </c>
      <c r="BO102" s="13" t="n">
        <f aca="false">BN$102+BO$78</f>
        <v>2846508.04482281</v>
      </c>
      <c r="BP102" s="13" t="n">
        <f aca="false">BO$102+BP$78</f>
        <v>2846508.04482281</v>
      </c>
      <c r="BQ102" s="13" t="n">
        <f aca="false">BP$102+BQ$78</f>
        <v>2846508.04482281</v>
      </c>
      <c r="BR102" s="13" t="n">
        <f aca="false">BQ$102+BR$78</f>
        <v>2846508.04482281</v>
      </c>
      <c r="BS102" s="13" t="n">
        <f aca="false">BR$102+BS$78</f>
        <v>2846508.04482281</v>
      </c>
      <c r="BT102" s="13" t="n">
        <f aca="false">BS$102+BT$78</f>
        <v>2846508.04482281</v>
      </c>
      <c r="BU102" s="13" t="n">
        <f aca="false">BT$102+BU$78</f>
        <v>2846508.04482281</v>
      </c>
      <c r="BV102" s="13" t="n">
        <f aca="false">BU$102+BV$78</f>
        <v>2846508.04482281</v>
      </c>
      <c r="BW102" s="13" t="n">
        <f aca="false">BV$102+BW$78</f>
        <v>2846508.04482281</v>
      </c>
      <c r="BX102" s="13" t="n">
        <f aca="false">BW$102+BX$78</f>
        <v>2846508.04482281</v>
      </c>
      <c r="BY102" s="13" t="n">
        <f aca="false">BX$102+BY$78</f>
        <v>2846508.04482281</v>
      </c>
      <c r="BZ102" s="13" t="n">
        <f aca="false">BY$102+BZ$78</f>
        <v>4641618.57670762</v>
      </c>
      <c r="CA102" s="13" t="n">
        <f aca="false">BZ$102+CA$78</f>
        <v>4641618.57670762</v>
      </c>
      <c r="CB102" s="13" t="n">
        <f aca="false">CA$102+CB$78</f>
        <v>4641618.57670762</v>
      </c>
      <c r="CC102" s="13" t="n">
        <f aca="false">CB$102+CC$78</f>
        <v>4641618.57670762</v>
      </c>
      <c r="CD102" s="13" t="n">
        <f aca="false">CC$102+CD$78</f>
        <v>4641618.57670762</v>
      </c>
      <c r="CE102" s="13" t="n">
        <f aca="false">CD$102+CE$78</f>
        <v>4641618.57670762</v>
      </c>
      <c r="CF102" s="13" t="n">
        <f aca="false">CE$102+CF$78</f>
        <v>4641618.57670762</v>
      </c>
      <c r="CG102" s="13" t="n">
        <f aca="false">CF$102+CG$78</f>
        <v>4641618.57670762</v>
      </c>
      <c r="CH102" s="13" t="n">
        <f aca="false">CG$102+CH$78</f>
        <v>4641618.57670762</v>
      </c>
      <c r="CI102" s="13" t="n">
        <f aca="false">CH$102+CI$78</f>
        <v>4641618.57670762</v>
      </c>
      <c r="CJ102" s="13" t="n">
        <f aca="false">CI$102+CJ$78</f>
        <v>4641618.57670762</v>
      </c>
      <c r="CK102" s="13" t="n">
        <f aca="false">CJ$102+CK$78</f>
        <v>4641618.57670762</v>
      </c>
      <c r="CL102" s="13" t="n">
        <f aca="false">CK$102+CL$78</f>
        <v>6486188.79320432</v>
      </c>
      <c r="CM102" s="13" t="n">
        <f aca="false">CL$102+CM$78</f>
        <v>6486188.79320432</v>
      </c>
      <c r="CN102" s="13" t="n">
        <f aca="false">CM$102+CN$78</f>
        <v>6486188.79320432</v>
      </c>
      <c r="CO102" s="13" t="n">
        <f aca="false">CN$102+CO$78</f>
        <v>6486188.79320432</v>
      </c>
      <c r="CP102" s="13" t="n">
        <f aca="false">CO$102+CP$78</f>
        <v>6486188.79320432</v>
      </c>
      <c r="CQ102" s="13" t="n">
        <f aca="false">CP$102+CQ$78</f>
        <v>6486188.79320432</v>
      </c>
      <c r="CR102" s="13" t="n">
        <f aca="false">CQ$102+CR$78</f>
        <v>6486188.79320432</v>
      </c>
      <c r="CS102" s="13" t="n">
        <f aca="false">CR$102+CS$78</f>
        <v>6486188.79320432</v>
      </c>
      <c r="CT102" s="13" t="n">
        <f aca="false">CS$102+CT$78</f>
        <v>6486188.79320432</v>
      </c>
      <c r="CU102" s="13" t="n">
        <f aca="false">CT$102+CU$78</f>
        <v>6486188.79320432</v>
      </c>
      <c r="CV102" s="13" t="n">
        <f aca="false">CU$102+CV$78</f>
        <v>6486188.79320432</v>
      </c>
      <c r="CW102" s="13" t="n">
        <f aca="false">CV$102+CW$78</f>
        <v>6486188.79320432</v>
      </c>
      <c r="CX102" s="13" t="n">
        <f aca="false">CW$102+CX$78</f>
        <v>8380571.13255591</v>
      </c>
      <c r="CY102" s="13" t="n">
        <f aca="false">CX$102+CY$78</f>
        <v>8380571.13255591</v>
      </c>
      <c r="CZ102" s="13" t="n">
        <f aca="false">CY$102+CZ$78</f>
        <v>8380571.13255591</v>
      </c>
      <c r="DA102" s="13" t="n">
        <f aca="false">CZ$102+DA$78</f>
        <v>8380571.13255591</v>
      </c>
      <c r="DB102" s="13" t="n">
        <f aca="false">DA$102+DB$78</f>
        <v>8380571.13255591</v>
      </c>
      <c r="DC102" s="13" t="n">
        <f aca="false">DB$102+DC$78</f>
        <v>8380571.13255591</v>
      </c>
      <c r="DD102" s="13" t="n">
        <f aca="false">DC$102+DD$78</f>
        <v>8380571.13255591</v>
      </c>
      <c r="DE102" s="13" t="n">
        <f aca="false">DD$102+DE$78</f>
        <v>8380571.13255591</v>
      </c>
      <c r="DF102" s="13" t="n">
        <f aca="false">DE$102+DF$78</f>
        <v>8380571.13255591</v>
      </c>
      <c r="DG102" s="13" t="n">
        <f aca="false">DF$102+DG$78</f>
        <v>8380571.13255591</v>
      </c>
      <c r="DH102" s="13" t="n">
        <f aca="false">DG$102+DH$78</f>
        <v>8380571.13255591</v>
      </c>
      <c r="DI102" s="13" t="n">
        <f aca="false">DH$102+DI$78</f>
        <v>8380571.13255591</v>
      </c>
      <c r="DJ102" s="13" t="n">
        <f aca="false">DI$102+DJ$78</f>
        <v>10325117.1054693</v>
      </c>
      <c r="DK102" s="13" t="n">
        <f aca="false">DJ$102+DK$78</f>
        <v>10325117.1054693</v>
      </c>
      <c r="DL102" s="13" t="n">
        <f aca="false">DK$102+DL$78</f>
        <v>10325117.1054693</v>
      </c>
      <c r="DM102" s="13" t="n">
        <f aca="false">DL$102+DM$78</f>
        <v>10325117.1054693</v>
      </c>
      <c r="DN102" s="13" t="n">
        <f aca="false">DM$102+DN$78</f>
        <v>10325117.1054693</v>
      </c>
      <c r="DO102" s="13" t="n">
        <f aca="false">DN$102+DO$78</f>
        <v>10325117.1054693</v>
      </c>
      <c r="DP102" s="13" t="n">
        <f aca="false">DO$102+DP$78</f>
        <v>10325117.1054693</v>
      </c>
      <c r="DQ102" s="13" t="n">
        <f aca="false">DP$102+DQ$78</f>
        <v>10325117.1054693</v>
      </c>
      <c r="DR102" s="13" t="n">
        <f aca="false">DQ$102+DR$78</f>
        <v>10325117.1054693</v>
      </c>
      <c r="DS102" s="13" t="n">
        <f aca="false">DR$102+DS$78</f>
        <v>10325117.1054693</v>
      </c>
      <c r="DT102" s="13" t="n">
        <f aca="false">DS$102+DT$78</f>
        <v>10325117.1054693</v>
      </c>
      <c r="DU102" s="13" t="n">
        <f aca="false">DT$102+DU$78</f>
        <v>10325117.1054693</v>
      </c>
      <c r="DV102" s="13" t="n">
        <f aca="false">DU$102+DV$78</f>
        <v>12306126.3969513</v>
      </c>
      <c r="DW102" s="13" t="n">
        <f aca="false">DV$102+DW$78</f>
        <v>12306126.3969513</v>
      </c>
      <c r="DX102" s="13" t="n">
        <f aca="false">DW$102+DX$78</f>
        <v>12306126.3969513</v>
      </c>
      <c r="DY102" s="13" t="n">
        <f aca="false">DX$102+DY$78</f>
        <v>12306126.3969513</v>
      </c>
      <c r="DZ102" s="13" t="n">
        <f aca="false">DY$102+DZ$78</f>
        <v>12306126.3969513</v>
      </c>
      <c r="EA102" s="13" t="n">
        <f aca="false">DZ$102+EA$78</f>
        <v>12306126.3969513</v>
      </c>
      <c r="EB102" s="13" t="n">
        <f aca="false">EA$102+EB$78</f>
        <v>12306126.3969513</v>
      </c>
      <c r="EC102" s="13" t="n">
        <f aca="false">EB$102+EC$78</f>
        <v>12306126.3969513</v>
      </c>
      <c r="ED102" s="13" t="n">
        <f aca="false">EC$102+ED$78</f>
        <v>12306126.3969513</v>
      </c>
      <c r="EE102" s="13" t="n">
        <f aca="false">ED$102+EE$78</f>
        <v>12306126.3969513</v>
      </c>
      <c r="EF102" s="13" t="n">
        <f aca="false">EE$102+EF$78</f>
        <v>12306126.3969513</v>
      </c>
      <c r="EG102" s="13" t="n">
        <f aca="false">EF$102+EG$78</f>
        <v>12306126.3969513</v>
      </c>
      <c r="EH102" s="13" t="n">
        <f aca="false">EG$102+EH$78</f>
        <v>12306126.3969513</v>
      </c>
      <c r="EI102" s="13" t="n">
        <f aca="false">EH$102+EI$78</f>
        <v>12306126.3969513</v>
      </c>
      <c r="EJ102" s="13" t="n">
        <f aca="false">EI$102+EJ$78</f>
        <v>12306126.3969513</v>
      </c>
      <c r="EK102" s="13" t="n">
        <f aca="false">EJ$102+EK$78</f>
        <v>12306126.3969513</v>
      </c>
      <c r="EL102" s="13" t="n">
        <f aca="false">EK$102+EL$78</f>
        <v>12306126.3969513</v>
      </c>
      <c r="EM102" s="13" t="n">
        <f aca="false">EL$102+EM$78</f>
        <v>12306126.3969513</v>
      </c>
      <c r="EN102" s="13" t="n">
        <f aca="false">EM$102+EN$78</f>
        <v>12306126.3969513</v>
      </c>
      <c r="EO102" s="13" t="n">
        <f aca="false">EN$102+EO$78</f>
        <v>12306126.3969513</v>
      </c>
      <c r="EP102" s="13" t="n">
        <f aca="false">EO$102+EP$78</f>
        <v>12306126.3969513</v>
      </c>
      <c r="EQ102" s="13" t="n">
        <f aca="false">EP$102+EQ$78</f>
        <v>12306126.3969513</v>
      </c>
      <c r="ER102" s="13" t="n">
        <f aca="false">EQ$102+ER$78</f>
        <v>12306126.3969513</v>
      </c>
      <c r="ES102" s="13" t="n">
        <f aca="false">ER$102+ES$78</f>
        <v>12306126.3969513</v>
      </c>
      <c r="ET102" s="13" t="n">
        <f aca="false">ES$102+ET$78</f>
        <v>12306126.3969513</v>
      </c>
      <c r="EU102" s="13" t="n">
        <f aca="false">ET$102+EU$78</f>
        <v>12306126.3969513</v>
      </c>
      <c r="EV102" s="13" t="n">
        <f aca="false">EU$102+EV$78</f>
        <v>12306126.3969513</v>
      </c>
      <c r="EW102" s="13" t="n">
        <f aca="false">EV$102+EW$78</f>
        <v>12306126.3969513</v>
      </c>
      <c r="EX102" s="13" t="n">
        <f aca="false">EW$102+EX$78</f>
        <v>12306126.3969513</v>
      </c>
      <c r="EY102" s="13" t="n">
        <f aca="false">EX$102+EY$78</f>
        <v>12306126.3969513</v>
      </c>
      <c r="EZ102" s="13" t="n">
        <f aca="false">EY$102+EZ$78</f>
        <v>12306126.3969513</v>
      </c>
      <c r="FA102" s="13" t="n">
        <f aca="false">EZ$102+FA$78</f>
        <v>12306126.3969513</v>
      </c>
      <c r="FB102" s="13" t="n">
        <f aca="false">FA$102+FB$78</f>
        <v>12306126.3969513</v>
      </c>
      <c r="FC102" s="13" t="n">
        <f aca="false">FB$102+FC$78</f>
        <v>12306126.3969513</v>
      </c>
      <c r="FD102" s="13" t="n">
        <f aca="false">FC$102+FD$78</f>
        <v>12306126.3969513</v>
      </c>
      <c r="FE102" s="13" t="n">
        <f aca="false">FD$102+FE$78</f>
        <v>12306126.3969513</v>
      </c>
      <c r="FF102" s="13" t="n">
        <f aca="false">FE$102+FF$78</f>
        <v>12306126.3969513</v>
      </c>
    </row>
    <row r="103" customFormat="false" ht="15" hidden="false" customHeight="false" outlineLevel="0" collapsed="false">
      <c r="A103" s="2" t="s">
        <v>1614</v>
      </c>
      <c r="B103" s="8" t="s">
        <v>1615</v>
      </c>
      <c r="C103" s="8" t="s">
        <v>255</v>
      </c>
      <c r="E103" s="65" t="n">
        <f aca="false">INDEX($F103:$FF103,1,p_MesFin+1)</f>
        <v>0</v>
      </c>
      <c r="F103" s="13" t="n">
        <f aca="false">0+F$92+Capital_Trabajo!F$23+Capital_Trabajo!F$32+Deuda_Tributos!F$18-Capital_Trabajo!F$43-Capital_Trabajo!F$52-Deuda_Tributos!F$32-Deuda_Tributos!F$46</f>
        <v>0</v>
      </c>
      <c r="G103" s="13" t="n">
        <f aca="false">F$103+G$92+Capital_Trabajo!G$23+Capital_Trabajo!G$32+Deuda_Tributos!G$18-Capital_Trabajo!G$43-Capital_Trabajo!G$52-Deuda_Tributos!G$32-Deuda_Tributos!G$46</f>
        <v>0</v>
      </c>
      <c r="H103" s="13" t="n">
        <f aca="false">G$103+H$92+Capital_Trabajo!H$23+Capital_Trabajo!H$32+Deuda_Tributos!H$18-Capital_Trabajo!H$43-Capital_Trabajo!H$52-Deuda_Tributos!H$32-Deuda_Tributos!H$46</f>
        <v>0</v>
      </c>
      <c r="I103" s="13" t="n">
        <f aca="false">H$103+I$92+Capital_Trabajo!I$23+Capital_Trabajo!I$32+Deuda_Tributos!I$18-Capital_Trabajo!I$43-Capital_Trabajo!I$52-Deuda_Tributos!I$32-Deuda_Tributos!I$46</f>
        <v>0</v>
      </c>
      <c r="J103" s="13" t="n">
        <f aca="false">I$103+J$92+Capital_Trabajo!J$23+Capital_Trabajo!J$32+Deuda_Tributos!J$18-Capital_Trabajo!J$43-Capital_Trabajo!J$52-Deuda_Tributos!J$32-Deuda_Tributos!J$46</f>
        <v>0</v>
      </c>
      <c r="K103" s="13" t="n">
        <f aca="false">J$103+K$92+Capital_Trabajo!K$23+Capital_Trabajo!K$32+Deuda_Tributos!K$18-Capital_Trabajo!K$43-Capital_Trabajo!K$52-Deuda_Tributos!K$32-Deuda_Tributos!K$46</f>
        <v>0</v>
      </c>
      <c r="L103" s="13" t="n">
        <f aca="false">K$103+L$92+Capital_Trabajo!L$23+Capital_Trabajo!L$32+Deuda_Tributos!L$18-Capital_Trabajo!L$43-Capital_Trabajo!L$52-Deuda_Tributos!L$32-Deuda_Tributos!L$46</f>
        <v>0</v>
      </c>
      <c r="M103" s="13" t="n">
        <f aca="false">L$103+M$92+Capital_Trabajo!M$23+Capital_Trabajo!M$32+Deuda_Tributos!M$18-Capital_Trabajo!M$43-Capital_Trabajo!M$52-Deuda_Tributos!M$32-Deuda_Tributos!M$46</f>
        <v>0</v>
      </c>
      <c r="N103" s="13" t="n">
        <f aca="false">M$103+N$92+Capital_Trabajo!N$23+Capital_Trabajo!N$32+Deuda_Tributos!N$18-Capital_Trabajo!N$43-Capital_Trabajo!N$52-Deuda_Tributos!N$32-Deuda_Tributos!N$46</f>
        <v>0</v>
      </c>
      <c r="O103" s="13" t="n">
        <f aca="false">N$103+O$92+Capital_Trabajo!O$23+Capital_Trabajo!O$32+Deuda_Tributos!O$18-Capital_Trabajo!O$43-Capital_Trabajo!O$52-Deuda_Tributos!O$32-Deuda_Tributos!O$46</f>
        <v>0</v>
      </c>
      <c r="P103" s="13" t="n">
        <f aca="false">O$103+P$92+Capital_Trabajo!P$23+Capital_Trabajo!P$32+Deuda_Tributos!P$18-Capital_Trabajo!P$43-Capital_Trabajo!P$52-Deuda_Tributos!P$32-Deuda_Tributos!P$46</f>
        <v>0</v>
      </c>
      <c r="Q103" s="13" t="n">
        <f aca="false">P$103+Q$92+Capital_Trabajo!Q$23+Capital_Trabajo!Q$32+Deuda_Tributos!Q$18-Capital_Trabajo!Q$43-Capital_Trabajo!Q$52-Deuda_Tributos!Q$32-Deuda_Tributos!Q$46</f>
        <v>0</v>
      </c>
      <c r="R103" s="13" t="n">
        <f aca="false">Q$103+R$92+Capital_Trabajo!R$23+Capital_Trabajo!R$32+Deuda_Tributos!R$18-Capital_Trabajo!R$43-Capital_Trabajo!R$52-Deuda_Tributos!R$32-Deuda_Tributos!R$46</f>
        <v>0</v>
      </c>
      <c r="S103" s="13" t="n">
        <f aca="false">R$103+S$92+Capital_Trabajo!S$23+Capital_Trabajo!S$32+Deuda_Tributos!S$18-Capital_Trabajo!S$43-Capital_Trabajo!S$52-Deuda_Tributos!S$32-Deuda_Tributos!S$46</f>
        <v>0</v>
      </c>
      <c r="T103" s="13" t="n">
        <f aca="false">S$103+T$92+Capital_Trabajo!T$23+Capital_Trabajo!T$32+Deuda_Tributos!T$18-Capital_Trabajo!T$43-Capital_Trabajo!T$52-Deuda_Tributos!T$32-Deuda_Tributos!T$46</f>
        <v>0</v>
      </c>
      <c r="U103" s="13" t="n">
        <f aca="false">T$103+U$92+Capital_Trabajo!U$23+Capital_Trabajo!U$32+Deuda_Tributos!U$18-Capital_Trabajo!U$43-Capital_Trabajo!U$52-Deuda_Tributos!U$32-Deuda_Tributos!U$46</f>
        <v>0</v>
      </c>
      <c r="V103" s="13" t="n">
        <f aca="false">U$103+V$92+Capital_Trabajo!V$23+Capital_Trabajo!V$32+Deuda_Tributos!V$18-Capital_Trabajo!V$43-Capital_Trabajo!V$52-Deuda_Tributos!V$32-Deuda_Tributos!V$46</f>
        <v>0</v>
      </c>
      <c r="W103" s="13" t="n">
        <f aca="false">V$103+W$92+Capital_Trabajo!W$23+Capital_Trabajo!W$32+Deuda_Tributos!W$18-Capital_Trabajo!W$43-Capital_Trabajo!W$52-Deuda_Tributos!W$32-Deuda_Tributos!W$46</f>
        <v>0</v>
      </c>
      <c r="X103" s="13" t="n">
        <f aca="false">W$103+X$92+Capital_Trabajo!X$23+Capital_Trabajo!X$32+Deuda_Tributos!X$18-Capital_Trabajo!X$43-Capital_Trabajo!X$52-Deuda_Tributos!X$32-Deuda_Tributos!X$46</f>
        <v>0</v>
      </c>
      <c r="Y103" s="13" t="n">
        <f aca="false">X$103+Y$92+Capital_Trabajo!Y$23+Capital_Trabajo!Y$32+Deuda_Tributos!Y$18-Capital_Trabajo!Y$43-Capital_Trabajo!Y$52-Deuda_Tributos!Y$32-Deuda_Tributos!Y$46</f>
        <v>0</v>
      </c>
      <c r="Z103" s="13" t="n">
        <f aca="false">Y$103+Z$92+Capital_Trabajo!Z$23+Capital_Trabajo!Z$32+Deuda_Tributos!Z$18-Capital_Trabajo!Z$43-Capital_Trabajo!Z$52-Deuda_Tributos!Z$32-Deuda_Tributos!Z$46</f>
        <v>0</v>
      </c>
      <c r="AA103" s="13" t="n">
        <f aca="false">Z$103+AA$92+Capital_Trabajo!AA$23+Capital_Trabajo!AA$32+Deuda_Tributos!AA$18-Capital_Trabajo!AA$43-Capital_Trabajo!AA$52-Deuda_Tributos!AA$32-Deuda_Tributos!AA$46</f>
        <v>0</v>
      </c>
      <c r="AB103" s="13" t="n">
        <f aca="false">AA$103+AB$92+Capital_Trabajo!AB$23+Capital_Trabajo!AB$32+Deuda_Tributos!AB$18-Capital_Trabajo!AB$43-Capital_Trabajo!AB$52-Deuda_Tributos!AB$32-Deuda_Tributos!AB$46</f>
        <v>0</v>
      </c>
      <c r="AC103" s="13" t="n">
        <f aca="false">AB$103+AC$92+Capital_Trabajo!AC$23+Capital_Trabajo!AC$32+Deuda_Tributos!AC$18-Capital_Trabajo!AC$43-Capital_Trabajo!AC$52-Deuda_Tributos!AC$32-Deuda_Tributos!AC$46</f>
        <v>0</v>
      </c>
      <c r="AD103" s="13" t="n">
        <f aca="false">AC$103+AD$92+Capital_Trabajo!AD$23+Capital_Trabajo!AD$32+Deuda_Tributos!AD$18-Capital_Trabajo!AD$43-Capital_Trabajo!AD$52-Deuda_Tributos!AD$32-Deuda_Tributos!AD$46</f>
        <v>0</v>
      </c>
      <c r="AE103" s="13" t="n">
        <f aca="false">AD$103+AE$92+Capital_Trabajo!AE$23+Capital_Trabajo!AE$32+Deuda_Tributos!AE$18-Capital_Trabajo!AE$43-Capital_Trabajo!AE$52-Deuda_Tributos!AE$32-Deuda_Tributos!AE$46</f>
        <v>0</v>
      </c>
      <c r="AF103" s="13" t="n">
        <f aca="false">AE$103+AF$92+Capital_Trabajo!AF$23+Capital_Trabajo!AF$32+Deuda_Tributos!AF$18-Capital_Trabajo!AF$43-Capital_Trabajo!AF$52-Deuda_Tributos!AF$32-Deuda_Tributos!AF$46</f>
        <v>0</v>
      </c>
      <c r="AG103" s="13" t="n">
        <f aca="false">AF$103+AG$92+Capital_Trabajo!AG$23+Capital_Trabajo!AG$32+Deuda_Tributos!AG$18-Capital_Trabajo!AG$43-Capital_Trabajo!AG$52-Deuda_Tributos!AG$32-Deuda_Tributos!AG$46</f>
        <v>0</v>
      </c>
      <c r="AH103" s="13" t="n">
        <f aca="false">AG$103+AH$92+Capital_Trabajo!AH$23+Capital_Trabajo!AH$32+Deuda_Tributos!AH$18-Capital_Trabajo!AH$43-Capital_Trabajo!AH$52-Deuda_Tributos!AH$32-Deuda_Tributos!AH$46</f>
        <v>0</v>
      </c>
      <c r="AI103" s="13" t="n">
        <f aca="false">AH$103+AI$92+Capital_Trabajo!AI$23+Capital_Trabajo!AI$32+Deuda_Tributos!AI$18-Capital_Trabajo!AI$43-Capital_Trabajo!AI$52-Deuda_Tributos!AI$32-Deuda_Tributos!AI$46</f>
        <v>0</v>
      </c>
      <c r="AJ103" s="13" t="n">
        <f aca="false">AI$103+AJ$92+Capital_Trabajo!AJ$23+Capital_Trabajo!AJ$32+Deuda_Tributos!AJ$18-Capital_Trabajo!AJ$43-Capital_Trabajo!AJ$52-Deuda_Tributos!AJ$32-Deuda_Tributos!AJ$46</f>
        <v>0</v>
      </c>
      <c r="AK103" s="13" t="n">
        <f aca="false">AJ$103+AK$92+Capital_Trabajo!AK$23+Capital_Trabajo!AK$32+Deuda_Tributos!AK$18-Capital_Trabajo!AK$43-Capital_Trabajo!AK$52-Deuda_Tributos!AK$32-Deuda_Tributos!AK$46</f>
        <v>0</v>
      </c>
      <c r="AL103" s="13" t="n">
        <f aca="false">AK$103+AL$92+Capital_Trabajo!AL$23+Capital_Trabajo!AL$32+Deuda_Tributos!AL$18-Capital_Trabajo!AL$43-Capital_Trabajo!AL$52-Deuda_Tributos!AL$32-Deuda_Tributos!AL$46</f>
        <v>0</v>
      </c>
      <c r="AM103" s="13" t="n">
        <f aca="false">AL$103+AM$92+Capital_Trabajo!AM$23+Capital_Trabajo!AM$32+Deuda_Tributos!AM$18-Capital_Trabajo!AM$43-Capital_Trabajo!AM$52-Deuda_Tributos!AM$32-Deuda_Tributos!AM$46</f>
        <v>0</v>
      </c>
      <c r="AN103" s="13" t="n">
        <f aca="false">AM$103+AN$92+Capital_Trabajo!AN$23+Capital_Trabajo!AN$32+Deuda_Tributos!AN$18-Capital_Trabajo!AN$43-Capital_Trabajo!AN$52-Deuda_Tributos!AN$32-Deuda_Tributos!AN$46</f>
        <v>0</v>
      </c>
      <c r="AO103" s="13" t="n">
        <f aca="false">AN$103+AO$92+Capital_Trabajo!AO$23+Capital_Trabajo!AO$32+Deuda_Tributos!AO$18-Capital_Trabajo!AO$43-Capital_Trabajo!AO$52-Deuda_Tributos!AO$32-Deuda_Tributos!AO$46</f>
        <v>0</v>
      </c>
      <c r="AP103" s="13" t="n">
        <f aca="false">AO$103+AP$92+Capital_Trabajo!AP$23+Capital_Trabajo!AP$32+Deuda_Tributos!AP$18-Capital_Trabajo!AP$43-Capital_Trabajo!AP$52-Deuda_Tributos!AP$32-Deuda_Tributos!AP$46</f>
        <v>0</v>
      </c>
      <c r="AQ103" s="13" t="n">
        <f aca="false">AP$103+AQ$92+Capital_Trabajo!AQ$23+Capital_Trabajo!AQ$32+Deuda_Tributos!AQ$18-Capital_Trabajo!AQ$43-Capital_Trabajo!AQ$52-Deuda_Tributos!AQ$32-Deuda_Tributos!AQ$46</f>
        <v>0</v>
      </c>
      <c r="AR103" s="13" t="n">
        <f aca="false">AQ$103+AR$92+Capital_Trabajo!AR$23+Capital_Trabajo!AR$32+Deuda_Tributos!AR$18-Capital_Trabajo!AR$43-Capital_Trabajo!AR$52-Deuda_Tributos!AR$32-Deuda_Tributos!AR$46</f>
        <v>0</v>
      </c>
      <c r="AS103" s="13" t="n">
        <f aca="false">AR$103+AS$92+Capital_Trabajo!AS$23+Capital_Trabajo!AS$32+Deuda_Tributos!AS$18-Capital_Trabajo!AS$43-Capital_Trabajo!AS$52-Deuda_Tributos!AS$32-Deuda_Tributos!AS$46</f>
        <v>0</v>
      </c>
      <c r="AT103" s="13" t="n">
        <f aca="false">AS$103+AT$92+Capital_Trabajo!AT$23+Capital_Trabajo!AT$32+Deuda_Tributos!AT$18-Capital_Trabajo!AT$43-Capital_Trabajo!AT$52-Deuda_Tributos!AT$32-Deuda_Tributos!AT$46</f>
        <v>0</v>
      </c>
      <c r="AU103" s="13" t="n">
        <f aca="false">AT$103+AU$92+Capital_Trabajo!AU$23+Capital_Trabajo!AU$32+Deuda_Tributos!AU$18-Capital_Trabajo!AU$43-Capital_Trabajo!AU$52-Deuda_Tributos!AU$32-Deuda_Tributos!AU$46</f>
        <v>0</v>
      </c>
      <c r="AV103" s="13" t="n">
        <f aca="false">AU$103+AV$92+Capital_Trabajo!AV$23+Capital_Trabajo!AV$32+Deuda_Tributos!AV$18-Capital_Trabajo!AV$43-Capital_Trabajo!AV$52-Deuda_Tributos!AV$32-Deuda_Tributos!AV$46</f>
        <v>0</v>
      </c>
      <c r="AW103" s="13" t="n">
        <f aca="false">AV$103+AW$92+Capital_Trabajo!AW$23+Capital_Trabajo!AW$32+Deuda_Tributos!AW$18-Capital_Trabajo!AW$43-Capital_Trabajo!AW$52-Deuda_Tributos!AW$32-Deuda_Tributos!AW$46</f>
        <v>0</v>
      </c>
      <c r="AX103" s="13" t="n">
        <f aca="false">AW$103+AX$92+Capital_Trabajo!AX$23+Capital_Trabajo!AX$32+Deuda_Tributos!AX$18-Capital_Trabajo!AX$43-Capital_Trabajo!AX$52-Deuda_Tributos!AX$32-Deuda_Tributos!AX$46</f>
        <v>0</v>
      </c>
      <c r="AY103" s="13" t="n">
        <f aca="false">AX$103+AY$92+Capital_Trabajo!AY$23+Capital_Trabajo!AY$32+Deuda_Tributos!AY$18-Capital_Trabajo!AY$43-Capital_Trabajo!AY$52-Deuda_Tributos!AY$32-Deuda_Tributos!AY$46</f>
        <v>0</v>
      </c>
      <c r="AZ103" s="13" t="n">
        <f aca="false">AY$103+AZ$92+Capital_Trabajo!AZ$23+Capital_Trabajo!AZ$32+Deuda_Tributos!AZ$18-Capital_Trabajo!AZ$43-Capital_Trabajo!AZ$52-Deuda_Tributos!AZ$32-Deuda_Tributos!AZ$46</f>
        <v>0</v>
      </c>
      <c r="BA103" s="13" t="n">
        <f aca="false">AZ$103+BA$92+Capital_Trabajo!BA$23+Capital_Trabajo!BA$32+Deuda_Tributos!BA$18-Capital_Trabajo!BA$43-Capital_Trabajo!BA$52-Deuda_Tributos!BA$32-Deuda_Tributos!BA$46</f>
        <v>0</v>
      </c>
      <c r="BB103" s="13" t="n">
        <f aca="false">BA$103+BB$92+Capital_Trabajo!BB$23+Capital_Trabajo!BB$32+Deuda_Tributos!BB$18-Capital_Trabajo!BB$43-Capital_Trabajo!BB$52-Deuda_Tributos!BB$32-Deuda_Tributos!BB$46</f>
        <v>0</v>
      </c>
      <c r="BC103" s="13" t="n">
        <f aca="false">BB$103+BC$92+Capital_Trabajo!BC$23+Capital_Trabajo!BC$32+Deuda_Tributos!BC$18-Capital_Trabajo!BC$43-Capital_Trabajo!BC$52-Deuda_Tributos!BC$32-Deuda_Tributos!BC$46</f>
        <v>0</v>
      </c>
      <c r="BD103" s="13" t="n">
        <f aca="false">BC$103+BD$92+Capital_Trabajo!BD$23+Capital_Trabajo!BD$32+Deuda_Tributos!BD$18-Capital_Trabajo!BD$43-Capital_Trabajo!BD$52-Deuda_Tributos!BD$32-Deuda_Tributos!BD$46</f>
        <v>0</v>
      </c>
      <c r="BE103" s="13" t="n">
        <f aca="false">BD$103+BE$92+Capital_Trabajo!BE$23+Capital_Trabajo!BE$32+Deuda_Tributos!BE$18-Capital_Trabajo!BE$43-Capital_Trabajo!BE$52-Deuda_Tributos!BE$32-Deuda_Tributos!BE$46</f>
        <v>0</v>
      </c>
      <c r="BF103" s="13" t="n">
        <f aca="false">BE$103+BF$92+Capital_Trabajo!BF$23+Capital_Trabajo!BF$32+Deuda_Tributos!BF$18-Capital_Trabajo!BF$43-Capital_Trabajo!BF$52-Deuda_Tributos!BF$32-Deuda_Tributos!BF$46</f>
        <v>0</v>
      </c>
      <c r="BG103" s="13" t="n">
        <f aca="false">BF$103+BG$92+Capital_Trabajo!BG$23+Capital_Trabajo!BG$32+Deuda_Tributos!BG$18-Capital_Trabajo!BG$43-Capital_Trabajo!BG$52-Deuda_Tributos!BG$32-Deuda_Tributos!BG$46</f>
        <v>0</v>
      </c>
      <c r="BH103" s="13" t="n">
        <f aca="false">BG$103+BH$92+Capital_Trabajo!BH$23+Capital_Trabajo!BH$32+Deuda_Tributos!BH$18-Capital_Trabajo!BH$43-Capital_Trabajo!BH$52-Deuda_Tributos!BH$32-Deuda_Tributos!BH$46</f>
        <v>0</v>
      </c>
      <c r="BI103" s="13" t="n">
        <f aca="false">BH$103+BI$92+Capital_Trabajo!BI$23+Capital_Trabajo!BI$32+Deuda_Tributos!BI$18-Capital_Trabajo!BI$43-Capital_Trabajo!BI$52-Deuda_Tributos!BI$32-Deuda_Tributos!BI$46</f>
        <v>0</v>
      </c>
      <c r="BJ103" s="13" t="n">
        <f aca="false">BI$103+BJ$92+Capital_Trabajo!BJ$23+Capital_Trabajo!BJ$32+Deuda_Tributos!BJ$18-Capital_Trabajo!BJ$43-Capital_Trabajo!BJ$52-Deuda_Tributos!BJ$32-Deuda_Tributos!BJ$46</f>
        <v>0</v>
      </c>
      <c r="BK103" s="13" t="n">
        <f aca="false">BJ$103+BK$92+Capital_Trabajo!BK$23+Capital_Trabajo!BK$32+Deuda_Tributos!BK$18-Capital_Trabajo!BK$43-Capital_Trabajo!BK$52-Deuda_Tributos!BK$32-Deuda_Tributos!BK$46</f>
        <v>0</v>
      </c>
      <c r="BL103" s="13" t="n">
        <f aca="false">BK$103+BL$92+Capital_Trabajo!BL$23+Capital_Trabajo!BL$32+Deuda_Tributos!BL$18-Capital_Trabajo!BL$43-Capital_Trabajo!BL$52-Deuda_Tributos!BL$32-Deuda_Tributos!BL$46</f>
        <v>0</v>
      </c>
      <c r="BM103" s="13" t="n">
        <f aca="false">BL$103+BM$92+Capital_Trabajo!BM$23+Capital_Trabajo!BM$32+Deuda_Tributos!BM$18-Capital_Trabajo!BM$43-Capital_Trabajo!BM$52-Deuda_Tributos!BM$32-Deuda_Tributos!BM$46</f>
        <v>0</v>
      </c>
      <c r="BN103" s="13" t="n">
        <f aca="false">BM$103+BN$92+Capital_Trabajo!BN$23+Capital_Trabajo!BN$32+Deuda_Tributos!BN$18-Capital_Trabajo!BN$43-Capital_Trabajo!BN$52-Deuda_Tributos!BN$32-Deuda_Tributos!BN$46</f>
        <v>0</v>
      </c>
      <c r="BO103" s="13" t="n">
        <f aca="false">BN$103+BO$92+Capital_Trabajo!BO$23+Capital_Trabajo!BO$32+Deuda_Tributos!BO$18-Capital_Trabajo!BO$43-Capital_Trabajo!BO$52-Deuda_Tributos!BO$32-Deuda_Tributos!BO$46</f>
        <v>0</v>
      </c>
      <c r="BP103" s="13" t="n">
        <f aca="false">BO$103+BP$92+Capital_Trabajo!BP$23+Capital_Trabajo!BP$32+Deuda_Tributos!BP$18-Capital_Trabajo!BP$43-Capital_Trabajo!BP$52-Deuda_Tributos!BP$32-Deuda_Tributos!BP$46</f>
        <v>0</v>
      </c>
      <c r="BQ103" s="13" t="n">
        <f aca="false">BP$103+BQ$92+Capital_Trabajo!BQ$23+Capital_Trabajo!BQ$32+Deuda_Tributos!BQ$18-Capital_Trabajo!BQ$43-Capital_Trabajo!BQ$52-Deuda_Tributos!BQ$32-Deuda_Tributos!BQ$46</f>
        <v>0</v>
      </c>
      <c r="BR103" s="13" t="n">
        <f aca="false">BQ$103+BR$92+Capital_Trabajo!BR$23+Capital_Trabajo!BR$32+Deuda_Tributos!BR$18-Capital_Trabajo!BR$43-Capital_Trabajo!BR$52-Deuda_Tributos!BR$32-Deuda_Tributos!BR$46</f>
        <v>0</v>
      </c>
      <c r="BS103" s="13" t="n">
        <f aca="false">BR$103+BS$92+Capital_Trabajo!BS$23+Capital_Trabajo!BS$32+Deuda_Tributos!BS$18-Capital_Trabajo!BS$43-Capital_Trabajo!BS$52-Deuda_Tributos!BS$32-Deuda_Tributos!BS$46</f>
        <v>0</v>
      </c>
      <c r="BT103" s="13" t="n">
        <f aca="false">BS$103+BT$92+Capital_Trabajo!BT$23+Capital_Trabajo!BT$32+Deuda_Tributos!BT$18-Capital_Trabajo!BT$43-Capital_Trabajo!BT$52-Deuda_Tributos!BT$32-Deuda_Tributos!BT$46</f>
        <v>0</v>
      </c>
      <c r="BU103" s="13" t="n">
        <f aca="false">BT$103+BU$92+Capital_Trabajo!BU$23+Capital_Trabajo!BU$32+Deuda_Tributos!BU$18-Capital_Trabajo!BU$43-Capital_Trabajo!BU$52-Deuda_Tributos!BU$32-Deuda_Tributos!BU$46</f>
        <v>0</v>
      </c>
      <c r="BV103" s="13" t="n">
        <f aca="false">BU$103+BV$92+Capital_Trabajo!BV$23+Capital_Trabajo!BV$32+Deuda_Tributos!BV$18-Capital_Trabajo!BV$43-Capital_Trabajo!BV$52-Deuda_Tributos!BV$32-Deuda_Tributos!BV$46</f>
        <v>0</v>
      </c>
      <c r="BW103" s="13" t="n">
        <f aca="false">BV$103+BW$92+Capital_Trabajo!BW$23+Capital_Trabajo!BW$32+Deuda_Tributos!BW$18-Capital_Trabajo!BW$43-Capital_Trabajo!BW$52-Deuda_Tributos!BW$32-Deuda_Tributos!BW$46</f>
        <v>0</v>
      </c>
      <c r="BX103" s="13" t="n">
        <f aca="false">BW$103+BX$92+Capital_Trabajo!BX$23+Capital_Trabajo!BX$32+Deuda_Tributos!BX$18-Capital_Trabajo!BX$43-Capital_Trabajo!BX$52-Deuda_Tributos!BX$32-Deuda_Tributos!BX$46</f>
        <v>0</v>
      </c>
      <c r="BY103" s="13" t="n">
        <f aca="false">BX$103+BY$92+Capital_Trabajo!BY$23+Capital_Trabajo!BY$32+Deuda_Tributos!BY$18-Capital_Trabajo!BY$43-Capital_Trabajo!BY$52-Deuda_Tributos!BY$32-Deuda_Tributos!BY$46</f>
        <v>0</v>
      </c>
      <c r="BZ103" s="13" t="n">
        <f aca="false">BY$103+BZ$92+Capital_Trabajo!BZ$23+Capital_Trabajo!BZ$32+Deuda_Tributos!BZ$18-Capital_Trabajo!BZ$43-Capital_Trabajo!BZ$52-Deuda_Tributos!BZ$32-Deuda_Tributos!BZ$46</f>
        <v>0</v>
      </c>
      <c r="CA103" s="13" t="n">
        <f aca="false">BZ$103+CA$92+Capital_Trabajo!CA$23+Capital_Trabajo!CA$32+Deuda_Tributos!CA$18-Capital_Trabajo!CA$43-Capital_Trabajo!CA$52-Deuda_Tributos!CA$32-Deuda_Tributos!CA$46</f>
        <v>0</v>
      </c>
      <c r="CB103" s="13" t="n">
        <f aca="false">CA$103+CB$92+Capital_Trabajo!CB$23+Capital_Trabajo!CB$32+Deuda_Tributos!CB$18-Capital_Trabajo!CB$43-Capital_Trabajo!CB$52-Deuda_Tributos!CB$32-Deuda_Tributos!CB$46</f>
        <v>0</v>
      </c>
      <c r="CC103" s="13" t="n">
        <f aca="false">CB$103+CC$92+Capital_Trabajo!CC$23+Capital_Trabajo!CC$32+Deuda_Tributos!CC$18-Capital_Trabajo!CC$43-Capital_Trabajo!CC$52-Deuda_Tributos!CC$32-Deuda_Tributos!CC$46</f>
        <v>0</v>
      </c>
      <c r="CD103" s="13" t="n">
        <f aca="false">CC$103+CD$92+Capital_Trabajo!CD$23+Capital_Trabajo!CD$32+Deuda_Tributos!CD$18-Capital_Trabajo!CD$43-Capital_Trabajo!CD$52-Deuda_Tributos!CD$32-Deuda_Tributos!CD$46</f>
        <v>0</v>
      </c>
      <c r="CE103" s="13" t="n">
        <f aca="false">CD$103+CE$92+Capital_Trabajo!CE$23+Capital_Trabajo!CE$32+Deuda_Tributos!CE$18-Capital_Trabajo!CE$43-Capital_Trabajo!CE$52-Deuda_Tributos!CE$32-Deuda_Tributos!CE$46</f>
        <v>0</v>
      </c>
      <c r="CF103" s="13" t="n">
        <f aca="false">CE$103+CF$92+Capital_Trabajo!CF$23+Capital_Trabajo!CF$32+Deuda_Tributos!CF$18-Capital_Trabajo!CF$43-Capital_Trabajo!CF$52-Deuda_Tributos!CF$32-Deuda_Tributos!CF$46</f>
        <v>0</v>
      </c>
      <c r="CG103" s="13" t="n">
        <f aca="false">CF$103+CG$92+Capital_Trabajo!CG$23+Capital_Trabajo!CG$32+Deuda_Tributos!CG$18-Capital_Trabajo!CG$43-Capital_Trabajo!CG$52-Deuda_Tributos!CG$32-Deuda_Tributos!CG$46</f>
        <v>0</v>
      </c>
      <c r="CH103" s="13" t="n">
        <f aca="false">CG$103+CH$92+Capital_Trabajo!CH$23+Capital_Trabajo!CH$32+Deuda_Tributos!CH$18-Capital_Trabajo!CH$43-Capital_Trabajo!CH$52-Deuda_Tributos!CH$32-Deuda_Tributos!CH$46</f>
        <v>0</v>
      </c>
      <c r="CI103" s="13" t="n">
        <f aca="false">CH$103+CI$92+Capital_Trabajo!CI$23+Capital_Trabajo!CI$32+Deuda_Tributos!CI$18-Capital_Trabajo!CI$43-Capital_Trabajo!CI$52-Deuda_Tributos!CI$32-Deuda_Tributos!CI$46</f>
        <v>0</v>
      </c>
      <c r="CJ103" s="13" t="n">
        <f aca="false">CI$103+CJ$92+Capital_Trabajo!CJ$23+Capital_Trabajo!CJ$32+Deuda_Tributos!CJ$18-Capital_Trabajo!CJ$43-Capital_Trabajo!CJ$52-Deuda_Tributos!CJ$32-Deuda_Tributos!CJ$46</f>
        <v>0</v>
      </c>
      <c r="CK103" s="13" t="n">
        <f aca="false">CJ$103+CK$92+Capital_Trabajo!CK$23+Capital_Trabajo!CK$32+Deuda_Tributos!CK$18-Capital_Trabajo!CK$43-Capital_Trabajo!CK$52-Deuda_Tributos!CK$32-Deuda_Tributos!CK$46</f>
        <v>0</v>
      </c>
      <c r="CL103" s="13" t="n">
        <f aca="false">CK$103+CL$92+Capital_Trabajo!CL$23+Capital_Trabajo!CL$32+Deuda_Tributos!CL$18-Capital_Trabajo!CL$43-Capital_Trabajo!CL$52-Deuda_Tributos!CL$32-Deuda_Tributos!CL$46</f>
        <v>0</v>
      </c>
      <c r="CM103" s="13" t="n">
        <f aca="false">CL$103+CM$92+Capital_Trabajo!CM$23+Capital_Trabajo!CM$32+Deuda_Tributos!CM$18-Capital_Trabajo!CM$43-Capital_Trabajo!CM$52-Deuda_Tributos!CM$32-Deuda_Tributos!CM$46</f>
        <v>0</v>
      </c>
      <c r="CN103" s="13" t="n">
        <f aca="false">CM$103+CN$92+Capital_Trabajo!CN$23+Capital_Trabajo!CN$32+Deuda_Tributos!CN$18-Capital_Trabajo!CN$43-Capital_Trabajo!CN$52-Deuda_Tributos!CN$32-Deuda_Tributos!CN$46</f>
        <v>0</v>
      </c>
      <c r="CO103" s="13" t="n">
        <f aca="false">CN$103+CO$92+Capital_Trabajo!CO$23+Capital_Trabajo!CO$32+Deuda_Tributos!CO$18-Capital_Trabajo!CO$43-Capital_Trabajo!CO$52-Deuda_Tributos!CO$32-Deuda_Tributos!CO$46</f>
        <v>0</v>
      </c>
      <c r="CP103" s="13" t="n">
        <f aca="false">CO$103+CP$92+Capital_Trabajo!CP$23+Capital_Trabajo!CP$32+Deuda_Tributos!CP$18-Capital_Trabajo!CP$43-Capital_Trabajo!CP$52-Deuda_Tributos!CP$32-Deuda_Tributos!CP$46</f>
        <v>0</v>
      </c>
      <c r="CQ103" s="13" t="n">
        <f aca="false">CP$103+CQ$92+Capital_Trabajo!CQ$23+Capital_Trabajo!CQ$32+Deuda_Tributos!CQ$18-Capital_Trabajo!CQ$43-Capital_Trabajo!CQ$52-Deuda_Tributos!CQ$32-Deuda_Tributos!CQ$46</f>
        <v>0</v>
      </c>
      <c r="CR103" s="13" t="n">
        <f aca="false">CQ$103+CR$92+Capital_Trabajo!CR$23+Capital_Trabajo!CR$32+Deuda_Tributos!CR$18-Capital_Trabajo!CR$43-Capital_Trabajo!CR$52-Deuda_Tributos!CR$32-Deuda_Tributos!CR$46</f>
        <v>0</v>
      </c>
      <c r="CS103" s="13" t="n">
        <f aca="false">CR$103+CS$92+Capital_Trabajo!CS$23+Capital_Trabajo!CS$32+Deuda_Tributos!CS$18-Capital_Trabajo!CS$43-Capital_Trabajo!CS$52-Deuda_Tributos!CS$32-Deuda_Tributos!CS$46</f>
        <v>0</v>
      </c>
      <c r="CT103" s="13" t="n">
        <f aca="false">CS$103+CT$92+Capital_Trabajo!CT$23+Capital_Trabajo!CT$32+Deuda_Tributos!CT$18-Capital_Trabajo!CT$43-Capital_Trabajo!CT$52-Deuda_Tributos!CT$32-Deuda_Tributos!CT$46</f>
        <v>0</v>
      </c>
      <c r="CU103" s="13" t="n">
        <f aca="false">CT$103+CU$92+Capital_Trabajo!CU$23+Capital_Trabajo!CU$32+Deuda_Tributos!CU$18-Capital_Trabajo!CU$43-Capital_Trabajo!CU$52-Deuda_Tributos!CU$32-Deuda_Tributos!CU$46</f>
        <v>0</v>
      </c>
      <c r="CV103" s="13" t="n">
        <f aca="false">CU$103+CV$92+Capital_Trabajo!CV$23+Capital_Trabajo!CV$32+Deuda_Tributos!CV$18-Capital_Trabajo!CV$43-Capital_Trabajo!CV$52-Deuda_Tributos!CV$32-Deuda_Tributos!CV$46</f>
        <v>0</v>
      </c>
      <c r="CW103" s="13" t="n">
        <f aca="false">CV$103+CW$92+Capital_Trabajo!CW$23+Capital_Trabajo!CW$32+Deuda_Tributos!CW$18-Capital_Trabajo!CW$43-Capital_Trabajo!CW$52-Deuda_Tributos!CW$32-Deuda_Tributos!CW$46</f>
        <v>0</v>
      </c>
      <c r="CX103" s="13" t="n">
        <f aca="false">CW$103+CX$92+Capital_Trabajo!CX$23+Capital_Trabajo!CX$32+Deuda_Tributos!CX$18-Capital_Trabajo!CX$43-Capital_Trabajo!CX$52-Deuda_Tributos!CX$32-Deuda_Tributos!CX$46</f>
        <v>0</v>
      </c>
      <c r="CY103" s="13" t="n">
        <f aca="false">CX$103+CY$92+Capital_Trabajo!CY$23+Capital_Trabajo!CY$32+Deuda_Tributos!CY$18-Capital_Trabajo!CY$43-Capital_Trabajo!CY$52-Deuda_Tributos!CY$32-Deuda_Tributos!CY$46</f>
        <v>0</v>
      </c>
      <c r="CZ103" s="13" t="n">
        <f aca="false">CY$103+CZ$92+Capital_Trabajo!CZ$23+Capital_Trabajo!CZ$32+Deuda_Tributos!CZ$18-Capital_Trabajo!CZ$43-Capital_Trabajo!CZ$52-Deuda_Tributos!CZ$32-Deuda_Tributos!CZ$46</f>
        <v>0</v>
      </c>
      <c r="DA103" s="13" t="n">
        <f aca="false">CZ$103+DA$92+Capital_Trabajo!DA$23+Capital_Trabajo!DA$32+Deuda_Tributos!DA$18-Capital_Trabajo!DA$43-Capital_Trabajo!DA$52-Deuda_Tributos!DA$32-Deuda_Tributos!DA$46</f>
        <v>0</v>
      </c>
      <c r="DB103" s="13" t="n">
        <f aca="false">DA$103+DB$92+Capital_Trabajo!DB$23+Capital_Trabajo!DB$32+Deuda_Tributos!DB$18-Capital_Trabajo!DB$43-Capital_Trabajo!DB$52-Deuda_Tributos!DB$32-Deuda_Tributos!DB$46</f>
        <v>0</v>
      </c>
      <c r="DC103" s="13" t="n">
        <f aca="false">DB$103+DC$92+Capital_Trabajo!DC$23+Capital_Trabajo!DC$32+Deuda_Tributos!DC$18-Capital_Trabajo!DC$43-Capital_Trabajo!DC$52-Deuda_Tributos!DC$32-Deuda_Tributos!DC$46</f>
        <v>0</v>
      </c>
      <c r="DD103" s="13" t="n">
        <f aca="false">DC$103+DD$92+Capital_Trabajo!DD$23+Capital_Trabajo!DD$32+Deuda_Tributos!DD$18-Capital_Trabajo!DD$43-Capital_Trabajo!DD$52-Deuda_Tributos!DD$32-Deuda_Tributos!DD$46</f>
        <v>0</v>
      </c>
      <c r="DE103" s="13" t="n">
        <f aca="false">DD$103+DE$92+Capital_Trabajo!DE$23+Capital_Trabajo!DE$32+Deuda_Tributos!DE$18-Capital_Trabajo!DE$43-Capital_Trabajo!DE$52-Deuda_Tributos!DE$32-Deuda_Tributos!DE$46</f>
        <v>0</v>
      </c>
      <c r="DF103" s="13" t="n">
        <f aca="false">DE$103+DF$92+Capital_Trabajo!DF$23+Capital_Trabajo!DF$32+Deuda_Tributos!DF$18-Capital_Trabajo!DF$43-Capital_Trabajo!DF$52-Deuda_Tributos!DF$32-Deuda_Tributos!DF$46</f>
        <v>0</v>
      </c>
      <c r="DG103" s="13" t="n">
        <f aca="false">DF$103+DG$92+Capital_Trabajo!DG$23+Capital_Trabajo!DG$32+Deuda_Tributos!DG$18-Capital_Trabajo!DG$43-Capital_Trabajo!DG$52-Deuda_Tributos!DG$32-Deuda_Tributos!DG$46</f>
        <v>0</v>
      </c>
      <c r="DH103" s="13" t="n">
        <f aca="false">DG$103+DH$92+Capital_Trabajo!DH$23+Capital_Trabajo!DH$32+Deuda_Tributos!DH$18-Capital_Trabajo!DH$43-Capital_Trabajo!DH$52-Deuda_Tributos!DH$32-Deuda_Tributos!DH$46</f>
        <v>0</v>
      </c>
      <c r="DI103" s="13" t="n">
        <f aca="false">DH$103+DI$92+Capital_Trabajo!DI$23+Capital_Trabajo!DI$32+Deuda_Tributos!DI$18-Capital_Trabajo!DI$43-Capital_Trabajo!DI$52-Deuda_Tributos!DI$32-Deuda_Tributos!DI$46</f>
        <v>0</v>
      </c>
      <c r="DJ103" s="13" t="n">
        <f aca="false">DI$103+DJ$92+Capital_Trabajo!DJ$23+Capital_Trabajo!DJ$32+Deuda_Tributos!DJ$18-Capital_Trabajo!DJ$43-Capital_Trabajo!DJ$52-Deuda_Tributos!DJ$32-Deuda_Tributos!DJ$46</f>
        <v>0</v>
      </c>
      <c r="DK103" s="13" t="n">
        <f aca="false">DJ$103+DK$92+Capital_Trabajo!DK$23+Capital_Trabajo!DK$32+Deuda_Tributos!DK$18-Capital_Trabajo!DK$43-Capital_Trabajo!DK$52-Deuda_Tributos!DK$32-Deuda_Tributos!DK$46</f>
        <v>0</v>
      </c>
      <c r="DL103" s="13" t="n">
        <f aca="false">DK$103+DL$92+Capital_Trabajo!DL$23+Capital_Trabajo!DL$32+Deuda_Tributos!DL$18-Capital_Trabajo!DL$43-Capital_Trabajo!DL$52-Deuda_Tributos!DL$32-Deuda_Tributos!DL$46</f>
        <v>0</v>
      </c>
      <c r="DM103" s="13" t="n">
        <f aca="false">DL$103+DM$92+Capital_Trabajo!DM$23+Capital_Trabajo!DM$32+Deuda_Tributos!DM$18-Capital_Trabajo!DM$43-Capital_Trabajo!DM$52-Deuda_Tributos!DM$32-Deuda_Tributos!DM$46</f>
        <v>0</v>
      </c>
      <c r="DN103" s="13" t="n">
        <f aca="false">DM$103+DN$92+Capital_Trabajo!DN$23+Capital_Trabajo!DN$32+Deuda_Tributos!DN$18-Capital_Trabajo!DN$43-Capital_Trabajo!DN$52-Deuda_Tributos!DN$32-Deuda_Tributos!DN$46</f>
        <v>0</v>
      </c>
      <c r="DO103" s="13" t="n">
        <f aca="false">DN$103+DO$92+Capital_Trabajo!DO$23+Capital_Trabajo!DO$32+Deuda_Tributos!DO$18-Capital_Trabajo!DO$43-Capital_Trabajo!DO$52-Deuda_Tributos!DO$32-Deuda_Tributos!DO$46</f>
        <v>0</v>
      </c>
      <c r="DP103" s="13" t="n">
        <f aca="false">DO$103+DP$92+Capital_Trabajo!DP$23+Capital_Trabajo!DP$32+Deuda_Tributos!DP$18-Capital_Trabajo!DP$43-Capital_Trabajo!DP$52-Deuda_Tributos!DP$32-Deuda_Tributos!DP$46</f>
        <v>0</v>
      </c>
      <c r="DQ103" s="13" t="n">
        <f aca="false">DP$103+DQ$92+Capital_Trabajo!DQ$23+Capital_Trabajo!DQ$32+Deuda_Tributos!DQ$18-Capital_Trabajo!DQ$43-Capital_Trabajo!DQ$52-Deuda_Tributos!DQ$32-Deuda_Tributos!DQ$46</f>
        <v>0</v>
      </c>
      <c r="DR103" s="13" t="n">
        <f aca="false">DQ$103+DR$92+Capital_Trabajo!DR$23+Capital_Trabajo!DR$32+Deuda_Tributos!DR$18-Capital_Trabajo!DR$43-Capital_Trabajo!DR$52-Deuda_Tributos!DR$32-Deuda_Tributos!DR$46</f>
        <v>0</v>
      </c>
      <c r="DS103" s="13" t="n">
        <f aca="false">DR$103+DS$92+Capital_Trabajo!DS$23+Capital_Trabajo!DS$32+Deuda_Tributos!DS$18-Capital_Trabajo!DS$43-Capital_Trabajo!DS$52-Deuda_Tributos!DS$32-Deuda_Tributos!DS$46</f>
        <v>0</v>
      </c>
      <c r="DT103" s="13" t="n">
        <f aca="false">DS$103+DT$92+Capital_Trabajo!DT$23+Capital_Trabajo!DT$32+Deuda_Tributos!DT$18-Capital_Trabajo!DT$43-Capital_Trabajo!DT$52-Deuda_Tributos!DT$32-Deuda_Tributos!DT$46</f>
        <v>0</v>
      </c>
      <c r="DU103" s="13" t="n">
        <f aca="false">DT$103+DU$92+Capital_Trabajo!DU$23+Capital_Trabajo!DU$32+Deuda_Tributos!DU$18-Capital_Trabajo!DU$43-Capital_Trabajo!DU$52-Deuda_Tributos!DU$32-Deuda_Tributos!DU$46</f>
        <v>0</v>
      </c>
      <c r="DV103" s="13" t="n">
        <f aca="false">DU$103+DV$92+Capital_Trabajo!DV$23+Capital_Trabajo!DV$32+Deuda_Tributos!DV$18-Capital_Trabajo!DV$43-Capital_Trabajo!DV$52-Deuda_Tributos!DV$32-Deuda_Tributos!DV$46</f>
        <v>0</v>
      </c>
      <c r="DW103" s="13" t="n">
        <f aca="false">DV$103+DW$92+Capital_Trabajo!DW$23+Capital_Trabajo!DW$32+Deuda_Tributos!DW$18-Capital_Trabajo!DW$43-Capital_Trabajo!DW$52-Deuda_Tributos!DW$32-Deuda_Tributos!DW$46</f>
        <v>0</v>
      </c>
      <c r="DX103" s="13" t="n">
        <f aca="false">DW$103+DX$92+Capital_Trabajo!DX$23+Capital_Trabajo!DX$32+Deuda_Tributos!DX$18-Capital_Trabajo!DX$43-Capital_Trabajo!DX$52-Deuda_Tributos!DX$32-Deuda_Tributos!DX$46</f>
        <v>0</v>
      </c>
      <c r="DY103" s="13" t="n">
        <f aca="false">DX$103+DY$92+Capital_Trabajo!DY$23+Capital_Trabajo!DY$32+Deuda_Tributos!DY$18-Capital_Trabajo!DY$43-Capital_Trabajo!DY$52-Deuda_Tributos!DY$32-Deuda_Tributos!DY$46</f>
        <v>0</v>
      </c>
      <c r="DZ103" s="13" t="n">
        <f aca="false">DY$103+DZ$92+Capital_Trabajo!DZ$23+Capital_Trabajo!DZ$32+Deuda_Tributos!DZ$18-Capital_Trabajo!DZ$43-Capital_Trabajo!DZ$52-Deuda_Tributos!DZ$32-Deuda_Tributos!DZ$46</f>
        <v>0</v>
      </c>
      <c r="EA103" s="13" t="n">
        <f aca="false">DZ$103+EA$92+Capital_Trabajo!EA$23+Capital_Trabajo!EA$32+Deuda_Tributos!EA$18-Capital_Trabajo!EA$43-Capital_Trabajo!EA$52-Deuda_Tributos!EA$32-Deuda_Tributos!EA$46</f>
        <v>0</v>
      </c>
      <c r="EB103" s="13" t="n">
        <f aca="false">EA$103+EB$92+Capital_Trabajo!EB$23+Capital_Trabajo!EB$32+Deuda_Tributos!EB$18-Capital_Trabajo!EB$43-Capital_Trabajo!EB$52-Deuda_Tributos!EB$32-Deuda_Tributos!EB$46</f>
        <v>0</v>
      </c>
      <c r="EC103" s="13" t="n">
        <f aca="false">EB$103+EC$92+Capital_Trabajo!EC$23+Capital_Trabajo!EC$32+Deuda_Tributos!EC$18-Capital_Trabajo!EC$43-Capital_Trabajo!EC$52-Deuda_Tributos!EC$32-Deuda_Tributos!EC$46</f>
        <v>0</v>
      </c>
      <c r="ED103" s="13" t="n">
        <f aca="false">EC$103+ED$92+Capital_Trabajo!ED$23+Capital_Trabajo!ED$32+Deuda_Tributos!ED$18-Capital_Trabajo!ED$43-Capital_Trabajo!ED$52-Deuda_Tributos!ED$32-Deuda_Tributos!ED$46</f>
        <v>0</v>
      </c>
      <c r="EE103" s="13" t="n">
        <f aca="false">ED$103+EE$92+Capital_Trabajo!EE$23+Capital_Trabajo!EE$32+Deuda_Tributos!EE$18-Capital_Trabajo!EE$43-Capital_Trabajo!EE$52-Deuda_Tributos!EE$32-Deuda_Tributos!EE$46</f>
        <v>0</v>
      </c>
      <c r="EF103" s="13" t="n">
        <f aca="false">EE$103+EF$92+Capital_Trabajo!EF$23+Capital_Trabajo!EF$32+Deuda_Tributos!EF$18-Capital_Trabajo!EF$43-Capital_Trabajo!EF$52-Deuda_Tributos!EF$32-Deuda_Tributos!EF$46</f>
        <v>0</v>
      </c>
      <c r="EG103" s="13" t="n">
        <f aca="false">EF$103+EG$92+Capital_Trabajo!EG$23+Capital_Trabajo!EG$32+Deuda_Tributos!EG$18-Capital_Trabajo!EG$43-Capital_Trabajo!EG$52-Deuda_Tributos!EG$32-Deuda_Tributos!EG$46</f>
        <v>0</v>
      </c>
      <c r="EH103" s="13" t="n">
        <f aca="false">EG$103+EH$92+Capital_Trabajo!EH$23+Capital_Trabajo!EH$32+Deuda_Tributos!EH$18-Capital_Trabajo!EH$43-Capital_Trabajo!EH$52-Deuda_Tributos!EH$32-Deuda_Tributos!EH$46</f>
        <v>0</v>
      </c>
      <c r="EI103" s="13" t="n">
        <f aca="false">EH$103+EI$92+Capital_Trabajo!EI$23+Capital_Trabajo!EI$32+Deuda_Tributos!EI$18-Capital_Trabajo!EI$43-Capital_Trabajo!EI$52-Deuda_Tributos!EI$32-Deuda_Tributos!EI$46</f>
        <v>0</v>
      </c>
      <c r="EJ103" s="13" t="n">
        <f aca="false">EI$103+EJ$92+Capital_Trabajo!EJ$23+Capital_Trabajo!EJ$32+Deuda_Tributos!EJ$18-Capital_Trabajo!EJ$43-Capital_Trabajo!EJ$52-Deuda_Tributos!EJ$32-Deuda_Tributos!EJ$46</f>
        <v>0</v>
      </c>
      <c r="EK103" s="13" t="n">
        <f aca="false">EJ$103+EK$92+Capital_Trabajo!EK$23+Capital_Trabajo!EK$32+Deuda_Tributos!EK$18-Capital_Trabajo!EK$43-Capital_Trabajo!EK$52-Deuda_Tributos!EK$32-Deuda_Tributos!EK$46</f>
        <v>0</v>
      </c>
      <c r="EL103" s="13" t="n">
        <f aca="false">EK$103+EL$92+Capital_Trabajo!EL$23+Capital_Trabajo!EL$32+Deuda_Tributos!EL$18-Capital_Trabajo!EL$43-Capital_Trabajo!EL$52-Deuda_Tributos!EL$32-Deuda_Tributos!EL$46</f>
        <v>0</v>
      </c>
      <c r="EM103" s="13" t="n">
        <f aca="false">EL$103+EM$92+Capital_Trabajo!EM$23+Capital_Trabajo!EM$32+Deuda_Tributos!EM$18-Capital_Trabajo!EM$43-Capital_Trabajo!EM$52-Deuda_Tributos!EM$32-Deuda_Tributos!EM$46</f>
        <v>0</v>
      </c>
      <c r="EN103" s="13" t="n">
        <f aca="false">EM$103+EN$92+Capital_Trabajo!EN$23+Capital_Trabajo!EN$32+Deuda_Tributos!EN$18-Capital_Trabajo!EN$43-Capital_Trabajo!EN$52-Deuda_Tributos!EN$32-Deuda_Tributos!EN$46</f>
        <v>0</v>
      </c>
      <c r="EO103" s="13" t="n">
        <f aca="false">EN$103+EO$92+Capital_Trabajo!EO$23+Capital_Trabajo!EO$32+Deuda_Tributos!EO$18-Capital_Trabajo!EO$43-Capital_Trabajo!EO$52-Deuda_Tributos!EO$32-Deuda_Tributos!EO$46</f>
        <v>0</v>
      </c>
      <c r="EP103" s="13" t="n">
        <f aca="false">EO$103+EP$92+Capital_Trabajo!EP$23+Capital_Trabajo!EP$32+Deuda_Tributos!EP$18-Capital_Trabajo!EP$43-Capital_Trabajo!EP$52-Deuda_Tributos!EP$32-Deuda_Tributos!EP$46</f>
        <v>0</v>
      </c>
      <c r="EQ103" s="13" t="n">
        <f aca="false">EP$103+EQ$92+Capital_Trabajo!EQ$23+Capital_Trabajo!EQ$32+Deuda_Tributos!EQ$18-Capital_Trabajo!EQ$43-Capital_Trabajo!EQ$52-Deuda_Tributos!EQ$32-Deuda_Tributos!EQ$46</f>
        <v>0</v>
      </c>
      <c r="ER103" s="13" t="n">
        <f aca="false">EQ$103+ER$92+Capital_Trabajo!ER$23+Capital_Trabajo!ER$32+Deuda_Tributos!ER$18-Capital_Trabajo!ER$43-Capital_Trabajo!ER$52-Deuda_Tributos!ER$32-Deuda_Tributos!ER$46</f>
        <v>0</v>
      </c>
      <c r="ES103" s="13" t="n">
        <f aca="false">ER$103+ES$92+Capital_Trabajo!ES$23+Capital_Trabajo!ES$32+Deuda_Tributos!ES$18-Capital_Trabajo!ES$43-Capital_Trabajo!ES$52-Deuda_Tributos!ES$32-Deuda_Tributos!ES$46</f>
        <v>0</v>
      </c>
      <c r="ET103" s="13" t="n">
        <f aca="false">ES$103+ET$92+Capital_Trabajo!ET$23+Capital_Trabajo!ET$32+Deuda_Tributos!ET$18-Capital_Trabajo!ET$43-Capital_Trabajo!ET$52-Deuda_Tributos!ET$32-Deuda_Tributos!ET$46</f>
        <v>0</v>
      </c>
      <c r="EU103" s="13" t="n">
        <f aca="false">ET$103+EU$92+Capital_Trabajo!EU$23+Capital_Trabajo!EU$32+Deuda_Tributos!EU$18-Capital_Trabajo!EU$43-Capital_Trabajo!EU$52-Deuda_Tributos!EU$32-Deuda_Tributos!EU$46</f>
        <v>0</v>
      </c>
      <c r="EV103" s="13" t="n">
        <f aca="false">EU$103+EV$92+Capital_Trabajo!EV$23+Capital_Trabajo!EV$32+Deuda_Tributos!EV$18-Capital_Trabajo!EV$43-Capital_Trabajo!EV$52-Deuda_Tributos!EV$32-Deuda_Tributos!EV$46</f>
        <v>0</v>
      </c>
      <c r="EW103" s="13" t="n">
        <f aca="false">EV$103+EW$92+Capital_Trabajo!EW$23+Capital_Trabajo!EW$32+Deuda_Tributos!EW$18-Capital_Trabajo!EW$43-Capital_Trabajo!EW$52-Deuda_Tributos!EW$32-Deuda_Tributos!EW$46</f>
        <v>0</v>
      </c>
      <c r="EX103" s="13" t="n">
        <f aca="false">EW$103+EX$92+Capital_Trabajo!EX$23+Capital_Trabajo!EX$32+Deuda_Tributos!EX$18-Capital_Trabajo!EX$43-Capital_Trabajo!EX$52-Deuda_Tributos!EX$32-Deuda_Tributos!EX$46</f>
        <v>0</v>
      </c>
      <c r="EY103" s="13" t="n">
        <f aca="false">EX$103+EY$92+Capital_Trabajo!EY$23+Capital_Trabajo!EY$32+Deuda_Tributos!EY$18-Capital_Trabajo!EY$43-Capital_Trabajo!EY$52-Deuda_Tributos!EY$32-Deuda_Tributos!EY$46</f>
        <v>0</v>
      </c>
      <c r="EZ103" s="13" t="n">
        <f aca="false">EY$103+EZ$92+Capital_Trabajo!EZ$23+Capital_Trabajo!EZ$32+Deuda_Tributos!EZ$18-Capital_Trabajo!EZ$43-Capital_Trabajo!EZ$52-Deuda_Tributos!EZ$32-Deuda_Tributos!EZ$46</f>
        <v>0</v>
      </c>
      <c r="FA103" s="13" t="n">
        <f aca="false">EZ$103+FA$92+Capital_Trabajo!FA$23+Capital_Trabajo!FA$32+Deuda_Tributos!FA$18-Capital_Trabajo!FA$43-Capital_Trabajo!FA$52-Deuda_Tributos!FA$32-Deuda_Tributos!FA$46</f>
        <v>0</v>
      </c>
      <c r="FB103" s="13" t="n">
        <f aca="false">FA$103+FB$92+Capital_Trabajo!FB$23+Capital_Trabajo!FB$32+Deuda_Tributos!FB$18-Capital_Trabajo!FB$43-Capital_Trabajo!FB$52-Deuda_Tributos!FB$32-Deuda_Tributos!FB$46</f>
        <v>0</v>
      </c>
      <c r="FC103" s="13" t="n">
        <f aca="false">FB$103+FC$92+Capital_Trabajo!FC$23+Capital_Trabajo!FC$32+Deuda_Tributos!FC$18-Capital_Trabajo!FC$43-Capital_Trabajo!FC$52-Deuda_Tributos!FC$32-Deuda_Tributos!FC$46</f>
        <v>0</v>
      </c>
      <c r="FD103" s="13" t="n">
        <f aca="false">FC$103+FD$92+Capital_Trabajo!FD$23+Capital_Trabajo!FD$32+Deuda_Tributos!FD$18-Capital_Trabajo!FD$43-Capital_Trabajo!FD$52-Deuda_Tributos!FD$32-Deuda_Tributos!FD$46</f>
        <v>0</v>
      </c>
      <c r="FE103" s="13" t="n">
        <f aca="false">FD$103+FE$92+Capital_Trabajo!FE$23+Capital_Trabajo!FE$32+Deuda_Tributos!FE$18-Capital_Trabajo!FE$43-Capital_Trabajo!FE$52-Deuda_Tributos!FE$32-Deuda_Tributos!FE$46</f>
        <v>0</v>
      </c>
      <c r="FF103" s="13" t="n">
        <f aca="false">FE$103+FF$92+Capital_Trabajo!FF$23+Capital_Trabajo!FF$32+Deuda_Tributos!FF$18-Capital_Trabajo!FF$43-Capital_Trabajo!FF$52-Deuda_Tributos!FF$32-Deuda_Tributos!FF$46</f>
        <v>0</v>
      </c>
    </row>
    <row r="104" customFormat="false" ht="15" hidden="false" customHeight="false" outlineLevel="0" collapsed="false">
      <c r="A104" s="2" t="s">
        <v>1616</v>
      </c>
      <c r="B104" s="8" t="s">
        <v>1617</v>
      </c>
      <c r="C104" s="8" t="s">
        <v>255</v>
      </c>
      <c r="E104" s="65" t="n">
        <f aca="false">INDEX($F104:$FF104,1,p_MesFin+1)</f>
        <v>3593425.23426192</v>
      </c>
      <c r="F104" s="13" t="n">
        <f aca="false">F$100+F$101-F$102+F$103</f>
        <v>200000</v>
      </c>
      <c r="G104" s="13" t="n">
        <f aca="false">G$100+G$101-G$102+G$103</f>
        <v>791444.789980986</v>
      </c>
      <c r="H104" s="13" t="n">
        <f aca="false">H$100+H$101-H$102+H$103</f>
        <v>809645.307732657</v>
      </c>
      <c r="I104" s="13" t="n">
        <f aca="false">I$100+I$101-I$102+I$103</f>
        <v>823146.197652692</v>
      </c>
      <c r="J104" s="13" t="n">
        <f aca="false">J$100+J$101-J$102+J$103</f>
        <v>836647.087572727</v>
      </c>
      <c r="K104" s="13" t="n">
        <f aca="false">K$100+K$101-K$102+K$103</f>
        <v>850147.977492762</v>
      </c>
      <c r="L104" s="13" t="n">
        <f aca="false">L$100+L$101-L$102+L$103</f>
        <v>863648.867412797</v>
      </c>
      <c r="M104" s="13" t="n">
        <f aca="false">M$100+M$101-M$102+M$103</f>
        <v>877149.757332832</v>
      </c>
      <c r="N104" s="13" t="n">
        <f aca="false">N$100+N$101-N$102+N$103</f>
        <v>890998.164511648</v>
      </c>
      <c r="O104" s="13" t="n">
        <f aca="false">O$100+O$101-O$102+O$103</f>
        <v>905196.695328686</v>
      </c>
      <c r="P104" s="13" t="n">
        <f aca="false">P$100+P$101-P$102+P$103</f>
        <v>919747.975711233</v>
      </c>
      <c r="Q104" s="13" t="n">
        <f aca="false">Q$100+Q$101-Q$102+Q$103</f>
        <v>934654.65128103</v>
      </c>
      <c r="R104" s="13" t="n">
        <f aca="false">R$100+R$101-R$102+R$103</f>
        <v>951906.280857872</v>
      </c>
      <c r="S104" s="13" t="n">
        <f aca="false">S$100+S$101-S$102+S$103</f>
        <v>1374111.66957098</v>
      </c>
      <c r="T104" s="13" t="n">
        <f aca="false">T$100+T$101-T$102+T$103</f>
        <v>1427266.17276647</v>
      </c>
      <c r="U104" s="13" t="n">
        <f aca="false">U$100+U$101-U$102+U$103</f>
        <v>1480786.85355156</v>
      </c>
      <c r="V104" s="13" t="n">
        <f aca="false">V$100+V$101-V$102+V$103</f>
        <v>1534676.45825816</v>
      </c>
      <c r="W104" s="13" t="n">
        <f aca="false">W$100+W$101-W$102+W$103</f>
        <v>1588937.7538157</v>
      </c>
      <c r="X104" s="13" t="n">
        <f aca="false">X$100+X$101-X$102+X$103</f>
        <v>1643573.52790555</v>
      </c>
      <c r="Y104" s="13" t="n">
        <f aca="false">Y$100+Y$101-Y$102+Y$103</f>
        <v>1698586.5891167</v>
      </c>
      <c r="Z104" s="13" t="n">
        <f aca="false">Z$100+Z$101-Z$102+Z$103</f>
        <v>1753979.76710257</v>
      </c>
      <c r="AA104" s="13" t="n">
        <f aca="false">AA$100+AA$101-AA$102+AA$103</f>
        <v>1809755.91273896</v>
      </c>
      <c r="AB104" s="13" t="n">
        <f aca="false">AB$100+AB$101-AB$102+AB$103</f>
        <v>1865917.89828326</v>
      </c>
      <c r="AC104" s="13" t="n">
        <f aca="false">AC$100+AC$101-AC$102+AC$103</f>
        <v>1922468.61753477</v>
      </c>
      <c r="AD104" s="13" t="n">
        <f aca="false">AD$100+AD$101-AD$102+AD$103</f>
        <v>1980797.38178288</v>
      </c>
      <c r="AE104" s="13" t="n">
        <f aca="false">AE$100+AE$101-AE$102+AE$103</f>
        <v>2073803.05616333</v>
      </c>
      <c r="AF104" s="13" t="n">
        <f aca="false">AF$100+AF$101-AF$102+AF$103</f>
        <v>2168127.22481657</v>
      </c>
      <c r="AG104" s="13" t="n">
        <f aca="false">AG$100+AG$101-AG$102+AG$103</f>
        <v>2262851.92104308</v>
      </c>
      <c r="AH104" s="13" t="n">
        <f aca="false">AH$100+AH$101-AH$102+AH$103</f>
        <v>2357980.14879967</v>
      </c>
      <c r="AI104" s="13" t="n">
        <f aca="false">AI$100+AI$101-AI$102+AI$103</f>
        <v>2453514.9345728</v>
      </c>
      <c r="AJ104" s="13" t="n">
        <f aca="false">AJ$100+AJ$101-AJ$102+AJ$103</f>
        <v>2549459.32754761</v>
      </c>
      <c r="AK104" s="13" t="n">
        <f aca="false">AK$100+AK$101-AK$102+AK$103</f>
        <v>2645816.39977811</v>
      </c>
      <c r="AL104" s="13" t="n">
        <f aca="false">AL$100+AL$101-AL$102+AL$103</f>
        <v>2742589.2463587</v>
      </c>
      <c r="AM104" s="13" t="n">
        <f aca="false">AM$100+AM$101-AM$102+AM$103</f>
        <v>2839780.98559703</v>
      </c>
      <c r="AN104" s="13" t="n">
        <f aca="false">AN$100+AN$101-AN$102+AN$103</f>
        <v>2937394.75918802</v>
      </c>
      <c r="AO104" s="13" t="n">
        <f aca="false">AO$100+AO$101-AO$102+AO$103</f>
        <v>3035433.73238932</v>
      </c>
      <c r="AP104" s="13" t="n">
        <f aca="false">AP$100+AP$101-AP$102+AP$103</f>
        <v>2788611.41184973</v>
      </c>
      <c r="AQ104" s="13" t="n">
        <f aca="false">AQ$100+AQ$101-AQ$102+AQ$103</f>
        <v>2920004.23624789</v>
      </c>
      <c r="AR104" s="13" t="n">
        <f aca="false">AR$100+AR$101-AR$102+AR$103</f>
        <v>3052148.68746665</v>
      </c>
      <c r="AS104" s="13" t="n">
        <f aca="false">AS$100+AS$101-AS$102+AS$103</f>
        <v>3184731.23850777</v>
      </c>
      <c r="AT104" s="13" t="n">
        <f aca="false">AT$100+AT$101-AT$102+AT$103</f>
        <v>3317755.1751199</v>
      </c>
      <c r="AU104" s="13" t="n">
        <f aca="false">AU$100+AU$101-AU$102+AU$103</f>
        <v>3451223.80769484</v>
      </c>
      <c r="AV104" s="13" t="n">
        <f aca="false">AV$100+AV$101-AV$102+AV$103</f>
        <v>3585140.47145231</v>
      </c>
      <c r="AW104" s="13" t="n">
        <f aca="false">AW$100+AW$101-AW$102+AW$103</f>
        <v>3719508.52662617</v>
      </c>
      <c r="AX104" s="13" t="n">
        <f aca="false">AX$100+AX$101-AX$102+AX$103</f>
        <v>3854331.35865205</v>
      </c>
      <c r="AY104" s="13" t="n">
        <f aca="false">AY$100+AY$101-AY$102+AY$103</f>
        <v>3989612.37835634</v>
      </c>
      <c r="AZ104" s="13" t="n">
        <f aca="false">AZ$100+AZ$101-AZ$102+AZ$103</f>
        <v>4125355.02214662</v>
      </c>
      <c r="BA104" s="13" t="n">
        <f aca="false">BA$100+BA$101-BA$102+BA$103</f>
        <v>4261562.75220355</v>
      </c>
      <c r="BB104" s="13" t="n">
        <f aca="false">BB$100+BB$101-BB$102+BB$103</f>
        <v>3593425.23426192</v>
      </c>
      <c r="BC104" s="13" t="n">
        <f aca="false">BC$100+BC$101-BC$102+BC$103</f>
        <v>3733540.9476567</v>
      </c>
      <c r="BD104" s="13" t="n">
        <f aca="false">BD$100+BD$101-BD$102+BD$103</f>
        <v>3872487.73744968</v>
      </c>
      <c r="BE104" s="13" t="n">
        <f aca="false">BE$100+BE$101-BE$102+BE$103</f>
        <v>4011913.72385021</v>
      </c>
      <c r="BF104" s="13" t="n">
        <f aca="false">BF$100+BF$101-BF$102+BF$103</f>
        <v>4151822.50083286</v>
      </c>
      <c r="BG104" s="13" t="n">
        <f aca="false">BG$100+BG$101-BG$102+BG$103</f>
        <v>4292217.68932699</v>
      </c>
      <c r="BH104" s="13" t="n">
        <f aca="false">BH$100+BH$101-BH$102+BH$103</f>
        <v>4433102.93741895</v>
      </c>
      <c r="BI104" s="13" t="n">
        <f aca="false">BI$100+BI$101-BI$102+BI$103</f>
        <v>4574481.9205557</v>
      </c>
      <c r="BJ104" s="13" t="n">
        <f aca="false">BJ$100+BJ$101-BJ$102+BJ$103</f>
        <v>4716358.34175009</v>
      </c>
      <c r="BK104" s="13" t="n">
        <f aca="false">BK$100+BK$101-BK$102+BK$103</f>
        <v>4858735.93178755</v>
      </c>
      <c r="BL104" s="13" t="n">
        <f aca="false">BL$100+BL$101-BL$102+BL$103</f>
        <v>5001618.4494344</v>
      </c>
      <c r="BM104" s="13" t="n">
        <f aca="false">BM$100+BM$101-BM$102+BM$103</f>
        <v>5145009.68164772</v>
      </c>
      <c r="BN104" s="13" t="n">
        <f aca="false">BN$100+BN$101-BN$102+BN$103</f>
        <v>3593425.23426192</v>
      </c>
      <c r="BO104" s="13" t="n">
        <f aca="false">BO$100+BO$101-BO$102+BO$103</f>
        <v>3743746.11485835</v>
      </c>
      <c r="BP104" s="13" t="n">
        <f aca="false">BP$100+BP$101-BP$102+BP$103</f>
        <v>3893272.44679365</v>
      </c>
      <c r="BQ104" s="13" t="n">
        <f aca="false">BQ$100+BQ$101-BQ$102+BQ$103</f>
        <v>4042798.77872896</v>
      </c>
      <c r="BR104" s="13" t="n">
        <f aca="false">BR$100+BR$101-BR$102+BR$103</f>
        <v>4192325.11066427</v>
      </c>
      <c r="BS104" s="13" t="n">
        <f aca="false">BS$100+BS$101-BS$102+BS$103</f>
        <v>4341851.44259957</v>
      </c>
      <c r="BT104" s="13" t="n">
        <f aca="false">BT$100+BT$101-BT$102+BT$103</f>
        <v>4491377.77453488</v>
      </c>
      <c r="BU104" s="13" t="n">
        <f aca="false">BU$100+BU$101-BU$102+BU$103</f>
        <v>4640904.10647019</v>
      </c>
      <c r="BV104" s="13" t="n">
        <f aca="false">BV$100+BV$101-BV$102+BV$103</f>
        <v>4790430.43840549</v>
      </c>
      <c r="BW104" s="13" t="n">
        <f aca="false">BW$100+BW$101-BW$102+BW$103</f>
        <v>4939956.7703408</v>
      </c>
      <c r="BX104" s="13" t="n">
        <f aca="false">BX$100+BX$101-BX$102+BX$103</f>
        <v>5089483.10227611</v>
      </c>
      <c r="BY104" s="13" t="n">
        <f aca="false">BY$100+BY$101-BY$102+BY$103</f>
        <v>5239009.43421142</v>
      </c>
      <c r="BZ104" s="13" t="n">
        <f aca="false">BZ$100+BZ$101-BZ$102+BZ$103</f>
        <v>3593425.23426192</v>
      </c>
      <c r="CA104" s="13" t="n">
        <f aca="false">CA$100+CA$101-CA$102+CA$103</f>
        <v>3747874.88938713</v>
      </c>
      <c r="CB104" s="13" t="n">
        <f aca="false">CB$100+CB$101-CB$102+CB$103</f>
        <v>3901522.21314817</v>
      </c>
      <c r="CC104" s="13" t="n">
        <f aca="false">CC$100+CC$101-CC$102+CC$103</f>
        <v>4055169.53690922</v>
      </c>
      <c r="CD104" s="13" t="n">
        <f aca="false">CD$100+CD$101-CD$102+CD$103</f>
        <v>4208816.86067026</v>
      </c>
      <c r="CE104" s="13" t="n">
        <f aca="false">CE$100+CE$101-CE$102+CE$103</f>
        <v>4362464.1844313</v>
      </c>
      <c r="CF104" s="13" t="n">
        <f aca="false">CF$100+CF$101-CF$102+CF$103</f>
        <v>4516111.50819235</v>
      </c>
      <c r="CG104" s="13" t="n">
        <f aca="false">CG$100+CG$101-CG$102+CG$103</f>
        <v>4669758.83195339</v>
      </c>
      <c r="CH104" s="13" t="n">
        <f aca="false">CH$100+CH$101-CH$102+CH$103</f>
        <v>4823406.15571444</v>
      </c>
      <c r="CI104" s="13" t="n">
        <f aca="false">CI$100+CI$101-CI$102+CI$103</f>
        <v>4977053.47947548</v>
      </c>
      <c r="CJ104" s="13" t="n">
        <f aca="false">CJ$100+CJ$101-CJ$102+CJ$103</f>
        <v>5130700.80323652</v>
      </c>
      <c r="CK104" s="13" t="n">
        <f aca="false">CK$100+CK$101-CK$102+CK$103</f>
        <v>5284348.12699757</v>
      </c>
      <c r="CL104" s="13" t="n">
        <f aca="false">CL$100+CL$101-CL$102+CL$103</f>
        <v>3593425.23426191</v>
      </c>
      <c r="CM104" s="13" t="n">
        <f aca="false">CM$100+CM$101-CM$102+CM$103</f>
        <v>3752033.10511094</v>
      </c>
      <c r="CN104" s="13" t="n">
        <f aca="false">CN$100+CN$101-CN$102+CN$103</f>
        <v>3909830.78406572</v>
      </c>
      <c r="CO104" s="13" t="n">
        <f aca="false">CO$100+CO$101-CO$102+CO$103</f>
        <v>4067628.46302049</v>
      </c>
      <c r="CP104" s="13" t="n">
        <f aca="false">CP$100+CP$101-CP$102+CP$103</f>
        <v>4225426.14197527</v>
      </c>
      <c r="CQ104" s="13" t="n">
        <f aca="false">CQ$100+CQ$101-CQ$102+CQ$103</f>
        <v>4383223.82093005</v>
      </c>
      <c r="CR104" s="13" t="n">
        <f aca="false">CR$100+CR$101-CR$102+CR$103</f>
        <v>4541021.49988483</v>
      </c>
      <c r="CS104" s="13" t="n">
        <f aca="false">CS$100+CS$101-CS$102+CS$103</f>
        <v>4698819.17883961</v>
      </c>
      <c r="CT104" s="13" t="n">
        <f aca="false">CT$100+CT$101-CT$102+CT$103</f>
        <v>4856616.85779438</v>
      </c>
      <c r="CU104" s="13" t="n">
        <f aca="false">CU$100+CU$101-CU$102+CU$103</f>
        <v>5014414.53674916</v>
      </c>
      <c r="CV104" s="13" t="n">
        <f aca="false">CV$100+CV$101-CV$102+CV$103</f>
        <v>5172212.21570394</v>
      </c>
      <c r="CW104" s="13" t="n">
        <f aca="false">CW$100+CW$101-CW$102+CW$103</f>
        <v>5330009.89465872</v>
      </c>
      <c r="CX104" s="13" t="n">
        <f aca="false">CX$100+CX$101-CX$102+CX$103</f>
        <v>3593425.23426191</v>
      </c>
      <c r="CY104" s="13" t="n">
        <f aca="false">CY$100+CY$101-CY$102+CY$103</f>
        <v>3756220.68544852</v>
      </c>
      <c r="CZ104" s="13" t="n">
        <f aca="false">CZ$100+CZ$101-CZ$102+CZ$103</f>
        <v>3918198.0056055</v>
      </c>
      <c r="DA104" s="13" t="n">
        <f aca="false">DA$100+DA$101-DA$102+DA$103</f>
        <v>4080175.32576248</v>
      </c>
      <c r="DB104" s="13" t="n">
        <f aca="false">DB$100+DB$101-DB$102+DB$103</f>
        <v>4242152.64591947</v>
      </c>
      <c r="DC104" s="13" t="n">
        <f aca="false">DC$100+DC$101-DC$102+DC$103</f>
        <v>4404129.96607645</v>
      </c>
      <c r="DD104" s="13" t="n">
        <f aca="false">DD$100+DD$101-DD$102+DD$103</f>
        <v>4566107.28623343</v>
      </c>
      <c r="DE104" s="13" t="n">
        <f aca="false">DE$100+DE$101-DE$102+DE$103</f>
        <v>4728084.60639041</v>
      </c>
      <c r="DF104" s="13" t="n">
        <f aca="false">DF$100+DF$101-DF$102+DF$103</f>
        <v>4890061.92654739</v>
      </c>
      <c r="DG104" s="13" t="n">
        <f aca="false">DG$100+DG$101-DG$102+DG$103</f>
        <v>5052039.24670438</v>
      </c>
      <c r="DH104" s="13" t="n">
        <f aca="false">DH$100+DH$101-DH$102+DH$103</f>
        <v>5214016.56686136</v>
      </c>
      <c r="DI104" s="13" t="n">
        <f aca="false">DI$100+DI$101-DI$102+DI$103</f>
        <v>5375993.88701834</v>
      </c>
      <c r="DJ104" s="13" t="n">
        <f aca="false">DJ$100+DJ$101-DJ$102+DJ$103</f>
        <v>3593425.23426191</v>
      </c>
      <c r="DK104" s="13" t="n">
        <f aca="false">DK$100+DK$101-DK$102+DK$103</f>
        <v>3760437.54192301</v>
      </c>
      <c r="DL104" s="13" t="n">
        <f aca="false">DL$100+DL$101-DL$102+DL$103</f>
        <v>3926623.70002775</v>
      </c>
      <c r="DM104" s="13" t="n">
        <f aca="false">DM$100+DM$101-DM$102+DM$103</f>
        <v>4092809.85813248</v>
      </c>
      <c r="DN104" s="13" t="n">
        <f aca="false">DN$100+DN$101-DN$102+DN$103</f>
        <v>4258996.01623722</v>
      </c>
      <c r="DO104" s="13" t="n">
        <f aca="false">DO$100+DO$101-DO$102+DO$103</f>
        <v>4425182.17434196</v>
      </c>
      <c r="DP104" s="13" t="n">
        <f aca="false">DP$100+DP$101-DP$102+DP$103</f>
        <v>4591368.33244669</v>
      </c>
      <c r="DQ104" s="13" t="n">
        <f aca="false">DQ$100+DQ$101-DQ$102+DQ$103</f>
        <v>4757554.49055143</v>
      </c>
      <c r="DR104" s="13" t="n">
        <f aca="false">DR$100+DR$101-DR$102+DR$103</f>
        <v>4923740.64865617</v>
      </c>
      <c r="DS104" s="13" t="n">
        <f aca="false">DS$100+DS$101-DS$102+DS$103</f>
        <v>5089926.8067609</v>
      </c>
      <c r="DT104" s="13" t="n">
        <f aca="false">DT$100+DT$101-DT$102+DT$103</f>
        <v>5256112.96486564</v>
      </c>
      <c r="DU104" s="13" t="n">
        <f aca="false">DU$100+DU$101-DU$102+DU$103</f>
        <v>5422299.12297037</v>
      </c>
      <c r="DV104" s="13" t="n">
        <f aca="false">DV$100+DV$101-DV$102+DV$103</f>
        <v>3593425.23426192</v>
      </c>
      <c r="DW104" s="13" t="n">
        <f aca="false">DW$100+DW$101-DW$102+DW$103</f>
        <v>3593425.23426192</v>
      </c>
      <c r="DX104" s="13" t="n">
        <f aca="false">DX$100+DX$101-DX$102+DX$103</f>
        <v>3593425.23426192</v>
      </c>
      <c r="DY104" s="13" t="n">
        <f aca="false">DY$100+DY$101-DY$102+DY$103</f>
        <v>3593425.23426192</v>
      </c>
      <c r="DZ104" s="13" t="n">
        <f aca="false">DZ$100+DZ$101-DZ$102+DZ$103</f>
        <v>3593425.23426192</v>
      </c>
      <c r="EA104" s="13" t="n">
        <f aca="false">EA$100+EA$101-EA$102+EA$103</f>
        <v>3593425.23426192</v>
      </c>
      <c r="EB104" s="13" t="n">
        <f aca="false">EB$100+EB$101-EB$102+EB$103</f>
        <v>3593425.23426192</v>
      </c>
      <c r="EC104" s="13" t="n">
        <f aca="false">EC$100+EC$101-EC$102+EC$103</f>
        <v>3593425.23426192</v>
      </c>
      <c r="ED104" s="13" t="n">
        <f aca="false">ED$100+ED$101-ED$102+ED$103</f>
        <v>3593425.23426192</v>
      </c>
      <c r="EE104" s="13" t="n">
        <f aca="false">EE$100+EE$101-EE$102+EE$103</f>
        <v>3593425.23426192</v>
      </c>
      <c r="EF104" s="13" t="n">
        <f aca="false">EF$100+EF$101-EF$102+EF$103</f>
        <v>3593425.23426192</v>
      </c>
      <c r="EG104" s="13" t="n">
        <f aca="false">EG$100+EG$101-EG$102+EG$103</f>
        <v>3593425.23426192</v>
      </c>
      <c r="EH104" s="13" t="n">
        <f aca="false">EH$100+EH$101-EH$102+EH$103</f>
        <v>3593425.23426192</v>
      </c>
      <c r="EI104" s="13" t="n">
        <f aca="false">EI$100+EI$101-EI$102+EI$103</f>
        <v>3593425.23426192</v>
      </c>
      <c r="EJ104" s="13" t="n">
        <f aca="false">EJ$100+EJ$101-EJ$102+EJ$103</f>
        <v>3593425.23426192</v>
      </c>
      <c r="EK104" s="13" t="n">
        <f aca="false">EK$100+EK$101-EK$102+EK$103</f>
        <v>3593425.23426192</v>
      </c>
      <c r="EL104" s="13" t="n">
        <f aca="false">EL$100+EL$101-EL$102+EL$103</f>
        <v>3593425.23426192</v>
      </c>
      <c r="EM104" s="13" t="n">
        <f aca="false">EM$100+EM$101-EM$102+EM$103</f>
        <v>3593425.23426192</v>
      </c>
      <c r="EN104" s="13" t="n">
        <f aca="false">EN$100+EN$101-EN$102+EN$103</f>
        <v>3593425.23426192</v>
      </c>
      <c r="EO104" s="13" t="n">
        <f aca="false">EO$100+EO$101-EO$102+EO$103</f>
        <v>3593425.23426192</v>
      </c>
      <c r="EP104" s="13" t="n">
        <f aca="false">EP$100+EP$101-EP$102+EP$103</f>
        <v>3593425.23426192</v>
      </c>
      <c r="EQ104" s="13" t="n">
        <f aca="false">EQ$100+EQ$101-EQ$102+EQ$103</f>
        <v>3593425.23426192</v>
      </c>
      <c r="ER104" s="13" t="n">
        <f aca="false">ER$100+ER$101-ER$102+ER$103</f>
        <v>3593425.23426192</v>
      </c>
      <c r="ES104" s="13" t="n">
        <f aca="false">ES$100+ES$101-ES$102+ES$103</f>
        <v>3593425.23426192</v>
      </c>
      <c r="ET104" s="13" t="n">
        <f aca="false">ET$100+ET$101-ET$102+ET$103</f>
        <v>3593425.23426192</v>
      </c>
      <c r="EU104" s="13" t="n">
        <f aca="false">EU$100+EU$101-EU$102+EU$103</f>
        <v>3593425.23426192</v>
      </c>
      <c r="EV104" s="13" t="n">
        <f aca="false">EV$100+EV$101-EV$102+EV$103</f>
        <v>3593425.23426192</v>
      </c>
      <c r="EW104" s="13" t="n">
        <f aca="false">EW$100+EW$101-EW$102+EW$103</f>
        <v>3593425.23426192</v>
      </c>
      <c r="EX104" s="13" t="n">
        <f aca="false">EX$100+EX$101-EX$102+EX$103</f>
        <v>3593425.23426192</v>
      </c>
      <c r="EY104" s="13" t="n">
        <f aca="false">EY$100+EY$101-EY$102+EY$103</f>
        <v>3593425.23426192</v>
      </c>
      <c r="EZ104" s="13" t="n">
        <f aca="false">EZ$100+EZ$101-EZ$102+EZ$103</f>
        <v>3593425.23426192</v>
      </c>
      <c r="FA104" s="13" t="n">
        <f aca="false">FA$100+FA$101-FA$102+FA$103</f>
        <v>3593425.23426192</v>
      </c>
      <c r="FB104" s="13" t="n">
        <f aca="false">FB$100+FB$101-FB$102+FB$103</f>
        <v>3593425.23426192</v>
      </c>
      <c r="FC104" s="13" t="n">
        <f aca="false">FC$100+FC$101-FC$102+FC$103</f>
        <v>3593425.23426192</v>
      </c>
      <c r="FD104" s="13" t="n">
        <f aca="false">FD$100+FD$101-FD$102+FD$103</f>
        <v>3593425.23426192</v>
      </c>
      <c r="FE104" s="13" t="n">
        <f aca="false">FE$100+FE$101-FE$102+FE$103</f>
        <v>3593425.23426192</v>
      </c>
      <c r="FF104" s="13" t="n">
        <f aca="false">FF$100+FF$101-FF$102+FF$103</f>
        <v>3593425.23426192</v>
      </c>
    </row>
    <row r="105" customFormat="false" ht="15" hidden="false" customHeight="false" outlineLevel="0" collapsed="false">
      <c r="A105" s="2" t="s">
        <v>1618</v>
      </c>
      <c r="B105" s="66" t="s">
        <v>1619</v>
      </c>
      <c r="C105" s="8" t="s">
        <v>255</v>
      </c>
      <c r="E105" s="72" t="n">
        <f aca="false">MAX($F105:$FF105)</f>
        <v>0</v>
      </c>
      <c r="F105" s="18" t="n">
        <f aca="false">ROUND(F$98-F$99-F$104,2)</f>
        <v>0</v>
      </c>
      <c r="G105" s="18" t="n">
        <f aca="false">ROUND(G$98-G$99-G$104,2)</f>
        <v>0</v>
      </c>
      <c r="H105" s="18" t="n">
        <f aca="false">ROUND(H$98-H$99-H$104,2)</f>
        <v>0</v>
      </c>
      <c r="I105" s="18" t="n">
        <f aca="false">ROUND(I$98-I$99-I$104,2)</f>
        <v>0</v>
      </c>
      <c r="J105" s="18" t="n">
        <f aca="false">ROUND(J$98-J$99-J$104,2)</f>
        <v>0</v>
      </c>
      <c r="K105" s="18" t="n">
        <f aca="false">ROUND(K$98-K$99-K$104,2)</f>
        <v>0</v>
      </c>
      <c r="L105" s="18" t="n">
        <f aca="false">ROUND(L$98-L$99-L$104,2)</f>
        <v>0</v>
      </c>
      <c r="M105" s="18" t="n">
        <f aca="false">ROUND(M$98-M$99-M$104,2)</f>
        <v>0</v>
      </c>
      <c r="N105" s="18" t="n">
        <f aca="false">ROUND(N$98-N$99-N$104,2)</f>
        <v>0</v>
      </c>
      <c r="O105" s="18" t="n">
        <f aca="false">ROUND(O$98-O$99-O$104,2)</f>
        <v>0</v>
      </c>
      <c r="P105" s="18" t="n">
        <f aca="false">ROUND(P$98-P$99-P$104,2)</f>
        <v>0</v>
      </c>
      <c r="Q105" s="18" t="n">
        <f aca="false">ROUND(Q$98-Q$99-Q$104,2)</f>
        <v>0</v>
      </c>
      <c r="R105" s="18" t="n">
        <f aca="false">ROUND(R$98-R$99-R$104,2)</f>
        <v>0</v>
      </c>
      <c r="S105" s="18" t="n">
        <f aca="false">ROUND(S$98-S$99-S$104,2)</f>
        <v>0</v>
      </c>
      <c r="T105" s="18" t="n">
        <f aca="false">ROUND(T$98-T$99-T$104,2)</f>
        <v>0</v>
      </c>
      <c r="U105" s="18" t="n">
        <f aca="false">ROUND(U$98-U$99-U$104,2)</f>
        <v>0</v>
      </c>
      <c r="V105" s="18" t="n">
        <f aca="false">ROUND(V$98-V$99-V$104,2)</f>
        <v>0</v>
      </c>
      <c r="W105" s="18" t="n">
        <f aca="false">ROUND(W$98-W$99-W$104,2)</f>
        <v>0</v>
      </c>
      <c r="X105" s="18" t="n">
        <f aca="false">ROUND(X$98-X$99-X$104,2)</f>
        <v>0</v>
      </c>
      <c r="Y105" s="18" t="n">
        <f aca="false">ROUND(Y$98-Y$99-Y$104,2)</f>
        <v>0</v>
      </c>
      <c r="Z105" s="18" t="n">
        <f aca="false">ROUND(Z$98-Z$99-Z$104,2)</f>
        <v>0</v>
      </c>
      <c r="AA105" s="18" t="n">
        <f aca="false">ROUND(AA$98-AA$99-AA$104,2)</f>
        <v>0</v>
      </c>
      <c r="AB105" s="18" t="n">
        <f aca="false">ROUND(AB$98-AB$99-AB$104,2)</f>
        <v>0</v>
      </c>
      <c r="AC105" s="18" t="n">
        <f aca="false">ROUND(AC$98-AC$99-AC$104,2)</f>
        <v>0</v>
      </c>
      <c r="AD105" s="18" t="n">
        <f aca="false">ROUND(AD$98-AD$99-AD$104,2)</f>
        <v>0</v>
      </c>
      <c r="AE105" s="18" t="n">
        <f aca="false">ROUND(AE$98-AE$99-AE$104,2)</f>
        <v>0</v>
      </c>
      <c r="AF105" s="18" t="n">
        <f aca="false">ROUND(AF$98-AF$99-AF$104,2)</f>
        <v>0</v>
      </c>
      <c r="AG105" s="18" t="n">
        <f aca="false">ROUND(AG$98-AG$99-AG$104,2)</f>
        <v>0</v>
      </c>
      <c r="AH105" s="18" t="n">
        <f aca="false">ROUND(AH$98-AH$99-AH$104,2)</f>
        <v>0</v>
      </c>
      <c r="AI105" s="18" t="n">
        <f aca="false">ROUND(AI$98-AI$99-AI$104,2)</f>
        <v>0</v>
      </c>
      <c r="AJ105" s="18" t="n">
        <f aca="false">ROUND(AJ$98-AJ$99-AJ$104,2)</f>
        <v>0</v>
      </c>
      <c r="AK105" s="18" t="n">
        <f aca="false">ROUND(AK$98-AK$99-AK$104,2)</f>
        <v>0</v>
      </c>
      <c r="AL105" s="18" t="n">
        <f aca="false">ROUND(AL$98-AL$99-AL$104,2)</f>
        <v>0</v>
      </c>
      <c r="AM105" s="18" t="n">
        <f aca="false">ROUND(AM$98-AM$99-AM$104,2)</f>
        <v>0</v>
      </c>
      <c r="AN105" s="18" t="n">
        <f aca="false">ROUND(AN$98-AN$99-AN$104,2)</f>
        <v>0</v>
      </c>
      <c r="AO105" s="18" t="n">
        <f aca="false">ROUND(AO$98-AO$99-AO$104,2)</f>
        <v>0</v>
      </c>
      <c r="AP105" s="18" t="n">
        <f aca="false">ROUND(AP$98-AP$99-AP$104,2)</f>
        <v>0</v>
      </c>
      <c r="AQ105" s="18" t="n">
        <f aca="false">ROUND(AQ$98-AQ$99-AQ$104,2)</f>
        <v>0</v>
      </c>
      <c r="AR105" s="18" t="n">
        <f aca="false">ROUND(AR$98-AR$99-AR$104,2)</f>
        <v>0</v>
      </c>
      <c r="AS105" s="18" t="n">
        <f aca="false">ROUND(AS$98-AS$99-AS$104,2)</f>
        <v>0</v>
      </c>
      <c r="AT105" s="18" t="n">
        <f aca="false">ROUND(AT$98-AT$99-AT$104,2)</f>
        <v>0</v>
      </c>
      <c r="AU105" s="18" t="n">
        <f aca="false">ROUND(AU$98-AU$99-AU$104,2)</f>
        <v>0</v>
      </c>
      <c r="AV105" s="18" t="n">
        <f aca="false">ROUND(AV$98-AV$99-AV$104,2)</f>
        <v>0</v>
      </c>
      <c r="AW105" s="18" t="n">
        <f aca="false">ROUND(AW$98-AW$99-AW$104,2)</f>
        <v>0</v>
      </c>
      <c r="AX105" s="18" t="n">
        <f aca="false">ROUND(AX$98-AX$99-AX$104,2)</f>
        <v>0</v>
      </c>
      <c r="AY105" s="18" t="n">
        <f aca="false">ROUND(AY$98-AY$99-AY$104,2)</f>
        <v>0</v>
      </c>
      <c r="AZ105" s="18" t="n">
        <f aca="false">ROUND(AZ$98-AZ$99-AZ$104,2)</f>
        <v>0</v>
      </c>
      <c r="BA105" s="18" t="n">
        <f aca="false">ROUND(BA$98-BA$99-BA$104,2)</f>
        <v>0</v>
      </c>
      <c r="BB105" s="18" t="n">
        <f aca="false">ROUND(BB$98-BB$99-BB$104,2)</f>
        <v>0</v>
      </c>
      <c r="BC105" s="18" t="n">
        <f aca="false">ROUND(BC$98-BC$99-BC$104,2)</f>
        <v>0</v>
      </c>
      <c r="BD105" s="18" t="n">
        <f aca="false">ROUND(BD$98-BD$99-BD$104,2)</f>
        <v>0</v>
      </c>
      <c r="BE105" s="18" t="n">
        <f aca="false">ROUND(BE$98-BE$99-BE$104,2)</f>
        <v>0</v>
      </c>
      <c r="BF105" s="18" t="n">
        <f aca="false">ROUND(BF$98-BF$99-BF$104,2)</f>
        <v>0</v>
      </c>
      <c r="BG105" s="18" t="n">
        <f aca="false">ROUND(BG$98-BG$99-BG$104,2)</f>
        <v>0</v>
      </c>
      <c r="BH105" s="18" t="n">
        <f aca="false">ROUND(BH$98-BH$99-BH$104,2)</f>
        <v>0</v>
      </c>
      <c r="BI105" s="18" t="n">
        <f aca="false">ROUND(BI$98-BI$99-BI$104,2)</f>
        <v>0</v>
      </c>
      <c r="BJ105" s="18" t="n">
        <f aca="false">ROUND(BJ$98-BJ$99-BJ$104,2)</f>
        <v>0</v>
      </c>
      <c r="BK105" s="18" t="n">
        <f aca="false">ROUND(BK$98-BK$99-BK$104,2)</f>
        <v>0</v>
      </c>
      <c r="BL105" s="18" t="n">
        <f aca="false">ROUND(BL$98-BL$99-BL$104,2)</f>
        <v>0</v>
      </c>
      <c r="BM105" s="18" t="n">
        <f aca="false">ROUND(BM$98-BM$99-BM$104,2)</f>
        <v>0</v>
      </c>
      <c r="BN105" s="18" t="n">
        <f aca="false">ROUND(BN$98-BN$99-BN$104,2)</f>
        <v>0</v>
      </c>
      <c r="BO105" s="18" t="n">
        <f aca="false">ROUND(BO$98-BO$99-BO$104,2)</f>
        <v>0</v>
      </c>
      <c r="BP105" s="18" t="n">
        <f aca="false">ROUND(BP$98-BP$99-BP$104,2)</f>
        <v>0</v>
      </c>
      <c r="BQ105" s="18" t="n">
        <f aca="false">ROUND(BQ$98-BQ$99-BQ$104,2)</f>
        <v>0</v>
      </c>
      <c r="BR105" s="18" t="n">
        <f aca="false">ROUND(BR$98-BR$99-BR$104,2)</f>
        <v>0</v>
      </c>
      <c r="BS105" s="18" t="n">
        <f aca="false">ROUND(BS$98-BS$99-BS$104,2)</f>
        <v>0</v>
      </c>
      <c r="BT105" s="18" t="n">
        <f aca="false">ROUND(BT$98-BT$99-BT$104,2)</f>
        <v>0</v>
      </c>
      <c r="BU105" s="18" t="n">
        <f aca="false">ROUND(BU$98-BU$99-BU$104,2)</f>
        <v>0</v>
      </c>
      <c r="BV105" s="18" t="n">
        <f aca="false">ROUND(BV$98-BV$99-BV$104,2)</f>
        <v>0</v>
      </c>
      <c r="BW105" s="18" t="n">
        <f aca="false">ROUND(BW$98-BW$99-BW$104,2)</f>
        <v>0</v>
      </c>
      <c r="BX105" s="18" t="n">
        <f aca="false">ROUND(BX$98-BX$99-BX$104,2)</f>
        <v>0</v>
      </c>
      <c r="BY105" s="18" t="n">
        <f aca="false">ROUND(BY$98-BY$99-BY$104,2)</f>
        <v>0</v>
      </c>
      <c r="BZ105" s="18" t="n">
        <f aca="false">ROUND(BZ$98-BZ$99-BZ$104,2)</f>
        <v>0</v>
      </c>
      <c r="CA105" s="18" t="n">
        <f aca="false">ROUND(CA$98-CA$99-CA$104,2)</f>
        <v>0</v>
      </c>
      <c r="CB105" s="18" t="n">
        <f aca="false">ROUND(CB$98-CB$99-CB$104,2)</f>
        <v>0</v>
      </c>
      <c r="CC105" s="18" t="n">
        <f aca="false">ROUND(CC$98-CC$99-CC$104,2)</f>
        <v>0</v>
      </c>
      <c r="CD105" s="18" t="n">
        <f aca="false">ROUND(CD$98-CD$99-CD$104,2)</f>
        <v>0</v>
      </c>
      <c r="CE105" s="18" t="n">
        <f aca="false">ROUND(CE$98-CE$99-CE$104,2)</f>
        <v>0</v>
      </c>
      <c r="CF105" s="18" t="n">
        <f aca="false">ROUND(CF$98-CF$99-CF$104,2)</f>
        <v>0</v>
      </c>
      <c r="CG105" s="18" t="n">
        <f aca="false">ROUND(CG$98-CG$99-CG$104,2)</f>
        <v>0</v>
      </c>
      <c r="CH105" s="18" t="n">
        <f aca="false">ROUND(CH$98-CH$99-CH$104,2)</f>
        <v>0</v>
      </c>
      <c r="CI105" s="18" t="n">
        <f aca="false">ROUND(CI$98-CI$99-CI$104,2)</f>
        <v>0</v>
      </c>
      <c r="CJ105" s="18" t="n">
        <f aca="false">ROUND(CJ$98-CJ$99-CJ$104,2)</f>
        <v>0</v>
      </c>
      <c r="CK105" s="18" t="n">
        <f aca="false">ROUND(CK$98-CK$99-CK$104,2)</f>
        <v>0</v>
      </c>
      <c r="CL105" s="18" t="n">
        <f aca="false">ROUND(CL$98-CL$99-CL$104,2)</f>
        <v>0</v>
      </c>
      <c r="CM105" s="18" t="n">
        <f aca="false">ROUND(CM$98-CM$99-CM$104,2)</f>
        <v>0</v>
      </c>
      <c r="CN105" s="18" t="n">
        <f aca="false">ROUND(CN$98-CN$99-CN$104,2)</f>
        <v>0</v>
      </c>
      <c r="CO105" s="18" t="n">
        <f aca="false">ROUND(CO$98-CO$99-CO$104,2)</f>
        <v>0</v>
      </c>
      <c r="CP105" s="18" t="n">
        <f aca="false">ROUND(CP$98-CP$99-CP$104,2)</f>
        <v>0</v>
      </c>
      <c r="CQ105" s="18" t="n">
        <f aca="false">ROUND(CQ$98-CQ$99-CQ$104,2)</f>
        <v>0</v>
      </c>
      <c r="CR105" s="18" t="n">
        <f aca="false">ROUND(CR$98-CR$99-CR$104,2)</f>
        <v>0</v>
      </c>
      <c r="CS105" s="18" t="n">
        <f aca="false">ROUND(CS$98-CS$99-CS$104,2)</f>
        <v>0</v>
      </c>
      <c r="CT105" s="18" t="n">
        <f aca="false">ROUND(CT$98-CT$99-CT$104,2)</f>
        <v>0</v>
      </c>
      <c r="CU105" s="18" t="n">
        <f aca="false">ROUND(CU$98-CU$99-CU$104,2)</f>
        <v>0</v>
      </c>
      <c r="CV105" s="18" t="n">
        <f aca="false">ROUND(CV$98-CV$99-CV$104,2)</f>
        <v>0</v>
      </c>
      <c r="CW105" s="18" t="n">
        <f aca="false">ROUND(CW$98-CW$99-CW$104,2)</f>
        <v>0</v>
      </c>
      <c r="CX105" s="18" t="n">
        <f aca="false">ROUND(CX$98-CX$99-CX$104,2)</f>
        <v>0</v>
      </c>
      <c r="CY105" s="18" t="n">
        <f aca="false">ROUND(CY$98-CY$99-CY$104,2)</f>
        <v>0</v>
      </c>
      <c r="CZ105" s="18" t="n">
        <f aca="false">ROUND(CZ$98-CZ$99-CZ$104,2)</f>
        <v>0</v>
      </c>
      <c r="DA105" s="18" t="n">
        <f aca="false">ROUND(DA$98-DA$99-DA$104,2)</f>
        <v>0</v>
      </c>
      <c r="DB105" s="18" t="n">
        <f aca="false">ROUND(DB$98-DB$99-DB$104,2)</f>
        <v>0</v>
      </c>
      <c r="DC105" s="18" t="n">
        <f aca="false">ROUND(DC$98-DC$99-DC$104,2)</f>
        <v>0</v>
      </c>
      <c r="DD105" s="18" t="n">
        <f aca="false">ROUND(DD$98-DD$99-DD$104,2)</f>
        <v>0</v>
      </c>
      <c r="DE105" s="18" t="n">
        <f aca="false">ROUND(DE$98-DE$99-DE$104,2)</f>
        <v>0</v>
      </c>
      <c r="DF105" s="18" t="n">
        <f aca="false">ROUND(DF$98-DF$99-DF$104,2)</f>
        <v>0</v>
      </c>
      <c r="DG105" s="18" t="n">
        <f aca="false">ROUND(DG$98-DG$99-DG$104,2)</f>
        <v>0</v>
      </c>
      <c r="DH105" s="18" t="n">
        <f aca="false">ROUND(DH$98-DH$99-DH$104,2)</f>
        <v>0</v>
      </c>
      <c r="DI105" s="18" t="n">
        <f aca="false">ROUND(DI$98-DI$99-DI$104,2)</f>
        <v>0</v>
      </c>
      <c r="DJ105" s="18" t="n">
        <f aca="false">ROUND(DJ$98-DJ$99-DJ$104,2)</f>
        <v>0</v>
      </c>
      <c r="DK105" s="18" t="n">
        <f aca="false">ROUND(DK$98-DK$99-DK$104,2)</f>
        <v>0</v>
      </c>
      <c r="DL105" s="18" t="n">
        <f aca="false">ROUND(DL$98-DL$99-DL$104,2)</f>
        <v>0</v>
      </c>
      <c r="DM105" s="18" t="n">
        <f aca="false">ROUND(DM$98-DM$99-DM$104,2)</f>
        <v>0</v>
      </c>
      <c r="DN105" s="18" t="n">
        <f aca="false">ROUND(DN$98-DN$99-DN$104,2)</f>
        <v>0</v>
      </c>
      <c r="DO105" s="18" t="n">
        <f aca="false">ROUND(DO$98-DO$99-DO$104,2)</f>
        <v>0</v>
      </c>
      <c r="DP105" s="18" t="n">
        <f aca="false">ROUND(DP$98-DP$99-DP$104,2)</f>
        <v>0</v>
      </c>
      <c r="DQ105" s="18" t="n">
        <f aca="false">ROUND(DQ$98-DQ$99-DQ$104,2)</f>
        <v>0</v>
      </c>
      <c r="DR105" s="18" t="n">
        <f aca="false">ROUND(DR$98-DR$99-DR$104,2)</f>
        <v>0</v>
      </c>
      <c r="DS105" s="18" t="n">
        <f aca="false">ROUND(DS$98-DS$99-DS$104,2)</f>
        <v>0</v>
      </c>
      <c r="DT105" s="18" t="n">
        <f aca="false">ROUND(DT$98-DT$99-DT$104,2)</f>
        <v>0</v>
      </c>
      <c r="DU105" s="18" t="n">
        <f aca="false">ROUND(DU$98-DU$99-DU$104,2)</f>
        <v>0</v>
      </c>
      <c r="DV105" s="18" t="n">
        <f aca="false">ROUND(DV$98-DV$99-DV$104,2)</f>
        <v>0</v>
      </c>
      <c r="DW105" s="18" t="n">
        <f aca="false">ROUND(DW$98-DW$99-DW$104,2)</f>
        <v>0</v>
      </c>
      <c r="DX105" s="18" t="n">
        <f aca="false">ROUND(DX$98-DX$99-DX$104,2)</f>
        <v>0</v>
      </c>
      <c r="DY105" s="18" t="n">
        <f aca="false">ROUND(DY$98-DY$99-DY$104,2)</f>
        <v>0</v>
      </c>
      <c r="DZ105" s="18" t="n">
        <f aca="false">ROUND(DZ$98-DZ$99-DZ$104,2)</f>
        <v>0</v>
      </c>
      <c r="EA105" s="18" t="n">
        <f aca="false">ROUND(EA$98-EA$99-EA$104,2)</f>
        <v>0</v>
      </c>
      <c r="EB105" s="18" t="n">
        <f aca="false">ROUND(EB$98-EB$99-EB$104,2)</f>
        <v>0</v>
      </c>
      <c r="EC105" s="18" t="n">
        <f aca="false">ROUND(EC$98-EC$99-EC$104,2)</f>
        <v>0</v>
      </c>
      <c r="ED105" s="18" t="n">
        <f aca="false">ROUND(ED$98-ED$99-ED$104,2)</f>
        <v>0</v>
      </c>
      <c r="EE105" s="18" t="n">
        <f aca="false">ROUND(EE$98-EE$99-EE$104,2)</f>
        <v>0</v>
      </c>
      <c r="EF105" s="18" t="n">
        <f aca="false">ROUND(EF$98-EF$99-EF$104,2)</f>
        <v>0</v>
      </c>
      <c r="EG105" s="18" t="n">
        <f aca="false">ROUND(EG$98-EG$99-EG$104,2)</f>
        <v>0</v>
      </c>
      <c r="EH105" s="18" t="n">
        <f aca="false">ROUND(EH$98-EH$99-EH$104,2)</f>
        <v>0</v>
      </c>
      <c r="EI105" s="18" t="n">
        <f aca="false">ROUND(EI$98-EI$99-EI$104,2)</f>
        <v>0</v>
      </c>
      <c r="EJ105" s="18" t="n">
        <f aca="false">ROUND(EJ$98-EJ$99-EJ$104,2)</f>
        <v>0</v>
      </c>
      <c r="EK105" s="18" t="n">
        <f aca="false">ROUND(EK$98-EK$99-EK$104,2)</f>
        <v>0</v>
      </c>
      <c r="EL105" s="18" t="n">
        <f aca="false">ROUND(EL$98-EL$99-EL$104,2)</f>
        <v>0</v>
      </c>
      <c r="EM105" s="18" t="n">
        <f aca="false">ROUND(EM$98-EM$99-EM$104,2)</f>
        <v>0</v>
      </c>
      <c r="EN105" s="18" t="n">
        <f aca="false">ROUND(EN$98-EN$99-EN$104,2)</f>
        <v>0</v>
      </c>
      <c r="EO105" s="18" t="n">
        <f aca="false">ROUND(EO$98-EO$99-EO$104,2)</f>
        <v>0</v>
      </c>
      <c r="EP105" s="18" t="n">
        <f aca="false">ROUND(EP$98-EP$99-EP$104,2)</f>
        <v>0</v>
      </c>
      <c r="EQ105" s="18" t="n">
        <f aca="false">ROUND(EQ$98-EQ$99-EQ$104,2)</f>
        <v>0</v>
      </c>
      <c r="ER105" s="18" t="n">
        <f aca="false">ROUND(ER$98-ER$99-ER$104,2)</f>
        <v>0</v>
      </c>
      <c r="ES105" s="18" t="n">
        <f aca="false">ROUND(ES$98-ES$99-ES$104,2)</f>
        <v>0</v>
      </c>
      <c r="ET105" s="18" t="n">
        <f aca="false">ROUND(ET$98-ET$99-ET$104,2)</f>
        <v>0</v>
      </c>
      <c r="EU105" s="18" t="n">
        <f aca="false">ROUND(EU$98-EU$99-EU$104,2)</f>
        <v>0</v>
      </c>
      <c r="EV105" s="18" t="n">
        <f aca="false">ROUND(EV$98-EV$99-EV$104,2)</f>
        <v>0</v>
      </c>
      <c r="EW105" s="18" t="n">
        <f aca="false">ROUND(EW$98-EW$99-EW$104,2)</f>
        <v>0</v>
      </c>
      <c r="EX105" s="18" t="n">
        <f aca="false">ROUND(EX$98-EX$99-EX$104,2)</f>
        <v>0</v>
      </c>
      <c r="EY105" s="18" t="n">
        <f aca="false">ROUND(EY$98-EY$99-EY$104,2)</f>
        <v>0</v>
      </c>
      <c r="EZ105" s="18" t="n">
        <f aca="false">ROUND(EZ$98-EZ$99-EZ$104,2)</f>
        <v>0</v>
      </c>
      <c r="FA105" s="18" t="n">
        <f aca="false">ROUND(FA$98-FA$99-FA$104,2)</f>
        <v>0</v>
      </c>
      <c r="FB105" s="18" t="n">
        <f aca="false">ROUND(FB$98-FB$99-FB$104,2)</f>
        <v>0</v>
      </c>
      <c r="FC105" s="18" t="n">
        <f aca="false">ROUND(FC$98-FC$99-FC$104,2)</f>
        <v>0</v>
      </c>
      <c r="FD105" s="18" t="n">
        <f aca="false">ROUND(FD$98-FD$99-FD$104,2)</f>
        <v>0</v>
      </c>
      <c r="FE105" s="18" t="n">
        <f aca="false">ROUND(FE$98-FE$99-FE$104,2)</f>
        <v>0</v>
      </c>
      <c r="FF105" s="18" t="n">
        <f aca="false">ROUND(FF$98-FF$99-FF$104,2)</f>
        <v>0</v>
      </c>
    </row>
    <row r="106" customFormat="false" ht="15" hidden="false" customHeight="false" outlineLevel="0" collapsed="false">
      <c r="A106" s="2" t="s">
        <v>1620</v>
      </c>
      <c r="B106" s="8" t="s">
        <v>1621</v>
      </c>
      <c r="C106" s="8" t="s">
        <v>255</v>
      </c>
      <c r="E106" s="70" t="n">
        <f aca="false">MIN($F106:$FF106)</f>
        <v>0</v>
      </c>
      <c r="F106" s="19" t="n">
        <f aca="false">F$105</f>
        <v>0</v>
      </c>
      <c r="G106" s="19" t="n">
        <f aca="false">G$105</f>
        <v>0</v>
      </c>
      <c r="H106" s="19" t="n">
        <f aca="false">H$105</f>
        <v>0</v>
      </c>
      <c r="I106" s="19" t="n">
        <f aca="false">I$105</f>
        <v>0</v>
      </c>
      <c r="J106" s="19" t="n">
        <f aca="false">J$105</f>
        <v>0</v>
      </c>
      <c r="K106" s="19" t="n">
        <f aca="false">K$105</f>
        <v>0</v>
      </c>
      <c r="L106" s="19" t="n">
        <f aca="false">L$105</f>
        <v>0</v>
      </c>
      <c r="M106" s="19" t="n">
        <f aca="false">M$105</f>
        <v>0</v>
      </c>
      <c r="N106" s="19" t="n">
        <f aca="false">N$105</f>
        <v>0</v>
      </c>
      <c r="O106" s="19" t="n">
        <f aca="false">O$105</f>
        <v>0</v>
      </c>
      <c r="P106" s="19" t="n">
        <f aca="false">P$105</f>
        <v>0</v>
      </c>
      <c r="Q106" s="19" t="n">
        <f aca="false">Q$105</f>
        <v>0</v>
      </c>
      <c r="R106" s="19" t="n">
        <f aca="false">R$105</f>
        <v>0</v>
      </c>
      <c r="S106" s="19" t="n">
        <f aca="false">S$105</f>
        <v>0</v>
      </c>
      <c r="T106" s="19" t="n">
        <f aca="false">T$105</f>
        <v>0</v>
      </c>
      <c r="U106" s="19" t="n">
        <f aca="false">U$105</f>
        <v>0</v>
      </c>
      <c r="V106" s="19" t="n">
        <f aca="false">V$105</f>
        <v>0</v>
      </c>
      <c r="W106" s="19" t="n">
        <f aca="false">W$105</f>
        <v>0</v>
      </c>
      <c r="X106" s="19" t="n">
        <f aca="false">X$105</f>
        <v>0</v>
      </c>
      <c r="Y106" s="19" t="n">
        <f aca="false">Y$105</f>
        <v>0</v>
      </c>
      <c r="Z106" s="19" t="n">
        <f aca="false">Z$105</f>
        <v>0</v>
      </c>
      <c r="AA106" s="19" t="n">
        <f aca="false">AA$105</f>
        <v>0</v>
      </c>
      <c r="AB106" s="19" t="n">
        <f aca="false">AB$105</f>
        <v>0</v>
      </c>
      <c r="AC106" s="19" t="n">
        <f aca="false">AC$105</f>
        <v>0</v>
      </c>
      <c r="AD106" s="19" t="n">
        <f aca="false">AD$105</f>
        <v>0</v>
      </c>
      <c r="AE106" s="19" t="n">
        <f aca="false">AE$105</f>
        <v>0</v>
      </c>
      <c r="AF106" s="19" t="n">
        <f aca="false">AF$105</f>
        <v>0</v>
      </c>
      <c r="AG106" s="19" t="n">
        <f aca="false">AG$105</f>
        <v>0</v>
      </c>
      <c r="AH106" s="19" t="n">
        <f aca="false">AH$105</f>
        <v>0</v>
      </c>
      <c r="AI106" s="19" t="n">
        <f aca="false">AI$105</f>
        <v>0</v>
      </c>
      <c r="AJ106" s="19" t="n">
        <f aca="false">AJ$105</f>
        <v>0</v>
      </c>
      <c r="AK106" s="19" t="n">
        <f aca="false">AK$105</f>
        <v>0</v>
      </c>
      <c r="AL106" s="19" t="n">
        <f aca="false">AL$105</f>
        <v>0</v>
      </c>
      <c r="AM106" s="19" t="n">
        <f aca="false">AM$105</f>
        <v>0</v>
      </c>
      <c r="AN106" s="19" t="n">
        <f aca="false">AN$105</f>
        <v>0</v>
      </c>
      <c r="AO106" s="19" t="n">
        <f aca="false">AO$105</f>
        <v>0</v>
      </c>
      <c r="AP106" s="19" t="n">
        <f aca="false">AP$105</f>
        <v>0</v>
      </c>
      <c r="AQ106" s="19" t="n">
        <f aca="false">AQ$105</f>
        <v>0</v>
      </c>
      <c r="AR106" s="19" t="n">
        <f aca="false">AR$105</f>
        <v>0</v>
      </c>
      <c r="AS106" s="19" t="n">
        <f aca="false">AS$105</f>
        <v>0</v>
      </c>
      <c r="AT106" s="19" t="n">
        <f aca="false">AT$105</f>
        <v>0</v>
      </c>
      <c r="AU106" s="19" t="n">
        <f aca="false">AU$105</f>
        <v>0</v>
      </c>
      <c r="AV106" s="19" t="n">
        <f aca="false">AV$105</f>
        <v>0</v>
      </c>
      <c r="AW106" s="19" t="n">
        <f aca="false">AW$105</f>
        <v>0</v>
      </c>
      <c r="AX106" s="19" t="n">
        <f aca="false">AX$105</f>
        <v>0</v>
      </c>
      <c r="AY106" s="19" t="n">
        <f aca="false">AY$105</f>
        <v>0</v>
      </c>
      <c r="AZ106" s="19" t="n">
        <f aca="false">AZ$105</f>
        <v>0</v>
      </c>
      <c r="BA106" s="19" t="n">
        <f aca="false">BA$105</f>
        <v>0</v>
      </c>
      <c r="BB106" s="19" t="n">
        <f aca="false">BB$105</f>
        <v>0</v>
      </c>
      <c r="BC106" s="19" t="n">
        <f aca="false">BC$105</f>
        <v>0</v>
      </c>
      <c r="BD106" s="19" t="n">
        <f aca="false">BD$105</f>
        <v>0</v>
      </c>
      <c r="BE106" s="19" t="n">
        <f aca="false">BE$105</f>
        <v>0</v>
      </c>
      <c r="BF106" s="19" t="n">
        <f aca="false">BF$105</f>
        <v>0</v>
      </c>
      <c r="BG106" s="19" t="n">
        <f aca="false">BG$105</f>
        <v>0</v>
      </c>
      <c r="BH106" s="19" t="n">
        <f aca="false">BH$105</f>
        <v>0</v>
      </c>
      <c r="BI106" s="19" t="n">
        <f aca="false">BI$105</f>
        <v>0</v>
      </c>
      <c r="BJ106" s="19" t="n">
        <f aca="false">BJ$105</f>
        <v>0</v>
      </c>
      <c r="BK106" s="19" t="n">
        <f aca="false">BK$105</f>
        <v>0</v>
      </c>
      <c r="BL106" s="19" t="n">
        <f aca="false">BL$105</f>
        <v>0</v>
      </c>
      <c r="BM106" s="19" t="n">
        <f aca="false">BM$105</f>
        <v>0</v>
      </c>
      <c r="BN106" s="19" t="n">
        <f aca="false">BN$105</f>
        <v>0</v>
      </c>
      <c r="BO106" s="19" t="n">
        <f aca="false">BO$105</f>
        <v>0</v>
      </c>
      <c r="BP106" s="19" t="n">
        <f aca="false">BP$105</f>
        <v>0</v>
      </c>
      <c r="BQ106" s="19" t="n">
        <f aca="false">BQ$105</f>
        <v>0</v>
      </c>
      <c r="BR106" s="19" t="n">
        <f aca="false">BR$105</f>
        <v>0</v>
      </c>
      <c r="BS106" s="19" t="n">
        <f aca="false">BS$105</f>
        <v>0</v>
      </c>
      <c r="BT106" s="19" t="n">
        <f aca="false">BT$105</f>
        <v>0</v>
      </c>
      <c r="BU106" s="19" t="n">
        <f aca="false">BU$105</f>
        <v>0</v>
      </c>
      <c r="BV106" s="19" t="n">
        <f aca="false">BV$105</f>
        <v>0</v>
      </c>
      <c r="BW106" s="19" t="n">
        <f aca="false">BW$105</f>
        <v>0</v>
      </c>
      <c r="BX106" s="19" t="n">
        <f aca="false">BX$105</f>
        <v>0</v>
      </c>
      <c r="BY106" s="19" t="n">
        <f aca="false">BY$105</f>
        <v>0</v>
      </c>
      <c r="BZ106" s="19" t="n">
        <f aca="false">BZ$105</f>
        <v>0</v>
      </c>
      <c r="CA106" s="19" t="n">
        <f aca="false">CA$105</f>
        <v>0</v>
      </c>
      <c r="CB106" s="19" t="n">
        <f aca="false">CB$105</f>
        <v>0</v>
      </c>
      <c r="CC106" s="19" t="n">
        <f aca="false">CC$105</f>
        <v>0</v>
      </c>
      <c r="CD106" s="19" t="n">
        <f aca="false">CD$105</f>
        <v>0</v>
      </c>
      <c r="CE106" s="19" t="n">
        <f aca="false">CE$105</f>
        <v>0</v>
      </c>
      <c r="CF106" s="19" t="n">
        <f aca="false">CF$105</f>
        <v>0</v>
      </c>
      <c r="CG106" s="19" t="n">
        <f aca="false">CG$105</f>
        <v>0</v>
      </c>
      <c r="CH106" s="19" t="n">
        <f aca="false">CH$105</f>
        <v>0</v>
      </c>
      <c r="CI106" s="19" t="n">
        <f aca="false">CI$105</f>
        <v>0</v>
      </c>
      <c r="CJ106" s="19" t="n">
        <f aca="false">CJ$105</f>
        <v>0</v>
      </c>
      <c r="CK106" s="19" t="n">
        <f aca="false">CK$105</f>
        <v>0</v>
      </c>
      <c r="CL106" s="19" t="n">
        <f aca="false">CL$105</f>
        <v>0</v>
      </c>
      <c r="CM106" s="19" t="n">
        <f aca="false">CM$105</f>
        <v>0</v>
      </c>
      <c r="CN106" s="19" t="n">
        <f aca="false">CN$105</f>
        <v>0</v>
      </c>
      <c r="CO106" s="19" t="n">
        <f aca="false">CO$105</f>
        <v>0</v>
      </c>
      <c r="CP106" s="19" t="n">
        <f aca="false">CP$105</f>
        <v>0</v>
      </c>
      <c r="CQ106" s="19" t="n">
        <f aca="false">CQ$105</f>
        <v>0</v>
      </c>
      <c r="CR106" s="19" t="n">
        <f aca="false">CR$105</f>
        <v>0</v>
      </c>
      <c r="CS106" s="19" t="n">
        <f aca="false">CS$105</f>
        <v>0</v>
      </c>
      <c r="CT106" s="19" t="n">
        <f aca="false">CT$105</f>
        <v>0</v>
      </c>
      <c r="CU106" s="19" t="n">
        <f aca="false">CU$105</f>
        <v>0</v>
      </c>
      <c r="CV106" s="19" t="n">
        <f aca="false">CV$105</f>
        <v>0</v>
      </c>
      <c r="CW106" s="19" t="n">
        <f aca="false">CW$105</f>
        <v>0</v>
      </c>
      <c r="CX106" s="19" t="n">
        <f aca="false">CX$105</f>
        <v>0</v>
      </c>
      <c r="CY106" s="19" t="n">
        <f aca="false">CY$105</f>
        <v>0</v>
      </c>
      <c r="CZ106" s="19" t="n">
        <f aca="false">CZ$105</f>
        <v>0</v>
      </c>
      <c r="DA106" s="19" t="n">
        <f aca="false">DA$105</f>
        <v>0</v>
      </c>
      <c r="DB106" s="19" t="n">
        <f aca="false">DB$105</f>
        <v>0</v>
      </c>
      <c r="DC106" s="19" t="n">
        <f aca="false">DC$105</f>
        <v>0</v>
      </c>
      <c r="DD106" s="19" t="n">
        <f aca="false">DD$105</f>
        <v>0</v>
      </c>
      <c r="DE106" s="19" t="n">
        <f aca="false">DE$105</f>
        <v>0</v>
      </c>
      <c r="DF106" s="19" t="n">
        <f aca="false">DF$105</f>
        <v>0</v>
      </c>
      <c r="DG106" s="19" t="n">
        <f aca="false">DG$105</f>
        <v>0</v>
      </c>
      <c r="DH106" s="19" t="n">
        <f aca="false">DH$105</f>
        <v>0</v>
      </c>
      <c r="DI106" s="19" t="n">
        <f aca="false">DI$105</f>
        <v>0</v>
      </c>
      <c r="DJ106" s="19" t="n">
        <f aca="false">DJ$105</f>
        <v>0</v>
      </c>
      <c r="DK106" s="19" t="n">
        <f aca="false">DK$105</f>
        <v>0</v>
      </c>
      <c r="DL106" s="19" t="n">
        <f aca="false">DL$105</f>
        <v>0</v>
      </c>
      <c r="DM106" s="19" t="n">
        <f aca="false">DM$105</f>
        <v>0</v>
      </c>
      <c r="DN106" s="19" t="n">
        <f aca="false">DN$105</f>
        <v>0</v>
      </c>
      <c r="DO106" s="19" t="n">
        <f aca="false">DO$105</f>
        <v>0</v>
      </c>
      <c r="DP106" s="19" t="n">
        <f aca="false">DP$105</f>
        <v>0</v>
      </c>
      <c r="DQ106" s="19" t="n">
        <f aca="false">DQ$105</f>
        <v>0</v>
      </c>
      <c r="DR106" s="19" t="n">
        <f aca="false">DR$105</f>
        <v>0</v>
      </c>
      <c r="DS106" s="19" t="n">
        <f aca="false">DS$105</f>
        <v>0</v>
      </c>
      <c r="DT106" s="19" t="n">
        <f aca="false">DT$105</f>
        <v>0</v>
      </c>
      <c r="DU106" s="19" t="n">
        <f aca="false">DU$105</f>
        <v>0</v>
      </c>
      <c r="DV106" s="19" t="n">
        <f aca="false">DV$105</f>
        <v>0</v>
      </c>
      <c r="DW106" s="19" t="n">
        <f aca="false">DW$105</f>
        <v>0</v>
      </c>
      <c r="DX106" s="19" t="n">
        <f aca="false">DX$105</f>
        <v>0</v>
      </c>
      <c r="DY106" s="19" t="n">
        <f aca="false">DY$105</f>
        <v>0</v>
      </c>
      <c r="DZ106" s="19" t="n">
        <f aca="false">DZ$105</f>
        <v>0</v>
      </c>
      <c r="EA106" s="19" t="n">
        <f aca="false">EA$105</f>
        <v>0</v>
      </c>
      <c r="EB106" s="19" t="n">
        <f aca="false">EB$105</f>
        <v>0</v>
      </c>
      <c r="EC106" s="19" t="n">
        <f aca="false">EC$105</f>
        <v>0</v>
      </c>
      <c r="ED106" s="19" t="n">
        <f aca="false">ED$105</f>
        <v>0</v>
      </c>
      <c r="EE106" s="19" t="n">
        <f aca="false">EE$105</f>
        <v>0</v>
      </c>
      <c r="EF106" s="19" t="n">
        <f aca="false">EF$105</f>
        <v>0</v>
      </c>
      <c r="EG106" s="19" t="n">
        <f aca="false">EG$105</f>
        <v>0</v>
      </c>
      <c r="EH106" s="19" t="n">
        <f aca="false">EH$105</f>
        <v>0</v>
      </c>
      <c r="EI106" s="19" t="n">
        <f aca="false">EI$105</f>
        <v>0</v>
      </c>
      <c r="EJ106" s="19" t="n">
        <f aca="false">EJ$105</f>
        <v>0</v>
      </c>
      <c r="EK106" s="19" t="n">
        <f aca="false">EK$105</f>
        <v>0</v>
      </c>
      <c r="EL106" s="19" t="n">
        <f aca="false">EL$105</f>
        <v>0</v>
      </c>
      <c r="EM106" s="19" t="n">
        <f aca="false">EM$105</f>
        <v>0</v>
      </c>
      <c r="EN106" s="19" t="n">
        <f aca="false">EN$105</f>
        <v>0</v>
      </c>
      <c r="EO106" s="19" t="n">
        <f aca="false">EO$105</f>
        <v>0</v>
      </c>
      <c r="EP106" s="19" t="n">
        <f aca="false">EP$105</f>
        <v>0</v>
      </c>
      <c r="EQ106" s="19" t="n">
        <f aca="false">EQ$105</f>
        <v>0</v>
      </c>
      <c r="ER106" s="19" t="n">
        <f aca="false">ER$105</f>
        <v>0</v>
      </c>
      <c r="ES106" s="19" t="n">
        <f aca="false">ES$105</f>
        <v>0</v>
      </c>
      <c r="ET106" s="19" t="n">
        <f aca="false">ET$105</f>
        <v>0</v>
      </c>
      <c r="EU106" s="19" t="n">
        <f aca="false">EU$105</f>
        <v>0</v>
      </c>
      <c r="EV106" s="19" t="n">
        <f aca="false">EV$105</f>
        <v>0</v>
      </c>
      <c r="EW106" s="19" t="n">
        <f aca="false">EW$105</f>
        <v>0</v>
      </c>
      <c r="EX106" s="19" t="n">
        <f aca="false">EX$105</f>
        <v>0</v>
      </c>
      <c r="EY106" s="19" t="n">
        <f aca="false">EY$105</f>
        <v>0</v>
      </c>
      <c r="EZ106" s="19" t="n">
        <f aca="false">EZ$105</f>
        <v>0</v>
      </c>
      <c r="FA106" s="19" t="n">
        <f aca="false">FA$105</f>
        <v>0</v>
      </c>
      <c r="FB106" s="19" t="n">
        <f aca="false">FB$105</f>
        <v>0</v>
      </c>
      <c r="FC106" s="19" t="n">
        <f aca="false">FC$105</f>
        <v>0</v>
      </c>
      <c r="FD106" s="19" t="n">
        <f aca="false">FD$105</f>
        <v>0</v>
      </c>
      <c r="FE106" s="19" t="n">
        <f aca="false">FE$105</f>
        <v>0</v>
      </c>
      <c r="FF106" s="19" t="n">
        <f aca="false">FF$105</f>
        <v>0</v>
      </c>
    </row>
    <row r="107" customFormat="false" ht="15" hidden="false" customHeight="false" outlineLevel="0" collapsed="false">
      <c r="A107" s="4"/>
      <c r="B107" s="3" t="s">
        <v>1622</v>
      </c>
      <c r="C107" s="4"/>
      <c r="D107" s="4"/>
      <c r="E107" s="4"/>
    </row>
    <row r="108" customFormat="false" ht="15" hidden="false" customHeight="false" outlineLevel="0" collapsed="false">
      <c r="A108" s="2" t="s">
        <v>801</v>
      </c>
      <c r="B108" s="8" t="s">
        <v>1623</v>
      </c>
      <c r="C108" s="8" t="s">
        <v>803</v>
      </c>
      <c r="F108" s="51" t="n">
        <f aca="false">Calendario!F$21</f>
        <v>1</v>
      </c>
      <c r="G108" s="51" t="n">
        <f aca="false">Calendario!G$21</f>
        <v>0.992473690375872</v>
      </c>
      <c r="H108" s="51" t="n">
        <f aca="false">Calendario!H$21</f>
        <v>0.985004026088301</v>
      </c>
      <c r="I108" s="51" t="n">
        <f aca="false">Calendario!I$21</f>
        <v>0.977590580806948</v>
      </c>
      <c r="J108" s="51" t="n">
        <f aca="false">Calendario!J$21</f>
        <v>0.970232931410163</v>
      </c>
      <c r="K108" s="51" t="n">
        <f aca="false">Calendario!K$21</f>
        <v>0.962930657960844</v>
      </c>
      <c r="L108" s="51" t="n">
        <f aca="false">Calendario!L$21</f>
        <v>0.955683343682465</v>
      </c>
      <c r="M108" s="51" t="n">
        <f aca="false">Calendario!M$21</f>
        <v>0.948490574935288</v>
      </c>
      <c r="N108" s="51" t="n">
        <f aca="false">Calendario!N$21</f>
        <v>0.941351941192758</v>
      </c>
      <c r="O108" s="51" t="n">
        <f aca="false">Calendario!O$21</f>
        <v>0.934267035018067</v>
      </c>
      <c r="P108" s="51" t="n">
        <f aca="false">Calendario!P$21</f>
        <v>0.927235452040904</v>
      </c>
      <c r="Q108" s="51" t="n">
        <f aca="false">Calendario!Q$21</f>
        <v>0.920256790934376</v>
      </c>
      <c r="R108" s="51" t="n">
        <f aca="false">Calendario!R$21</f>
        <v>0.913330653392097</v>
      </c>
      <c r="S108" s="51" t="n">
        <f aca="false">Calendario!S$21</f>
        <v>0.90645664410546</v>
      </c>
      <c r="T108" s="51" t="n">
        <f aca="false">Calendario!T$21</f>
        <v>0.899634370741074</v>
      </c>
      <c r="U108" s="51" t="n">
        <f aca="false">Calendario!U$21</f>
        <v>0.892863443918369</v>
      </c>
      <c r="V108" s="51" t="n">
        <f aca="false">Calendario!V$21</f>
        <v>0.886143477187374</v>
      </c>
      <c r="W108" s="51" t="n">
        <f aca="false">Calendario!W$21</f>
        <v>0.879474087006659</v>
      </c>
      <c r="X108" s="51" t="n">
        <f aca="false">Calendario!X$21</f>
        <v>0.87285489272145</v>
      </c>
      <c r="Y108" s="51" t="n">
        <f aca="false">Calendario!Y$21</f>
        <v>0.866285516541893</v>
      </c>
      <c r="Z108" s="51" t="n">
        <f aca="false">Calendario!Z$21</f>
        <v>0.8597655835215</v>
      </c>
      <c r="AA108" s="51" t="n">
        <f aca="false">Calendario!AA$21</f>
        <v>0.853294721535748</v>
      </c>
      <c r="AB108" s="51" t="n">
        <f aca="false">Calendario!AB$21</f>
        <v>0.846872561260835</v>
      </c>
      <c r="AC108" s="51" t="n">
        <f aca="false">Calendario!AC$21</f>
        <v>0.840498736152608</v>
      </c>
      <c r="AD108" s="51" t="n">
        <f aca="false">Calendario!AD$21</f>
        <v>0.834172882425634</v>
      </c>
      <c r="AE108" s="51" t="n">
        <f aca="false">Calendario!AE$21</f>
        <v>0.827894639032447</v>
      </c>
      <c r="AF108" s="51" t="n">
        <f aca="false">Calendario!AF$21</f>
        <v>0.821663647642933</v>
      </c>
      <c r="AG108" s="51" t="n">
        <f aca="false">Calendario!AG$21</f>
        <v>0.815479552623882</v>
      </c>
      <c r="AH108" s="51" t="n">
        <f aca="false">Calendario!AH$21</f>
        <v>0.809342001018688</v>
      </c>
      <c r="AI108" s="51" t="n">
        <f aca="false">Calendario!AI$21</f>
        <v>0.80325064252721</v>
      </c>
      <c r="AJ108" s="51" t="n">
        <f aca="false">Calendario!AJ$21</f>
        <v>0.79720512948577</v>
      </c>
      <c r="AK108" s="51" t="n">
        <f aca="false">Calendario!AK$21</f>
        <v>0.791205116847317</v>
      </c>
      <c r="AL108" s="51" t="n">
        <f aca="false">Calendario!AL$21</f>
        <v>0.785250262161729</v>
      </c>
      <c r="AM108" s="51" t="n">
        <f aca="false">Calendario!AM$21</f>
        <v>0.779340225556272</v>
      </c>
      <c r="AN108" s="51" t="n">
        <f aca="false">Calendario!AN$21</f>
        <v>0.773474669716197</v>
      </c>
      <c r="AO108" s="51" t="n">
        <f aca="false">Calendario!AO$21</f>
        <v>0.767653259865493</v>
      </c>
      <c r="AP108" s="51" t="n">
        <f aca="false">Calendario!AP$21</f>
        <v>0.761875663747773</v>
      </c>
      <c r="AQ108" s="51" t="n">
        <f aca="false">Calendario!AQ$21</f>
        <v>0.756141551607319</v>
      </c>
      <c r="AR108" s="51" t="n">
        <f aca="false">Calendario!AR$21</f>
        <v>0.750450596170254</v>
      </c>
      <c r="AS108" s="51" t="n">
        <f aca="false">Calendario!AS$21</f>
        <v>0.744802472625864</v>
      </c>
      <c r="AT108" s="51" t="n">
        <f aca="false">Calendario!AT$21</f>
        <v>0.739196858608066</v>
      </c>
      <c r="AU108" s="51" t="n">
        <f aca="false">Calendario!AU$21</f>
        <v>0.733633434176998</v>
      </c>
      <c r="AV108" s="51" t="n">
        <f aca="false">Calendario!AV$21</f>
        <v>0.72811188180077</v>
      </c>
      <c r="AW108" s="51" t="n">
        <f aca="false">Calendario!AW$21</f>
        <v>0.72263188633733</v>
      </c>
      <c r="AX108" s="51" t="n">
        <f aca="false">Calendario!AX$21</f>
        <v>0.717193135016487</v>
      </c>
      <c r="AY108" s="51" t="n">
        <f aca="false">Calendario!AY$21</f>
        <v>0.711795317422054</v>
      </c>
      <c r="AZ108" s="51" t="n">
        <f aca="false">Calendario!AZ$21</f>
        <v>0.706438125474131</v>
      </c>
      <c r="BA108" s="51" t="n">
        <f aca="false">Calendario!BA$21</f>
        <v>0.701121253411523</v>
      </c>
      <c r="BB108" s="51" t="n">
        <f aca="false">Calendario!BB$21</f>
        <v>0.695844397774291</v>
      </c>
      <c r="BC108" s="51" t="n">
        <f aca="false">Calendario!BC$21</f>
        <v>0.690607257386427</v>
      </c>
      <c r="BD108" s="51" t="n">
        <f aca="false">Calendario!BD$21</f>
        <v>0.685409533338666</v>
      </c>
      <c r="BE108" s="51" t="n">
        <f aca="false">Calendario!BE$21</f>
        <v>0.68025092897143</v>
      </c>
      <c r="BF108" s="51" t="n">
        <f aca="false">Calendario!BF$21</f>
        <v>0.67513114985789</v>
      </c>
      <c r="BG108" s="51" t="n">
        <f aca="false">Calendario!BG$21</f>
        <v>0.670049903787166</v>
      </c>
      <c r="BH108" s="51" t="n">
        <f aca="false">Calendario!BH$21</f>
        <v>0.665006900747646</v>
      </c>
      <c r="BI108" s="51" t="n">
        <f aca="false">Calendario!BI$21</f>
        <v>0.660001852910437</v>
      </c>
      <c r="BJ108" s="51" t="n">
        <f aca="false">Calendario!BJ$21</f>
        <v>0.655034474612935</v>
      </c>
      <c r="BK108" s="51" t="n">
        <f aca="false">Calendario!BK$21</f>
        <v>0.650104482342519</v>
      </c>
      <c r="BL108" s="51" t="n">
        <f aca="false">Calendario!BL$21</f>
        <v>0.645211594720376</v>
      </c>
      <c r="BM108" s="51" t="n">
        <f aca="false">Calendario!BM$21</f>
        <v>0.640355532485432</v>
      </c>
      <c r="BN108" s="51" t="n">
        <f aca="false">Calendario!BN$21</f>
        <v>0.635536018478423</v>
      </c>
      <c r="BO108" s="51" t="n">
        <f aca="false">Calendario!BO$21</f>
        <v>0.630752777626069</v>
      </c>
      <c r="BP108" s="51" t="n">
        <f aca="false">Calendario!BP$21</f>
        <v>0.626005536925376</v>
      </c>
      <c r="BQ108" s="51" t="n">
        <f aca="false">Calendario!BQ$21</f>
        <v>0.621294025428057</v>
      </c>
      <c r="BR108" s="51" t="n">
        <f aca="false">Calendario!BR$21</f>
        <v>0.616617974225064</v>
      </c>
      <c r="BS108" s="51" t="n">
        <f aca="false">Calendario!BS$21</f>
        <v>0.611977116431243</v>
      </c>
      <c r="BT108" s="51" t="n">
        <f aca="false">Calendario!BT$21</f>
        <v>0.607371187170101</v>
      </c>
      <c r="BU108" s="51" t="n">
        <f aca="false">Calendario!BU$21</f>
        <v>0.602799923558684</v>
      </c>
      <c r="BV108" s="51" t="n">
        <f aca="false">Calendario!BV$21</f>
        <v>0.59826306469258</v>
      </c>
      <c r="BW108" s="51" t="n">
        <f aca="false">Calendario!BW$21</f>
        <v>0.593760351631024</v>
      </c>
      <c r="BX108" s="51" t="n">
        <f aca="false">Calendario!BX$21</f>
        <v>0.589291527382117</v>
      </c>
      <c r="BY108" s="51" t="n">
        <f aca="false">Calendario!BY$21</f>
        <v>0.584856336888164</v>
      </c>
      <c r="BZ108" s="51" t="n">
        <f aca="false">Calendario!BZ$21</f>
        <v>0.58045452701111</v>
      </c>
      <c r="CA108" s="51" t="n">
        <f aca="false">Calendario!CA$21</f>
        <v>0.576085846518098</v>
      </c>
      <c r="CB108" s="51" t="n">
        <f aca="false">Calendario!CB$21</f>
        <v>0.571750046067124</v>
      </c>
      <c r="CC108" s="51" t="n">
        <f aca="false">Calendario!CC$21</f>
        <v>0.567446878192813</v>
      </c>
      <c r="CD108" s="51" t="n">
        <f aca="false">Calendario!CD$21</f>
        <v>0.563176097292289</v>
      </c>
      <c r="CE108" s="51" t="n">
        <f aca="false">Calendario!CE$21</f>
        <v>0.558937459611159</v>
      </c>
      <c r="CF108" s="51" t="n">
        <f aca="false">Calendario!CF$21</f>
        <v>0.554730723229602</v>
      </c>
      <c r="CG108" s="51" t="n">
        <f aca="false">Calendario!CG$21</f>
        <v>0.550555648048559</v>
      </c>
      <c r="CH108" s="51" t="n">
        <f aca="false">Calendario!CH$21</f>
        <v>0.546411995776033</v>
      </c>
      <c r="CI108" s="51" t="n">
        <f aca="false">Calendario!CI$21</f>
        <v>0.542299529913484</v>
      </c>
      <c r="CJ108" s="51" t="n">
        <f aca="false">Calendario!CJ$21</f>
        <v>0.538218015742336</v>
      </c>
      <c r="CK108" s="51" t="n">
        <f aca="false">Calendario!CK$21</f>
        <v>0.534167220310575</v>
      </c>
      <c r="CL108" s="51" t="n">
        <f aca="false">Calendario!CL$21</f>
        <v>0.530146912419458</v>
      </c>
      <c r="CM108" s="51" t="n">
        <f aca="false">Calendario!CM$21</f>
        <v>0.526156862610313</v>
      </c>
      <c r="CN108" s="51" t="n">
        <f aca="false">Calendario!CN$21</f>
        <v>0.522196843151448</v>
      </c>
      <c r="CO108" s="51" t="n">
        <f aca="false">Calendario!CO$21</f>
        <v>0.518266628025148</v>
      </c>
      <c r="CP108" s="51" t="n">
        <f aca="false">Calendario!CP$21</f>
        <v>0.514365992914777</v>
      </c>
      <c r="CQ108" s="51" t="n">
        <f aca="false">Calendario!CQ$21</f>
        <v>0.510494715191978</v>
      </c>
      <c r="CR108" s="51" t="n">
        <f aca="false">Calendario!CR$21</f>
        <v>0.506652573903962</v>
      </c>
      <c r="CS108" s="51" t="n">
        <f aca="false">Calendario!CS$21</f>
        <v>0.5028393497609</v>
      </c>
      <c r="CT108" s="51" t="n">
        <f aca="false">Calendario!CT$21</f>
        <v>0.499054825123404</v>
      </c>
      <c r="CU108" s="51" t="n">
        <f aca="false">Calendario!CU$21</f>
        <v>0.495298783990109</v>
      </c>
      <c r="CV108" s="51" t="n">
        <f aca="false">Calendario!CV$21</f>
        <v>0.491571011985346</v>
      </c>
      <c r="CW108" s="51" t="n">
        <f aca="false">Calendario!CW$21</f>
        <v>0.487871296346898</v>
      </c>
      <c r="CX108" s="51" t="n">
        <f aca="false">Calendario!CX$21</f>
        <v>0.484199425913866</v>
      </c>
      <c r="CY108" s="51" t="n">
        <f aca="false">Calendario!CY$21</f>
        <v>0.480555191114613</v>
      </c>
      <c r="CZ108" s="51" t="n">
        <f aca="false">Calendario!CZ$21</f>
        <v>0.476938383954802</v>
      </c>
      <c r="DA108" s="51" t="n">
        <f aca="false">Calendario!DA$21</f>
        <v>0.473348798005527</v>
      </c>
      <c r="DB108" s="51" t="n">
        <f aca="false">Calendario!DB$21</f>
        <v>0.469786228391528</v>
      </c>
      <c r="DC108" s="51" t="n">
        <f aca="false">Calendario!DC$21</f>
        <v>0.466250471779502</v>
      </c>
      <c r="DD108" s="51" t="n">
        <f aca="false">Calendario!DD$21</f>
        <v>0.462741326366493</v>
      </c>
      <c r="DE108" s="51" t="n">
        <f aca="false">Calendario!DE$21</f>
        <v>0.459258591868379</v>
      </c>
      <c r="DF108" s="51" t="n">
        <f aca="false">Calendario!DF$21</f>
        <v>0.455802069508437</v>
      </c>
      <c r="DG108" s="51" t="n">
        <f aca="false">Calendario!DG$21</f>
        <v>0.452371562005998</v>
      </c>
      <c r="DH108" s="51" t="n">
        <f aca="false">Calendario!DH$21</f>
        <v>0.44896687356519</v>
      </c>
      <c r="DI108" s="51" t="n">
        <f aca="false">Calendario!DI$21</f>
        <v>0.445587809863761</v>
      </c>
      <c r="DJ108" s="51" t="n">
        <f aca="false">Calendario!DJ$21</f>
        <v>0.442234178041989</v>
      </c>
      <c r="DK108" s="51" t="n">
        <f aca="false">Calendario!DK$21</f>
        <v>0.438905786691673</v>
      </c>
      <c r="DL108" s="51" t="n">
        <f aca="false">Calendario!DL$21</f>
        <v>0.43560244584521</v>
      </c>
      <c r="DM108" s="51" t="n">
        <f aca="false">Calendario!DM$21</f>
        <v>0.432323966964751</v>
      </c>
      <c r="DN108" s="51" t="n">
        <f aca="false">Calendario!DN$21</f>
        <v>0.429070162931443</v>
      </c>
      <c r="DO108" s="51" t="n">
        <f aca="false">Calendario!DO$21</f>
        <v>0.425840848034746</v>
      </c>
      <c r="DP108" s="51" t="n">
        <f aca="false">Calendario!DP$21</f>
        <v>0.422635837961835</v>
      </c>
      <c r="DQ108" s="51" t="n">
        <f aca="false">Calendario!DQ$21</f>
        <v>0.419454949787081</v>
      </c>
      <c r="DR108" s="51" t="n">
        <f aca="false">Calendario!DR$21</f>
        <v>0.41629800196161</v>
      </c>
      <c r="DS108" s="51" t="n">
        <f aca="false">Calendario!DS$21</f>
        <v>0.413164814302941</v>
      </c>
      <c r="DT108" s="51" t="n">
        <f aca="false">Calendario!DT$21</f>
        <v>0.410055207984702</v>
      </c>
      <c r="DU108" s="51" t="n">
        <f aca="false">Calendario!DU$21</f>
        <v>0.406969005526422</v>
      </c>
      <c r="DV108" s="51" t="n">
        <f aca="false">Calendario!DV$21</f>
        <v>0.403906030783407</v>
      </c>
      <c r="DW108" s="51" t="n">
        <f aca="false">Calendario!DW$21</f>
        <v>0.400866108936678</v>
      </c>
      <c r="DX108" s="51" t="n">
        <f aca="false">Calendario!DX$21</f>
        <v>0.397849066483001</v>
      </c>
      <c r="DY108" s="51" t="n">
        <f aca="false">Calendario!DY$21</f>
        <v>0.39485473122498</v>
      </c>
      <c r="DZ108" s="51" t="n">
        <f aca="false">Calendario!DZ$21</f>
        <v>0.391882932261228</v>
      </c>
      <c r="EA108" s="51" t="n">
        <f aca="false">Calendario!EA$21</f>
        <v>0.388933499976619</v>
      </c>
      <c r="EB108" s="51" t="n">
        <f aca="false">Calendario!EB$21</f>
        <v>0.386006266032599</v>
      </c>
      <c r="EC108" s="51" t="n">
        <f aca="false">Calendario!EC$21</f>
        <v>0.383101063357584</v>
      </c>
      <c r="ED108" s="51" t="n">
        <f aca="false">Calendario!ED$21</f>
        <v>0.380217726137422</v>
      </c>
      <c r="EE108" s="51" t="n">
        <f aca="false">Calendario!EE$21</f>
        <v>0.37735608980593</v>
      </c>
      <c r="EF108" s="51" t="n">
        <f aca="false">Calendario!EF$21</f>
        <v>0.3745159910355</v>
      </c>
      <c r="EG108" s="51" t="n">
        <f aca="false">Calendario!EG$21</f>
        <v>0.371697267727779</v>
      </c>
      <c r="EH108" s="51" t="n">
        <f aca="false">Calendario!EH$21</f>
        <v>0.368899759004417</v>
      </c>
      <c r="EI108" s="51" t="n">
        <f aca="false">Calendario!EI$21</f>
        <v>0.366123305197884</v>
      </c>
      <c r="EJ108" s="51" t="n">
        <f aca="false">Calendario!EJ$21</f>
        <v>0.363367747842355</v>
      </c>
      <c r="EK108" s="51" t="n">
        <f aca="false">Calendario!EK$21</f>
        <v>0.360632929664671</v>
      </c>
      <c r="EL108" s="51" t="n">
        <f aca="false">Calendario!EL$21</f>
        <v>0.357918694575359</v>
      </c>
      <c r="EM108" s="51" t="n">
        <f aca="false">Calendario!EM$21</f>
        <v>0.355224887659721</v>
      </c>
      <c r="EN108" s="51" t="n">
        <f aca="false">Calendario!EN$21</f>
        <v>0.352551355168997</v>
      </c>
      <c r="EO108" s="51" t="n">
        <f aca="false">Calendario!EO$21</f>
        <v>0.349897944511589</v>
      </c>
      <c r="EP108" s="51" t="n">
        <f aca="false">Calendario!EP$21</f>
        <v>0.347264504244349</v>
      </c>
      <c r="EQ108" s="51" t="n">
        <f aca="false">Calendario!EQ$21</f>
        <v>0.344650884063936</v>
      </c>
      <c r="ER108" s="51" t="n">
        <f aca="false">Calendario!ER$21</f>
        <v>0.342056934798242</v>
      </c>
      <c r="ES108" s="51" t="n">
        <f aca="false">Calendario!ES$21</f>
        <v>0.33948250839787</v>
      </c>
      <c r="ET108" s="51" t="n">
        <f aca="false">Calendario!ET$21</f>
        <v>0.336927457927692</v>
      </c>
      <c r="EU108" s="51" t="n">
        <f aca="false">Calendario!EU$21</f>
        <v>0.334391637558457</v>
      </c>
      <c r="EV108" s="51" t="n">
        <f aca="false">Calendario!EV$21</f>
        <v>0.331874902558473</v>
      </c>
      <c r="EW108" s="51" t="n">
        <f aca="false">Calendario!EW$21</f>
        <v>0.32937710928534</v>
      </c>
      <c r="EX108" s="51" t="n">
        <f aca="false">Calendario!EX$21</f>
        <v>0.326898115177759</v>
      </c>
      <c r="EY108" s="51" t="n">
        <f aca="false">Calendario!EY$21</f>
        <v>0.324437778747387</v>
      </c>
      <c r="EZ108" s="51" t="n">
        <f aca="false">Calendario!EZ$21</f>
        <v>0.321995959570769</v>
      </c>
      <c r="FA108" s="51" t="n">
        <f aca="false">Calendario!FA$21</f>
        <v>0.319572518281321</v>
      </c>
      <c r="FB108" s="51" t="n">
        <f aca="false">Calendario!FB$21</f>
        <v>0.317167316561374</v>
      </c>
      <c r="FC108" s="51" t="n">
        <f aca="false">Calendario!FC$21</f>
        <v>0.314780217134279</v>
      </c>
      <c r="FD108" s="51" t="n">
        <f aca="false">Calendario!FD$21</f>
        <v>0.312411083756576</v>
      </c>
      <c r="FE108" s="51" t="n">
        <f aca="false">Calendario!FE$21</f>
        <v>0.310059781210214</v>
      </c>
      <c r="FF108" s="51" t="n">
        <f aca="false">Calendario!FF$21</f>
        <v>0.307726175294837</v>
      </c>
    </row>
    <row r="109" customFormat="false" ht="15" hidden="false" customHeight="false" outlineLevel="0" collapsed="false">
      <c r="A109" s="2" t="s">
        <v>804</v>
      </c>
      <c r="B109" s="8" t="s">
        <v>1624</v>
      </c>
      <c r="C109" s="8" t="s">
        <v>803</v>
      </c>
      <c r="F109" s="51" t="n">
        <f aca="false">Calendario!F$22</f>
        <v>1</v>
      </c>
      <c r="G109" s="51" t="n">
        <f aca="false">Calendario!G$22</f>
        <v>0.987481119072306</v>
      </c>
      <c r="H109" s="51" t="n">
        <f aca="false">Calendario!H$22</f>
        <v>0.975118960524295</v>
      </c>
      <c r="I109" s="51" t="n">
        <f aca="false">Calendario!I$22</f>
        <v>0.962911562367155</v>
      </c>
      <c r="J109" s="51" t="n">
        <f aca="false">Calendario!J$22</f>
        <v>0.950856987173981</v>
      </c>
      <c r="K109" s="51" t="n">
        <f aca="false">Calendario!K$22</f>
        <v>0.938953321772285</v>
      </c>
      <c r="L109" s="51" t="n">
        <f aca="false">Calendario!L$22</f>
        <v>0.927198676940355</v>
      </c>
      <c r="M109" s="51" t="n">
        <f aca="false">Calendario!M$22</f>
        <v>0.915591187107424</v>
      </c>
      <c r="N109" s="51" t="n">
        <f aca="false">Calendario!N$22</f>
        <v>0.90412901005758</v>
      </c>
      <c r="O109" s="51" t="n">
        <f aca="false">Calendario!O$22</f>
        <v>0.892810326637396</v>
      </c>
      <c r="P109" s="51" t="n">
        <f aca="false">Calendario!P$22</f>
        <v>0.881633340467207</v>
      </c>
      <c r="Q109" s="51" t="n">
        <f aca="false">Calendario!Q$22</f>
        <v>0.870596277656014</v>
      </c>
      <c r="R109" s="51" t="n">
        <f aca="false">Calendario!R$22</f>
        <v>0.859697386519945</v>
      </c>
      <c r="S109" s="51" t="n">
        <f aca="false">Calendario!S$22</f>
        <v>0.848934937304252</v>
      </c>
      <c r="T109" s="51" t="n">
        <f aca="false">Calendario!T$22</f>
        <v>0.838307221908782</v>
      </c>
      <c r="U109" s="51" t="n">
        <f aca="false">Calendario!U$22</f>
        <v>0.82781255361688</v>
      </c>
      <c r="V109" s="51" t="n">
        <f aca="false">Calendario!V$22</f>
        <v>0.8174492668277</v>
      </c>
      <c r="W109" s="51" t="n">
        <f aca="false">Calendario!W$22</f>
        <v>0.807215716791854</v>
      </c>
      <c r="X109" s="51" t="n">
        <f aca="false">Calendario!X$22</f>
        <v>0.797110279350374</v>
      </c>
      <c r="Y109" s="51" t="n">
        <f aca="false">Calendario!Y$22</f>
        <v>0.787131350676946</v>
      </c>
      <c r="Z109" s="51" t="n">
        <f aca="false">Calendario!Z$22</f>
        <v>0.777277347023367</v>
      </c>
      <c r="AA109" s="51" t="n">
        <f aca="false">Calendario!AA$22</f>
        <v>0.767546704468188</v>
      </c>
      <c r="AB109" s="51" t="n">
        <f aca="false">Calendario!AB$22</f>
        <v>0.757937878668507</v>
      </c>
      <c r="AC109" s="51" t="n">
        <f aca="false">Calendario!AC$22</f>
        <v>0.748449344614867</v>
      </c>
      <c r="AD109" s="51" t="n">
        <f aca="false">Calendario!AD$22</f>
        <v>0.739079596389224</v>
      </c>
      <c r="AE109" s="51" t="n">
        <f aca="false">Calendario!AE$22</f>
        <v>0.729827146925939</v>
      </c>
      <c r="AF109" s="51" t="n">
        <f aca="false">Calendario!AF$22</f>
        <v>0.720690527775775</v>
      </c>
      <c r="AG109" s="51" t="n">
        <f aca="false">Calendario!AG$22</f>
        <v>0.711668288872834</v>
      </c>
      <c r="AH109" s="51" t="n">
        <f aca="false">Calendario!AH$22</f>
        <v>0.702758998304419</v>
      </c>
      <c r="AI109" s="51" t="n">
        <f aca="false">Calendario!AI$22</f>
        <v>0.693961242083781</v>
      </c>
      <c r="AJ109" s="51" t="n">
        <f aca="false">Calendario!AJ$22</f>
        <v>0.6852736239257</v>
      </c>
      <c r="AK109" s="51" t="n">
        <f aca="false">Calendario!AK$22</f>
        <v>0.676694765024885</v>
      </c>
      <c r="AL109" s="51" t="n">
        <f aca="false">Calendario!AL$22</f>
        <v>0.668223303837145</v>
      </c>
      <c r="AM109" s="51" t="n">
        <f aca="false">Calendario!AM$22</f>
        <v>0.659857895863298</v>
      </c>
      <c r="AN109" s="51" t="n">
        <f aca="false">Calendario!AN$22</f>
        <v>0.651597213435787</v>
      </c>
      <c r="AO109" s="51" t="n">
        <f aca="false">Calendario!AO$22</f>
        <v>0.643439945507967</v>
      </c>
      <c r="AP109" s="51" t="n">
        <f aca="false">Calendario!AP$22</f>
        <v>0.635384797446031</v>
      </c>
      <c r="AQ109" s="51" t="n">
        <f aca="false">Calendario!AQ$22</f>
        <v>0.627430490823538</v>
      </c>
      <c r="AR109" s="51" t="n">
        <f aca="false">Calendario!AR$22</f>
        <v>0.619575763218514</v>
      </c>
      <c r="AS109" s="51" t="n">
        <f aca="false">Calendario!AS$22</f>
        <v>0.611819368013096</v>
      </c>
      <c r="AT109" s="51" t="n">
        <f aca="false">Calendario!AT$22</f>
        <v>0.604160074195684</v>
      </c>
      <c r="AU109" s="51" t="n">
        <f aca="false">Calendario!AU$22</f>
        <v>0.596596666165561</v>
      </c>
      <c r="AV109" s="51" t="n">
        <f aca="false">Calendario!AV$22</f>
        <v>0.589127943539976</v>
      </c>
      <c r="AW109" s="51" t="n">
        <f aca="false">Calendario!AW$22</f>
        <v>0.581752720963622</v>
      </c>
      <c r="AX109" s="51" t="n">
        <f aca="false">Calendario!AX$22</f>
        <v>0.574469827920517</v>
      </c>
      <c r="AY109" s="51" t="n">
        <f aca="false">Calendario!AY$22</f>
        <v>0.567278108548227</v>
      </c>
      <c r="AZ109" s="51" t="n">
        <f aca="false">Calendario!AZ$22</f>
        <v>0.560176421454425</v>
      </c>
      <c r="BA109" s="51" t="n">
        <f aca="false">Calendario!BA$22</f>
        <v>0.553163639535735</v>
      </c>
      <c r="BB109" s="51" t="n">
        <f aca="false">Calendario!BB$22</f>
        <v>0.546238649798858</v>
      </c>
      <c r="BC109" s="51" t="n">
        <f aca="false">Calendario!BC$22</f>
        <v>0.539400353183922</v>
      </c>
      <c r="BD109" s="51" t="n">
        <f aca="false">Calendario!BD$22</f>
        <v>0.532647664390056</v>
      </c>
      <c r="BE109" s="51" t="n">
        <f aca="false">Calendario!BE$22</f>
        <v>0.525979511703143</v>
      </c>
      <c r="BF109" s="51" t="n">
        <f aca="false">Calendario!BF$22</f>
        <v>0.519394836825725</v>
      </c>
      <c r="BG109" s="51" t="n">
        <f aca="false">Calendario!BG$22</f>
        <v>0.512892594709045</v>
      </c>
      <c r="BH109" s="51" t="n">
        <f aca="false">Calendario!BH$22</f>
        <v>0.506471753387187</v>
      </c>
      <c r="BI109" s="51" t="n">
        <f aca="false">Calendario!BI$22</f>
        <v>0.500131293813293</v>
      </c>
      <c r="BJ109" s="51" t="n">
        <f aca="false">Calendario!BJ$22</f>
        <v>0.493870209697831</v>
      </c>
      <c r="BK109" s="51" t="n">
        <f aca="false">Calendario!BK$22</f>
        <v>0.487687507348888</v>
      </c>
      <c r="BL109" s="51" t="n">
        <f aca="false">Calendario!BL$22</f>
        <v>0.481582205514464</v>
      </c>
      <c r="BM109" s="51" t="n">
        <f aca="false">Calendario!BM$22</f>
        <v>0.475553335226732</v>
      </c>
      <c r="BN109" s="51" t="n">
        <f aca="false">Calendario!BN$22</f>
        <v>0.469599939648261</v>
      </c>
      <c r="BO109" s="51" t="n">
        <f aca="false">Calendario!BO$22</f>
        <v>0.463721073920153</v>
      </c>
      <c r="BP109" s="51" t="n">
        <f aca="false">Calendario!BP$22</f>
        <v>0.457915805012084</v>
      </c>
      <c r="BQ109" s="51" t="n">
        <f aca="false">Calendario!BQ$22</f>
        <v>0.452183211574229</v>
      </c>
      <c r="BR109" s="51" t="n">
        <f aca="false">Calendario!BR$22</f>
        <v>0.446522383791029</v>
      </c>
      <c r="BS109" s="51" t="n">
        <f aca="false">Calendario!BS$22</f>
        <v>0.4409324232368</v>
      </c>
      <c r="BT109" s="51" t="n">
        <f aca="false">Calendario!BT$22</f>
        <v>0.435412442733139</v>
      </c>
      <c r="BU109" s="51" t="n">
        <f aca="false">Calendario!BU$22</f>
        <v>0.429961566208126</v>
      </c>
      <c r="BV109" s="51" t="n">
        <f aca="false">Calendario!BV$22</f>
        <v>0.424578928557282</v>
      </c>
      <c r="BW109" s="51" t="n">
        <f aca="false">Calendario!BW$22</f>
        <v>0.419263675506266</v>
      </c>
      <c r="BX109" s="51" t="n">
        <f aca="false">Calendario!BX$22</f>
        <v>0.414014963475296</v>
      </c>
      <c r="BY109" s="51" t="n">
        <f aca="false">Calendario!BY$22</f>
        <v>0.408831959445265</v>
      </c>
      <c r="BZ109" s="51" t="n">
        <f aca="false">Calendario!BZ$22</f>
        <v>0.403713840825534</v>
      </c>
      <c r="CA109" s="51" t="n">
        <f aca="false">Calendario!CA$22</f>
        <v>0.398659795323378</v>
      </c>
      <c r="CB109" s="51" t="n">
        <f aca="false">Calendario!CB$22</f>
        <v>0.393669020815066</v>
      </c>
      <c r="CC109" s="51" t="n">
        <f aca="false">Calendario!CC$22</f>
        <v>0.38874072521856</v>
      </c>
      <c r="CD109" s="51" t="n">
        <f aca="false">Calendario!CD$22</f>
        <v>0.383874126367804</v>
      </c>
      <c r="CE109" s="51" t="n">
        <f aca="false">Calendario!CE$22</f>
        <v>0.379068451888583</v>
      </c>
      <c r="CF109" s="51" t="n">
        <f aca="false">Calendario!CF$22</f>
        <v>0.374322939075945</v>
      </c>
      <c r="CG109" s="51" t="n">
        <f aca="false">Calendario!CG$22</f>
        <v>0.369636834773149</v>
      </c>
      <c r="CH109" s="51" t="n">
        <f aca="false">Calendario!CH$22</f>
        <v>0.365009395252134</v>
      </c>
      <c r="CI109" s="51" t="n">
        <f aca="false">Calendario!CI$22</f>
        <v>0.360439886095483</v>
      </c>
      <c r="CJ109" s="51" t="n">
        <f aca="false">Calendario!CJ$22</f>
        <v>0.355927582079862</v>
      </c>
      <c r="CK109" s="51" t="n">
        <f aca="false">Calendario!CK$22</f>
        <v>0.351471767060923</v>
      </c>
      <c r="CL109" s="51" t="n">
        <f aca="false">Calendario!CL$22</f>
        <v>0.347071733859641</v>
      </c>
      <c r="CM109" s="51" t="n">
        <f aca="false">Calendario!CM$22</f>
        <v>0.342726784150084</v>
      </c>
      <c r="CN109" s="51" t="n">
        <f aca="false">Calendario!CN$22</f>
        <v>0.338436228348578</v>
      </c>
      <c r="CO109" s="51" t="n">
        <f aca="false">Calendario!CO$22</f>
        <v>0.334199385504264</v>
      </c>
      <c r="CP109" s="51" t="n">
        <f aca="false">Calendario!CP$22</f>
        <v>0.330015583191028</v>
      </c>
      <c r="CQ109" s="51" t="n">
        <f aca="false">Calendario!CQ$22</f>
        <v>0.325884157400776</v>
      </c>
      <c r="CR109" s="51" t="n">
        <f aca="false">Calendario!CR$22</f>
        <v>0.321804452438054</v>
      </c>
      <c r="CS109" s="51" t="n">
        <f aca="false">Calendario!CS$22</f>
        <v>0.31777582081598</v>
      </c>
      <c r="CT109" s="51" t="n">
        <f aca="false">Calendario!CT$22</f>
        <v>0.313797623153485</v>
      </c>
      <c r="CU109" s="51" t="n">
        <f aca="false">Calendario!CU$22</f>
        <v>0.309869228073833</v>
      </c>
      <c r="CV109" s="51" t="n">
        <f aca="false">Calendario!CV$22</f>
        <v>0.305990012104421</v>
      </c>
      <c r="CW109" s="51" t="n">
        <f aca="false">Calendario!CW$22</f>
        <v>0.302159359577822</v>
      </c>
      <c r="CX109" s="51" t="n">
        <f aca="false">Calendario!CX$22</f>
        <v>0.298376662534079</v>
      </c>
      <c r="CY109" s="51" t="n">
        <f aca="false">Calendario!CY$22</f>
        <v>0.294641320624212</v>
      </c>
      <c r="CZ109" s="51" t="n">
        <f aca="false">Calendario!CZ$22</f>
        <v>0.29095274101494</v>
      </c>
      <c r="DA109" s="51" t="n">
        <f aca="false">Calendario!DA$22</f>
        <v>0.287310338294587</v>
      </c>
      <c r="DB109" s="51" t="n">
        <f aca="false">Calendario!DB$22</f>
        <v>0.283713534380182</v>
      </c>
      <c r="DC109" s="51" t="n">
        <f aca="false">Calendario!DC$22</f>
        <v>0.280161758425702</v>
      </c>
      <c r="DD109" s="51" t="n">
        <f aca="false">Calendario!DD$22</f>
        <v>0.276654446731477</v>
      </c>
      <c r="DE109" s="51" t="n">
        <f aca="false">Calendario!DE$22</f>
        <v>0.273191042654729</v>
      </c>
      <c r="DF109" s="51" t="n">
        <f aca="false">Calendario!DF$22</f>
        <v>0.269770996521222</v>
      </c>
      <c r="DG109" s="51" t="n">
        <f aca="false">Calendario!DG$22</f>
        <v>0.266393765538027</v>
      </c>
      <c r="DH109" s="51" t="n">
        <f aca="false">Calendario!DH$22</f>
        <v>0.263058813707377</v>
      </c>
      <c r="DI109" s="51" t="n">
        <f aca="false">Calendario!DI$22</f>
        <v>0.259765611741594</v>
      </c>
      <c r="DJ109" s="51" t="n">
        <f aca="false">Calendario!DJ$22</f>
        <v>0.256513636979091</v>
      </c>
      <c r="DK109" s="51" t="n">
        <f aca="false">Calendario!DK$22</f>
        <v>0.253302373301421</v>
      </c>
      <c r="DL109" s="51" t="n">
        <f aca="false">Calendario!DL$22</f>
        <v>0.250131311051358</v>
      </c>
      <c r="DM109" s="51" t="n">
        <f aca="false">Calendario!DM$22</f>
        <v>0.246999946952018</v>
      </c>
      <c r="DN109" s="51" t="n">
        <f aca="false">Calendario!DN$22</f>
        <v>0.243907784026979</v>
      </c>
      <c r="DO109" s="51" t="n">
        <f aca="false">Calendario!DO$22</f>
        <v>0.240854331521408</v>
      </c>
      <c r="DP109" s="51" t="n">
        <f aca="false">Calendario!DP$22</f>
        <v>0.237839104824172</v>
      </c>
      <c r="DQ109" s="51" t="n">
        <f aca="false">Calendario!DQ$22</f>
        <v>0.234861625390929</v>
      </c>
      <c r="DR109" s="51" t="n">
        <f aca="false">Calendario!DR$22</f>
        <v>0.231921420668176</v>
      </c>
      <c r="DS109" s="51" t="n">
        <f aca="false">Calendario!DS$22</f>
        <v>0.229018024018249</v>
      </c>
      <c r="DT109" s="51" t="n">
        <f aca="false">Calendario!DT$22</f>
        <v>0.226150974645269</v>
      </c>
      <c r="DU109" s="51" t="n">
        <f aca="false">Calendario!DU$22</f>
        <v>0.223319817522003</v>
      </c>
      <c r="DV109" s="51" t="n">
        <f aca="false">Calendario!DV$22</f>
        <v>0.220524103317651</v>
      </c>
      <c r="DW109" s="51" t="n">
        <f aca="false">Calendario!DW$22</f>
        <v>0.217763388326531</v>
      </c>
      <c r="DX109" s="51" t="n">
        <f aca="false">Calendario!DX$22</f>
        <v>0.21503723439766</v>
      </c>
      <c r="DY109" s="51" t="n">
        <f aca="false">Calendario!DY$22</f>
        <v>0.212345208865215</v>
      </c>
      <c r="DZ109" s="51" t="n">
        <f aca="false">Calendario!DZ$22</f>
        <v>0.209686884479865</v>
      </c>
      <c r="EA109" s="51" t="n">
        <f aca="false">Calendario!EA$22</f>
        <v>0.207061839340963</v>
      </c>
      <c r="EB109" s="51" t="n">
        <f aca="false">Calendario!EB$22</f>
        <v>0.204469656829584</v>
      </c>
      <c r="EC109" s="51" t="n">
        <f aca="false">Calendario!EC$22</f>
        <v>0.201909925542408</v>
      </c>
      <c r="ED109" s="51" t="n">
        <f aca="false">Calendario!ED$22</f>
        <v>0.199382239226423</v>
      </c>
      <c r="EE109" s="51" t="n">
        <f aca="false">Calendario!EE$22</f>
        <v>0.196886196714451</v>
      </c>
      <c r="EF109" s="51" t="n">
        <f aca="false">Calendario!EF$22</f>
        <v>0.194421401861476</v>
      </c>
      <c r="EG109" s="51" t="n">
        <f aca="false">Calendario!EG$22</f>
        <v>0.191987463481777</v>
      </c>
      <c r="EH109" s="51" t="n">
        <f aca="false">Calendario!EH$22</f>
        <v>0.189583995286839</v>
      </c>
      <c r="EI109" s="51" t="n">
        <f aca="false">Calendario!EI$22</f>
        <v>0.187210615824046</v>
      </c>
      <c r="EJ109" s="51" t="n">
        <f aca="false">Calendario!EJ$22</f>
        <v>0.184866948416145</v>
      </c>
      <c r="EK109" s="51" t="n">
        <f aca="false">Calendario!EK$22</f>
        <v>0.182552621101457</v>
      </c>
      <c r="EL109" s="51" t="n">
        <f aca="false">Calendario!EL$22</f>
        <v>0.18026726657485</v>
      </c>
      <c r="EM109" s="51" t="n">
        <f aca="false">Calendario!EM$22</f>
        <v>0.178010522129438</v>
      </c>
      <c r="EN109" s="51" t="n">
        <f aca="false">Calendario!EN$22</f>
        <v>0.175782029599023</v>
      </c>
      <c r="EO109" s="51" t="n">
        <f aca="false">Calendario!EO$22</f>
        <v>0.173581435301245</v>
      </c>
      <c r="EP109" s="51" t="n">
        <f aca="false">Calendario!EP$22</f>
        <v>0.171408389981451</v>
      </c>
      <c r="EQ109" s="51" t="n">
        <f aca="false">Calendario!EQ$22</f>
        <v>0.169262548757265</v>
      </c>
      <c r="ER109" s="51" t="n">
        <f aca="false">Calendario!ER$22</f>
        <v>0.167143571063855</v>
      </c>
      <c r="ES109" s="51" t="n">
        <f aca="false">Calendario!ES$22</f>
        <v>0.165051120599877</v>
      </c>
      <c r="ET109" s="51" t="n">
        <f aca="false">Calendario!ET$22</f>
        <v>0.162984865274105</v>
      </c>
      <c r="EU109" s="51" t="n">
        <f aca="false">Calendario!EU$22</f>
        <v>0.160944477152722</v>
      </c>
      <c r="EV109" s="51" t="n">
        <f aca="false">Calendario!EV$22</f>
        <v>0.158929632407277</v>
      </c>
      <c r="EW109" s="51" t="n">
        <f aca="false">Calendario!EW$22</f>
        <v>0.156940011263289</v>
      </c>
      <c r="EX109" s="51" t="n">
        <f aca="false">Calendario!EX$22</f>
        <v>0.154975297949493</v>
      </c>
      <c r="EY109" s="51" t="n">
        <f aca="false">Calendario!EY$22</f>
        <v>0.153035180647729</v>
      </c>
      <c r="EZ109" s="51" t="n">
        <f aca="false">Calendario!EZ$22</f>
        <v>0.151119351443452</v>
      </c>
      <c r="FA109" s="51" t="n">
        <f aca="false">Calendario!FA$22</f>
        <v>0.149227506276861</v>
      </c>
      <c r="FB109" s="51" t="n">
        <f aca="false">Calendario!FB$22</f>
        <v>0.147359344894645</v>
      </c>
      <c r="FC109" s="51" t="n">
        <f aca="false">Calendario!FC$22</f>
        <v>0.145514570802326</v>
      </c>
      <c r="FD109" s="51" t="n">
        <f aca="false">Calendario!FD$22</f>
        <v>0.143692891217207</v>
      </c>
      <c r="FE109" s="51" t="n">
        <f aca="false">Calendario!FE$22</f>
        <v>0.141894017021903</v>
      </c>
      <c r="FF109" s="51" t="n">
        <f aca="false">Calendario!FF$22</f>
        <v>0.140117662718453</v>
      </c>
    </row>
    <row r="110" customFormat="false" ht="15" hidden="false" customHeight="false" outlineLevel="0" collapsed="false">
      <c r="A110" s="2" t="s">
        <v>1625</v>
      </c>
      <c r="B110" s="8" t="s">
        <v>1626</v>
      </c>
      <c r="C110" s="8" t="s">
        <v>255</v>
      </c>
      <c r="F110" s="13" t="n">
        <f aca="false">Capital_Trabajo!F$22*p_RealCxC+(Capital_Trabajo!F$31+Capital_Trabajo!F$56)*p_RealInv+Capital_Trabajo!F$36+Capital_Trabajo!F$58+Deuda_Tributos!F$17-Capital_Trabajo!F$42-Capital_Trabajo!F$51-Capital_Trabajo!F$25-Inversion_Activos!F$43+Inversion_Activos!F$66*p_RealAF-p_CostoCierre</f>
        <v>1719186.38219178</v>
      </c>
      <c r="G110" s="13" t="n">
        <f aca="false">Capital_Trabajo!G$22*p_RealCxC+(Capital_Trabajo!G$31+Capital_Trabajo!G$56)*p_RealInv+Capital_Trabajo!G$36+Capital_Trabajo!G$58+Deuda_Tributos!G$17-Capital_Trabajo!G$42-Capital_Trabajo!G$51-Capital_Trabajo!G$25-Inversion_Activos!G$43+Inversion_Activos!G$66*p_RealAF-p_CostoCierre</f>
        <v>2097243.56459921</v>
      </c>
      <c r="H110" s="13" t="n">
        <f aca="false">Capital_Trabajo!H$22*p_RealCxC+(Capital_Trabajo!H$31+Capital_Trabajo!H$56)*p_RealInv+Capital_Trabajo!H$36+Capital_Trabajo!H$58+Deuda_Tributos!H$17-Capital_Trabajo!H$42-Capital_Trabajo!H$51-Capital_Trabajo!H$25-Inversion_Activos!H$43+Inversion_Activos!H$66*p_RealAF-p_CostoCierre</f>
        <v>2505008.01151758</v>
      </c>
      <c r="I110" s="13" t="n">
        <f aca="false">Capital_Trabajo!I$22*p_RealCxC+(Capital_Trabajo!I$31+Capital_Trabajo!I$56)*p_RealInv+Capital_Trabajo!I$36+Capital_Trabajo!I$58+Deuda_Tributos!I$17-Capital_Trabajo!I$42-Capital_Trabajo!I$51-Capital_Trabajo!I$25-Inversion_Activos!I$43+Inversion_Activos!I$66*p_RealAF-p_CostoCierre</f>
        <v>2903208.66068424</v>
      </c>
      <c r="J110" s="13" t="n">
        <f aca="false">Capital_Trabajo!J$22*p_RealCxC+(Capital_Trabajo!J$31+Capital_Trabajo!J$56)*p_RealInv+Capital_Trabajo!J$36+Capital_Trabajo!J$58+Deuda_Tributos!J$17-Capital_Trabajo!J$42-Capital_Trabajo!J$51-Capital_Trabajo!J$25-Inversion_Activos!J$43+Inversion_Activos!J$66*p_RealAF-p_CostoCierre</f>
        <v>3279263.19112945</v>
      </c>
      <c r="K110" s="13" t="n">
        <f aca="false">Capital_Trabajo!K$22*p_RealCxC+(Capital_Trabajo!K$31+Capital_Trabajo!K$56)*p_RealInv+Capital_Trabajo!K$36+Capital_Trabajo!K$58+Deuda_Tributos!K$17-Capital_Trabajo!K$42-Capital_Trabajo!K$51-Capital_Trabajo!K$25-Inversion_Activos!K$43+Inversion_Activos!K$66*p_RealAF-p_CostoCierre</f>
        <v>3273297.17362945</v>
      </c>
      <c r="L110" s="13" t="n">
        <f aca="false">Capital_Trabajo!L$22*p_RealCxC+(Capital_Trabajo!L$31+Capital_Trabajo!L$56)*p_RealInv+Capital_Trabajo!L$36+Capital_Trabajo!L$58+Deuda_Tributos!L$17-Capital_Trabajo!L$42-Capital_Trabajo!L$51-Capital_Trabajo!L$25-Inversion_Activos!L$43+Inversion_Activos!L$66*p_RealAF-p_CostoCierre</f>
        <v>3267331.15612945</v>
      </c>
      <c r="M110" s="13" t="n">
        <f aca="false">Capital_Trabajo!M$22*p_RealCxC+(Capital_Trabajo!M$31+Capital_Trabajo!M$56)*p_RealInv+Capital_Trabajo!M$36+Capital_Trabajo!M$58+Deuda_Tributos!M$17-Capital_Trabajo!M$42-Capital_Trabajo!M$51-Capital_Trabajo!M$25-Inversion_Activos!M$43+Inversion_Activos!M$66*p_RealAF-p_CostoCierre</f>
        <v>3261365.13862945</v>
      </c>
      <c r="N110" s="13" t="n">
        <f aca="false">Capital_Trabajo!N$22*p_RealCxC+(Capital_Trabajo!N$31+Capital_Trabajo!N$56)*p_RealInv+Capital_Trabajo!N$36+Capital_Trabajo!N$58+Deuda_Tributos!N$17-Capital_Trabajo!N$42-Capital_Trabajo!N$51-Capital_Trabajo!N$25-Inversion_Activos!N$43+Inversion_Activos!N$66*p_RealAF-p_CostoCierre</f>
        <v>3275736.39787931</v>
      </c>
      <c r="O110" s="13" t="n">
        <f aca="false">Capital_Trabajo!O$22*p_RealCxC+(Capital_Trabajo!O$31+Capital_Trabajo!O$56)*p_RealInv+Capital_Trabajo!O$36+Capital_Trabajo!O$58+Deuda_Tributos!O$17-Capital_Trabajo!O$42-Capital_Trabajo!O$51-Capital_Trabajo!O$25-Inversion_Activos!O$43+Inversion_Activos!O$66*p_RealAF-p_CostoCierre</f>
        <v>3334355.43748219</v>
      </c>
      <c r="P110" s="13" t="n">
        <f aca="false">Capital_Trabajo!P$22*p_RealCxC+(Capital_Trabajo!P$31+Capital_Trabajo!P$56)*p_RealInv+Capital_Trabajo!P$36+Capital_Trabajo!P$58+Deuda_Tributos!P$17-Capital_Trabajo!P$42-Capital_Trabajo!P$51-Capital_Trabajo!P$25-Inversion_Activos!P$43+Inversion_Activos!P$66*p_RealAF-p_CostoCierre</f>
        <v>3395471.21956552</v>
      </c>
      <c r="Q110" s="13" t="n">
        <f aca="false">Capital_Trabajo!Q$22*p_RealCxC+(Capital_Trabajo!Q$31+Capital_Trabajo!Q$56)*p_RealInv+Capital_Trabajo!Q$36+Capital_Trabajo!Q$58+Deuda_Tributos!Q$17-Capital_Trabajo!Q$42-Capital_Trabajo!Q$51-Capital_Trabajo!Q$25-Inversion_Activos!Q$43+Inversion_Activos!Q$66*p_RealAF-p_CostoCierre</f>
        <v>3456587.00164885</v>
      </c>
      <c r="R110" s="13" t="n">
        <f aca="false">Capital_Trabajo!R$22*p_RealCxC+(Capital_Trabajo!R$31+Capital_Trabajo!R$56)*p_RealInv+Capital_Trabajo!R$36+Capital_Trabajo!R$58+Deuda_Tributos!R$17-Capital_Trabajo!R$42-Capital_Trabajo!R$51-Capital_Trabajo!R$25-Inversion_Activos!R$43+Inversion_Activos!R$66*p_RealAF-p_CostoCierre</f>
        <v>3519707.43478521</v>
      </c>
      <c r="S110" s="13" t="n">
        <f aca="false">Capital_Trabajo!S$22*p_RealCxC+(Capital_Trabajo!S$31+Capital_Trabajo!S$56)*p_RealInv+Capital_Trabajo!S$36+Capital_Trabajo!S$58+Deuda_Tributos!S$17-Capital_Trabajo!S$42-Capital_Trabajo!S$51-Capital_Trabajo!S$25-Inversion_Activos!S$43+Inversion_Activos!S$66*p_RealAF-p_CostoCierre</f>
        <v>3716833.85047876</v>
      </c>
      <c r="T110" s="13" t="n">
        <f aca="false">Capital_Trabajo!T$22*p_RealCxC+(Capital_Trabajo!T$31+Capital_Trabajo!T$56)*p_RealInv+Capital_Trabajo!T$36+Capital_Trabajo!T$58+Deuda_Tributos!T$17-Capital_Trabajo!T$42-Capital_Trabajo!T$51-Capital_Trabajo!T$25-Inversion_Activos!T$43+Inversion_Activos!T$66*p_RealAF-p_CostoCierre</f>
        <v>3820967.83297876</v>
      </c>
      <c r="U110" s="13" t="n">
        <f aca="false">Capital_Trabajo!U$22*p_RealCxC+(Capital_Trabajo!U$31+Capital_Trabajo!U$56)*p_RealInv+Capital_Trabajo!U$36+Capital_Trabajo!U$58+Deuda_Tributos!U$17-Capital_Trabajo!U$42-Capital_Trabajo!U$51-Capital_Trabajo!U$25-Inversion_Activos!U$43+Inversion_Activos!U$66*p_RealAF-p_CostoCierre</f>
        <v>3925101.81547876</v>
      </c>
      <c r="V110" s="13" t="n">
        <f aca="false">Capital_Trabajo!V$22*p_RealCxC+(Capital_Trabajo!V$31+Capital_Trabajo!V$56)*p_RealInv+Capital_Trabajo!V$36+Capital_Trabajo!V$58+Deuda_Tributos!V$17-Capital_Trabajo!V$42-Capital_Trabajo!V$51-Capital_Trabajo!V$25-Inversion_Activos!V$43+Inversion_Activos!V$66*p_RealAF-p_CostoCierre</f>
        <v>4023157.25916598</v>
      </c>
      <c r="W110" s="13" t="n">
        <f aca="false">Capital_Trabajo!W$22*p_RealCxC+(Capital_Trabajo!W$31+Capital_Trabajo!W$56)*p_RealInv+Capital_Trabajo!W$36+Capital_Trabajo!W$58+Deuda_Tributos!W$17-Capital_Trabajo!W$42-Capital_Trabajo!W$51-Capital_Trabajo!W$25-Inversion_Activos!W$43+Inversion_Activos!W$66*p_RealAF-p_CostoCierre</f>
        <v>4016357.90833264</v>
      </c>
      <c r="X110" s="13" t="n">
        <f aca="false">Capital_Trabajo!X$22*p_RealCxC+(Capital_Trabajo!X$31+Capital_Trabajo!X$56)*p_RealInv+Capital_Trabajo!X$36+Capital_Trabajo!X$58+Deuda_Tributos!X$17-Capital_Trabajo!X$42-Capital_Trabajo!X$51-Capital_Trabajo!X$25-Inversion_Activos!X$43+Inversion_Activos!X$66*p_RealAF-p_CostoCierre</f>
        <v>4009558.55749931</v>
      </c>
      <c r="Y110" s="13" t="n">
        <f aca="false">Capital_Trabajo!Y$22*p_RealCxC+(Capital_Trabajo!Y$31+Capital_Trabajo!Y$56)*p_RealInv+Capital_Trabajo!Y$36+Capital_Trabajo!Y$58+Deuda_Tributos!Y$17-Capital_Trabajo!Y$42-Capital_Trabajo!Y$51-Capital_Trabajo!Y$25-Inversion_Activos!Y$43+Inversion_Activos!Y$66*p_RealAF-p_CostoCierre</f>
        <v>4002759.20666598</v>
      </c>
      <c r="Z110" s="13" t="n">
        <f aca="false">Capital_Trabajo!Z$22*p_RealCxC+(Capital_Trabajo!Z$31+Capital_Trabajo!Z$56)*p_RealInv+Capital_Trabajo!Z$36+Capital_Trabajo!Z$58+Deuda_Tributos!Z$17-Capital_Trabajo!Z$42-Capital_Trabajo!Z$51-Capital_Trabajo!Z$25-Inversion_Activos!Z$43+Inversion_Activos!Z$66*p_RealAF-p_CostoCierre</f>
        <v>4016402.79736201</v>
      </c>
      <c r="AA110" s="13" t="n">
        <f aca="false">Capital_Trabajo!AA$22*p_RealCxC+(Capital_Trabajo!AA$31+Capital_Trabajo!AA$56)*p_RealInv+Capital_Trabajo!AA$36+Capital_Trabajo!AA$58+Deuda_Tributos!AA$17-Capital_Trabajo!AA$42-Capital_Trabajo!AA$51-Capital_Trabajo!AA$25-Inversion_Activos!AA$43+Inversion_Activos!AA$66*p_RealAF-p_CostoCierre</f>
        <v>4074856.10584931</v>
      </c>
      <c r="AB110" s="13" t="n">
        <f aca="false">Capital_Trabajo!AB$22*p_RealCxC+(Capital_Trabajo!AB$31+Capital_Trabajo!AB$56)*p_RealInv+Capital_Trabajo!AB$36+Capital_Trabajo!AB$58+Deuda_Tributos!AB$17-Capital_Trabajo!AB$42-Capital_Trabajo!AB$51-Capital_Trabajo!AB$25-Inversion_Activos!AB$43+Inversion_Activos!AB$66*p_RealAF-p_CostoCierre</f>
        <v>4135838.37779931</v>
      </c>
      <c r="AC110" s="13" t="n">
        <f aca="false">Capital_Trabajo!AC$22*p_RealCxC+(Capital_Trabajo!AC$31+Capital_Trabajo!AC$56)*p_RealInv+Capital_Trabajo!AC$36+Capital_Trabajo!AC$58+Deuda_Tributos!AC$17-Capital_Trabajo!AC$42-Capital_Trabajo!AC$51-Capital_Trabajo!AC$25-Inversion_Activos!AC$43+Inversion_Activos!AC$66*p_RealAF-p_CostoCierre</f>
        <v>4196820.64974931</v>
      </c>
      <c r="AD110" s="13" t="n">
        <f aca="false">Capital_Trabajo!AD$22*p_RealCxC+(Capital_Trabajo!AD$31+Capital_Trabajo!AD$56)*p_RealInv+Capital_Trabajo!AD$36+Capital_Trabajo!AD$58+Deuda_Tributos!AD$17-Capital_Trabajo!AD$42-Capital_Trabajo!AD$51-Capital_Trabajo!AD$25-Inversion_Activos!AD$43+Inversion_Activos!AD$66*p_RealAF-p_CostoCierre</f>
        <v>4259207.1673628</v>
      </c>
      <c r="AE110" s="13" t="n">
        <f aca="false">Capital_Trabajo!AE$22*p_RealCxC+(Capital_Trabajo!AE$31+Capital_Trabajo!AE$56)*p_RealInv+Capital_Trabajo!AE$36+Capital_Trabajo!AE$58+Deuda_Tributos!AE$17-Capital_Trabajo!AE$42-Capital_Trabajo!AE$51-Capital_Trabajo!AE$25-Inversion_Activos!AE$43+Inversion_Activos!AE$66*p_RealAF-p_CostoCierre</f>
        <v>4360702.40427802</v>
      </c>
      <c r="AF110" s="13" t="n">
        <f aca="false">Capital_Trabajo!AF$22*p_RealCxC+(Capital_Trabajo!AF$31+Capital_Trabajo!AF$56)*p_RealInv+Capital_Trabajo!AF$36+Capital_Trabajo!AF$58+Deuda_Tributos!AF$17-Capital_Trabajo!AF$42-Capital_Trabajo!AF$51-Capital_Trabajo!AF$25-Inversion_Activos!AF$43+Inversion_Activos!AF$66*p_RealAF-p_CostoCierre</f>
        <v>4467014.63677802</v>
      </c>
      <c r="AG110" s="13" t="n">
        <f aca="false">Capital_Trabajo!AG$22*p_RealCxC+(Capital_Trabajo!AG$31+Capital_Trabajo!AG$56)*p_RealInv+Capital_Trabajo!AG$36+Capital_Trabajo!AG$58+Deuda_Tributos!AG$17-Capital_Trabajo!AG$42-Capital_Trabajo!AG$51-Capital_Trabajo!AG$25-Inversion_Activos!AG$43+Inversion_Activos!AG$66*p_RealAF-p_CostoCierre</f>
        <v>4573326.86927802</v>
      </c>
      <c r="AH110" s="13" t="n">
        <f aca="false">Capital_Trabajo!AH$22*p_RealCxC+(Capital_Trabajo!AH$31+Capital_Trabajo!AH$56)*p_RealInv+Capital_Trabajo!AH$36+Capital_Trabajo!AH$58+Deuda_Tributos!AH$17-Capital_Trabajo!AH$42-Capital_Trabajo!AH$51-Capital_Trabajo!AH$25-Inversion_Activos!AH$43+Inversion_Activos!AH$66*p_RealAF-p_CostoCierre</f>
        <v>4673441.20680085</v>
      </c>
      <c r="AI110" s="13" t="n">
        <f aca="false">Capital_Trabajo!AI$22*p_RealCxC+(Capital_Trabajo!AI$31+Capital_Trabajo!AI$56)*p_RealInv+Capital_Trabajo!AI$36+Capital_Trabajo!AI$58+Deuda_Tributos!AI$17-Capital_Trabajo!AI$42-Capital_Trabajo!AI$51-Capital_Trabajo!AI$25-Inversion_Activos!AI$43+Inversion_Activos!AI$66*p_RealAF-p_CostoCierre</f>
        <v>4666641.85596751</v>
      </c>
      <c r="AJ110" s="13" t="n">
        <f aca="false">Capital_Trabajo!AJ$22*p_RealCxC+(Capital_Trabajo!AJ$31+Capital_Trabajo!AJ$56)*p_RealInv+Capital_Trabajo!AJ$36+Capital_Trabajo!AJ$58+Deuda_Tributos!AJ$17-Capital_Trabajo!AJ$42-Capital_Trabajo!AJ$51-Capital_Trabajo!AJ$25-Inversion_Activos!AJ$43+Inversion_Activos!AJ$66*p_RealAF-p_CostoCierre</f>
        <v>4659842.50513418</v>
      </c>
      <c r="AK110" s="13" t="n">
        <f aca="false">Capital_Trabajo!AK$22*p_RealCxC+(Capital_Trabajo!AK$31+Capital_Trabajo!AK$56)*p_RealInv+Capital_Trabajo!AK$36+Capital_Trabajo!AK$58+Deuda_Tributos!AK$17-Capital_Trabajo!AK$42-Capital_Trabajo!AK$51-Capital_Trabajo!AK$25-Inversion_Activos!AK$43+Inversion_Activos!AK$66*p_RealAF-p_CostoCierre</f>
        <v>4653043.15430085</v>
      </c>
      <c r="AL110" s="13" t="n">
        <f aca="false">Capital_Trabajo!AL$22*p_RealCxC+(Capital_Trabajo!AL$31+Capital_Trabajo!AL$56)*p_RealInv+Capital_Trabajo!AL$36+Capital_Trabajo!AL$58+Deuda_Tributos!AL$17-Capital_Trabajo!AL$42-Capital_Trabajo!AL$51-Capital_Trabajo!AL$25-Inversion_Activos!AL$43+Inversion_Activos!AL$66*p_RealAF-p_CostoCierre</f>
        <v>4662776.41066562</v>
      </c>
      <c r="AM110" s="13" t="n">
        <f aca="false">Capital_Trabajo!AM$22*p_RealCxC+(Capital_Trabajo!AM$31+Capital_Trabajo!AM$56)*p_RealInv+Capital_Trabajo!AM$36+Capital_Trabajo!AM$58+Deuda_Tributos!AM$17-Capital_Trabajo!AM$42-Capital_Trabajo!AM$51-Capital_Trabajo!AM$25-Inversion_Activos!AM$43+Inversion_Activos!AM$66*p_RealAF-p_CostoCierre</f>
        <v>4709394.50031448</v>
      </c>
      <c r="AN110" s="13" t="n">
        <f aca="false">Capital_Trabajo!AN$22*p_RealCxC+(Capital_Trabajo!AN$31+Capital_Trabajo!AN$56)*p_RealInv+Capital_Trabajo!AN$36+Capital_Trabajo!AN$58+Deuda_Tributos!AN$17-Capital_Trabajo!AN$42-Capital_Trabajo!AN$51-Capital_Trabajo!AN$25-Inversion_Activos!AN$43+Inversion_Activos!AN$66*p_RealAF-p_CostoCierre</f>
        <v>4758095.2810516</v>
      </c>
      <c r="AO110" s="13" t="n">
        <f aca="false">Capital_Trabajo!AO$22*p_RealCxC+(Capital_Trabajo!AO$31+Capital_Trabajo!AO$56)*p_RealInv+Capital_Trabajo!AO$36+Capital_Trabajo!AO$58+Deuda_Tributos!AO$17-Capital_Trabajo!AO$42-Capital_Trabajo!AO$51-Capital_Trabajo!AO$25-Inversion_Activos!AO$43+Inversion_Activos!AO$66*p_RealAF-p_CostoCierre</f>
        <v>4806796.06178873</v>
      </c>
      <c r="AP110" s="13" t="n">
        <f aca="false">Capital_Trabajo!AP$22*p_RealCxC+(Capital_Trabajo!AP$31+Capital_Trabajo!AP$56)*p_RealInv+Capital_Trabajo!AP$36+Capital_Trabajo!AP$58+Deuda_Tributos!AP$17-Capital_Trabajo!AP$42-Capital_Trabajo!AP$51-Capital_Trabajo!AP$25-Inversion_Activos!AP$43+Inversion_Activos!AP$66*p_RealAF-p_CostoCierre</f>
        <v>4856427.60851195</v>
      </c>
      <c r="AQ110" s="13" t="n">
        <f aca="false">Capital_Trabajo!AQ$22*p_RealCxC+(Capital_Trabajo!AQ$31+Capital_Trabajo!AQ$56)*p_RealInv+Capital_Trabajo!AQ$36+Capital_Trabajo!AQ$58+Deuda_Tributos!AQ$17-Capital_Trabajo!AQ$42-Capital_Trabajo!AQ$51-Capital_Trabajo!AQ$25-Inversion_Activos!AQ$43+Inversion_Activos!AQ$66*p_RealAF-p_CostoCierre</f>
        <v>4941498.9622602</v>
      </c>
      <c r="AR110" s="13" t="n">
        <f aca="false">Capital_Trabajo!AR$22*p_RealCxC+(Capital_Trabajo!AR$31+Capital_Trabajo!AR$56)*p_RealInv+Capital_Trabajo!AR$36+Capital_Trabajo!AR$58+Deuda_Tributos!AR$17-Capital_Trabajo!AR$42-Capital_Trabajo!AR$51-Capital_Trabajo!AR$25-Inversion_Activos!AR$43+Inversion_Activos!AR$66*p_RealAF-p_CostoCierre</f>
        <v>5030274.48059354</v>
      </c>
      <c r="AS110" s="13" t="n">
        <f aca="false">Capital_Trabajo!AS$22*p_RealCxC+(Capital_Trabajo!AS$31+Capital_Trabajo!AS$56)*p_RealInv+Capital_Trabajo!AS$36+Capital_Trabajo!AS$58+Deuda_Tributos!AS$17-Capital_Trabajo!AS$42-Capital_Trabajo!AS$51-Capital_Trabajo!AS$25-Inversion_Activos!AS$43+Inversion_Activos!AS$66*p_RealAF-p_CostoCierre</f>
        <v>5119049.99892687</v>
      </c>
      <c r="AT110" s="13" t="n">
        <f aca="false">Capital_Trabajo!AT$22*p_RealCxC+(Capital_Trabajo!AT$31+Capital_Trabajo!AT$56)*p_RealInv+Capital_Trabajo!AT$36+Capital_Trabajo!AT$58+Deuda_Tributos!AT$17-Capital_Trabajo!AT$42-Capital_Trabajo!AT$51-Capital_Trabajo!AT$25-Inversion_Activos!AT$43+Inversion_Activos!AT$66*p_RealAF-p_CostoCierre</f>
        <v>5202588.53812778</v>
      </c>
      <c r="AU110" s="13" t="n">
        <f aca="false">Capital_Trabajo!AU$22*p_RealCxC+(Capital_Trabajo!AU$31+Capital_Trabajo!AU$56)*p_RealInv+Capital_Trabajo!AU$36+Capital_Trabajo!AU$58+Deuda_Tributos!AU$17-Capital_Trabajo!AU$42-Capital_Trabajo!AU$51-Capital_Trabajo!AU$25-Inversion_Activos!AU$43+Inversion_Activos!AU$66*p_RealAF-p_CostoCierre</f>
        <v>5195789.18729445</v>
      </c>
      <c r="AV110" s="13" t="n">
        <f aca="false">Capital_Trabajo!AV$22*p_RealCxC+(Capital_Trabajo!AV$31+Capital_Trabajo!AV$56)*p_RealInv+Capital_Trabajo!AV$36+Capital_Trabajo!AV$58+Deuda_Tributos!AV$17-Capital_Trabajo!AV$42-Capital_Trabajo!AV$51-Capital_Trabajo!AV$25-Inversion_Activos!AV$43+Inversion_Activos!AV$66*p_RealAF-p_CostoCierre</f>
        <v>5188989.83646112</v>
      </c>
      <c r="AW110" s="13" t="n">
        <f aca="false">Capital_Trabajo!AW$22*p_RealCxC+(Capital_Trabajo!AW$31+Capital_Trabajo!AW$56)*p_RealInv+Capital_Trabajo!AW$36+Capital_Trabajo!AW$58+Deuda_Tributos!AW$17-Capital_Trabajo!AW$42-Capital_Trabajo!AW$51-Capital_Trabajo!AW$25-Inversion_Activos!AW$43+Inversion_Activos!AW$66*p_RealAF-p_CostoCierre</f>
        <v>5182190.48562778</v>
      </c>
      <c r="AX110" s="13" t="n">
        <f aca="false">Capital_Trabajo!AX$22*p_RealCxC+(Capital_Trabajo!AX$31+Capital_Trabajo!AX$56)*p_RealInv+Capital_Trabajo!AX$36+Capital_Trabajo!AX$58+Deuda_Tributos!AX$17-Capital_Trabajo!AX$42-Capital_Trabajo!AX$51-Capital_Trabajo!AX$25-Inversion_Activos!AX$43+Inversion_Activos!AX$66*p_RealAF-p_CostoCierre</f>
        <v>5175391.13479445</v>
      </c>
      <c r="AY110" s="13" t="n">
        <f aca="false">Capital_Trabajo!AY$22*p_RealCxC+(Capital_Trabajo!AY$31+Capital_Trabajo!AY$56)*p_RealInv+Capital_Trabajo!AY$36+Capital_Trabajo!AY$58+Deuda_Tributos!AY$17-Capital_Trabajo!AY$42-Capital_Trabajo!AY$51-Capital_Trabajo!AY$25-Inversion_Activos!AY$43+Inversion_Activos!AY$66*p_RealAF-p_CostoCierre</f>
        <v>5170785.85568669</v>
      </c>
      <c r="AZ110" s="13" t="n">
        <f aca="false">Capital_Trabajo!AZ$22*p_RealCxC+(Capital_Trabajo!AZ$31+Capital_Trabajo!AZ$56)*p_RealInv+Capital_Trabajo!AZ$36+Capital_Trabajo!AZ$58+Deuda_Tributos!AZ$17-Capital_Trabajo!AZ$42-Capital_Trabajo!AZ$51-Capital_Trabajo!AZ$25-Inversion_Activos!AZ$43+Inversion_Activos!AZ$66*p_RealAF-p_CostoCierre</f>
        <v>5166307.76914272</v>
      </c>
      <c r="BA110" s="13" t="n">
        <f aca="false">Capital_Trabajo!BA$22*p_RealCxC+(Capital_Trabajo!BA$31+Capital_Trabajo!BA$56)*p_RealInv+Capital_Trabajo!BA$36+Capital_Trabajo!BA$58+Deuda_Tributos!BA$17-Capital_Trabajo!BA$42-Capital_Trabajo!BA$51-Capital_Trabajo!BA$25-Inversion_Activos!BA$43+Inversion_Activos!BA$66*p_RealAF-p_CostoCierre</f>
        <v>5161829.68259876</v>
      </c>
      <c r="BB110" s="13" t="n">
        <f aca="false">Capital_Trabajo!BB$22*p_RealCxC+(Capital_Trabajo!BB$31+Capital_Trabajo!BB$56)*p_RealInv+Capital_Trabajo!BB$36+Capital_Trabajo!BB$58+Deuda_Tributos!BB$17-Capital_Trabajo!BB$42-Capital_Trabajo!BB$51-Capital_Trabajo!BB$25-Inversion_Activos!BB$43+Inversion_Activos!BB$66*p_RealAF-p_CostoCierre</f>
        <v>5157351.5960548</v>
      </c>
      <c r="BC110" s="13" t="n">
        <f aca="false">Capital_Trabajo!BC$22*p_RealCxC+(Capital_Trabajo!BC$31+Capital_Trabajo!BC$56)*p_RealInv+Capital_Trabajo!BC$36+Capital_Trabajo!BC$58+Deuda_Tributos!BC$17-Capital_Trabajo!BC$42-Capital_Trabajo!BC$51-Capital_Trabajo!BC$25-Inversion_Activos!BC$43+Inversion_Activos!BC$66*p_RealAF-p_CostoCierre</f>
        <v>5159246.35989209</v>
      </c>
      <c r="BD110" s="13" t="n">
        <f aca="false">Capital_Trabajo!BD$22*p_RealCxC+(Capital_Trabajo!BD$31+Capital_Trabajo!BD$56)*p_RealInv+Capital_Trabajo!BD$36+Capital_Trabajo!BD$58+Deuda_Tributos!BD$17-Capital_Trabajo!BD$42-Capital_Trabajo!BD$51-Capital_Trabajo!BD$25-Inversion_Activos!BD$43+Inversion_Activos!BD$66*p_RealAF-p_CostoCierre</f>
        <v>5159684.87358375</v>
      </c>
      <c r="BE110" s="13" t="n">
        <f aca="false">Capital_Trabajo!BE$22*p_RealCxC+(Capital_Trabajo!BE$31+Capital_Trabajo!BE$56)*p_RealInv+Capital_Trabajo!BE$36+Capital_Trabajo!BE$58+Deuda_Tributos!BE$17-Capital_Trabajo!BE$42-Capital_Trabajo!BE$51-Capital_Trabajo!BE$25-Inversion_Activos!BE$43+Inversion_Activos!BE$66*p_RealAF-p_CostoCierre</f>
        <v>5160123.38727542</v>
      </c>
      <c r="BF110" s="13" t="n">
        <f aca="false">Capital_Trabajo!BF$22*p_RealCxC+(Capital_Trabajo!BF$31+Capital_Trabajo!BF$56)*p_RealInv+Capital_Trabajo!BF$36+Capital_Trabajo!BF$58+Deuda_Tributos!BF$17-Capital_Trabajo!BF$42-Capital_Trabajo!BF$51-Capital_Trabajo!BF$25-Inversion_Activos!BF$43+Inversion_Activos!BF$66*p_RealAF-p_CostoCierre</f>
        <v>5160165.30565065</v>
      </c>
      <c r="BG110" s="13" t="n">
        <f aca="false">Capital_Trabajo!BG$22*p_RealCxC+(Capital_Trabajo!BG$31+Capital_Trabajo!BG$56)*p_RealInv+Capital_Trabajo!BG$36+Capital_Trabajo!BG$58+Deuda_Tributos!BG$17-Capital_Trabajo!BG$42-Capital_Trabajo!BG$51-Capital_Trabajo!BG$25-Inversion_Activos!BG$43+Inversion_Activos!BG$66*p_RealAF-p_CostoCierre</f>
        <v>5153365.95481732</v>
      </c>
      <c r="BH110" s="13" t="n">
        <f aca="false">Capital_Trabajo!BH$22*p_RealCxC+(Capital_Trabajo!BH$31+Capital_Trabajo!BH$56)*p_RealInv+Capital_Trabajo!BH$36+Capital_Trabajo!BH$58+Deuda_Tributos!BH$17-Capital_Trabajo!BH$42-Capital_Trabajo!BH$51-Capital_Trabajo!BH$25-Inversion_Activos!BH$43+Inversion_Activos!BH$66*p_RealAF-p_CostoCierre</f>
        <v>5146566.60398398</v>
      </c>
      <c r="BI110" s="13" t="n">
        <f aca="false">Capital_Trabajo!BI$22*p_RealCxC+(Capital_Trabajo!BI$31+Capital_Trabajo!BI$56)*p_RealInv+Capital_Trabajo!BI$36+Capital_Trabajo!BI$58+Deuda_Tributos!BI$17-Capital_Trabajo!BI$42-Capital_Trabajo!BI$51-Capital_Trabajo!BI$25-Inversion_Activos!BI$43+Inversion_Activos!BI$66*p_RealAF-p_CostoCierre</f>
        <v>5139767.25315065</v>
      </c>
      <c r="BJ110" s="13" t="n">
        <f aca="false">Capital_Trabajo!BJ$22*p_RealCxC+(Capital_Trabajo!BJ$31+Capital_Trabajo!BJ$56)*p_RealInv+Capital_Trabajo!BJ$36+Capital_Trabajo!BJ$58+Deuda_Tributos!BJ$17-Capital_Trabajo!BJ$42-Capital_Trabajo!BJ$51-Capital_Trabajo!BJ$25-Inversion_Activos!BJ$43+Inversion_Activos!BJ$66*p_RealAF-p_CostoCierre</f>
        <v>5132967.90231731</v>
      </c>
      <c r="BK110" s="13" t="n">
        <f aca="false">Capital_Trabajo!BK$22*p_RealCxC+(Capital_Trabajo!BK$31+Capital_Trabajo!BK$56)*p_RealInv+Capital_Trabajo!BK$36+Capital_Trabajo!BK$58+Deuda_Tributos!BK$17-Capital_Trabajo!BK$42-Capital_Trabajo!BK$51-Capital_Trabajo!BK$25-Inversion_Activos!BK$43+Inversion_Activos!BK$66*p_RealAF-p_CostoCierre</f>
        <v>5128384.56392681</v>
      </c>
      <c r="BL110" s="13" t="n">
        <f aca="false">Capital_Trabajo!BL$22*p_RealCxC+(Capital_Trabajo!BL$31+Capital_Trabajo!BL$56)*p_RealInv+Capital_Trabajo!BL$36+Capital_Trabajo!BL$58+Deuda_Tributos!BL$17-Capital_Trabajo!BL$42-Capital_Trabajo!BL$51-Capital_Trabajo!BL$25-Inversion_Activos!BL$43+Inversion_Activos!BL$66*p_RealAF-p_CostoCierre</f>
        <v>5123929.69002574</v>
      </c>
      <c r="BM110" s="13" t="n">
        <f aca="false">Capital_Trabajo!BM$22*p_RealCxC+(Capital_Trabajo!BM$31+Capital_Trabajo!BM$56)*p_RealInv+Capital_Trabajo!BM$36+Capital_Trabajo!BM$58+Deuda_Tributos!BM$17-Capital_Trabajo!BM$42-Capital_Trabajo!BM$51-Capital_Trabajo!BM$25-Inversion_Activos!BM$43+Inversion_Activos!BM$66*p_RealAF-p_CostoCierre</f>
        <v>5119474.81612467</v>
      </c>
      <c r="BN110" s="13" t="n">
        <f aca="false">Capital_Trabajo!BN$22*p_RealCxC+(Capital_Trabajo!BN$31+Capital_Trabajo!BN$56)*p_RealInv+Capital_Trabajo!BN$36+Capital_Trabajo!BN$58+Deuda_Tributos!BN$17-Capital_Trabajo!BN$42-Capital_Trabajo!BN$51-Capital_Trabajo!BN$25-Inversion_Activos!BN$43+Inversion_Activos!BN$66*p_RealAF-p_CostoCierre</f>
        <v>5115019.9422236</v>
      </c>
      <c r="BO110" s="13" t="n">
        <f aca="false">Capital_Trabajo!BO$22*p_RealCxC+(Capital_Trabajo!BO$31+Capital_Trabajo!BO$56)*p_RealInv+Capital_Trabajo!BO$36+Capital_Trabajo!BO$58+Deuda_Tributos!BO$17-Capital_Trabajo!BO$42-Capital_Trabajo!BO$51-Capital_Trabajo!BO$25-Inversion_Activos!BO$43+Inversion_Activos!BO$66*p_RealAF-p_CostoCierre</f>
        <v>5116477.78827258</v>
      </c>
      <c r="BP110" s="13" t="n">
        <f aca="false">Capital_Trabajo!BP$22*p_RealCxC+(Capital_Trabajo!BP$31+Capital_Trabajo!BP$56)*p_RealInv+Capital_Trabajo!BP$36+Capital_Trabajo!BP$58+Deuda_Tributos!BP$17-Capital_Trabajo!BP$42-Capital_Trabajo!BP$51-Capital_Trabajo!BP$25-Inversion_Activos!BP$43+Inversion_Activos!BP$66*p_RealAF-p_CostoCierre</f>
        <v>5118003.31394283</v>
      </c>
      <c r="BQ110" s="13" t="n">
        <f aca="false">Capital_Trabajo!BQ$22*p_RealCxC+(Capital_Trabajo!BQ$31+Capital_Trabajo!BQ$56)*p_RealInv+Capital_Trabajo!BQ$36+Capital_Trabajo!BQ$58+Deuda_Tributos!BQ$17-Capital_Trabajo!BQ$42-Capital_Trabajo!BQ$51-Capital_Trabajo!BQ$25-Inversion_Activos!BQ$43+Inversion_Activos!BQ$66*p_RealAF-p_CostoCierre</f>
        <v>5119528.83961308</v>
      </c>
      <c r="BR110" s="13" t="n">
        <f aca="false">Capital_Trabajo!BR$22*p_RealCxC+(Capital_Trabajo!BR$31+Capital_Trabajo!BR$56)*p_RealInv+Capital_Trabajo!BR$36+Capital_Trabajo!BR$58+Deuda_Tributos!BR$17-Capital_Trabajo!BR$42-Capital_Trabajo!BR$51-Capital_Trabajo!BR$25-Inversion_Activos!BR$43+Inversion_Activos!BR$66*p_RealAF-p_CostoCierre</f>
        <v>5120653.80401373</v>
      </c>
      <c r="BS110" s="13" t="n">
        <f aca="false">Capital_Trabajo!BS$22*p_RealCxC+(Capital_Trabajo!BS$31+Capital_Trabajo!BS$56)*p_RealInv+Capital_Trabajo!BS$36+Capital_Trabajo!BS$58+Deuda_Tributos!BS$17-Capital_Trabajo!BS$42-Capital_Trabajo!BS$51-Capital_Trabajo!BS$25-Inversion_Activos!BS$43+Inversion_Activos!BS$66*p_RealAF-p_CostoCierre</f>
        <v>5114869.08651373</v>
      </c>
      <c r="BT110" s="13" t="n">
        <f aca="false">Capital_Trabajo!BT$22*p_RealCxC+(Capital_Trabajo!BT$31+Capital_Trabajo!BT$56)*p_RealInv+Capital_Trabajo!BT$36+Capital_Trabajo!BT$58+Deuda_Tributos!BT$17-Capital_Trabajo!BT$42-Capital_Trabajo!BT$51-Capital_Trabajo!BT$25-Inversion_Activos!BT$43+Inversion_Activos!BT$66*p_RealAF-p_CostoCierre</f>
        <v>5109084.36901373</v>
      </c>
      <c r="BU110" s="13" t="n">
        <f aca="false">Capital_Trabajo!BU$22*p_RealCxC+(Capital_Trabajo!BU$31+Capital_Trabajo!BU$56)*p_RealInv+Capital_Trabajo!BU$36+Capital_Trabajo!BU$58+Deuda_Tributos!BU$17-Capital_Trabajo!BU$42-Capital_Trabajo!BU$51-Capital_Trabajo!BU$25-Inversion_Activos!BU$43+Inversion_Activos!BU$66*p_RealAF-p_CostoCierre</f>
        <v>5103299.65151373</v>
      </c>
      <c r="BV110" s="13" t="n">
        <f aca="false">Capital_Trabajo!BV$22*p_RealCxC+(Capital_Trabajo!BV$31+Capital_Trabajo!BV$56)*p_RealInv+Capital_Trabajo!BV$36+Capital_Trabajo!BV$58+Deuda_Tributos!BV$17-Capital_Trabajo!BV$42-Capital_Trabajo!BV$51-Capital_Trabajo!BV$25-Inversion_Activos!BV$43+Inversion_Activos!BV$66*p_RealAF-p_CostoCierre</f>
        <v>5097514.93401373</v>
      </c>
      <c r="BW110" s="13" t="n">
        <f aca="false">Capital_Trabajo!BW$22*p_RealCxC+(Capital_Trabajo!BW$31+Capital_Trabajo!BW$56)*p_RealInv+Capital_Trabajo!BW$36+Capital_Trabajo!BW$58+Deuda_Tributos!BW$17-Capital_Trabajo!BW$42-Capital_Trabajo!BW$51-Capital_Trabajo!BW$25-Inversion_Activos!BW$43+Inversion_Activos!BW$66*p_RealAF-p_CostoCierre</f>
        <v>5093968.38908099</v>
      </c>
      <c r="BX110" s="13" t="n">
        <f aca="false">Capital_Trabajo!BX$22*p_RealCxC+(Capital_Trabajo!BX$31+Capital_Trabajo!BX$56)*p_RealInv+Capital_Trabajo!BX$36+Capital_Trabajo!BX$58+Deuda_Tributos!BX$17-Capital_Trabajo!BX$42-Capital_Trabajo!BX$51-Capital_Trabajo!BX$25-Inversion_Activos!BX$43+Inversion_Activos!BX$66*p_RealAF-p_CostoCierre</f>
        <v>5090551.59328257</v>
      </c>
      <c r="BY110" s="13" t="n">
        <f aca="false">Capital_Trabajo!BY$22*p_RealCxC+(Capital_Trabajo!BY$31+Capital_Trabajo!BY$56)*p_RealInv+Capital_Trabajo!BY$36+Capital_Trabajo!BY$58+Deuda_Tributos!BY$17-Capital_Trabajo!BY$42-Capital_Trabajo!BY$51-Capital_Trabajo!BY$25-Inversion_Activos!BY$43+Inversion_Activos!BY$66*p_RealAF-p_CostoCierre</f>
        <v>5087134.79748416</v>
      </c>
      <c r="BZ110" s="13" t="n">
        <f aca="false">Capital_Trabajo!BZ$22*p_RealCxC+(Capital_Trabajo!BZ$31+Capital_Trabajo!BZ$56)*p_RealInv+Capital_Trabajo!BZ$36+Capital_Trabajo!BZ$58+Deuda_Tributos!BZ$17-Capital_Trabajo!BZ$42-Capital_Trabajo!BZ$51-Capital_Trabajo!BZ$25-Inversion_Activos!BZ$43+Inversion_Activos!BZ$66*p_RealAF-p_CostoCierre</f>
        <v>5083718.00168575</v>
      </c>
      <c r="CA110" s="13" t="n">
        <f aca="false">Capital_Trabajo!CA$22*p_RealCxC+(Capital_Trabajo!CA$31+Capital_Trabajo!CA$56)*p_RealInv+Capital_Trabajo!CA$36+Capital_Trabajo!CA$58+Deuda_Tributos!CA$17-Capital_Trabajo!CA$42-Capital_Trabajo!CA$51-Capital_Trabajo!CA$25-Inversion_Activos!CA$43+Inversion_Activos!CA$66*p_RealAF-p_CostoCierre</f>
        <v>5085236.78157141</v>
      </c>
      <c r="CB110" s="13" t="n">
        <f aca="false">Capital_Trabajo!CB$22*p_RealCxC+(Capital_Trabajo!CB$31+Capital_Trabajo!CB$56)*p_RealInv+Capital_Trabajo!CB$36+Capital_Trabajo!CB$58+Deuda_Tributos!CB$17-Capital_Trabajo!CB$42-Capital_Trabajo!CB$51-Capital_Trabajo!CB$25-Inversion_Activos!CB$43+Inversion_Activos!CB$66*p_RealAF-p_CostoCierre</f>
        <v>5086835.40967336</v>
      </c>
      <c r="CC110" s="13" t="n">
        <f aca="false">Capital_Trabajo!CC$22*p_RealCxC+(Capital_Trabajo!CC$31+Capital_Trabajo!CC$56)*p_RealInv+Capital_Trabajo!CC$36+Capital_Trabajo!CC$58+Deuda_Tributos!CC$17-Capital_Trabajo!CC$42-Capital_Trabajo!CC$51-Capital_Trabajo!CC$25-Inversion_Activos!CC$43+Inversion_Activos!CC$66*p_RealAF-p_CostoCierre</f>
        <v>5088434.03777532</v>
      </c>
      <c r="CD110" s="13" t="n">
        <f aca="false">Capital_Trabajo!CD$22*p_RealCxC+(Capital_Trabajo!CD$31+Capital_Trabajo!CD$56)*p_RealInv+Capital_Trabajo!CD$36+Capital_Trabajo!CD$58+Deuda_Tributos!CD$17-Capital_Trabajo!CD$42-Capital_Trabajo!CD$51-Capital_Trabajo!CD$25-Inversion_Activos!CD$43+Inversion_Activos!CD$66*p_RealAF-p_CostoCierre</f>
        <v>5089628.09899497</v>
      </c>
      <c r="CE110" s="13" t="n">
        <f aca="false">Capital_Trabajo!CE$22*p_RealCxC+(Capital_Trabajo!CE$31+Capital_Trabajo!CE$56)*p_RealInv+Capital_Trabajo!CE$36+Capital_Trabajo!CE$58+Deuda_Tributos!CE$17-Capital_Trabajo!CE$42-Capital_Trabajo!CE$51-Capital_Trabajo!CE$25-Inversion_Activos!CE$43+Inversion_Activos!CE$66*p_RealAF-p_CostoCierre</f>
        <v>5083843.38149497</v>
      </c>
      <c r="CF110" s="13" t="n">
        <f aca="false">Capital_Trabajo!CF$22*p_RealCxC+(Capital_Trabajo!CF$31+Capital_Trabajo!CF$56)*p_RealInv+Capital_Trabajo!CF$36+Capital_Trabajo!CF$58+Deuda_Tributos!CF$17-Capital_Trabajo!CF$42-Capital_Trabajo!CF$51-Capital_Trabajo!CF$25-Inversion_Activos!CF$43+Inversion_Activos!CF$66*p_RealAF-p_CostoCierre</f>
        <v>5078058.66399497</v>
      </c>
      <c r="CG110" s="13" t="n">
        <f aca="false">Capital_Trabajo!CG$22*p_RealCxC+(Capital_Trabajo!CG$31+Capital_Trabajo!CG$56)*p_RealInv+Capital_Trabajo!CG$36+Capital_Trabajo!CG$58+Deuda_Tributos!CG$17-Capital_Trabajo!CG$42-Capital_Trabajo!CG$51-Capital_Trabajo!CG$25-Inversion_Activos!CG$43+Inversion_Activos!CG$66*p_RealAF-p_CostoCierre</f>
        <v>5072273.94649497</v>
      </c>
      <c r="CH110" s="13" t="n">
        <f aca="false">Capital_Trabajo!CH$22*p_RealCxC+(Capital_Trabajo!CH$31+Capital_Trabajo!CH$56)*p_RealInv+Capital_Trabajo!CH$36+Capital_Trabajo!CH$58+Deuda_Tributos!CH$17-Capital_Trabajo!CH$42-Capital_Trabajo!CH$51-Capital_Trabajo!CH$25-Inversion_Activos!CH$43+Inversion_Activos!CH$66*p_RealAF-p_CostoCierre</f>
        <v>5066489.22899497</v>
      </c>
      <c r="CI110" s="13" t="n">
        <f aca="false">Capital_Trabajo!CI$22*p_RealCxC+(Capital_Trabajo!CI$31+Capital_Trabajo!CI$56)*p_RealInv+Capital_Trabajo!CI$36+Capital_Trabajo!CI$58+Deuda_Tributos!CI$17-Capital_Trabajo!CI$42-Capital_Trabajo!CI$51-Capital_Trabajo!CI$25-Inversion_Activos!CI$43+Inversion_Activos!CI$66*p_RealAF-p_CostoCierre</f>
        <v>5062965.0657879</v>
      </c>
      <c r="CJ110" s="13" t="n">
        <f aca="false">Capital_Trabajo!CJ$22*p_RealCxC+(Capital_Trabajo!CJ$31+Capital_Trabajo!CJ$56)*p_RealInv+Capital_Trabajo!CJ$36+Capital_Trabajo!CJ$58+Deuda_Tributos!CJ$17-Capital_Trabajo!CJ$42-Capital_Trabajo!CJ$51-Capital_Trabajo!CJ$25-Inversion_Activos!CJ$43+Inversion_Activos!CJ$66*p_RealAF-p_CostoCierre</f>
        <v>5059571.9492065</v>
      </c>
      <c r="CK110" s="13" t="n">
        <f aca="false">Capital_Trabajo!CK$22*p_RealCxC+(Capital_Trabajo!CK$31+Capital_Trabajo!CK$56)*p_RealInv+Capital_Trabajo!CK$36+Capital_Trabajo!CK$58+Deuda_Tributos!CK$17-Capital_Trabajo!CK$42-Capital_Trabajo!CK$51-Capital_Trabajo!CK$25-Inversion_Activos!CK$43+Inversion_Activos!CK$66*p_RealAF-p_CostoCierre</f>
        <v>5056178.8326251</v>
      </c>
      <c r="CL110" s="13" t="n">
        <f aca="false">Capital_Trabajo!CL$22*p_RealCxC+(Capital_Trabajo!CL$31+Capital_Trabajo!CL$56)*p_RealInv+Capital_Trabajo!CL$36+Capital_Trabajo!CL$58+Deuda_Tributos!CL$17-Capital_Trabajo!CL$42-Capital_Trabajo!CL$51-Capital_Trabajo!CL$25-Inversion_Activos!CL$43+Inversion_Activos!CL$66*p_RealAF-p_CostoCierre</f>
        <v>5052785.71604371</v>
      </c>
      <c r="CM110" s="13" t="n">
        <f aca="false">Capital_Trabajo!CM$22*p_RealCxC+(Capital_Trabajo!CM$31+Capital_Trabajo!CM$56)*p_RealInv+Capital_Trabajo!CM$36+Capital_Trabajo!CM$58+Deuda_Tributos!CM$17-Capital_Trabajo!CM$42-Capital_Trabajo!CM$51-Capital_Trabajo!CM$25-Inversion_Activos!CM$43+Inversion_Activos!CM$66*p_RealAF-p_CostoCierre</f>
        <v>5054365.68385092</v>
      </c>
      <c r="CN110" s="13" t="n">
        <f aca="false">Capital_Trabajo!CN$22*p_RealCxC+(Capital_Trabajo!CN$31+Capital_Trabajo!CN$56)*p_RealInv+Capital_Trabajo!CN$36+Capital_Trabajo!CN$58+Deuda_Tributos!CN$17-Capital_Trabajo!CN$42-Capital_Trabajo!CN$51-Capital_Trabajo!CN$25-Inversion_Activos!CN$43+Inversion_Activos!CN$66*p_RealAF-p_CostoCierre</f>
        <v>5056038.14540889</v>
      </c>
      <c r="CO110" s="13" t="n">
        <f aca="false">Capital_Trabajo!CO$22*p_RealCxC+(Capital_Trabajo!CO$31+Capital_Trabajo!CO$56)*p_RealInv+Capital_Trabajo!CO$36+Capital_Trabajo!CO$58+Deuda_Tributos!CO$17-Capital_Trabajo!CO$42-Capital_Trabajo!CO$51-Capital_Trabajo!CO$25-Inversion_Activos!CO$43+Inversion_Activos!CO$66*p_RealAF-p_CostoCierre</f>
        <v>5057710.60696686</v>
      </c>
      <c r="CP110" s="13" t="n">
        <f aca="false">Capital_Trabajo!CP$22*p_RealCxC+(Capital_Trabajo!CP$31+Capital_Trabajo!CP$56)*p_RealInv+Capital_Trabajo!CP$36+Capital_Trabajo!CP$58+Deuda_Tributos!CP$17-Capital_Trabajo!CP$42-Capital_Trabajo!CP$51-Capital_Trabajo!CP$25-Inversion_Activos!CP$43+Inversion_Activos!CP$66*p_RealAF-p_CostoCierre</f>
        <v>5058974.45597371</v>
      </c>
      <c r="CQ110" s="13" t="n">
        <f aca="false">Capital_Trabajo!CQ$22*p_RealCxC+(Capital_Trabajo!CQ$31+Capital_Trabajo!CQ$56)*p_RealInv+Capital_Trabajo!CQ$36+Capital_Trabajo!CQ$58+Deuda_Tributos!CQ$17-Capital_Trabajo!CQ$42-Capital_Trabajo!CQ$51-Capital_Trabajo!CQ$25-Inversion_Activos!CQ$43+Inversion_Activos!CQ$66*p_RealAF-p_CostoCierre</f>
        <v>5053189.73847371</v>
      </c>
      <c r="CR110" s="13" t="n">
        <f aca="false">Capital_Trabajo!CR$22*p_RealCxC+(Capital_Trabajo!CR$31+Capital_Trabajo!CR$56)*p_RealInv+Capital_Trabajo!CR$36+Capital_Trabajo!CR$58+Deuda_Tributos!CR$17-Capital_Trabajo!CR$42-Capital_Trabajo!CR$51-Capital_Trabajo!CR$25-Inversion_Activos!CR$43+Inversion_Activos!CR$66*p_RealAF-p_CostoCierre</f>
        <v>5047405.02097371</v>
      </c>
      <c r="CS110" s="13" t="n">
        <f aca="false">Capital_Trabajo!CS$22*p_RealCxC+(Capital_Trabajo!CS$31+Capital_Trabajo!CS$56)*p_RealInv+Capital_Trabajo!CS$36+Capital_Trabajo!CS$58+Deuda_Tributos!CS$17-Capital_Trabajo!CS$42-Capital_Trabajo!CS$51-Capital_Trabajo!CS$25-Inversion_Activos!CS$43+Inversion_Activos!CS$66*p_RealAF-p_CostoCierre</f>
        <v>5041620.30347371</v>
      </c>
      <c r="CT110" s="13" t="n">
        <f aca="false">Capital_Trabajo!CT$22*p_RealCxC+(Capital_Trabajo!CT$31+Capital_Trabajo!CT$56)*p_RealInv+Capital_Trabajo!CT$36+Capital_Trabajo!CT$58+Deuda_Tributos!CT$17-Capital_Trabajo!CT$42-Capital_Trabajo!CT$51-Capital_Trabajo!CT$25-Inversion_Activos!CT$43+Inversion_Activos!CT$66*p_RealAF-p_CostoCierre</f>
        <v>5035835.58597371</v>
      </c>
      <c r="CU110" s="13" t="n">
        <f aca="false">Capital_Trabajo!CU$22*p_RealCxC+(Capital_Trabajo!CU$31+Capital_Trabajo!CU$56)*p_RealInv+Capital_Trabajo!CU$36+Capital_Trabajo!CU$58+Deuda_Tributos!CU$17-Capital_Trabajo!CU$42-Capital_Trabajo!CU$51-Capital_Trabajo!CU$25-Inversion_Activos!CU$43+Inversion_Activos!CU$66*p_RealAF-p_CostoCierre</f>
        <v>5032334.02830957</v>
      </c>
      <c r="CV110" s="13" t="n">
        <f aca="false">Capital_Trabajo!CV$22*p_RealCxC+(Capital_Trabajo!CV$31+Capital_Trabajo!CV$56)*p_RealInv+Capital_Trabajo!CV$36+Capital_Trabajo!CV$58+Deuda_Tributos!CV$17-Capital_Trabajo!CV$42-Capital_Trabajo!CV$51-Capital_Trabajo!CV$25-Inversion_Activos!CV$43+Inversion_Activos!CV$66*p_RealAF-p_CostoCierre</f>
        <v>5028964.82773736</v>
      </c>
      <c r="CW110" s="13" t="n">
        <f aca="false">Capital_Trabajo!CW$22*p_RealCxC+(Capital_Trabajo!CW$31+Capital_Trabajo!CW$56)*p_RealInv+Capital_Trabajo!CW$36+Capital_Trabajo!CW$58+Deuda_Tributos!CW$17-Capital_Trabajo!CW$42-Capital_Trabajo!CW$51-Capital_Trabajo!CW$25-Inversion_Activos!CW$43+Inversion_Activos!CW$66*p_RealAF-p_CostoCierre</f>
        <v>5025595.62716514</v>
      </c>
      <c r="CX110" s="13" t="n">
        <f aca="false">Capital_Trabajo!CX$22*p_RealCxC+(Capital_Trabajo!CX$31+Capital_Trabajo!CX$56)*p_RealInv+Capital_Trabajo!CX$36+Capital_Trabajo!CX$58+Deuda_Tributos!CX$17-Capital_Trabajo!CX$42-Capital_Trabajo!CX$51-Capital_Trabajo!CX$25-Inversion_Activos!CX$43+Inversion_Activos!CX$66*p_RealAF-p_CostoCierre</f>
        <v>5022226.42659293</v>
      </c>
      <c r="CY110" s="13" t="n">
        <f aca="false">Capital_Trabajo!CY$22*p_RealCxC+(Capital_Trabajo!CY$31+Capital_Trabajo!CY$56)*p_RealInv+Capital_Trabajo!CY$36+Capital_Trabajo!CY$58+Deuda_Tributos!CY$17-Capital_Trabajo!CY$42-Capital_Trabajo!CY$51-Capital_Trabajo!CY$25-Inversion_Activos!CY$43+Inversion_Activos!CY$66*p_RealAF-p_CostoCierre</f>
        <v>5023867.8282898</v>
      </c>
      <c r="CZ110" s="13" t="n">
        <f aca="false">Capital_Trabajo!CZ$22*p_RealCxC+(Capital_Trabajo!CZ$31+Capital_Trabajo!CZ$56)*p_RealInv+Capital_Trabajo!CZ$36+Capital_Trabajo!CZ$58+Deuda_Tributos!CZ$17-Capital_Trabajo!CZ$42-Capital_Trabajo!CZ$51-Capital_Trabajo!CZ$25-Inversion_Activos!CZ$43+Inversion_Activos!CZ$66*p_RealAF-p_CostoCierre</f>
        <v>5025614.86163835</v>
      </c>
      <c r="DA110" s="13" t="n">
        <f aca="false">Capital_Trabajo!DA$22*p_RealCxC+(Capital_Trabajo!DA$31+Capital_Trabajo!DA$56)*p_RealInv+Capital_Trabajo!DA$36+Capital_Trabajo!DA$58+Deuda_Tributos!DA$17-Capital_Trabajo!DA$42-Capital_Trabajo!DA$51-Capital_Trabajo!DA$25-Inversion_Activos!DA$43+Inversion_Activos!DA$66*p_RealAF-p_CostoCierre</f>
        <v>5027361.8949869</v>
      </c>
      <c r="DB110" s="13" t="n">
        <f aca="false">Capital_Trabajo!DB$22*p_RealCxC+(Capital_Trabajo!DB$31+Capital_Trabajo!DB$56)*p_RealInv+Capital_Trabajo!DB$36+Capital_Trabajo!DB$58+Deuda_Tributos!DB$17-Capital_Trabajo!DB$42-Capital_Trabajo!DB$51-Capital_Trabajo!DB$25-Inversion_Activos!DB$43+Inversion_Activos!DB$66*p_RealAF-p_CostoCierre</f>
        <v>5028696.22965882</v>
      </c>
      <c r="DC110" s="13" t="n">
        <f aca="false">Capital_Trabajo!DC$22*p_RealCxC+(Capital_Trabajo!DC$31+Capital_Trabajo!DC$56)*p_RealInv+Capital_Trabajo!DC$36+Capital_Trabajo!DC$58+Deuda_Tributos!DC$17-Capital_Trabajo!DC$42-Capital_Trabajo!DC$51-Capital_Trabajo!DC$25-Inversion_Activos!DC$43+Inversion_Activos!DC$66*p_RealAF-p_CostoCierre</f>
        <v>5022911.51215882</v>
      </c>
      <c r="DD110" s="13" t="n">
        <f aca="false">Capital_Trabajo!DD$22*p_RealCxC+(Capital_Trabajo!DD$31+Capital_Trabajo!DD$56)*p_RealInv+Capital_Trabajo!DD$36+Capital_Trabajo!DD$58+Deuda_Tributos!DD$17-Capital_Trabajo!DD$42-Capital_Trabajo!DD$51-Capital_Trabajo!DD$25-Inversion_Activos!DD$43+Inversion_Activos!DD$66*p_RealAF-p_CostoCierre</f>
        <v>5017126.79465882</v>
      </c>
      <c r="DE110" s="13" t="n">
        <f aca="false">Capital_Trabajo!DE$22*p_RealCxC+(Capital_Trabajo!DE$31+Capital_Trabajo!DE$56)*p_RealInv+Capital_Trabajo!DE$36+Capital_Trabajo!DE$58+Deuda_Tributos!DE$17-Capital_Trabajo!DE$42-Capital_Trabajo!DE$51-Capital_Trabajo!DE$25-Inversion_Activos!DE$43+Inversion_Activos!DE$66*p_RealAF-p_CostoCierre</f>
        <v>5011342.07715882</v>
      </c>
      <c r="DF110" s="13" t="n">
        <f aca="false">Capital_Trabajo!DF$22*p_RealCxC+(Capital_Trabajo!DF$31+Capital_Trabajo!DF$56)*p_RealInv+Capital_Trabajo!DF$36+Capital_Trabajo!DF$58+Deuda_Tributos!DF$17-Capital_Trabajo!DF$42-Capital_Trabajo!DF$51-Capital_Trabajo!DF$25-Inversion_Activos!DF$43+Inversion_Activos!DF$66*p_RealAF-p_CostoCierre</f>
        <v>5005557.35965882</v>
      </c>
      <c r="DG110" s="13" t="n">
        <f aca="false">Capital_Trabajo!DG$22*p_RealCxC+(Capital_Trabajo!DG$31+Capital_Trabajo!DG$56)*p_RealInv+Capital_Trabajo!DG$36+Capital_Trabajo!DG$58+Deuda_Tributos!DG$17-Capital_Trabajo!DG$42-Capital_Trabajo!DG$51-Capital_Trabajo!DG$25-Inversion_Activos!DG$43+Inversion_Activos!DG$66*p_RealAF-p_CostoCierre</f>
        <v>5002078.63359303</v>
      </c>
      <c r="DH110" s="13" t="n">
        <f aca="false">Capital_Trabajo!DH$22*p_RealCxC+(Capital_Trabajo!DH$31+Capital_Trabajo!DH$56)*p_RealInv+Capital_Trabajo!DH$36+Capital_Trabajo!DH$58+Deuda_Tributos!DH$17-Capital_Trabajo!DH$42-Capital_Trabajo!DH$51-Capital_Trabajo!DH$25-Inversion_Activos!DH$43+Inversion_Activos!DH$66*p_RealAF-p_CostoCierre</f>
        <v>4998733.5881901</v>
      </c>
      <c r="DI110" s="13" t="n">
        <f aca="false">Capital_Trabajo!DI$22*p_RealCxC+(Capital_Trabajo!DI$31+Capital_Trabajo!DI$56)*p_RealInv+Capital_Trabajo!DI$36+Capital_Trabajo!DI$58+Deuda_Tributos!DI$17-Capital_Trabajo!DI$42-Capital_Trabajo!DI$51-Capital_Trabajo!DI$25-Inversion_Activos!DI$43+Inversion_Activos!DI$66*p_RealAF-p_CostoCierre</f>
        <v>4995388.54278717</v>
      </c>
      <c r="DJ110" s="13" t="n">
        <f aca="false">Capital_Trabajo!DJ$22*p_RealCxC+(Capital_Trabajo!DJ$31+Capital_Trabajo!DJ$56)*p_RealInv+Capital_Trabajo!DJ$36+Capital_Trabajo!DJ$58+Deuda_Tributos!DJ$17-Capital_Trabajo!DJ$42-Capital_Trabajo!DJ$51-Capital_Trabajo!DJ$25-Inversion_Activos!DJ$43+Inversion_Activos!DJ$66*p_RealAF-p_CostoCierre</f>
        <v>4992043.49738423</v>
      </c>
      <c r="DK110" s="13" t="n">
        <f aca="false">Capital_Trabajo!DK$22*p_RealCxC+(Capital_Trabajo!DK$31+Capital_Trabajo!DK$56)*p_RealInv+Capital_Trabajo!DK$36+Capital_Trabajo!DK$58+Deuda_Tributos!DK$17-Capital_Trabajo!DK$42-Capital_Trabajo!DK$51-Capital_Trabajo!DK$25-Inversion_Activos!DK$43+Inversion_Activos!DK$66*p_RealAF-p_CostoCierre</f>
        <v>4993746.5704212</v>
      </c>
      <c r="DL110" s="13" t="n">
        <f aca="false">Capital_Trabajo!DL$22*p_RealCxC+(Capital_Trabajo!DL$31+Capital_Trabajo!DL$56)*p_RealInv+Capital_Trabajo!DL$36+Capital_Trabajo!DL$58+Deuda_Tributos!DL$17-Capital_Trabajo!DL$42-Capital_Trabajo!DL$51-Capital_Trabajo!DL$25-Inversion_Activos!DL$43+Inversion_Activos!DL$66*p_RealAF-p_CostoCierre</f>
        <v>4995568.92127824</v>
      </c>
      <c r="DM110" s="13" t="n">
        <f aca="false">Capital_Trabajo!DM$22*p_RealCxC+(Capital_Trabajo!DM$31+Capital_Trabajo!DM$56)*p_RealInv+Capital_Trabajo!DM$36+Capital_Trabajo!DM$58+Deuda_Tributos!DM$17-Capital_Trabajo!DM$42-Capital_Trabajo!DM$51-Capital_Trabajo!DM$25-Inversion_Activos!DM$43+Inversion_Activos!DM$66*p_RealAF-p_CostoCierre</f>
        <v>4997391.27213527</v>
      </c>
      <c r="DN110" s="13" t="n">
        <f aca="false">Capital_Trabajo!DN$22*p_RealCxC+(Capital_Trabajo!DN$31+Capital_Trabajo!DN$56)*p_RealInv+Capital_Trabajo!DN$36+Capital_Trabajo!DN$58+Deuda_Tributos!DN$17-Capital_Trabajo!DN$42-Capital_Trabajo!DN$51-Capital_Trabajo!DN$25-Inversion_Activos!DN$43+Inversion_Activos!DN$66*p_RealAF-p_CostoCierre</f>
        <v>4998796.79732891</v>
      </c>
      <c r="DO110" s="13" t="n">
        <f aca="false">Capital_Trabajo!DO$22*p_RealCxC+(Capital_Trabajo!DO$31+Capital_Trabajo!DO$56)*p_RealInv+Capital_Trabajo!DO$36+Capital_Trabajo!DO$58+Deuda_Tributos!DO$17-Capital_Trabajo!DO$42-Capital_Trabajo!DO$51-Capital_Trabajo!DO$25-Inversion_Activos!DO$43+Inversion_Activos!DO$66*p_RealAF-p_CostoCierre</f>
        <v>4993012.07982891</v>
      </c>
      <c r="DP110" s="13" t="n">
        <f aca="false">Capital_Trabajo!DP$22*p_RealCxC+(Capital_Trabajo!DP$31+Capital_Trabajo!DP$56)*p_RealInv+Capital_Trabajo!DP$36+Capital_Trabajo!DP$58+Deuda_Tributos!DP$17-Capital_Trabajo!DP$42-Capital_Trabajo!DP$51-Capital_Trabajo!DP$25-Inversion_Activos!DP$43+Inversion_Activos!DP$66*p_RealAF-p_CostoCierre</f>
        <v>4987227.36232891</v>
      </c>
      <c r="DQ110" s="13" t="n">
        <f aca="false">Capital_Trabajo!DQ$22*p_RealCxC+(Capital_Trabajo!DQ$31+Capital_Trabajo!DQ$56)*p_RealInv+Capital_Trabajo!DQ$36+Capital_Trabajo!DQ$58+Deuda_Tributos!DQ$17-Capital_Trabajo!DQ$42-Capital_Trabajo!DQ$51-Capital_Trabajo!DQ$25-Inversion_Activos!DQ$43+Inversion_Activos!DQ$66*p_RealAF-p_CostoCierre</f>
        <v>4981442.64482891</v>
      </c>
      <c r="DR110" s="13" t="n">
        <f aca="false">Capital_Trabajo!DR$22*p_RealCxC+(Capital_Trabajo!DR$31+Capital_Trabajo!DR$56)*p_RealInv+Capital_Trabajo!DR$36+Capital_Trabajo!DR$58+Deuda_Tributos!DR$17-Capital_Trabajo!DR$42-Capital_Trabajo!DR$51-Capital_Trabajo!DR$25-Inversion_Activos!DR$43+Inversion_Activos!DR$66*p_RealAF-p_CostoCierre</f>
        <v>4834692.5152315</v>
      </c>
      <c r="DS110" s="13" t="n">
        <f aca="false">Capital_Trabajo!DS$22*p_RealCxC+(Capital_Trabajo!DS$31+Capital_Trabajo!DS$56)*p_RealInv+Capital_Trabajo!DS$36+Capital_Trabajo!DS$58+Deuda_Tributos!DS$17-Capital_Trabajo!DS$42-Capital_Trabajo!DS$51-Capital_Trabajo!DS$25-Inversion_Activos!DS$43+Inversion_Activos!DS$66*p_RealAF-p_CostoCierre</f>
        <v>4391966.0946542</v>
      </c>
      <c r="DT110" s="13" t="n">
        <f aca="false">Capital_Trabajo!DT$22*p_RealCxC+(Capital_Trabajo!DT$31+Capital_Trabajo!DT$56)*p_RealInv+Capital_Trabajo!DT$36+Capital_Trabajo!DT$58+Deuda_Tributos!DT$17-Capital_Trabajo!DT$42-Capital_Trabajo!DT$51-Capital_Trabajo!DT$25-Inversion_Activos!DT$43+Inversion_Activos!DT$66*p_RealAF-p_CostoCierre</f>
        <v>3932555.36201705</v>
      </c>
      <c r="DU110" s="13" t="n">
        <f aca="false">Capital_Trabajo!DU$22*p_RealCxC+(Capital_Trabajo!DU$31+Capital_Trabajo!DU$56)*p_RealInv+Capital_Trabajo!DU$36+Capital_Trabajo!DU$58+Deuda_Tributos!DU$17-Capital_Trabajo!DU$42-Capital_Trabajo!DU$51-Capital_Trabajo!DU$25-Inversion_Activos!DU$43+Inversion_Activos!DU$66*p_RealAF-p_CostoCierre</f>
        <v>3473144.62937991</v>
      </c>
      <c r="DV110" s="13" t="n">
        <f aca="false">Capital_Trabajo!DV$22*p_RealCxC+(Capital_Trabajo!DV$31+Capital_Trabajo!DV$56)*p_RealInv+Capital_Trabajo!DV$36+Capital_Trabajo!DV$58+Deuda_Tributos!DV$17-Capital_Trabajo!DV$42-Capital_Trabajo!DV$51-Capital_Trabajo!DV$25-Inversion_Activos!DV$43+Inversion_Activos!DV$66*p_RealAF-p_CostoCierre</f>
        <v>2999560.06122588</v>
      </c>
      <c r="DW110" s="13" t="n">
        <f aca="false">Capital_Trabajo!DW$22*p_RealCxC+(Capital_Trabajo!DW$31+Capital_Trabajo!DW$56)*p_RealInv+Capital_Trabajo!DW$36+Capital_Trabajo!DW$58+Deuda_Tributos!DW$17-Capital_Trabajo!DW$42-Capital_Trabajo!DW$51-Capital_Trabajo!DW$25-Inversion_Activos!DW$43+Inversion_Activos!DW$66*p_RealAF-p_CostoCierre</f>
        <v>2999560.06122588</v>
      </c>
      <c r="DX110" s="13" t="n">
        <f aca="false">Capital_Trabajo!DX$22*p_RealCxC+(Capital_Trabajo!DX$31+Capital_Trabajo!DX$56)*p_RealInv+Capital_Trabajo!DX$36+Capital_Trabajo!DX$58+Deuda_Tributos!DX$17-Capital_Trabajo!DX$42-Capital_Trabajo!DX$51-Capital_Trabajo!DX$25-Inversion_Activos!DX$43+Inversion_Activos!DX$66*p_RealAF-p_CostoCierre</f>
        <v>2999560.06122588</v>
      </c>
      <c r="DY110" s="13" t="n">
        <f aca="false">Capital_Trabajo!DY$22*p_RealCxC+(Capital_Trabajo!DY$31+Capital_Trabajo!DY$56)*p_RealInv+Capital_Trabajo!DY$36+Capital_Trabajo!DY$58+Deuda_Tributos!DY$17-Capital_Trabajo!DY$42-Capital_Trabajo!DY$51-Capital_Trabajo!DY$25-Inversion_Activos!DY$43+Inversion_Activos!DY$66*p_RealAF-p_CostoCierre</f>
        <v>2999560.06122588</v>
      </c>
      <c r="DZ110" s="13" t="n">
        <f aca="false">Capital_Trabajo!DZ$22*p_RealCxC+(Capital_Trabajo!DZ$31+Capital_Trabajo!DZ$56)*p_RealInv+Capital_Trabajo!DZ$36+Capital_Trabajo!DZ$58+Deuda_Tributos!DZ$17-Capital_Trabajo!DZ$42-Capital_Trabajo!DZ$51-Capital_Trabajo!DZ$25-Inversion_Activos!DZ$43+Inversion_Activos!DZ$66*p_RealAF-p_CostoCierre</f>
        <v>2999560.06122588</v>
      </c>
      <c r="EA110" s="13" t="n">
        <f aca="false">Capital_Trabajo!EA$22*p_RealCxC+(Capital_Trabajo!EA$31+Capital_Trabajo!EA$56)*p_RealInv+Capital_Trabajo!EA$36+Capital_Trabajo!EA$58+Deuda_Tributos!EA$17-Capital_Trabajo!EA$42-Capital_Trabajo!EA$51-Capital_Trabajo!EA$25-Inversion_Activos!EA$43+Inversion_Activos!EA$66*p_RealAF-p_CostoCierre</f>
        <v>2999560.06122588</v>
      </c>
      <c r="EB110" s="13" t="n">
        <f aca="false">Capital_Trabajo!EB$22*p_RealCxC+(Capital_Trabajo!EB$31+Capital_Trabajo!EB$56)*p_RealInv+Capital_Trabajo!EB$36+Capital_Trabajo!EB$58+Deuda_Tributos!EB$17-Capital_Trabajo!EB$42-Capital_Trabajo!EB$51-Capital_Trabajo!EB$25-Inversion_Activos!EB$43+Inversion_Activos!EB$66*p_RealAF-p_CostoCierre</f>
        <v>2999560.06122588</v>
      </c>
      <c r="EC110" s="13" t="n">
        <f aca="false">Capital_Trabajo!EC$22*p_RealCxC+(Capital_Trabajo!EC$31+Capital_Trabajo!EC$56)*p_RealInv+Capital_Trabajo!EC$36+Capital_Trabajo!EC$58+Deuda_Tributos!EC$17-Capital_Trabajo!EC$42-Capital_Trabajo!EC$51-Capital_Trabajo!EC$25-Inversion_Activos!EC$43+Inversion_Activos!EC$66*p_RealAF-p_CostoCierre</f>
        <v>2999560.06122588</v>
      </c>
      <c r="ED110" s="13" t="n">
        <f aca="false">Capital_Trabajo!ED$22*p_RealCxC+(Capital_Trabajo!ED$31+Capital_Trabajo!ED$56)*p_RealInv+Capital_Trabajo!ED$36+Capital_Trabajo!ED$58+Deuda_Tributos!ED$17-Capital_Trabajo!ED$42-Capital_Trabajo!ED$51-Capital_Trabajo!ED$25-Inversion_Activos!ED$43+Inversion_Activos!ED$66*p_RealAF-p_CostoCierre</f>
        <v>2999560.06122588</v>
      </c>
      <c r="EE110" s="13" t="n">
        <f aca="false">Capital_Trabajo!EE$22*p_RealCxC+(Capital_Trabajo!EE$31+Capital_Trabajo!EE$56)*p_RealInv+Capital_Trabajo!EE$36+Capital_Trabajo!EE$58+Deuda_Tributos!EE$17-Capital_Trabajo!EE$42-Capital_Trabajo!EE$51-Capital_Trabajo!EE$25-Inversion_Activos!EE$43+Inversion_Activos!EE$66*p_RealAF-p_CostoCierre</f>
        <v>2999560.06122588</v>
      </c>
      <c r="EF110" s="13" t="n">
        <f aca="false">Capital_Trabajo!EF$22*p_RealCxC+(Capital_Trabajo!EF$31+Capital_Trabajo!EF$56)*p_RealInv+Capital_Trabajo!EF$36+Capital_Trabajo!EF$58+Deuda_Tributos!EF$17-Capital_Trabajo!EF$42-Capital_Trabajo!EF$51-Capital_Trabajo!EF$25-Inversion_Activos!EF$43+Inversion_Activos!EF$66*p_RealAF-p_CostoCierre</f>
        <v>2999560.06122588</v>
      </c>
      <c r="EG110" s="13" t="n">
        <f aca="false">Capital_Trabajo!EG$22*p_RealCxC+(Capital_Trabajo!EG$31+Capital_Trabajo!EG$56)*p_RealInv+Capital_Trabajo!EG$36+Capital_Trabajo!EG$58+Deuda_Tributos!EG$17-Capital_Trabajo!EG$42-Capital_Trabajo!EG$51-Capital_Trabajo!EG$25-Inversion_Activos!EG$43+Inversion_Activos!EG$66*p_RealAF-p_CostoCierre</f>
        <v>2999560.06122588</v>
      </c>
      <c r="EH110" s="13" t="n">
        <f aca="false">Capital_Trabajo!EH$22*p_RealCxC+(Capital_Trabajo!EH$31+Capital_Trabajo!EH$56)*p_RealInv+Capital_Trabajo!EH$36+Capital_Trabajo!EH$58+Deuda_Tributos!EH$17-Capital_Trabajo!EH$42-Capital_Trabajo!EH$51-Capital_Trabajo!EH$25-Inversion_Activos!EH$43+Inversion_Activos!EH$66*p_RealAF-p_CostoCierre</f>
        <v>2999560.06122588</v>
      </c>
      <c r="EI110" s="13" t="n">
        <f aca="false">Capital_Trabajo!EI$22*p_RealCxC+(Capital_Trabajo!EI$31+Capital_Trabajo!EI$56)*p_RealInv+Capital_Trabajo!EI$36+Capital_Trabajo!EI$58+Deuda_Tributos!EI$17-Capital_Trabajo!EI$42-Capital_Trabajo!EI$51-Capital_Trabajo!EI$25-Inversion_Activos!EI$43+Inversion_Activos!EI$66*p_RealAF-p_CostoCierre</f>
        <v>2999560.06122588</v>
      </c>
      <c r="EJ110" s="13" t="n">
        <f aca="false">Capital_Trabajo!EJ$22*p_RealCxC+(Capital_Trabajo!EJ$31+Capital_Trabajo!EJ$56)*p_RealInv+Capital_Trabajo!EJ$36+Capital_Trabajo!EJ$58+Deuda_Tributos!EJ$17-Capital_Trabajo!EJ$42-Capital_Trabajo!EJ$51-Capital_Trabajo!EJ$25-Inversion_Activos!EJ$43+Inversion_Activos!EJ$66*p_RealAF-p_CostoCierre</f>
        <v>2999560.06122588</v>
      </c>
      <c r="EK110" s="13" t="n">
        <f aca="false">Capital_Trabajo!EK$22*p_RealCxC+(Capital_Trabajo!EK$31+Capital_Trabajo!EK$56)*p_RealInv+Capital_Trabajo!EK$36+Capital_Trabajo!EK$58+Deuda_Tributos!EK$17-Capital_Trabajo!EK$42-Capital_Trabajo!EK$51-Capital_Trabajo!EK$25-Inversion_Activos!EK$43+Inversion_Activos!EK$66*p_RealAF-p_CostoCierre</f>
        <v>2999560.06122588</v>
      </c>
      <c r="EL110" s="13" t="n">
        <f aca="false">Capital_Trabajo!EL$22*p_RealCxC+(Capital_Trabajo!EL$31+Capital_Trabajo!EL$56)*p_RealInv+Capital_Trabajo!EL$36+Capital_Trabajo!EL$58+Deuda_Tributos!EL$17-Capital_Trabajo!EL$42-Capital_Trabajo!EL$51-Capital_Trabajo!EL$25-Inversion_Activos!EL$43+Inversion_Activos!EL$66*p_RealAF-p_CostoCierre</f>
        <v>2999560.06122588</v>
      </c>
      <c r="EM110" s="13" t="n">
        <f aca="false">Capital_Trabajo!EM$22*p_RealCxC+(Capital_Trabajo!EM$31+Capital_Trabajo!EM$56)*p_RealInv+Capital_Trabajo!EM$36+Capital_Trabajo!EM$58+Deuda_Tributos!EM$17-Capital_Trabajo!EM$42-Capital_Trabajo!EM$51-Capital_Trabajo!EM$25-Inversion_Activos!EM$43+Inversion_Activos!EM$66*p_RealAF-p_CostoCierre</f>
        <v>2999560.06122588</v>
      </c>
      <c r="EN110" s="13" t="n">
        <f aca="false">Capital_Trabajo!EN$22*p_RealCxC+(Capital_Trabajo!EN$31+Capital_Trabajo!EN$56)*p_RealInv+Capital_Trabajo!EN$36+Capital_Trabajo!EN$58+Deuda_Tributos!EN$17-Capital_Trabajo!EN$42-Capital_Trabajo!EN$51-Capital_Trabajo!EN$25-Inversion_Activos!EN$43+Inversion_Activos!EN$66*p_RealAF-p_CostoCierre</f>
        <v>2999560.06122588</v>
      </c>
      <c r="EO110" s="13" t="n">
        <f aca="false">Capital_Trabajo!EO$22*p_RealCxC+(Capital_Trabajo!EO$31+Capital_Trabajo!EO$56)*p_RealInv+Capital_Trabajo!EO$36+Capital_Trabajo!EO$58+Deuda_Tributos!EO$17-Capital_Trabajo!EO$42-Capital_Trabajo!EO$51-Capital_Trabajo!EO$25-Inversion_Activos!EO$43+Inversion_Activos!EO$66*p_RealAF-p_CostoCierre</f>
        <v>2999560.06122588</v>
      </c>
      <c r="EP110" s="13" t="n">
        <f aca="false">Capital_Trabajo!EP$22*p_RealCxC+(Capital_Trabajo!EP$31+Capital_Trabajo!EP$56)*p_RealInv+Capital_Trabajo!EP$36+Capital_Trabajo!EP$58+Deuda_Tributos!EP$17-Capital_Trabajo!EP$42-Capital_Trabajo!EP$51-Capital_Trabajo!EP$25-Inversion_Activos!EP$43+Inversion_Activos!EP$66*p_RealAF-p_CostoCierre</f>
        <v>2999560.06122588</v>
      </c>
      <c r="EQ110" s="13" t="n">
        <f aca="false">Capital_Trabajo!EQ$22*p_RealCxC+(Capital_Trabajo!EQ$31+Capital_Trabajo!EQ$56)*p_RealInv+Capital_Trabajo!EQ$36+Capital_Trabajo!EQ$58+Deuda_Tributos!EQ$17-Capital_Trabajo!EQ$42-Capital_Trabajo!EQ$51-Capital_Trabajo!EQ$25-Inversion_Activos!EQ$43+Inversion_Activos!EQ$66*p_RealAF-p_CostoCierre</f>
        <v>2999560.06122588</v>
      </c>
      <c r="ER110" s="13" t="n">
        <f aca="false">Capital_Trabajo!ER$22*p_RealCxC+(Capital_Trabajo!ER$31+Capital_Trabajo!ER$56)*p_RealInv+Capital_Trabajo!ER$36+Capital_Trabajo!ER$58+Deuda_Tributos!ER$17-Capital_Trabajo!ER$42-Capital_Trabajo!ER$51-Capital_Trabajo!ER$25-Inversion_Activos!ER$43+Inversion_Activos!ER$66*p_RealAF-p_CostoCierre</f>
        <v>2999560.06122588</v>
      </c>
      <c r="ES110" s="13" t="n">
        <f aca="false">Capital_Trabajo!ES$22*p_RealCxC+(Capital_Trabajo!ES$31+Capital_Trabajo!ES$56)*p_RealInv+Capital_Trabajo!ES$36+Capital_Trabajo!ES$58+Deuda_Tributos!ES$17-Capital_Trabajo!ES$42-Capital_Trabajo!ES$51-Capital_Trabajo!ES$25-Inversion_Activos!ES$43+Inversion_Activos!ES$66*p_RealAF-p_CostoCierre</f>
        <v>2999560.06122588</v>
      </c>
      <c r="ET110" s="13" t="n">
        <f aca="false">Capital_Trabajo!ET$22*p_RealCxC+(Capital_Trabajo!ET$31+Capital_Trabajo!ET$56)*p_RealInv+Capital_Trabajo!ET$36+Capital_Trabajo!ET$58+Deuda_Tributos!ET$17-Capital_Trabajo!ET$42-Capital_Trabajo!ET$51-Capital_Trabajo!ET$25-Inversion_Activos!ET$43+Inversion_Activos!ET$66*p_RealAF-p_CostoCierre</f>
        <v>2999560.06122588</v>
      </c>
      <c r="EU110" s="13" t="n">
        <f aca="false">Capital_Trabajo!EU$22*p_RealCxC+(Capital_Trabajo!EU$31+Capital_Trabajo!EU$56)*p_RealInv+Capital_Trabajo!EU$36+Capital_Trabajo!EU$58+Deuda_Tributos!EU$17-Capital_Trabajo!EU$42-Capital_Trabajo!EU$51-Capital_Trabajo!EU$25-Inversion_Activos!EU$43+Inversion_Activos!EU$66*p_RealAF-p_CostoCierre</f>
        <v>2999560.06122588</v>
      </c>
      <c r="EV110" s="13" t="n">
        <f aca="false">Capital_Trabajo!EV$22*p_RealCxC+(Capital_Trabajo!EV$31+Capital_Trabajo!EV$56)*p_RealInv+Capital_Trabajo!EV$36+Capital_Trabajo!EV$58+Deuda_Tributos!EV$17-Capital_Trabajo!EV$42-Capital_Trabajo!EV$51-Capital_Trabajo!EV$25-Inversion_Activos!EV$43+Inversion_Activos!EV$66*p_RealAF-p_CostoCierre</f>
        <v>2999560.06122588</v>
      </c>
      <c r="EW110" s="13" t="n">
        <f aca="false">Capital_Trabajo!EW$22*p_RealCxC+(Capital_Trabajo!EW$31+Capital_Trabajo!EW$56)*p_RealInv+Capital_Trabajo!EW$36+Capital_Trabajo!EW$58+Deuda_Tributos!EW$17-Capital_Trabajo!EW$42-Capital_Trabajo!EW$51-Capital_Trabajo!EW$25-Inversion_Activos!EW$43+Inversion_Activos!EW$66*p_RealAF-p_CostoCierre</f>
        <v>2999560.06122588</v>
      </c>
      <c r="EX110" s="13" t="n">
        <f aca="false">Capital_Trabajo!EX$22*p_RealCxC+(Capital_Trabajo!EX$31+Capital_Trabajo!EX$56)*p_RealInv+Capital_Trabajo!EX$36+Capital_Trabajo!EX$58+Deuda_Tributos!EX$17-Capital_Trabajo!EX$42-Capital_Trabajo!EX$51-Capital_Trabajo!EX$25-Inversion_Activos!EX$43+Inversion_Activos!EX$66*p_RealAF-p_CostoCierre</f>
        <v>2999560.06122588</v>
      </c>
      <c r="EY110" s="13" t="n">
        <f aca="false">Capital_Trabajo!EY$22*p_RealCxC+(Capital_Trabajo!EY$31+Capital_Trabajo!EY$56)*p_RealInv+Capital_Trabajo!EY$36+Capital_Trabajo!EY$58+Deuda_Tributos!EY$17-Capital_Trabajo!EY$42-Capital_Trabajo!EY$51-Capital_Trabajo!EY$25-Inversion_Activos!EY$43+Inversion_Activos!EY$66*p_RealAF-p_CostoCierre</f>
        <v>2999560.06122588</v>
      </c>
      <c r="EZ110" s="13" t="n">
        <f aca="false">Capital_Trabajo!EZ$22*p_RealCxC+(Capital_Trabajo!EZ$31+Capital_Trabajo!EZ$56)*p_RealInv+Capital_Trabajo!EZ$36+Capital_Trabajo!EZ$58+Deuda_Tributos!EZ$17-Capital_Trabajo!EZ$42-Capital_Trabajo!EZ$51-Capital_Trabajo!EZ$25-Inversion_Activos!EZ$43+Inversion_Activos!EZ$66*p_RealAF-p_CostoCierre</f>
        <v>2999560.06122588</v>
      </c>
      <c r="FA110" s="13" t="n">
        <f aca="false">Capital_Trabajo!FA$22*p_RealCxC+(Capital_Trabajo!FA$31+Capital_Trabajo!FA$56)*p_RealInv+Capital_Trabajo!FA$36+Capital_Trabajo!FA$58+Deuda_Tributos!FA$17-Capital_Trabajo!FA$42-Capital_Trabajo!FA$51-Capital_Trabajo!FA$25-Inversion_Activos!FA$43+Inversion_Activos!FA$66*p_RealAF-p_CostoCierre</f>
        <v>2999560.06122588</v>
      </c>
      <c r="FB110" s="13" t="n">
        <f aca="false">Capital_Trabajo!FB$22*p_RealCxC+(Capital_Trabajo!FB$31+Capital_Trabajo!FB$56)*p_RealInv+Capital_Trabajo!FB$36+Capital_Trabajo!FB$58+Deuda_Tributos!FB$17-Capital_Trabajo!FB$42-Capital_Trabajo!FB$51-Capital_Trabajo!FB$25-Inversion_Activos!FB$43+Inversion_Activos!FB$66*p_RealAF-p_CostoCierre</f>
        <v>2999560.06122588</v>
      </c>
      <c r="FC110" s="13" t="n">
        <f aca="false">Capital_Trabajo!FC$22*p_RealCxC+(Capital_Trabajo!FC$31+Capital_Trabajo!FC$56)*p_RealInv+Capital_Trabajo!FC$36+Capital_Trabajo!FC$58+Deuda_Tributos!FC$17-Capital_Trabajo!FC$42-Capital_Trabajo!FC$51-Capital_Trabajo!FC$25-Inversion_Activos!FC$43+Inversion_Activos!FC$66*p_RealAF-p_CostoCierre</f>
        <v>2999560.06122588</v>
      </c>
      <c r="FD110" s="13" t="n">
        <f aca="false">Capital_Trabajo!FD$22*p_RealCxC+(Capital_Trabajo!FD$31+Capital_Trabajo!FD$56)*p_RealInv+Capital_Trabajo!FD$36+Capital_Trabajo!FD$58+Deuda_Tributos!FD$17-Capital_Trabajo!FD$42-Capital_Trabajo!FD$51-Capital_Trabajo!FD$25-Inversion_Activos!FD$43+Inversion_Activos!FD$66*p_RealAF-p_CostoCierre</f>
        <v>2999560.06122588</v>
      </c>
      <c r="FE110" s="13" t="n">
        <f aca="false">Capital_Trabajo!FE$22*p_RealCxC+(Capital_Trabajo!FE$31+Capital_Trabajo!FE$56)*p_RealInv+Capital_Trabajo!FE$36+Capital_Trabajo!FE$58+Deuda_Tributos!FE$17-Capital_Trabajo!FE$42-Capital_Trabajo!FE$51-Capital_Trabajo!FE$25-Inversion_Activos!FE$43+Inversion_Activos!FE$66*p_RealAF-p_CostoCierre</f>
        <v>2999560.06122588</v>
      </c>
      <c r="FF110" s="13" t="n">
        <f aca="false">Capital_Trabajo!FF$22*p_RealCxC+(Capital_Trabajo!FF$31+Capital_Trabajo!FF$56)*p_RealInv+Capital_Trabajo!FF$36+Capital_Trabajo!FF$58+Deuda_Tributos!FF$17-Capital_Trabajo!FF$42-Capital_Trabajo!FF$51-Capital_Trabajo!FF$25-Inversion_Activos!FF$43+Inversion_Activos!FF$66*p_RealAF-p_CostoCierre</f>
        <v>2999560.06122588</v>
      </c>
    </row>
    <row r="111" customFormat="false" ht="15" hidden="false" customHeight="false" outlineLevel="0" collapsed="false">
      <c r="A111" s="2" t="s">
        <v>1627</v>
      </c>
      <c r="B111" s="8" t="s">
        <v>1628</v>
      </c>
      <c r="C111" s="8" t="s">
        <v>255</v>
      </c>
      <c r="F111" s="13" t="n">
        <f aca="false">IF(p_TasaProy&gt;p_g,(SUM(F37:F37)-SUM(F38:F38)-p_g*Capital_Trabajo!F$62)*(1+p_g)/(p_TasaProy-p_g),0)</f>
        <v>0</v>
      </c>
      <c r="G111" s="13" t="n">
        <f aca="false">IF(p_TasaProy&gt;p_g,(SUM(F37:G37)-SUM(F38:G38)-p_g*Capital_Trabajo!G$62)*(1+p_g)/(p_TasaProy-p_g),0)</f>
        <v>492059.758471632</v>
      </c>
      <c r="H111" s="13" t="n">
        <f aca="false">IF(p_TasaProy&gt;p_g,(SUM(F37:H37)-SUM(F38:H38)-p_g*Capital_Trabajo!H$62)*(1+p_g)/(p_TasaProy-p_g),0)</f>
        <v>926557.520003605</v>
      </c>
      <c r="I111" s="13" t="n">
        <f aca="false">IF(p_TasaProy&gt;p_g,(SUM(F37:I37)-SUM(F38:I38)-p_g*Capital_Trabajo!I$62)*(1+p_g)/(p_TasaProy-p_g),0)</f>
        <v>1311530.11114764</v>
      </c>
      <c r="J111" s="13" t="n">
        <f aca="false">IF(p_TasaProy&gt;p_g,(SUM(F37:J37)-SUM(F38:J38)-p_g*Capital_Trabajo!J$62)*(1+p_g)/(p_TasaProy-p_g),0)</f>
        <v>1696502.70229168</v>
      </c>
      <c r="K111" s="13" t="n">
        <f aca="false">IF(p_TasaProy&gt;p_g,(SUM(F37:K37)-SUM(F38:K38)-p_g*Capital_Trabajo!K$62)*(1+p_g)/(p_TasaProy-p_g),0)</f>
        <v>2081475.29343571</v>
      </c>
      <c r="L111" s="13" t="n">
        <f aca="false">IF(p_TasaProy&gt;p_g,(SUM(F37:L37)-SUM(F38:L38)-p_g*Capital_Trabajo!L$62)*(1+p_g)/(p_TasaProy-p_g),0)</f>
        <v>2466447.88457975</v>
      </c>
      <c r="M111" s="13" t="n">
        <f aca="false">IF(p_TasaProy&gt;p_g,(SUM(F37:M37)-SUM(F38:M38)-p_g*Capital_Trabajo!M$62)*(1+p_g)/(p_TasaProy-p_g),0)</f>
        <v>2851420.47572379</v>
      </c>
      <c r="N111" s="13" t="n">
        <f aca="false">IF(p_TasaProy&gt;p_g,(SUM(F37:N37)-SUM(F38:N38)-p_g*Capital_Trabajo!N$62)*(1+p_g)/(p_TasaProy-p_g),0)</f>
        <v>3236393.06686782</v>
      </c>
      <c r="O111" s="13" t="n">
        <f aca="false">IF(p_TasaProy&gt;p_g,(SUM(F37:O37)-SUM(F38:O38)-p_g*Capital_Trabajo!O$62)*(1+p_g)/(p_TasaProy-p_g),0)</f>
        <v>3621365.65801186</v>
      </c>
      <c r="P111" s="13" t="n">
        <f aca="false">IF(p_TasaProy&gt;p_g,(SUM(F37:P37)-SUM(F38:P38)-p_g*Capital_Trabajo!P$62)*(1+p_g)/(p_TasaProy-p_g),0)</f>
        <v>4006338.2491559</v>
      </c>
      <c r="Q111" s="13" t="n">
        <f aca="false">IF(p_TasaProy&gt;p_g,(SUM(F37:Q37)-SUM(F38:Q38)-p_g*Capital_Trabajo!Q$62)*(1+p_g)/(p_TasaProy-p_g),0)</f>
        <v>4391310.84029993</v>
      </c>
      <c r="R111" s="13" t="n">
        <f aca="false">IF(p_TasaProy&gt;p_g,(SUM(G37:R37)-SUM(G38:R38)-p_g*Capital_Trabajo!R$62)*(1+p_g)/(p_TasaProy-p_g),0)</f>
        <v>4797221.52176055</v>
      </c>
      <c r="S111" s="13" t="n">
        <f aca="false">IF(p_TasaProy&gt;p_g,(SUM(H37:S37)-SUM(H38:S38)-p_g*Capital_Trabajo!S$62)*(1+p_g)/(p_TasaProy-p_g),0)</f>
        <v>5055299.77380661</v>
      </c>
      <c r="T111" s="13" t="n">
        <f aca="false">IF(p_TasaProy&gt;p_g,(SUM(I37:T37)-SUM(I38:T38)-p_g*Capital_Trabajo!T$62)*(1+p_g)/(p_TasaProy-p_g),0)</f>
        <v>5397429.26448642</v>
      </c>
      <c r="U111" s="13" t="n">
        <f aca="false">IF(p_TasaProy&gt;p_g,(SUM(J37:U37)-SUM(J38:U38)-p_g*Capital_Trabajo!U$62)*(1+p_g)/(p_TasaProy-p_g),0)</f>
        <v>5789083.92555416</v>
      </c>
      <c r="V111" s="13" t="n">
        <f aca="false">IF(p_TasaProy&gt;p_g,(SUM(K37:V37)-SUM(K38:V38)-p_g*Capital_Trabajo!V$62)*(1+p_g)/(p_TasaProy-p_g),0)</f>
        <v>6180738.5866219</v>
      </c>
      <c r="W111" s="13" t="n">
        <f aca="false">IF(p_TasaProy&gt;p_g,(SUM(L37:W37)-SUM(L38:W38)-p_g*Capital_Trabajo!W$62)*(1+p_g)/(p_TasaProy-p_g),0)</f>
        <v>6572393.24768964</v>
      </c>
      <c r="X111" s="13" t="n">
        <f aca="false">IF(p_TasaProy&gt;p_g,(SUM(M37:X37)-SUM(M38:X38)-p_g*Capital_Trabajo!X$62)*(1+p_g)/(p_TasaProy-p_g),0)</f>
        <v>6964047.90875738</v>
      </c>
      <c r="Y111" s="13" t="n">
        <f aca="false">IF(p_TasaProy&gt;p_g,(SUM(N37:Y37)-SUM(N38:Y38)-p_g*Capital_Trabajo!Y$62)*(1+p_g)/(p_TasaProy-p_g),0)</f>
        <v>7355702.56982512</v>
      </c>
      <c r="Z111" s="13" t="n">
        <f aca="false">IF(p_TasaProy&gt;p_g,(SUM(O37:Z37)-SUM(O38:Z38)-p_g*Capital_Trabajo!Z$62)*(1+p_g)/(p_TasaProy-p_g),0)</f>
        <v>7747357.23089286</v>
      </c>
      <c r="AA111" s="13" t="n">
        <f aca="false">IF(p_TasaProy&gt;p_g,(SUM(P37:AA37)-SUM(P38:AA38)-p_g*Capital_Trabajo!AA$62)*(1+p_g)/(p_TasaProy-p_g),0)</f>
        <v>8139011.8919606</v>
      </c>
      <c r="AB111" s="13" t="n">
        <f aca="false">IF(p_TasaProy&gt;p_g,(SUM(Q37:AB37)-SUM(Q38:AB38)-p_g*Capital_Trabajo!AB$62)*(1+p_g)/(p_TasaProy-p_g),0)</f>
        <v>8530666.55302834</v>
      </c>
      <c r="AC111" s="13" t="n">
        <f aca="false">IF(p_TasaProy&gt;p_g,(SUM(R37:AC37)-SUM(R38:AC38)-p_g*Capital_Trabajo!AC$62)*(1+p_g)/(p_TasaProy-p_g),0)</f>
        <v>8922321.21409608</v>
      </c>
      <c r="AD111" s="13" t="n">
        <f aca="false">IF(p_TasaProy&gt;p_g,(SUM(S37:AD37)-SUM(S38:AD38)-p_g*Capital_Trabajo!AD$62)*(1+p_g)/(p_TasaProy-p_g),0)</f>
        <v>9307647.76887486</v>
      </c>
      <c r="AE111" s="13" t="n">
        <f aca="false">IF(p_TasaProy&gt;p_g,(SUM(T37:AE37)-SUM(T38:AE38)-p_g*Capital_Trabajo!AE$62)*(1+p_g)/(p_TasaProy-p_g),0)</f>
        <v>9710017.71136256</v>
      </c>
      <c r="AF111" s="13" t="n">
        <f aca="false">IF(p_TasaProy&gt;p_g,(SUM(U37:AF37)-SUM(U38:AF38)-p_g*Capital_Trabajo!AF$62)*(1+p_g)/(p_TasaProy-p_g),0)</f>
        <v>10095603.4617538</v>
      </c>
      <c r="AG111" s="13" t="n">
        <f aca="false">IF(p_TasaProy&gt;p_g,(SUM(V37:AG37)-SUM(V38:AG38)-p_g*Capital_Trabajo!AG$62)*(1+p_g)/(p_TasaProy-p_g),0)</f>
        <v>10481189.2121451</v>
      </c>
      <c r="AH111" s="13" t="n">
        <f aca="false">IF(p_TasaProy&gt;p_g,(SUM(W37:AH37)-SUM(W38:AH38)-p_g*Capital_Trabajo!AH$62)*(1+p_g)/(p_TasaProy-p_g),0)</f>
        <v>10866774.9625364</v>
      </c>
      <c r="AI111" s="13" t="n">
        <f aca="false">IF(p_TasaProy&gt;p_g,(SUM(X37:AI37)-SUM(X38:AI38)-p_g*Capital_Trabajo!AI$62)*(1+p_g)/(p_TasaProy-p_g),0)</f>
        <v>11252360.7129277</v>
      </c>
      <c r="AJ111" s="13" t="n">
        <f aca="false">IF(p_TasaProy&gt;p_g,(SUM(Y37:AJ37)-SUM(Y38:AJ38)-p_g*Capital_Trabajo!AJ$62)*(1+p_g)/(p_TasaProy-p_g),0)</f>
        <v>11637946.4633189</v>
      </c>
      <c r="AK111" s="13" t="n">
        <f aca="false">IF(p_TasaProy&gt;p_g,(SUM(Z37:AK37)-SUM(Z38:AK38)-p_g*Capital_Trabajo!AK$62)*(1+p_g)/(p_TasaProy-p_g),0)</f>
        <v>12023532.2137102</v>
      </c>
      <c r="AL111" s="13" t="n">
        <f aca="false">IF(p_TasaProy&gt;p_g,(SUM(AA37:AL37)-SUM(AA38:AL38)-p_g*Capital_Trabajo!AL$62)*(1+p_g)/(p_TasaProy-p_g),0)</f>
        <v>12409117.9641015</v>
      </c>
      <c r="AM111" s="13" t="n">
        <f aca="false">IF(p_TasaProy&gt;p_g,(SUM(AB37:AM37)-SUM(AB38:AM38)-p_g*Capital_Trabajo!AM$62)*(1+p_g)/(p_TasaProy-p_g),0)</f>
        <v>12794703.7144927</v>
      </c>
      <c r="AN111" s="13" t="n">
        <f aca="false">IF(p_TasaProy&gt;p_g,(SUM(AC37:AN37)-SUM(AC38:AN38)-p_g*Capital_Trabajo!AN$62)*(1+p_g)/(p_TasaProy-p_g),0)</f>
        <v>13180289.464884</v>
      </c>
      <c r="AO111" s="13" t="n">
        <f aca="false">IF(p_TasaProy&gt;p_g,(SUM(AD37:AO37)-SUM(AD38:AO38)-p_g*Capital_Trabajo!AO$62)*(1+p_g)/(p_TasaProy-p_g),0)</f>
        <v>13565875.2152753</v>
      </c>
      <c r="AP111" s="13" t="n">
        <f aca="false">IF(p_TasaProy&gt;p_g,(SUM(AE37:AP37)-SUM(AE38:AP38)-p_g*Capital_Trabajo!AP$62)*(1+p_g)/(p_TasaProy-p_g),0)</f>
        <v>13946507.3688314</v>
      </c>
      <c r="AQ111" s="13" t="n">
        <f aca="false">IF(p_TasaProy&gt;p_g,(SUM(AF37:AQ37)-SUM(AF38:AQ38)-p_g*Capital_Trabajo!AQ$62)*(1+p_g)/(p_TasaProy-p_g),0)</f>
        <v>14298636.1301747</v>
      </c>
      <c r="AR111" s="13" t="n">
        <f aca="false">IF(p_TasaProy&gt;p_g,(SUM(AG37:AR37)-SUM(AG38:AR38)-p_g*Capital_Trabajo!AR$62)*(1+p_g)/(p_TasaProy-p_g),0)</f>
        <v>14644398.1900758</v>
      </c>
      <c r="AS111" s="13" t="n">
        <f aca="false">IF(p_TasaProy&gt;p_g,(SUM(AH37:AS37)-SUM(AH38:AS38)-p_g*Capital_Trabajo!AS$62)*(1+p_g)/(p_TasaProy-p_g),0)</f>
        <v>14990160.2499768</v>
      </c>
      <c r="AT111" s="13" t="n">
        <f aca="false">IF(p_TasaProy&gt;p_g,(SUM(AI37:AT37)-SUM(AI38:AT38)-p_g*Capital_Trabajo!AT$62)*(1+p_g)/(p_TasaProy-p_g),0)</f>
        <v>15335922.3098779</v>
      </c>
      <c r="AU111" s="13" t="n">
        <f aca="false">IF(p_TasaProy&gt;p_g,(SUM(AJ37:AU37)-SUM(AJ38:AU38)-p_g*Capital_Trabajo!AU$62)*(1+p_g)/(p_TasaProy-p_g),0)</f>
        <v>15681684.3697789</v>
      </c>
      <c r="AV111" s="13" t="n">
        <f aca="false">IF(p_TasaProy&gt;p_g,(SUM(AK37:AV37)-SUM(AK38:AV38)-p_g*Capital_Trabajo!AV$62)*(1+p_g)/(p_TasaProy-p_g),0)</f>
        <v>16027446.42968</v>
      </c>
      <c r="AW111" s="13" t="n">
        <f aca="false">IF(p_TasaProy&gt;p_g,(SUM(AL37:AW37)-SUM(AL38:AW38)-p_g*Capital_Trabajo!AW$62)*(1+p_g)/(p_TasaProy-p_g),0)</f>
        <v>16373208.489581</v>
      </c>
      <c r="AX111" s="13" t="n">
        <f aca="false">IF(p_TasaProy&gt;p_g,(SUM(AM37:AX37)-SUM(AM38:AX38)-p_g*Capital_Trabajo!AX$62)*(1+p_g)/(p_TasaProy-p_g),0)</f>
        <v>16718970.549482</v>
      </c>
      <c r="AY111" s="13" t="n">
        <f aca="false">IF(p_TasaProy&gt;p_g,(SUM(AN37:AY37)-SUM(AN38:AY38)-p_g*Capital_Trabajo!AY$62)*(1+p_g)/(p_TasaProy-p_g),0)</f>
        <v>17064732.6093831</v>
      </c>
      <c r="AZ111" s="13" t="n">
        <f aca="false">IF(p_TasaProy&gt;p_g,(SUM(AO37:AZ37)-SUM(AO38:AZ38)-p_g*Capital_Trabajo!AZ$62)*(1+p_g)/(p_TasaProy-p_g),0)</f>
        <v>17410494.6692841</v>
      </c>
      <c r="BA111" s="13" t="n">
        <f aca="false">IF(p_TasaProy&gt;p_g,(SUM(AP37:BA37)-SUM(AP38:BA38)-p_g*Capital_Trabajo!BA$62)*(1+p_g)/(p_TasaProy-p_g),0)</f>
        <v>17756256.7291852</v>
      </c>
      <c r="BB111" s="13" t="n">
        <f aca="false">IF(p_TasaProy&gt;p_g,(SUM(AQ37:BB37)-SUM(AQ38:BB38)-p_g*Capital_Trabajo!BB$62)*(1+p_g)/(p_TasaProy-p_g),0)</f>
        <v>18092362.4018938</v>
      </c>
      <c r="BC111" s="13" t="n">
        <f aca="false">IF(p_TasaProy&gt;p_g,(SUM(AR37:BC37)-SUM(AR38:BC38)-p_g*Capital_Trabajo!BC$62)*(1+p_g)/(p_TasaProy-p_g),0)</f>
        <v>18126970.6811773</v>
      </c>
      <c r="BD111" s="13" t="n">
        <f aca="false">IF(p_TasaProy&gt;p_g,(SUM(AS37:BD37)-SUM(AS38:BD38)-p_g*Capital_Trabajo!BD$62)*(1+p_g)/(p_TasaProy-p_g),0)</f>
        <v>18140910.1406366</v>
      </c>
      <c r="BE111" s="13" t="n">
        <f aca="false">IF(p_TasaProy&gt;p_g,(SUM(AT37:BE37)-SUM(AT38:BE38)-p_g*Capital_Trabajo!BE$62)*(1+p_g)/(p_TasaProy-p_g),0)</f>
        <v>18154849.6000958</v>
      </c>
      <c r="BF111" s="13" t="n">
        <f aca="false">IF(p_TasaProy&gt;p_g,(SUM(AU37:BF37)-SUM(AU38:BF38)-p_g*Capital_Trabajo!BF$62)*(1+p_g)/(p_TasaProy-p_g),0)</f>
        <v>18168789.0595551</v>
      </c>
      <c r="BG111" s="13" t="n">
        <f aca="false">IF(p_TasaProy&gt;p_g,(SUM(AV37:BG37)-SUM(AV38:BG38)-p_g*Capital_Trabajo!BG$62)*(1+p_g)/(p_TasaProy-p_g),0)</f>
        <v>18182728.5190144</v>
      </c>
      <c r="BH111" s="13" t="n">
        <f aca="false">IF(p_TasaProy&gt;p_g,(SUM(AW37:BH37)-SUM(AW38:BH38)-p_g*Capital_Trabajo!BH$62)*(1+p_g)/(p_TasaProy-p_g),0)</f>
        <v>18196667.9784736</v>
      </c>
      <c r="BI111" s="13" t="n">
        <f aca="false">IF(p_TasaProy&gt;p_g,(SUM(AX37:BI37)-SUM(AX38:BI38)-p_g*Capital_Trabajo!BI$62)*(1+p_g)/(p_TasaProy-p_g),0)</f>
        <v>18210607.4379329</v>
      </c>
      <c r="BJ111" s="13" t="n">
        <f aca="false">IF(p_TasaProy&gt;p_g,(SUM(AY37:BJ37)-SUM(AY38:BJ38)-p_g*Capital_Trabajo!BJ$62)*(1+p_g)/(p_TasaProy-p_g),0)</f>
        <v>18224546.8973922</v>
      </c>
      <c r="BK111" s="13" t="n">
        <f aca="false">IF(p_TasaProy&gt;p_g,(SUM(AZ37:BK37)-SUM(AZ38:BK38)-p_g*Capital_Trabajo!BK$62)*(1+p_g)/(p_TasaProy-p_g),0)</f>
        <v>18238486.3568515</v>
      </c>
      <c r="BL111" s="13" t="n">
        <f aca="false">IF(p_TasaProy&gt;p_g,(SUM(BA37:BL37)-SUM(BA38:BL38)-p_g*Capital_Trabajo!BL$62)*(1+p_g)/(p_TasaProy-p_g),0)</f>
        <v>18252425.8163107</v>
      </c>
      <c r="BM111" s="13" t="n">
        <f aca="false">IF(p_TasaProy&gt;p_g,(SUM(BB37:BM37)-SUM(BB38:BM38)-p_g*Capital_Trabajo!BM$62)*(1+p_g)/(p_TasaProy-p_g),0)</f>
        <v>18266365.27577</v>
      </c>
      <c r="BN111" s="13" t="n">
        <f aca="false">IF(p_TasaProy&gt;p_g,(SUM(BC37:BN37)-SUM(BC38:BN38)-p_g*Capital_Trabajo!BN$62)*(1+p_g)/(p_TasaProy-p_g),0)</f>
        <v>18280304.7352293</v>
      </c>
      <c r="BO111" s="13" t="n">
        <f aca="false">IF(p_TasaProy&gt;p_g,(SUM(BD37:BO37)-SUM(BD38:BO38)-p_g*Capital_Trabajo!BO$62)*(1+p_g)/(p_TasaProy-p_g),0)</f>
        <v>18325156.9278228</v>
      </c>
      <c r="BP111" s="13" t="n">
        <f aca="false">IF(p_TasaProy&gt;p_g,(SUM(BE37:BP37)-SUM(BE38:BP38)-p_g*Capital_Trabajo!BP$62)*(1+p_g)/(p_TasaProy-p_g),0)</f>
        <v>18378966.5550634</v>
      </c>
      <c r="BQ111" s="13" t="n">
        <f aca="false">IF(p_TasaProy&gt;p_g,(SUM(BF37:BQ37)-SUM(BF38:BQ38)-p_g*Capital_Trabajo!BQ$62)*(1+p_g)/(p_TasaProy-p_g),0)</f>
        <v>18432776.1823039</v>
      </c>
      <c r="BR111" s="13" t="n">
        <f aca="false">IF(p_TasaProy&gt;p_g,(SUM(BG37:BR37)-SUM(BG38:BR38)-p_g*Capital_Trabajo!BR$62)*(1+p_g)/(p_TasaProy-p_g),0)</f>
        <v>18486585.8095445</v>
      </c>
      <c r="BS111" s="13" t="n">
        <f aca="false">IF(p_TasaProy&gt;p_g,(SUM(BH37:BS37)-SUM(BH38:BS38)-p_g*Capital_Trabajo!BS$62)*(1+p_g)/(p_TasaProy-p_g),0)</f>
        <v>18540395.436785</v>
      </c>
      <c r="BT111" s="13" t="n">
        <f aca="false">IF(p_TasaProy&gt;p_g,(SUM(BI37:BT37)-SUM(BI38:BT38)-p_g*Capital_Trabajo!BT$62)*(1+p_g)/(p_TasaProy-p_g),0)</f>
        <v>18594205.0640256</v>
      </c>
      <c r="BU111" s="13" t="n">
        <f aca="false">IF(p_TasaProy&gt;p_g,(SUM(BJ37:BU37)-SUM(BJ38:BU38)-p_g*Capital_Trabajo!BU$62)*(1+p_g)/(p_TasaProy-p_g),0)</f>
        <v>18648014.6912661</v>
      </c>
      <c r="BV111" s="13" t="n">
        <f aca="false">IF(p_TasaProy&gt;p_g,(SUM(BK37:BV37)-SUM(BK38:BV38)-p_g*Capital_Trabajo!BV$62)*(1+p_g)/(p_TasaProy-p_g),0)</f>
        <v>18701824.3185067</v>
      </c>
      <c r="BW111" s="13" t="n">
        <f aca="false">IF(p_TasaProy&gt;p_g,(SUM(BL37:BW37)-SUM(BL38:BW38)-p_g*Capital_Trabajo!BW$62)*(1+p_g)/(p_TasaProy-p_g),0)</f>
        <v>18755633.9457472</v>
      </c>
      <c r="BX111" s="13" t="n">
        <f aca="false">IF(p_TasaProy&gt;p_g,(SUM(BM37:BX37)-SUM(BM38:BX38)-p_g*Capital_Trabajo!BX$62)*(1+p_g)/(p_TasaProy-p_g),0)</f>
        <v>18809443.5729878</v>
      </c>
      <c r="BY111" s="13" t="n">
        <f aca="false">IF(p_TasaProy&gt;p_g,(SUM(BN37:BY37)-SUM(BN38:BY38)-p_g*Capital_Trabajo!BY$62)*(1+p_g)/(p_TasaProy-p_g),0)</f>
        <v>18863253.2002283</v>
      </c>
      <c r="BZ111" s="13" t="n">
        <f aca="false">IF(p_TasaProy&gt;p_g,(SUM(BO37:BZ37)-SUM(BO38:BZ38)-p_g*Capital_Trabajo!BZ$62)*(1+p_g)/(p_TasaProy-p_g),0)</f>
        <v>18917062.8274689</v>
      </c>
      <c r="CA111" s="13" t="n">
        <f aca="false">IF(p_TasaProy&gt;p_g,(SUM(BP37:CA37)-SUM(BP38:CA38)-p_g*Capital_Trabajo!CA$62)*(1+p_g)/(p_TasaProy-p_g),0)</f>
        <v>18960572.285953</v>
      </c>
      <c r="CB111" s="13" t="n">
        <f aca="false">IF(p_TasaProy&gt;p_g,(SUM(BQ37:CB37)-SUM(BQ38:CB38)-p_g*Capital_Trabajo!CB$62)*(1+p_g)/(p_TasaProy-p_g),0)</f>
        <v>19003999.7294972</v>
      </c>
      <c r="CC111" s="13" t="n">
        <f aca="false">IF(p_TasaProy&gt;p_g,(SUM(BR37:CC37)-SUM(BR38:CC38)-p_g*Capital_Trabajo!CC$62)*(1+p_g)/(p_TasaProy-p_g),0)</f>
        <v>19047427.1730414</v>
      </c>
      <c r="CD111" s="13" t="n">
        <f aca="false">IF(p_TasaProy&gt;p_g,(SUM(BS37:CD37)-SUM(BS38:CD38)-p_g*Capital_Trabajo!CD$62)*(1+p_g)/(p_TasaProy-p_g),0)</f>
        <v>19090854.6165855</v>
      </c>
      <c r="CE111" s="13" t="n">
        <f aca="false">IF(p_TasaProy&gt;p_g,(SUM(BT37:CE37)-SUM(BT38:CE38)-p_g*Capital_Trabajo!CE$62)*(1+p_g)/(p_TasaProy-p_g),0)</f>
        <v>19134282.0601297</v>
      </c>
      <c r="CF111" s="13" t="n">
        <f aca="false">IF(p_TasaProy&gt;p_g,(SUM(BU37:CF37)-SUM(BU38:CF38)-p_g*Capital_Trabajo!CF$62)*(1+p_g)/(p_TasaProy-p_g),0)</f>
        <v>19177709.5036738</v>
      </c>
      <c r="CG111" s="13" t="n">
        <f aca="false">IF(p_TasaProy&gt;p_g,(SUM(BV37:CG37)-SUM(BV38:CG38)-p_g*Capital_Trabajo!CG$62)*(1+p_g)/(p_TasaProy-p_g),0)</f>
        <v>19221136.947218</v>
      </c>
      <c r="CH111" s="13" t="n">
        <f aca="false">IF(p_TasaProy&gt;p_g,(SUM(BW37:CH37)-SUM(BW38:CH38)-p_g*Capital_Trabajo!CH$62)*(1+p_g)/(p_TasaProy-p_g),0)</f>
        <v>19264564.3907622</v>
      </c>
      <c r="CI111" s="13" t="n">
        <f aca="false">IF(p_TasaProy&gt;p_g,(SUM(BX37:CI37)-SUM(BX38:CI38)-p_g*Capital_Trabajo!CI$62)*(1+p_g)/(p_TasaProy-p_g),0)</f>
        <v>19307991.8343063</v>
      </c>
      <c r="CJ111" s="13" t="n">
        <f aca="false">IF(p_TasaProy&gt;p_g,(SUM(BY37:CJ37)-SUM(BY38:CJ38)-p_g*Capital_Trabajo!CJ$62)*(1+p_g)/(p_TasaProy-p_g),0)</f>
        <v>19351419.2778505</v>
      </c>
      <c r="CK111" s="13" t="n">
        <f aca="false">IF(p_TasaProy&gt;p_g,(SUM(BZ37:CK37)-SUM(BZ38:CK38)-p_g*Capital_Trabajo!CK$62)*(1+p_g)/(p_TasaProy-p_g),0)</f>
        <v>19394846.7213946</v>
      </c>
      <c r="CL111" s="13" t="n">
        <f aca="false">IF(p_TasaProy&gt;p_g,(SUM(CA37:CL37)-SUM(CA38:CL38)-p_g*Capital_Trabajo!CL$62)*(1+p_g)/(p_TasaProy-p_g),0)</f>
        <v>19438274.1649388</v>
      </c>
      <c r="CM111" s="13" t="n">
        <f aca="false">IF(p_TasaProy&gt;p_g,(SUM(CB37:CM37)-SUM(CB38:CM38)-p_g*Capital_Trabajo!CM$62)*(1+p_g)/(p_TasaProy-p_g),0)</f>
        <v>19482093.8778202</v>
      </c>
      <c r="CN111" s="13" t="n">
        <f aca="false">IF(p_TasaProy&gt;p_g,(SUM(CC37:CN37)-SUM(CC38:CN38)-p_g*Capital_Trabajo!CN$62)*(1+p_g)/(p_TasaProy-p_g),0)</f>
        <v>19525830.7556122</v>
      </c>
      <c r="CO111" s="13" t="n">
        <f aca="false">IF(p_TasaProy&gt;p_g,(SUM(CD37:CO37)-SUM(CD38:CO38)-p_g*Capital_Trabajo!CO$62)*(1+p_g)/(p_TasaProy-p_g),0)</f>
        <v>19569567.6334042</v>
      </c>
      <c r="CP111" s="13" t="n">
        <f aca="false">IF(p_TasaProy&gt;p_g,(SUM(CE37:CP37)-SUM(CE38:CP38)-p_g*Capital_Trabajo!CP$62)*(1+p_g)/(p_TasaProy-p_g),0)</f>
        <v>19613304.5111962</v>
      </c>
      <c r="CQ111" s="13" t="n">
        <f aca="false">IF(p_TasaProy&gt;p_g,(SUM(CF37:CQ37)-SUM(CF38:CQ38)-p_g*Capital_Trabajo!CQ$62)*(1+p_g)/(p_TasaProy-p_g),0)</f>
        <v>19657041.3889882</v>
      </c>
      <c r="CR111" s="13" t="n">
        <f aca="false">IF(p_TasaProy&gt;p_g,(SUM(CG37:CR37)-SUM(CG38:CR38)-p_g*Capital_Trabajo!CR$62)*(1+p_g)/(p_TasaProy-p_g),0)</f>
        <v>19700778.2667802</v>
      </c>
      <c r="CS111" s="13" t="n">
        <f aca="false">IF(p_TasaProy&gt;p_g,(SUM(CH37:CS37)-SUM(CH38:CS38)-p_g*Capital_Trabajo!CS$62)*(1+p_g)/(p_TasaProy-p_g),0)</f>
        <v>19744515.1445722</v>
      </c>
      <c r="CT111" s="13" t="n">
        <f aca="false">IF(p_TasaProy&gt;p_g,(SUM(CI37:CT37)-SUM(CI38:CT38)-p_g*Capital_Trabajo!CT$62)*(1+p_g)/(p_TasaProy-p_g),0)</f>
        <v>19788252.0223642</v>
      </c>
      <c r="CU111" s="13" t="n">
        <f aca="false">IF(p_TasaProy&gt;p_g,(SUM(CJ37:CU37)-SUM(CJ38:CU38)-p_g*Capital_Trabajo!CU$62)*(1+p_g)/(p_TasaProy-p_g),0)</f>
        <v>19831988.9001562</v>
      </c>
      <c r="CV111" s="13" t="n">
        <f aca="false">IF(p_TasaProy&gt;p_g,(SUM(CK37:CV37)-SUM(CK38:CV38)-p_g*Capital_Trabajo!CV$62)*(1+p_g)/(p_TasaProy-p_g),0)</f>
        <v>19875725.7779482</v>
      </c>
      <c r="CW111" s="13" t="n">
        <f aca="false">IF(p_TasaProy&gt;p_g,(SUM(CL37:CW37)-SUM(CL38:CW38)-p_g*Capital_Trabajo!CW$62)*(1+p_g)/(p_TasaProy-p_g),0)</f>
        <v>19919462.6557402</v>
      </c>
      <c r="CX111" s="13" t="n">
        <f aca="false">IF(p_TasaProy&gt;p_g,(SUM(CM37:CX37)-SUM(CM38:CX38)-p_g*Capital_Trabajo!CX$62)*(1+p_g)/(p_TasaProy-p_g),0)</f>
        <v>19963199.5335322</v>
      </c>
      <c r="CY111" s="13" t="n">
        <f aca="false">IF(p_TasaProy&gt;p_g,(SUM(CN37:CY37)-SUM(CN38:CY38)-p_g*Capital_Trabajo!CY$62)*(1+p_g)/(p_TasaProy-p_g),0)</f>
        <v>20007328.6937895</v>
      </c>
      <c r="CZ111" s="13" t="n">
        <f aca="false">IF(p_TasaProy&gt;p_g,(SUM(CO37:CZ37)-SUM(CO38:CZ38)-p_g*Capital_Trabajo!CZ$62)*(1+p_g)/(p_TasaProy-p_g),0)</f>
        <v>20051374.1906065</v>
      </c>
      <c r="DA111" s="13" t="n">
        <f aca="false">IF(p_TasaProy&gt;p_g,(SUM(CP37:DA37)-SUM(CP38:DA38)-p_g*Capital_Trabajo!DA$62)*(1+p_g)/(p_TasaProy-p_g),0)</f>
        <v>20095419.6874236</v>
      </c>
      <c r="DB111" s="13" t="n">
        <f aca="false">IF(p_TasaProy&gt;p_g,(SUM(CQ37:DB37)-SUM(CQ38:DB38)-p_g*Capital_Trabajo!DB$62)*(1+p_g)/(p_TasaProy-p_g),0)</f>
        <v>20139465.1842406</v>
      </c>
      <c r="DC111" s="13" t="n">
        <f aca="false">IF(p_TasaProy&gt;p_g,(SUM(CR37:DC37)-SUM(CR38:DC38)-p_g*Capital_Trabajo!DC$62)*(1+p_g)/(p_TasaProy-p_g),0)</f>
        <v>20183510.6810577</v>
      </c>
      <c r="DD111" s="13" t="n">
        <f aca="false">IF(p_TasaProy&gt;p_g,(SUM(CS37:DD37)-SUM(CS38:DD38)-p_g*Capital_Trabajo!DD$62)*(1+p_g)/(p_TasaProy-p_g),0)</f>
        <v>20227556.1778747</v>
      </c>
      <c r="DE111" s="13" t="n">
        <f aca="false">IF(p_TasaProy&gt;p_g,(SUM(CT37:DE37)-SUM(CT38:DE38)-p_g*Capital_Trabajo!DE$62)*(1+p_g)/(p_TasaProy-p_g),0)</f>
        <v>20271601.6746917</v>
      </c>
      <c r="DF111" s="13" t="n">
        <f aca="false">IF(p_TasaProy&gt;p_g,(SUM(CU37:DF37)-SUM(CU38:DF38)-p_g*Capital_Trabajo!DF$62)*(1+p_g)/(p_TasaProy-p_g),0)</f>
        <v>20315647.1715088</v>
      </c>
      <c r="DG111" s="13" t="n">
        <f aca="false">IF(p_TasaProy&gt;p_g,(SUM(CV37:DG37)-SUM(CV38:DG38)-p_g*Capital_Trabajo!DG$62)*(1+p_g)/(p_TasaProy-p_g),0)</f>
        <v>20359692.6683258</v>
      </c>
      <c r="DH111" s="13" t="n">
        <f aca="false">IF(p_TasaProy&gt;p_g,(SUM(CW37:DH37)-SUM(CW38:DH38)-p_g*Capital_Trabajo!DH$62)*(1+p_g)/(p_TasaProy-p_g),0)</f>
        <v>20403738.1651428</v>
      </c>
      <c r="DI111" s="13" t="n">
        <f aca="false">IF(p_TasaProy&gt;p_g,(SUM(CX37:DI37)-SUM(CX38:DI38)-p_g*Capital_Trabajo!DI$62)*(1+p_g)/(p_TasaProy-p_g),0)</f>
        <v>20447783.6619599</v>
      </c>
      <c r="DJ111" s="13" t="n">
        <f aca="false">IF(p_TasaProy&gt;p_g,(SUM(CY37:DJ37)-SUM(CY38:DJ38)-p_g*Capital_Trabajo!DJ$62)*(1+p_g)/(p_TasaProy-p_g),0)</f>
        <v>20491829.1587769</v>
      </c>
      <c r="DK111" s="13" t="n">
        <f aca="false">IF(p_TasaProy&gt;p_g,(SUM(CZ37:DK37)-SUM(CZ38:DK38)-p_g*Capital_Trabajo!DK$62)*(1+p_g)/(p_TasaProy-p_g),0)</f>
        <v>20536266.8340317</v>
      </c>
      <c r="DL111" s="13" t="n">
        <f aca="false">IF(p_TasaProy&gt;p_g,(SUM(DA37:DL37)-SUM(DA38:DL38)-p_g*Capital_Trabajo!DL$62)*(1+p_g)/(p_TasaProy-p_g),0)</f>
        <v>20580620.0092118</v>
      </c>
      <c r="DM111" s="13" t="n">
        <f aca="false">IF(p_TasaProy&gt;p_g,(SUM(DB37:DM37)-SUM(DB38:DM38)-p_g*Capital_Trabajo!DM$62)*(1+p_g)/(p_TasaProy-p_g),0)</f>
        <v>20624973.1843918</v>
      </c>
      <c r="DN111" s="13" t="n">
        <f aca="false">IF(p_TasaProy&gt;p_g,(SUM(DC37:DN37)-SUM(DC38:DN38)-p_g*Capital_Trabajo!DN$62)*(1+p_g)/(p_TasaProy-p_g),0)</f>
        <v>20669326.3595719</v>
      </c>
      <c r="DO111" s="13" t="n">
        <f aca="false">IF(p_TasaProy&gt;p_g,(SUM(DD37:DO37)-SUM(DD38:DO38)-p_g*Capital_Trabajo!DO$62)*(1+p_g)/(p_TasaProy-p_g),0)</f>
        <v>20713679.534752</v>
      </c>
      <c r="DP111" s="13" t="n">
        <f aca="false">IF(p_TasaProy&gt;p_g,(SUM(DE37:DP37)-SUM(DE38:DP38)-p_g*Capital_Trabajo!DP$62)*(1+p_g)/(p_TasaProy-p_g),0)</f>
        <v>20758032.7099321</v>
      </c>
      <c r="DQ111" s="13" t="n">
        <f aca="false">IF(p_TasaProy&gt;p_g,(SUM(DF37:DQ37)-SUM(DF38:DQ38)-p_g*Capital_Trabajo!DQ$62)*(1+p_g)/(p_TasaProy-p_g),0)</f>
        <v>20802385.8851122</v>
      </c>
      <c r="DR111" s="13" t="n">
        <f aca="false">IF(p_TasaProy&gt;p_g,(SUM(DG37:DR37)-SUM(DG38:DR38)-p_g*Capital_Trabajo!DR$62)*(1+p_g)/(p_TasaProy-p_g),0)</f>
        <v>20846739.0602922</v>
      </c>
      <c r="DS111" s="13" t="n">
        <f aca="false">IF(p_TasaProy&gt;p_g,(SUM(DH37:DS37)-SUM(DH38:DS38)-p_g*Capital_Trabajo!DS$62)*(1+p_g)/(p_TasaProy-p_g),0)</f>
        <v>20891092.2354723</v>
      </c>
      <c r="DT111" s="13" t="n">
        <f aca="false">IF(p_TasaProy&gt;p_g,(SUM(DI37:DT37)-SUM(DI38:DT38)-p_g*Capital_Trabajo!DT$62)*(1+p_g)/(p_TasaProy-p_g),0)</f>
        <v>20935445.4106524</v>
      </c>
      <c r="DU111" s="13" t="n">
        <f aca="false">IF(p_TasaProy&gt;p_g,(SUM(DJ37:DU37)-SUM(DJ38:DU38)-p_g*Capital_Trabajo!DU$62)*(1+p_g)/(p_TasaProy-p_g),0)</f>
        <v>20979798.5858325</v>
      </c>
      <c r="DV111" s="13" t="n">
        <f aca="false">IF(p_TasaProy&gt;p_g,(SUM(DK37:DV37)-SUM(DK38:DV38)-p_g*Capital_Trabajo!DV$62)*(1+p_g)/(p_TasaProy-p_g),0)</f>
        <v>20876083.4294798</v>
      </c>
      <c r="DW111" s="13" t="n">
        <f aca="false">IF(p_TasaProy&gt;p_g,(SUM(DL37:DW37)-SUM(DL38:DW38)-p_g*Capital_Trabajo!DW$62)*(1+p_g)/(p_TasaProy-p_g),0)</f>
        <v>19116090.2363764</v>
      </c>
      <c r="DX111" s="13" t="n">
        <f aca="false">IF(p_TasaProy&gt;p_g,(SUM(DM37:DX37)-SUM(DM38:DX38)-p_g*Capital_Trabajo!DX$62)*(1+p_g)/(p_TasaProy-p_g),0)</f>
        <v>17364803.0938392</v>
      </c>
      <c r="DY111" s="13" t="n">
        <f aca="false">IF(p_TasaProy&gt;p_g,(SUM(DN37:DY37)-SUM(DN38:DY38)-p_g*Capital_Trabajo!DY$62)*(1+p_g)/(p_TasaProy-p_g),0)</f>
        <v>15613515.951302</v>
      </c>
      <c r="DZ111" s="13" t="n">
        <f aca="false">IF(p_TasaProy&gt;p_g,(SUM(DO37:DZ37)-SUM(DO38:DZ38)-p_g*Capital_Trabajo!DZ$62)*(1+p_g)/(p_TasaProy-p_g),0)</f>
        <v>13862228.8087648</v>
      </c>
      <c r="EA111" s="13" t="n">
        <f aca="false">IF(p_TasaProy&gt;p_g,(SUM(DP37:EA37)-SUM(DP38:EA38)-p_g*Capital_Trabajo!EA$62)*(1+p_g)/(p_TasaProy-p_g),0)</f>
        <v>12110941.6662276</v>
      </c>
      <c r="EB111" s="13" t="n">
        <f aca="false">IF(p_TasaProy&gt;p_g,(SUM(DQ37:EB37)-SUM(DQ38:EB38)-p_g*Capital_Trabajo!EB$62)*(1+p_g)/(p_TasaProy-p_g),0)</f>
        <v>10359654.5236904</v>
      </c>
      <c r="EC111" s="13" t="n">
        <f aca="false">IF(p_TasaProy&gt;p_g,(SUM(DR37:EC37)-SUM(DR38:EC38)-p_g*Capital_Trabajo!EC$62)*(1+p_g)/(p_TasaProy-p_g),0)</f>
        <v>8608367.3811532</v>
      </c>
      <c r="ED111" s="13" t="n">
        <f aca="false">IF(p_TasaProy&gt;p_g,(SUM(DS37:ED37)-SUM(DS38:ED38)-p_g*Capital_Trabajo!ED$62)*(1+p_g)/(p_TasaProy-p_g),0)</f>
        <v>6857080.23861601</v>
      </c>
      <c r="EE111" s="13" t="n">
        <f aca="false">IF(p_TasaProy&gt;p_g,(SUM(DT37:EE37)-SUM(DT38:EE38)-p_g*Capital_Trabajo!EE$62)*(1+p_g)/(p_TasaProy-p_g),0)</f>
        <v>5105793.09607882</v>
      </c>
      <c r="EF111" s="13" t="n">
        <f aca="false">IF(p_TasaProy&gt;p_g,(SUM(DU37:EF37)-SUM(DU38:EF38)-p_g*Capital_Trabajo!EF$62)*(1+p_g)/(p_TasaProy-p_g),0)</f>
        <v>3354505.95354163</v>
      </c>
      <c r="EG111" s="13" t="n">
        <f aca="false">IF(p_TasaProy&gt;p_g,(SUM(DV37:EG37)-SUM(DV38:EG38)-p_g*Capital_Trabajo!EG$62)*(1+p_g)/(p_TasaProy-p_g),0)</f>
        <v>1603218.81100443</v>
      </c>
      <c r="EH111" s="13" t="n">
        <f aca="false">IF(p_TasaProy&gt;p_g,(SUM(DW37:EH37)-SUM(DW38:EH38)-p_g*Capital_Trabajo!EH$62)*(1+p_g)/(p_TasaProy-p_g),0)</f>
        <v>0</v>
      </c>
      <c r="EI111" s="13" t="n">
        <f aca="false">IF(p_TasaProy&gt;p_g,(SUM(DX37:EI37)-SUM(DX38:EI38)-p_g*Capital_Trabajo!EI$62)*(1+p_g)/(p_TasaProy-p_g),0)</f>
        <v>0</v>
      </c>
      <c r="EJ111" s="13" t="n">
        <f aca="false">IF(p_TasaProy&gt;p_g,(SUM(DY37:EJ37)-SUM(DY38:EJ38)-p_g*Capital_Trabajo!EJ$62)*(1+p_g)/(p_TasaProy-p_g),0)</f>
        <v>0</v>
      </c>
      <c r="EK111" s="13" t="n">
        <f aca="false">IF(p_TasaProy&gt;p_g,(SUM(DZ37:EK37)-SUM(DZ38:EK38)-p_g*Capital_Trabajo!EK$62)*(1+p_g)/(p_TasaProy-p_g),0)</f>
        <v>0</v>
      </c>
      <c r="EL111" s="13" t="n">
        <f aca="false">IF(p_TasaProy&gt;p_g,(SUM(EA37:EL37)-SUM(EA38:EL38)-p_g*Capital_Trabajo!EL$62)*(1+p_g)/(p_TasaProy-p_g),0)</f>
        <v>0</v>
      </c>
      <c r="EM111" s="13" t="n">
        <f aca="false">IF(p_TasaProy&gt;p_g,(SUM(EB37:EM37)-SUM(EB38:EM38)-p_g*Capital_Trabajo!EM$62)*(1+p_g)/(p_TasaProy-p_g),0)</f>
        <v>0</v>
      </c>
      <c r="EN111" s="13" t="n">
        <f aca="false">IF(p_TasaProy&gt;p_g,(SUM(EC37:EN37)-SUM(EC38:EN38)-p_g*Capital_Trabajo!EN$62)*(1+p_g)/(p_TasaProy-p_g),0)</f>
        <v>0</v>
      </c>
      <c r="EO111" s="13" t="n">
        <f aca="false">IF(p_TasaProy&gt;p_g,(SUM(ED37:EO37)-SUM(ED38:EO38)-p_g*Capital_Trabajo!EO$62)*(1+p_g)/(p_TasaProy-p_g),0)</f>
        <v>0</v>
      </c>
      <c r="EP111" s="13" t="n">
        <f aca="false">IF(p_TasaProy&gt;p_g,(SUM(EE37:EP37)-SUM(EE38:EP38)-p_g*Capital_Trabajo!EP$62)*(1+p_g)/(p_TasaProy-p_g),0)</f>
        <v>0</v>
      </c>
      <c r="EQ111" s="13" t="n">
        <f aca="false">IF(p_TasaProy&gt;p_g,(SUM(EF37:EQ37)-SUM(EF38:EQ38)-p_g*Capital_Trabajo!EQ$62)*(1+p_g)/(p_TasaProy-p_g),0)</f>
        <v>0</v>
      </c>
      <c r="ER111" s="13" t="n">
        <f aca="false">IF(p_TasaProy&gt;p_g,(SUM(EG37:ER37)-SUM(EG38:ER38)-p_g*Capital_Trabajo!ER$62)*(1+p_g)/(p_TasaProy-p_g),0)</f>
        <v>0</v>
      </c>
      <c r="ES111" s="13" t="n">
        <f aca="false">IF(p_TasaProy&gt;p_g,(SUM(EH37:ES37)-SUM(EH38:ES38)-p_g*Capital_Trabajo!ES$62)*(1+p_g)/(p_TasaProy-p_g),0)</f>
        <v>0</v>
      </c>
      <c r="ET111" s="13" t="n">
        <f aca="false">IF(p_TasaProy&gt;p_g,(SUM(EI37:ET37)-SUM(EI38:ET38)-p_g*Capital_Trabajo!ET$62)*(1+p_g)/(p_TasaProy-p_g),0)</f>
        <v>0</v>
      </c>
      <c r="EU111" s="13" t="n">
        <f aca="false">IF(p_TasaProy&gt;p_g,(SUM(EJ37:EU37)-SUM(EJ38:EU38)-p_g*Capital_Trabajo!EU$62)*(1+p_g)/(p_TasaProy-p_g),0)</f>
        <v>0</v>
      </c>
      <c r="EV111" s="13" t="n">
        <f aca="false">IF(p_TasaProy&gt;p_g,(SUM(EK37:EV37)-SUM(EK38:EV38)-p_g*Capital_Trabajo!EV$62)*(1+p_g)/(p_TasaProy-p_g),0)</f>
        <v>0</v>
      </c>
      <c r="EW111" s="13" t="n">
        <f aca="false">IF(p_TasaProy&gt;p_g,(SUM(EL37:EW37)-SUM(EL38:EW38)-p_g*Capital_Trabajo!EW$62)*(1+p_g)/(p_TasaProy-p_g),0)</f>
        <v>0</v>
      </c>
      <c r="EX111" s="13" t="n">
        <f aca="false">IF(p_TasaProy&gt;p_g,(SUM(EM37:EX37)-SUM(EM38:EX38)-p_g*Capital_Trabajo!EX$62)*(1+p_g)/(p_TasaProy-p_g),0)</f>
        <v>0</v>
      </c>
      <c r="EY111" s="13" t="n">
        <f aca="false">IF(p_TasaProy&gt;p_g,(SUM(EN37:EY37)-SUM(EN38:EY38)-p_g*Capital_Trabajo!EY$62)*(1+p_g)/(p_TasaProy-p_g),0)</f>
        <v>0</v>
      </c>
      <c r="EZ111" s="13" t="n">
        <f aca="false">IF(p_TasaProy&gt;p_g,(SUM(EO37:EZ37)-SUM(EO38:EZ38)-p_g*Capital_Trabajo!EZ$62)*(1+p_g)/(p_TasaProy-p_g),0)</f>
        <v>0</v>
      </c>
      <c r="FA111" s="13" t="n">
        <f aca="false">IF(p_TasaProy&gt;p_g,(SUM(EP37:FA37)-SUM(EP38:FA38)-p_g*Capital_Trabajo!FA$62)*(1+p_g)/(p_TasaProy-p_g),0)</f>
        <v>0</v>
      </c>
      <c r="FB111" s="13" t="n">
        <f aca="false">IF(p_TasaProy&gt;p_g,(SUM(EQ37:FB37)-SUM(EQ38:FB38)-p_g*Capital_Trabajo!FB$62)*(1+p_g)/(p_TasaProy-p_g),0)</f>
        <v>0</v>
      </c>
      <c r="FC111" s="13" t="n">
        <f aca="false">IF(p_TasaProy&gt;p_g,(SUM(ER37:FC37)-SUM(ER38:FC38)-p_g*Capital_Trabajo!FC$62)*(1+p_g)/(p_TasaProy-p_g),0)</f>
        <v>0</v>
      </c>
      <c r="FD111" s="13" t="n">
        <f aca="false">IF(p_TasaProy&gt;p_g,(SUM(ES37:FD37)-SUM(ES38:FD38)-p_g*Capital_Trabajo!FD$62)*(1+p_g)/(p_TasaProy-p_g),0)</f>
        <v>0</v>
      </c>
      <c r="FE111" s="13" t="n">
        <f aca="false">IF(p_TasaProy&gt;p_g,(SUM(ET37:FE37)-SUM(ET38:FE38)-p_g*Capital_Trabajo!FE$62)*(1+p_g)/(p_TasaProy-p_g),0)</f>
        <v>0</v>
      </c>
      <c r="FF111" s="13" t="n">
        <f aca="false">IF(p_TasaProy&gt;p_g,(SUM(EU37:FF37)-SUM(EU38:FF38)-p_g*Capital_Trabajo!FF$62)*(1+p_g)/(p_TasaProy-p_g),0)</f>
        <v>0</v>
      </c>
    </row>
    <row r="112" customFormat="false" ht="15" hidden="false" customHeight="false" outlineLevel="0" collapsed="false">
      <c r="A112" s="2" t="s">
        <v>1629</v>
      </c>
      <c r="B112" s="8" t="s">
        <v>1630</v>
      </c>
      <c r="C112" s="8" t="s">
        <v>255</v>
      </c>
      <c r="F112" s="13" t="n">
        <f aca="false">IF(p_TipoVT=1,F$110,F$111)</f>
        <v>1719186.38219178</v>
      </c>
      <c r="G112" s="13" t="n">
        <f aca="false">IF(p_TipoVT=1,G$110,G$111)</f>
        <v>2097243.56459921</v>
      </c>
      <c r="H112" s="13" t="n">
        <f aca="false">IF(p_TipoVT=1,H$110,H$111)</f>
        <v>2505008.01151758</v>
      </c>
      <c r="I112" s="13" t="n">
        <f aca="false">IF(p_TipoVT=1,I$110,I$111)</f>
        <v>2903208.66068424</v>
      </c>
      <c r="J112" s="13" t="n">
        <f aca="false">IF(p_TipoVT=1,J$110,J$111)</f>
        <v>3279263.19112945</v>
      </c>
      <c r="K112" s="13" t="n">
        <f aca="false">IF(p_TipoVT=1,K$110,K$111)</f>
        <v>3273297.17362945</v>
      </c>
      <c r="L112" s="13" t="n">
        <f aca="false">IF(p_TipoVT=1,L$110,L$111)</f>
        <v>3267331.15612945</v>
      </c>
      <c r="M112" s="13" t="n">
        <f aca="false">IF(p_TipoVT=1,M$110,M$111)</f>
        <v>3261365.13862945</v>
      </c>
      <c r="N112" s="13" t="n">
        <f aca="false">IF(p_TipoVT=1,N$110,N$111)</f>
        <v>3275736.39787931</v>
      </c>
      <c r="O112" s="13" t="n">
        <f aca="false">IF(p_TipoVT=1,O$110,O$111)</f>
        <v>3334355.43748219</v>
      </c>
      <c r="P112" s="13" t="n">
        <f aca="false">IF(p_TipoVT=1,P$110,P$111)</f>
        <v>3395471.21956552</v>
      </c>
      <c r="Q112" s="13" t="n">
        <f aca="false">IF(p_TipoVT=1,Q$110,Q$111)</f>
        <v>3456587.00164885</v>
      </c>
      <c r="R112" s="13" t="n">
        <f aca="false">IF(p_TipoVT=1,R$110,R$111)</f>
        <v>3519707.43478521</v>
      </c>
      <c r="S112" s="13" t="n">
        <f aca="false">IF(p_TipoVT=1,S$110,S$111)</f>
        <v>3716833.85047876</v>
      </c>
      <c r="T112" s="13" t="n">
        <f aca="false">IF(p_TipoVT=1,T$110,T$111)</f>
        <v>3820967.83297876</v>
      </c>
      <c r="U112" s="13" t="n">
        <f aca="false">IF(p_TipoVT=1,U$110,U$111)</f>
        <v>3925101.81547876</v>
      </c>
      <c r="V112" s="13" t="n">
        <f aca="false">IF(p_TipoVT=1,V$110,V$111)</f>
        <v>4023157.25916598</v>
      </c>
      <c r="W112" s="13" t="n">
        <f aca="false">IF(p_TipoVT=1,W$110,W$111)</f>
        <v>4016357.90833264</v>
      </c>
      <c r="X112" s="13" t="n">
        <f aca="false">IF(p_TipoVT=1,X$110,X$111)</f>
        <v>4009558.55749931</v>
      </c>
      <c r="Y112" s="13" t="n">
        <f aca="false">IF(p_TipoVT=1,Y$110,Y$111)</f>
        <v>4002759.20666598</v>
      </c>
      <c r="Z112" s="13" t="n">
        <f aca="false">IF(p_TipoVT=1,Z$110,Z$111)</f>
        <v>4016402.79736201</v>
      </c>
      <c r="AA112" s="13" t="n">
        <f aca="false">IF(p_TipoVT=1,AA$110,AA$111)</f>
        <v>4074856.10584931</v>
      </c>
      <c r="AB112" s="13" t="n">
        <f aca="false">IF(p_TipoVT=1,AB$110,AB$111)</f>
        <v>4135838.37779931</v>
      </c>
      <c r="AC112" s="13" t="n">
        <f aca="false">IF(p_TipoVT=1,AC$110,AC$111)</f>
        <v>4196820.64974931</v>
      </c>
      <c r="AD112" s="13" t="n">
        <f aca="false">IF(p_TipoVT=1,AD$110,AD$111)</f>
        <v>4259207.1673628</v>
      </c>
      <c r="AE112" s="13" t="n">
        <f aca="false">IF(p_TipoVT=1,AE$110,AE$111)</f>
        <v>4360702.40427802</v>
      </c>
      <c r="AF112" s="13" t="n">
        <f aca="false">IF(p_TipoVT=1,AF$110,AF$111)</f>
        <v>4467014.63677802</v>
      </c>
      <c r="AG112" s="13" t="n">
        <f aca="false">IF(p_TipoVT=1,AG$110,AG$111)</f>
        <v>4573326.86927802</v>
      </c>
      <c r="AH112" s="13" t="n">
        <f aca="false">IF(p_TipoVT=1,AH$110,AH$111)</f>
        <v>4673441.20680085</v>
      </c>
      <c r="AI112" s="13" t="n">
        <f aca="false">IF(p_TipoVT=1,AI$110,AI$111)</f>
        <v>4666641.85596751</v>
      </c>
      <c r="AJ112" s="13" t="n">
        <f aca="false">IF(p_TipoVT=1,AJ$110,AJ$111)</f>
        <v>4659842.50513418</v>
      </c>
      <c r="AK112" s="13" t="n">
        <f aca="false">IF(p_TipoVT=1,AK$110,AK$111)</f>
        <v>4653043.15430085</v>
      </c>
      <c r="AL112" s="13" t="n">
        <f aca="false">IF(p_TipoVT=1,AL$110,AL$111)</f>
        <v>4662776.41066562</v>
      </c>
      <c r="AM112" s="13" t="n">
        <f aca="false">IF(p_TipoVT=1,AM$110,AM$111)</f>
        <v>4709394.50031448</v>
      </c>
      <c r="AN112" s="13" t="n">
        <f aca="false">IF(p_TipoVT=1,AN$110,AN$111)</f>
        <v>4758095.2810516</v>
      </c>
      <c r="AO112" s="13" t="n">
        <f aca="false">IF(p_TipoVT=1,AO$110,AO$111)</f>
        <v>4806796.06178873</v>
      </c>
      <c r="AP112" s="13" t="n">
        <f aca="false">IF(p_TipoVT=1,AP$110,AP$111)</f>
        <v>4856427.60851195</v>
      </c>
      <c r="AQ112" s="13" t="n">
        <f aca="false">IF(p_TipoVT=1,AQ$110,AQ$111)</f>
        <v>4941498.9622602</v>
      </c>
      <c r="AR112" s="13" t="n">
        <f aca="false">IF(p_TipoVT=1,AR$110,AR$111)</f>
        <v>5030274.48059354</v>
      </c>
      <c r="AS112" s="13" t="n">
        <f aca="false">IF(p_TipoVT=1,AS$110,AS$111)</f>
        <v>5119049.99892687</v>
      </c>
      <c r="AT112" s="13" t="n">
        <f aca="false">IF(p_TipoVT=1,AT$110,AT$111)</f>
        <v>5202588.53812778</v>
      </c>
      <c r="AU112" s="13" t="n">
        <f aca="false">IF(p_TipoVT=1,AU$110,AU$111)</f>
        <v>5195789.18729445</v>
      </c>
      <c r="AV112" s="13" t="n">
        <f aca="false">IF(p_TipoVT=1,AV$110,AV$111)</f>
        <v>5188989.83646112</v>
      </c>
      <c r="AW112" s="13" t="n">
        <f aca="false">IF(p_TipoVT=1,AW$110,AW$111)</f>
        <v>5182190.48562778</v>
      </c>
      <c r="AX112" s="13" t="n">
        <f aca="false">IF(p_TipoVT=1,AX$110,AX$111)</f>
        <v>5175391.13479445</v>
      </c>
      <c r="AY112" s="13" t="n">
        <f aca="false">IF(p_TipoVT=1,AY$110,AY$111)</f>
        <v>5170785.85568669</v>
      </c>
      <c r="AZ112" s="13" t="n">
        <f aca="false">IF(p_TipoVT=1,AZ$110,AZ$111)</f>
        <v>5166307.76914272</v>
      </c>
      <c r="BA112" s="13" t="n">
        <f aca="false">IF(p_TipoVT=1,BA$110,BA$111)</f>
        <v>5161829.68259876</v>
      </c>
      <c r="BB112" s="13" t="n">
        <f aca="false">IF(p_TipoVT=1,BB$110,BB$111)</f>
        <v>5157351.5960548</v>
      </c>
      <c r="BC112" s="13" t="n">
        <f aca="false">IF(p_TipoVT=1,BC$110,BC$111)</f>
        <v>5159246.35989209</v>
      </c>
      <c r="BD112" s="13" t="n">
        <f aca="false">IF(p_TipoVT=1,BD$110,BD$111)</f>
        <v>5159684.87358375</v>
      </c>
      <c r="BE112" s="13" t="n">
        <f aca="false">IF(p_TipoVT=1,BE$110,BE$111)</f>
        <v>5160123.38727542</v>
      </c>
      <c r="BF112" s="13" t="n">
        <f aca="false">IF(p_TipoVT=1,BF$110,BF$111)</f>
        <v>5160165.30565065</v>
      </c>
      <c r="BG112" s="13" t="n">
        <f aca="false">IF(p_TipoVT=1,BG$110,BG$111)</f>
        <v>5153365.95481732</v>
      </c>
      <c r="BH112" s="13" t="n">
        <f aca="false">IF(p_TipoVT=1,BH$110,BH$111)</f>
        <v>5146566.60398398</v>
      </c>
      <c r="BI112" s="13" t="n">
        <f aca="false">IF(p_TipoVT=1,BI$110,BI$111)</f>
        <v>5139767.25315065</v>
      </c>
      <c r="BJ112" s="13" t="n">
        <f aca="false">IF(p_TipoVT=1,BJ$110,BJ$111)</f>
        <v>5132967.90231731</v>
      </c>
      <c r="BK112" s="13" t="n">
        <f aca="false">IF(p_TipoVT=1,BK$110,BK$111)</f>
        <v>5128384.56392681</v>
      </c>
      <c r="BL112" s="13" t="n">
        <f aca="false">IF(p_TipoVT=1,BL$110,BL$111)</f>
        <v>5123929.69002574</v>
      </c>
      <c r="BM112" s="13" t="n">
        <f aca="false">IF(p_TipoVT=1,BM$110,BM$111)</f>
        <v>5119474.81612467</v>
      </c>
      <c r="BN112" s="13" t="n">
        <f aca="false">IF(p_TipoVT=1,BN$110,BN$111)</f>
        <v>5115019.9422236</v>
      </c>
      <c r="BO112" s="13" t="n">
        <f aca="false">IF(p_TipoVT=1,BO$110,BO$111)</f>
        <v>5116477.78827258</v>
      </c>
      <c r="BP112" s="13" t="n">
        <f aca="false">IF(p_TipoVT=1,BP$110,BP$111)</f>
        <v>5118003.31394283</v>
      </c>
      <c r="BQ112" s="13" t="n">
        <f aca="false">IF(p_TipoVT=1,BQ$110,BQ$111)</f>
        <v>5119528.83961308</v>
      </c>
      <c r="BR112" s="13" t="n">
        <f aca="false">IF(p_TipoVT=1,BR$110,BR$111)</f>
        <v>5120653.80401373</v>
      </c>
      <c r="BS112" s="13" t="n">
        <f aca="false">IF(p_TipoVT=1,BS$110,BS$111)</f>
        <v>5114869.08651373</v>
      </c>
      <c r="BT112" s="13" t="n">
        <f aca="false">IF(p_TipoVT=1,BT$110,BT$111)</f>
        <v>5109084.36901373</v>
      </c>
      <c r="BU112" s="13" t="n">
        <f aca="false">IF(p_TipoVT=1,BU$110,BU$111)</f>
        <v>5103299.65151373</v>
      </c>
      <c r="BV112" s="13" t="n">
        <f aca="false">IF(p_TipoVT=1,BV$110,BV$111)</f>
        <v>5097514.93401373</v>
      </c>
      <c r="BW112" s="13" t="n">
        <f aca="false">IF(p_TipoVT=1,BW$110,BW$111)</f>
        <v>5093968.38908099</v>
      </c>
      <c r="BX112" s="13" t="n">
        <f aca="false">IF(p_TipoVT=1,BX$110,BX$111)</f>
        <v>5090551.59328257</v>
      </c>
      <c r="BY112" s="13" t="n">
        <f aca="false">IF(p_TipoVT=1,BY$110,BY$111)</f>
        <v>5087134.79748416</v>
      </c>
      <c r="BZ112" s="13" t="n">
        <f aca="false">IF(p_TipoVT=1,BZ$110,BZ$111)</f>
        <v>5083718.00168575</v>
      </c>
      <c r="CA112" s="13" t="n">
        <f aca="false">IF(p_TipoVT=1,CA$110,CA$111)</f>
        <v>5085236.78157141</v>
      </c>
      <c r="CB112" s="13" t="n">
        <f aca="false">IF(p_TipoVT=1,CB$110,CB$111)</f>
        <v>5086835.40967336</v>
      </c>
      <c r="CC112" s="13" t="n">
        <f aca="false">IF(p_TipoVT=1,CC$110,CC$111)</f>
        <v>5088434.03777532</v>
      </c>
      <c r="CD112" s="13" t="n">
        <f aca="false">IF(p_TipoVT=1,CD$110,CD$111)</f>
        <v>5089628.09899497</v>
      </c>
      <c r="CE112" s="13" t="n">
        <f aca="false">IF(p_TipoVT=1,CE$110,CE$111)</f>
        <v>5083843.38149497</v>
      </c>
      <c r="CF112" s="13" t="n">
        <f aca="false">IF(p_TipoVT=1,CF$110,CF$111)</f>
        <v>5078058.66399497</v>
      </c>
      <c r="CG112" s="13" t="n">
        <f aca="false">IF(p_TipoVT=1,CG$110,CG$111)</f>
        <v>5072273.94649497</v>
      </c>
      <c r="CH112" s="13" t="n">
        <f aca="false">IF(p_TipoVT=1,CH$110,CH$111)</f>
        <v>5066489.22899497</v>
      </c>
      <c r="CI112" s="13" t="n">
        <f aca="false">IF(p_TipoVT=1,CI$110,CI$111)</f>
        <v>5062965.0657879</v>
      </c>
      <c r="CJ112" s="13" t="n">
        <f aca="false">IF(p_TipoVT=1,CJ$110,CJ$111)</f>
        <v>5059571.9492065</v>
      </c>
      <c r="CK112" s="13" t="n">
        <f aca="false">IF(p_TipoVT=1,CK$110,CK$111)</f>
        <v>5056178.8326251</v>
      </c>
      <c r="CL112" s="13" t="n">
        <f aca="false">IF(p_TipoVT=1,CL$110,CL$111)</f>
        <v>5052785.71604371</v>
      </c>
      <c r="CM112" s="13" t="n">
        <f aca="false">IF(p_TipoVT=1,CM$110,CM$111)</f>
        <v>5054365.68385092</v>
      </c>
      <c r="CN112" s="13" t="n">
        <f aca="false">IF(p_TipoVT=1,CN$110,CN$111)</f>
        <v>5056038.14540889</v>
      </c>
      <c r="CO112" s="13" t="n">
        <f aca="false">IF(p_TipoVT=1,CO$110,CO$111)</f>
        <v>5057710.60696686</v>
      </c>
      <c r="CP112" s="13" t="n">
        <f aca="false">IF(p_TipoVT=1,CP$110,CP$111)</f>
        <v>5058974.45597371</v>
      </c>
      <c r="CQ112" s="13" t="n">
        <f aca="false">IF(p_TipoVT=1,CQ$110,CQ$111)</f>
        <v>5053189.73847371</v>
      </c>
      <c r="CR112" s="13" t="n">
        <f aca="false">IF(p_TipoVT=1,CR$110,CR$111)</f>
        <v>5047405.02097371</v>
      </c>
      <c r="CS112" s="13" t="n">
        <f aca="false">IF(p_TipoVT=1,CS$110,CS$111)</f>
        <v>5041620.30347371</v>
      </c>
      <c r="CT112" s="13" t="n">
        <f aca="false">IF(p_TipoVT=1,CT$110,CT$111)</f>
        <v>5035835.58597371</v>
      </c>
      <c r="CU112" s="13" t="n">
        <f aca="false">IF(p_TipoVT=1,CU$110,CU$111)</f>
        <v>5032334.02830957</v>
      </c>
      <c r="CV112" s="13" t="n">
        <f aca="false">IF(p_TipoVT=1,CV$110,CV$111)</f>
        <v>5028964.82773736</v>
      </c>
      <c r="CW112" s="13" t="n">
        <f aca="false">IF(p_TipoVT=1,CW$110,CW$111)</f>
        <v>5025595.62716514</v>
      </c>
      <c r="CX112" s="13" t="n">
        <f aca="false">IF(p_TipoVT=1,CX$110,CX$111)</f>
        <v>5022226.42659293</v>
      </c>
      <c r="CY112" s="13" t="n">
        <f aca="false">IF(p_TipoVT=1,CY$110,CY$111)</f>
        <v>5023867.8282898</v>
      </c>
      <c r="CZ112" s="13" t="n">
        <f aca="false">IF(p_TipoVT=1,CZ$110,CZ$111)</f>
        <v>5025614.86163835</v>
      </c>
      <c r="DA112" s="13" t="n">
        <f aca="false">IF(p_TipoVT=1,DA$110,DA$111)</f>
        <v>5027361.8949869</v>
      </c>
      <c r="DB112" s="13" t="n">
        <f aca="false">IF(p_TipoVT=1,DB$110,DB$111)</f>
        <v>5028696.22965882</v>
      </c>
      <c r="DC112" s="13" t="n">
        <f aca="false">IF(p_TipoVT=1,DC$110,DC$111)</f>
        <v>5022911.51215882</v>
      </c>
      <c r="DD112" s="13" t="n">
        <f aca="false">IF(p_TipoVT=1,DD$110,DD$111)</f>
        <v>5017126.79465882</v>
      </c>
      <c r="DE112" s="13" t="n">
        <f aca="false">IF(p_TipoVT=1,DE$110,DE$111)</f>
        <v>5011342.07715882</v>
      </c>
      <c r="DF112" s="13" t="n">
        <f aca="false">IF(p_TipoVT=1,DF$110,DF$111)</f>
        <v>5005557.35965882</v>
      </c>
      <c r="DG112" s="13" t="n">
        <f aca="false">IF(p_TipoVT=1,DG$110,DG$111)</f>
        <v>5002078.63359303</v>
      </c>
      <c r="DH112" s="13" t="n">
        <f aca="false">IF(p_TipoVT=1,DH$110,DH$111)</f>
        <v>4998733.5881901</v>
      </c>
      <c r="DI112" s="13" t="n">
        <f aca="false">IF(p_TipoVT=1,DI$110,DI$111)</f>
        <v>4995388.54278717</v>
      </c>
      <c r="DJ112" s="13" t="n">
        <f aca="false">IF(p_TipoVT=1,DJ$110,DJ$111)</f>
        <v>4992043.49738423</v>
      </c>
      <c r="DK112" s="13" t="n">
        <f aca="false">IF(p_TipoVT=1,DK$110,DK$111)</f>
        <v>4993746.5704212</v>
      </c>
      <c r="DL112" s="13" t="n">
        <f aca="false">IF(p_TipoVT=1,DL$110,DL$111)</f>
        <v>4995568.92127824</v>
      </c>
      <c r="DM112" s="13" t="n">
        <f aca="false">IF(p_TipoVT=1,DM$110,DM$111)</f>
        <v>4997391.27213527</v>
      </c>
      <c r="DN112" s="13" t="n">
        <f aca="false">IF(p_TipoVT=1,DN$110,DN$111)</f>
        <v>4998796.79732891</v>
      </c>
      <c r="DO112" s="13" t="n">
        <f aca="false">IF(p_TipoVT=1,DO$110,DO$111)</f>
        <v>4993012.07982891</v>
      </c>
      <c r="DP112" s="13" t="n">
        <f aca="false">IF(p_TipoVT=1,DP$110,DP$111)</f>
        <v>4987227.36232891</v>
      </c>
      <c r="DQ112" s="13" t="n">
        <f aca="false">IF(p_TipoVT=1,DQ$110,DQ$111)</f>
        <v>4981442.64482891</v>
      </c>
      <c r="DR112" s="13" t="n">
        <f aca="false">IF(p_TipoVT=1,DR$110,DR$111)</f>
        <v>4834692.5152315</v>
      </c>
      <c r="DS112" s="13" t="n">
        <f aca="false">IF(p_TipoVT=1,DS$110,DS$111)</f>
        <v>4391966.0946542</v>
      </c>
      <c r="DT112" s="13" t="n">
        <f aca="false">IF(p_TipoVT=1,DT$110,DT$111)</f>
        <v>3932555.36201705</v>
      </c>
      <c r="DU112" s="13" t="n">
        <f aca="false">IF(p_TipoVT=1,DU$110,DU$111)</f>
        <v>3473144.62937991</v>
      </c>
      <c r="DV112" s="13" t="n">
        <f aca="false">IF(p_TipoVT=1,DV$110,DV$111)</f>
        <v>2999560.06122588</v>
      </c>
      <c r="DW112" s="13" t="n">
        <f aca="false">IF(p_TipoVT=1,DW$110,DW$111)</f>
        <v>2999560.06122588</v>
      </c>
      <c r="DX112" s="13" t="n">
        <f aca="false">IF(p_TipoVT=1,DX$110,DX$111)</f>
        <v>2999560.06122588</v>
      </c>
      <c r="DY112" s="13" t="n">
        <f aca="false">IF(p_TipoVT=1,DY$110,DY$111)</f>
        <v>2999560.06122588</v>
      </c>
      <c r="DZ112" s="13" t="n">
        <f aca="false">IF(p_TipoVT=1,DZ$110,DZ$111)</f>
        <v>2999560.06122588</v>
      </c>
      <c r="EA112" s="13" t="n">
        <f aca="false">IF(p_TipoVT=1,EA$110,EA$111)</f>
        <v>2999560.06122588</v>
      </c>
      <c r="EB112" s="13" t="n">
        <f aca="false">IF(p_TipoVT=1,EB$110,EB$111)</f>
        <v>2999560.06122588</v>
      </c>
      <c r="EC112" s="13" t="n">
        <f aca="false">IF(p_TipoVT=1,EC$110,EC$111)</f>
        <v>2999560.06122588</v>
      </c>
      <c r="ED112" s="13" t="n">
        <f aca="false">IF(p_TipoVT=1,ED$110,ED$111)</f>
        <v>2999560.06122588</v>
      </c>
      <c r="EE112" s="13" t="n">
        <f aca="false">IF(p_TipoVT=1,EE$110,EE$111)</f>
        <v>2999560.06122588</v>
      </c>
      <c r="EF112" s="13" t="n">
        <f aca="false">IF(p_TipoVT=1,EF$110,EF$111)</f>
        <v>2999560.06122588</v>
      </c>
      <c r="EG112" s="13" t="n">
        <f aca="false">IF(p_TipoVT=1,EG$110,EG$111)</f>
        <v>2999560.06122588</v>
      </c>
      <c r="EH112" s="13" t="n">
        <f aca="false">IF(p_TipoVT=1,EH$110,EH$111)</f>
        <v>2999560.06122588</v>
      </c>
      <c r="EI112" s="13" t="n">
        <f aca="false">IF(p_TipoVT=1,EI$110,EI$111)</f>
        <v>2999560.06122588</v>
      </c>
      <c r="EJ112" s="13" t="n">
        <f aca="false">IF(p_TipoVT=1,EJ$110,EJ$111)</f>
        <v>2999560.06122588</v>
      </c>
      <c r="EK112" s="13" t="n">
        <f aca="false">IF(p_TipoVT=1,EK$110,EK$111)</f>
        <v>2999560.06122588</v>
      </c>
      <c r="EL112" s="13" t="n">
        <f aca="false">IF(p_TipoVT=1,EL$110,EL$111)</f>
        <v>2999560.06122588</v>
      </c>
      <c r="EM112" s="13" t="n">
        <f aca="false">IF(p_TipoVT=1,EM$110,EM$111)</f>
        <v>2999560.06122588</v>
      </c>
      <c r="EN112" s="13" t="n">
        <f aca="false">IF(p_TipoVT=1,EN$110,EN$111)</f>
        <v>2999560.06122588</v>
      </c>
      <c r="EO112" s="13" t="n">
        <f aca="false">IF(p_TipoVT=1,EO$110,EO$111)</f>
        <v>2999560.06122588</v>
      </c>
      <c r="EP112" s="13" t="n">
        <f aca="false">IF(p_TipoVT=1,EP$110,EP$111)</f>
        <v>2999560.06122588</v>
      </c>
      <c r="EQ112" s="13" t="n">
        <f aca="false">IF(p_TipoVT=1,EQ$110,EQ$111)</f>
        <v>2999560.06122588</v>
      </c>
      <c r="ER112" s="13" t="n">
        <f aca="false">IF(p_TipoVT=1,ER$110,ER$111)</f>
        <v>2999560.06122588</v>
      </c>
      <c r="ES112" s="13" t="n">
        <f aca="false">IF(p_TipoVT=1,ES$110,ES$111)</f>
        <v>2999560.06122588</v>
      </c>
      <c r="ET112" s="13" t="n">
        <f aca="false">IF(p_TipoVT=1,ET$110,ET$111)</f>
        <v>2999560.06122588</v>
      </c>
      <c r="EU112" s="13" t="n">
        <f aca="false">IF(p_TipoVT=1,EU$110,EU$111)</f>
        <v>2999560.06122588</v>
      </c>
      <c r="EV112" s="13" t="n">
        <f aca="false">IF(p_TipoVT=1,EV$110,EV$111)</f>
        <v>2999560.06122588</v>
      </c>
      <c r="EW112" s="13" t="n">
        <f aca="false">IF(p_TipoVT=1,EW$110,EW$111)</f>
        <v>2999560.06122588</v>
      </c>
      <c r="EX112" s="13" t="n">
        <f aca="false">IF(p_TipoVT=1,EX$110,EX$111)</f>
        <v>2999560.06122588</v>
      </c>
      <c r="EY112" s="13" t="n">
        <f aca="false">IF(p_TipoVT=1,EY$110,EY$111)</f>
        <v>2999560.06122588</v>
      </c>
      <c r="EZ112" s="13" t="n">
        <f aca="false">IF(p_TipoVT=1,EZ$110,EZ$111)</f>
        <v>2999560.06122588</v>
      </c>
      <c r="FA112" s="13" t="n">
        <f aca="false">IF(p_TipoVT=1,FA$110,FA$111)</f>
        <v>2999560.06122588</v>
      </c>
      <c r="FB112" s="13" t="n">
        <f aca="false">IF(p_TipoVT=1,FB$110,FB$111)</f>
        <v>2999560.06122588</v>
      </c>
      <c r="FC112" s="13" t="n">
        <f aca="false">IF(p_TipoVT=1,FC$110,FC$111)</f>
        <v>2999560.06122588</v>
      </c>
      <c r="FD112" s="13" t="n">
        <f aca="false">IF(p_TipoVT=1,FD$110,FD$111)</f>
        <v>2999560.06122588</v>
      </c>
      <c r="FE112" s="13" t="n">
        <f aca="false">IF(p_TipoVT=1,FE$110,FE$111)</f>
        <v>2999560.06122588</v>
      </c>
      <c r="FF112" s="13" t="n">
        <f aca="false">IF(p_TipoVT=1,FF$110,FF$111)</f>
        <v>2999560.06122588</v>
      </c>
    </row>
    <row r="113" customFormat="false" ht="15" hidden="false" customHeight="false" outlineLevel="0" collapsed="false">
      <c r="A113" s="2" t="s">
        <v>1631</v>
      </c>
      <c r="B113" s="8" t="s">
        <v>1632</v>
      </c>
      <c r="C113" s="8" t="s">
        <v>255</v>
      </c>
      <c r="E113" s="65" t="n">
        <f aca="false">SUM($F113:$FF113)</f>
        <v>6732540.92587864</v>
      </c>
      <c r="F113" s="13" t="n">
        <f aca="false">F$62*F$108</f>
        <v>-1719186.38219178</v>
      </c>
      <c r="G113" s="13" t="n">
        <f aca="false">G$62*G$108</f>
        <v>-328869.853121854</v>
      </c>
      <c r="H113" s="13" t="n">
        <f aca="false">H$62*H$108</f>
        <v>-361036.812066019</v>
      </c>
      <c r="I113" s="13" t="n">
        <f aca="false">I$62*I$108</f>
        <v>-353564.370535407</v>
      </c>
      <c r="J113" s="13" t="n">
        <f aca="false">J$62*J$108</f>
        <v>-329416.441924216</v>
      </c>
      <c r="K113" s="13" t="n">
        <f aca="false">K$62*K$108</f>
        <v>40922.1458004229</v>
      </c>
      <c r="L113" s="13" t="n">
        <f aca="false">L$62*L$108</f>
        <v>40614.1530606452</v>
      </c>
      <c r="M113" s="13" t="n">
        <f aca="false">M$62*M$108</f>
        <v>40308.478369589</v>
      </c>
      <c r="N113" s="13" t="n">
        <f aca="false">N$62*N$108</f>
        <v>20860.5693338476</v>
      </c>
      <c r="O113" s="13" t="n">
        <f aca="false">O$62*O$108</f>
        <v>-20635.6763264423</v>
      </c>
      <c r="P113" s="13" t="n">
        <f aca="false">P$62*P$108</f>
        <v>-22795.4339795984</v>
      </c>
      <c r="Q113" s="13" t="n">
        <f aca="false">Q$62*Q$108</f>
        <v>-22623.868485452</v>
      </c>
      <c r="R113" s="13" t="n">
        <f aca="false">R$62*R$108</f>
        <v>-22469.8128954564</v>
      </c>
      <c r="S113" s="13" t="n">
        <f aca="false">S$62*S$108</f>
        <v>-114161.893274224</v>
      </c>
      <c r="T113" s="13" t="n">
        <f aca="false">T$62*T$108</f>
        <v>-27382.1089645661</v>
      </c>
      <c r="U113" s="13" t="n">
        <f aca="false">U$62*U$108</f>
        <v>-27176.0227343371</v>
      </c>
      <c r="V113" s="13" t="n">
        <f aca="false">V$62*V$108</f>
        <v>-21585.0300531061</v>
      </c>
      <c r="W113" s="13" t="n">
        <f aca="false">W$62*W$108</f>
        <v>70794.5002455495</v>
      </c>
      <c r="X113" s="13" t="n">
        <f aca="false">X$62*X$108</f>
        <v>70261.6789170161</v>
      </c>
      <c r="Y113" s="13" t="n">
        <f aca="false">Y$62*Y$108</f>
        <v>69732.8677667755</v>
      </c>
      <c r="Z113" s="13" t="n">
        <f aca="false">Z$62*Z$108</f>
        <v>51631.8990600917</v>
      </c>
      <c r="AA113" s="13" t="n">
        <f aca="false">AA$62*AA$108</f>
        <v>13007.4057364911</v>
      </c>
      <c r="AB113" s="13" t="n">
        <f aca="false">AB$62*AB$108</f>
        <v>10767.7982085189</v>
      </c>
      <c r="AC113" s="13" t="n">
        <f aca="false">AC$62*AC$108</f>
        <v>10686.7564252316</v>
      </c>
      <c r="AD113" s="13" t="n">
        <f aca="false">AD$62*AD$108</f>
        <v>10591.4347042325</v>
      </c>
      <c r="AE113" s="13" t="n">
        <f aca="false">AE$62*AE$108</f>
        <v>6515.97312126256</v>
      </c>
      <c r="AF113" s="13" t="n">
        <f aca="false">AF$62*AF$108</f>
        <v>3265.69146200808</v>
      </c>
      <c r="AG113" s="13" t="n">
        <f aca="false">AG$62*AG$108</f>
        <v>3241.11285692814</v>
      </c>
      <c r="AH113" s="13" t="n">
        <f aca="false">AH$62*AH$108</f>
        <v>8232.93596096578</v>
      </c>
      <c r="AI113" s="13" t="n">
        <f aca="false">AI$62*AI$108</f>
        <v>94049.4612028509</v>
      </c>
      <c r="AJ113" s="13" t="n">
        <f aca="false">AJ$62*AJ$108</f>
        <v>93341.6158378557</v>
      </c>
      <c r="AK113" s="13" t="n">
        <f aca="false">AK$62*AK$108</f>
        <v>92639.0979362436</v>
      </c>
      <c r="AL113" s="13" t="n">
        <f aca="false">AL$62*AL$108</f>
        <v>78959.6332653468</v>
      </c>
      <c r="AM113" s="13" t="n">
        <f aca="false">AM$62*AM$108</f>
        <v>49619.5243263585</v>
      </c>
      <c r="AN113" s="13" t="n">
        <f aca="false">AN$62*AN$108</f>
        <v>47635.1636212583</v>
      </c>
      <c r="AO113" s="13" t="n">
        <f aca="false">AO$62*AO$108</f>
        <v>47276.6466308487</v>
      </c>
      <c r="AP113" s="13" t="n">
        <f aca="false">AP$62*AP$108</f>
        <v>46909.8299333548</v>
      </c>
      <c r="AQ113" s="13" t="n">
        <f aca="false">AQ$62*AQ$108</f>
        <v>43636.3442871814</v>
      </c>
      <c r="AR113" s="13" t="n">
        <f aca="false">AR$62*AR$108</f>
        <v>40765.865087048</v>
      </c>
      <c r="AS113" s="13" t="n">
        <f aca="false">AS$62*AS$108</f>
        <v>40459.0485643074</v>
      </c>
      <c r="AT113" s="13" t="n">
        <f aca="false">AT$62*AT$108</f>
        <v>44025.6997609957</v>
      </c>
      <c r="AU113" s="13" t="n">
        <f aca="false">AU$62*AU$108</f>
        <v>109969.245215304</v>
      </c>
      <c r="AV113" s="13" t="n">
        <f aca="false">AV$62*AV$108</f>
        <v>109141.582626682</v>
      </c>
      <c r="AW113" s="13" t="n">
        <f aca="false">AW$62*AW$108</f>
        <v>108320.149282966</v>
      </c>
      <c r="AX113" s="13" t="n">
        <f aca="false">AX$62*AX$108</f>
        <v>107504.898300931</v>
      </c>
      <c r="AY113" s="13" t="n">
        <f aca="false">AY$62*AY$108</f>
        <v>105134.053169858</v>
      </c>
      <c r="AZ113" s="13" t="n">
        <f aca="false">AZ$62*AZ$108</f>
        <v>104252.928057317</v>
      </c>
      <c r="BA113" s="13" t="n">
        <f aca="false">BA$62*BA$108</f>
        <v>103468.288241535</v>
      </c>
      <c r="BB113" s="13" t="n">
        <f aca="false">BB$62*BB$108</f>
        <v>102689.553867951</v>
      </c>
      <c r="BC113" s="13" t="n">
        <f aca="false">BC$62*BC$108</f>
        <v>99564.7966336662</v>
      </c>
      <c r="BD113" s="13" t="n">
        <f aca="false">BD$62*BD$108</f>
        <v>98686.3765825568</v>
      </c>
      <c r="BE113" s="13" t="n">
        <f aca="false">BE$62*BE$108</f>
        <v>97943.6323567132</v>
      </c>
      <c r="BF113" s="13" t="n">
        <f aca="false">BF$62*BF$108</f>
        <v>97474.2321059</v>
      </c>
      <c r="BG113" s="13" t="n">
        <f aca="false">BG$62*BG$108</f>
        <v>101324.602629676</v>
      </c>
      <c r="BH113" s="13" t="n">
        <f aca="false">BH$62*BH$108</f>
        <v>100562.002297743</v>
      </c>
      <c r="BI113" s="13" t="n">
        <f aca="false">BI$62*BI$108</f>
        <v>99805.1415320278</v>
      </c>
      <c r="BJ113" s="13" t="n">
        <f aca="false">BJ$62*BJ$108</f>
        <v>99053.9771347778</v>
      </c>
      <c r="BK113" s="13" t="n">
        <f aca="false">BK$62*BK$108</f>
        <v>96867.8266113522</v>
      </c>
      <c r="BL113" s="13" t="n">
        <f aca="false">BL$62*BL$108</f>
        <v>96055.8825775626</v>
      </c>
      <c r="BM113" s="13" t="n">
        <f aca="false">BM$62*BM$108</f>
        <v>95332.9362640652</v>
      </c>
      <c r="BN113" s="13" t="n">
        <f aca="false">BN$62*BN$108</f>
        <v>94615.4310683646</v>
      </c>
      <c r="BO113" s="13" t="n">
        <f aca="false">BO$62*BO$108</f>
        <v>93895.772526645</v>
      </c>
      <c r="BP113" s="13" t="n">
        <f aca="false">BP$62*BP$108</f>
        <v>92649.3241913458</v>
      </c>
      <c r="BQ113" s="13" t="n">
        <f aca="false">BQ$62*BQ$108</f>
        <v>91952.0166910155</v>
      </c>
      <c r="BR113" s="13" t="n">
        <f aca="false">BR$62*BR$108</f>
        <v>91506.9506214513</v>
      </c>
      <c r="BS113" s="13" t="n">
        <f aca="false">BS$62*BS$108</f>
        <v>95046.8081833298</v>
      </c>
      <c r="BT113" s="13" t="n">
        <f aca="false">BT$62*BT$108</f>
        <v>94331.4564761569</v>
      </c>
      <c r="BU113" s="13" t="n">
        <f aca="false">BU$62*BU$108</f>
        <v>93621.4887274223</v>
      </c>
      <c r="BV113" s="13" t="n">
        <f aca="false">BV$62*BV$108</f>
        <v>92916.8644157879</v>
      </c>
      <c r="BW113" s="13" t="n">
        <f aca="false">BW$62*BW$108</f>
        <v>90888.6051943476</v>
      </c>
      <c r="BX113" s="13" t="n">
        <f aca="false">BX$62*BX$108</f>
        <v>90128.089344802</v>
      </c>
      <c r="BY113" s="13" t="n">
        <f aca="false">BY$62*BY$108</f>
        <v>89449.7574385621</v>
      </c>
      <c r="BZ113" s="13" t="n">
        <f aca="false">BZ$62*BZ$108</f>
        <v>88776.5308682761</v>
      </c>
      <c r="CA113" s="13" t="n">
        <f aca="false">CA$62*CA$108</f>
        <v>88101.3127211278</v>
      </c>
      <c r="CB113" s="13" t="n">
        <f aca="false">CB$62*CB$108</f>
        <v>86933.848747532</v>
      </c>
      <c r="CC113" s="13" t="n">
        <f aca="false">CC$62*CC$108</f>
        <v>86279.5576850409</v>
      </c>
      <c r="CD113" s="13" t="n">
        <f aca="false">CD$62*CD$108</f>
        <v>85858.0334175371</v>
      </c>
      <c r="CE113" s="13" t="n">
        <f aca="false">CE$62*CE$108</f>
        <v>89112.5401230696</v>
      </c>
      <c r="CF113" s="13" t="n">
        <f aca="false">CF$62*CF$108</f>
        <v>88441.8515547109</v>
      </c>
      <c r="CG113" s="13" t="n">
        <f aca="false">CG$62*CG$108</f>
        <v>87776.2107961789</v>
      </c>
      <c r="CH113" s="13" t="n">
        <f aca="false">CH$62*CH$108</f>
        <v>87115.5798560941</v>
      </c>
      <c r="CI113" s="13" t="n">
        <f aca="false">CI$62*CI$108</f>
        <v>85234.0234986136</v>
      </c>
      <c r="CJ113" s="13" t="n">
        <f aca="false">CJ$62*CJ$108</f>
        <v>84521.9941924115</v>
      </c>
      <c r="CK113" s="13" t="n">
        <f aca="false">CK$62*CK$108</f>
        <v>83885.8554940703</v>
      </c>
      <c r="CL113" s="13" t="n">
        <f aca="false">CL$62*CL$108</f>
        <v>83254.5045725371</v>
      </c>
      <c r="CM113" s="13" t="n">
        <f aca="false">CM$62*CM$108</f>
        <v>82621.3088067585</v>
      </c>
      <c r="CN113" s="13" t="n">
        <f aca="false">CN$62*CN$108</f>
        <v>81528.0956609459</v>
      </c>
      <c r="CO113" s="13" t="n">
        <f aca="false">CO$62*CO$108</f>
        <v>80914.489969936</v>
      </c>
      <c r="CP113" s="13" t="n">
        <f aca="false">CP$62*CP$108</f>
        <v>80515.6788659191</v>
      </c>
      <c r="CQ113" s="13" t="n">
        <f aca="false">CQ$62*CQ$108</f>
        <v>83507.9488886034</v>
      </c>
      <c r="CR113" s="13" t="n">
        <f aca="false">CR$62*CR$108</f>
        <v>82879.4422091919</v>
      </c>
      <c r="CS113" s="13" t="n">
        <f aca="false">CS$62*CS$108</f>
        <v>82255.6658656505</v>
      </c>
      <c r="CT113" s="13" t="n">
        <f aca="false">CT$62*CT$108</f>
        <v>81636.5842560067</v>
      </c>
      <c r="CU113" s="13" t="n">
        <f aca="false">CU$62*CU$108</f>
        <v>79891.3157558852</v>
      </c>
      <c r="CV113" s="13" t="n">
        <f aca="false">CV$62*CV$108</f>
        <v>79224.966067602</v>
      </c>
      <c r="CW113" s="13" t="n">
        <f aca="false">CW$62*CW$108</f>
        <v>78628.6944430164</v>
      </c>
      <c r="CX113" s="13" t="n">
        <f aca="false">CX$62*CX$108</f>
        <v>78036.9105432973</v>
      </c>
      <c r="CY113" s="13" t="n">
        <f aca="false">CY$62*CY$108</f>
        <v>77443.4150514399</v>
      </c>
      <c r="CZ113" s="13" t="n">
        <f aca="false">CZ$62*CZ$108</f>
        <v>76419.9740510272</v>
      </c>
      <c r="DA113" s="13" t="n">
        <f aca="false">DA$62*DA$108</f>
        <v>75844.8136648513</v>
      </c>
      <c r="DB113" s="13" t="n">
        <f aca="false">DB$62*DB$108</f>
        <v>75467.8622685828</v>
      </c>
      <c r="DC113" s="13" t="n">
        <f aca="false">DC$62*DC$108</f>
        <v>78219.1292042585</v>
      </c>
      <c r="DD113" s="13" t="n">
        <f aca="false">DD$62*DD$108</f>
        <v>77630.4278193375</v>
      </c>
      <c r="DE113" s="13" t="n">
        <f aca="false">DE$62*DE$108</f>
        <v>77046.1571833156</v>
      </c>
      <c r="DF113" s="13" t="n">
        <f aca="false">DF$62*DF$108</f>
        <v>76466.2839490047</v>
      </c>
      <c r="DG113" s="13" t="n">
        <f aca="false">DG$62*DG$108</f>
        <v>74847.6100731298</v>
      </c>
      <c r="DH113" s="13" t="n">
        <f aca="false">DH$62*DH$108</f>
        <v>74224.2655958363</v>
      </c>
      <c r="DI113" s="13" t="n">
        <f aca="false">DI$62*DI$108</f>
        <v>73665.6307913385</v>
      </c>
      <c r="DJ113" s="13" t="n">
        <f aca="false">DJ$62*DJ$108</f>
        <v>73111.2004453462</v>
      </c>
      <c r="DK113" s="13" t="n">
        <f aca="false">DK$62*DK$108</f>
        <v>72555.1796701026</v>
      </c>
      <c r="DL113" s="13" t="n">
        <f aca="false">DL$62*DL$108</f>
        <v>71597.2764455281</v>
      </c>
      <c r="DM113" s="13" t="n">
        <f aca="false">DM$62*DM$108</f>
        <v>71058.4131747547</v>
      </c>
      <c r="DN113" s="13" t="n">
        <f aca="false">DN$62*DN$108</f>
        <v>70702.453011111</v>
      </c>
      <c r="DO113" s="13" t="n">
        <f aca="false">DO$62*DO$108</f>
        <v>73232.2235047984</v>
      </c>
      <c r="DP113" s="13" t="n">
        <f aca="false">DP$62*DP$108</f>
        <v>72681.0551162379</v>
      </c>
      <c r="DQ113" s="13" t="n">
        <f aca="false">DQ$62*DQ$108</f>
        <v>72134.0349916248</v>
      </c>
      <c r="DR113" s="13" t="n">
        <f aca="false">DR$62*DR$108</f>
        <v>130274.751311688</v>
      </c>
      <c r="DS113" s="13" t="n">
        <f aca="false">DS$62*DS$108</f>
        <v>251581.25249789</v>
      </c>
      <c r="DT113" s="13" t="n">
        <f aca="false">DT$62*DT$108</f>
        <v>256529.263147744</v>
      </c>
      <c r="DU113" s="13" t="n">
        <f aca="false">DU$62*DU$108</f>
        <v>254598.544485644</v>
      </c>
      <c r="DV113" s="13" t="n">
        <f aca="false">DV$62*DV$108</f>
        <v>1464272.46826545</v>
      </c>
      <c r="DW113" s="13" t="n">
        <f aca="false">DW$62*DW$108</f>
        <v>0</v>
      </c>
      <c r="DX113" s="13" t="n">
        <f aca="false">DX$62*DX$108</f>
        <v>0</v>
      </c>
      <c r="DY113" s="13" t="n">
        <f aca="false">DY$62*DY$108</f>
        <v>0</v>
      </c>
      <c r="DZ113" s="13" t="n">
        <f aca="false">DZ$62*DZ$108</f>
        <v>0</v>
      </c>
      <c r="EA113" s="13" t="n">
        <f aca="false">EA$62*EA$108</f>
        <v>0</v>
      </c>
      <c r="EB113" s="13" t="n">
        <f aca="false">EB$62*EB$108</f>
        <v>0</v>
      </c>
      <c r="EC113" s="13" t="n">
        <f aca="false">EC$62*EC$108</f>
        <v>0</v>
      </c>
      <c r="ED113" s="13" t="n">
        <f aca="false">ED$62*ED$108</f>
        <v>0</v>
      </c>
      <c r="EE113" s="13" t="n">
        <f aca="false">EE$62*EE$108</f>
        <v>0</v>
      </c>
      <c r="EF113" s="13" t="n">
        <f aca="false">EF$62*EF$108</f>
        <v>0</v>
      </c>
      <c r="EG113" s="13" t="n">
        <f aca="false">EG$62*EG$108</f>
        <v>0</v>
      </c>
      <c r="EH113" s="13" t="n">
        <f aca="false">EH$62*EH$108</f>
        <v>0</v>
      </c>
      <c r="EI113" s="13" t="n">
        <f aca="false">EI$62*EI$108</f>
        <v>0</v>
      </c>
      <c r="EJ113" s="13" t="n">
        <f aca="false">EJ$62*EJ$108</f>
        <v>0</v>
      </c>
      <c r="EK113" s="13" t="n">
        <f aca="false">EK$62*EK$108</f>
        <v>0</v>
      </c>
      <c r="EL113" s="13" t="n">
        <f aca="false">EL$62*EL$108</f>
        <v>0</v>
      </c>
      <c r="EM113" s="13" t="n">
        <f aca="false">EM$62*EM$108</f>
        <v>0</v>
      </c>
      <c r="EN113" s="13" t="n">
        <f aca="false">EN$62*EN$108</f>
        <v>0</v>
      </c>
      <c r="EO113" s="13" t="n">
        <f aca="false">EO$62*EO$108</f>
        <v>0</v>
      </c>
      <c r="EP113" s="13" t="n">
        <f aca="false">EP$62*EP$108</f>
        <v>0</v>
      </c>
      <c r="EQ113" s="13" t="n">
        <f aca="false">EQ$62*EQ$108</f>
        <v>0</v>
      </c>
      <c r="ER113" s="13" t="n">
        <f aca="false">ER$62*ER$108</f>
        <v>0</v>
      </c>
      <c r="ES113" s="13" t="n">
        <f aca="false">ES$62*ES$108</f>
        <v>0</v>
      </c>
      <c r="ET113" s="13" t="n">
        <f aca="false">ET$62*ET$108</f>
        <v>0</v>
      </c>
      <c r="EU113" s="13" t="n">
        <f aca="false">EU$62*EU$108</f>
        <v>0</v>
      </c>
      <c r="EV113" s="13" t="n">
        <f aca="false">EV$62*EV$108</f>
        <v>0</v>
      </c>
      <c r="EW113" s="13" t="n">
        <f aca="false">EW$62*EW$108</f>
        <v>0</v>
      </c>
      <c r="EX113" s="13" t="n">
        <f aca="false">EX$62*EX$108</f>
        <v>0</v>
      </c>
      <c r="EY113" s="13" t="n">
        <f aca="false">EY$62*EY$108</f>
        <v>0</v>
      </c>
      <c r="EZ113" s="13" t="n">
        <f aca="false">EZ$62*EZ$108</f>
        <v>0</v>
      </c>
      <c r="FA113" s="13" t="n">
        <f aca="false">FA$62*FA$108</f>
        <v>0</v>
      </c>
      <c r="FB113" s="13" t="n">
        <f aca="false">FB$62*FB$108</f>
        <v>0</v>
      </c>
      <c r="FC113" s="13" t="n">
        <f aca="false">FC$62*FC$108</f>
        <v>0</v>
      </c>
      <c r="FD113" s="13" t="n">
        <f aca="false">FD$62*FD$108</f>
        <v>0</v>
      </c>
      <c r="FE113" s="13" t="n">
        <f aca="false">FE$62*FE$108</f>
        <v>0</v>
      </c>
      <c r="FF113" s="13" t="n">
        <f aca="false">FF$62*FF$108</f>
        <v>0</v>
      </c>
    </row>
    <row r="114" customFormat="false" ht="15" hidden="false" customHeight="false" outlineLevel="0" collapsed="false">
      <c r="A114" s="2" t="s">
        <v>1633</v>
      </c>
      <c r="B114" s="8" t="s">
        <v>1634</v>
      </c>
      <c r="C114" s="8" t="s">
        <v>255</v>
      </c>
      <c r="E114" s="65" t="n">
        <f aca="false">INDEX($F114:$FF114,1,p_MesFin+1)</f>
        <v>15573055.7594377</v>
      </c>
      <c r="F114" s="13" t="n">
        <f aca="false">0+F$62</f>
        <v>-1719186.38219178</v>
      </c>
      <c r="G114" s="13" t="n">
        <f aca="false">F$114+G$62</f>
        <v>-2050550.18186823</v>
      </c>
      <c r="H114" s="13" t="n">
        <f aca="false">G$114+H$62</f>
        <v>-2417083.51828492</v>
      </c>
      <c r="I114" s="13" t="n">
        <f aca="false">H$114+I$62</f>
        <v>-2778752.68478155</v>
      </c>
      <c r="J114" s="13" t="n">
        <f aca="false">I$114+J$62</f>
        <v>-3118275.73255672</v>
      </c>
      <c r="K114" s="13" t="n">
        <f aca="false">J$114+K$62</f>
        <v>-3075778.23238669</v>
      </c>
      <c r="L114" s="13" t="n">
        <f aca="false">K$114+L$62</f>
        <v>-3033280.73221665</v>
      </c>
      <c r="M114" s="13" t="n">
        <f aca="false">L$114+M$62</f>
        <v>-2990783.23204662</v>
      </c>
      <c r="N114" s="13" t="n">
        <f aca="false">M$114+N$62</f>
        <v>-2968623.00862644</v>
      </c>
      <c r="O114" s="13" t="n">
        <f aca="false">N$114+O$62</f>
        <v>-2990710.56555929</v>
      </c>
      <c r="P114" s="13" t="n">
        <f aca="false">O$114+P$62</f>
        <v>-3015294.86497258</v>
      </c>
      <c r="Q114" s="13" t="n">
        <f aca="false">P$114+Q$62</f>
        <v>-3039879.16438588</v>
      </c>
      <c r="R114" s="13" t="n">
        <f aca="false">Q$114+R$62</f>
        <v>-3064481.22149631</v>
      </c>
      <c r="S114" s="13" t="n">
        <f aca="false">R$114+S$62</f>
        <v>-3190424.24813371</v>
      </c>
      <c r="T114" s="13" t="n">
        <f aca="false">S$114+T$62</f>
        <v>-3220861.17879701</v>
      </c>
      <c r="U114" s="13" t="n">
        <f aca="false">T$114+U$62</f>
        <v>-3251298.10946031</v>
      </c>
      <c r="V114" s="13" t="n">
        <f aca="false">U$114+V$62</f>
        <v>-3275656.50131082</v>
      </c>
      <c r="W114" s="13" t="n">
        <f aca="false">V$114+W$62</f>
        <v>-3195160.09864079</v>
      </c>
      <c r="X114" s="13" t="n">
        <f aca="false">W$114+X$62</f>
        <v>-3114663.69597075</v>
      </c>
      <c r="Y114" s="13" t="n">
        <f aca="false">X$114+Y$62</f>
        <v>-3034167.29330072</v>
      </c>
      <c r="Z114" s="13" t="n">
        <f aca="false">Y$114+Z$62</f>
        <v>-2974113.83216005</v>
      </c>
      <c r="AA114" s="13" t="n">
        <f aca="false">Z$114+AA$62</f>
        <v>-2958870.08881065</v>
      </c>
      <c r="AB114" s="13" t="n">
        <f aca="false">AA$114+AB$62</f>
        <v>-2946155.30892395</v>
      </c>
      <c r="AC114" s="13" t="n">
        <f aca="false">AB$114+AC$62</f>
        <v>-2933440.52903724</v>
      </c>
      <c r="AD114" s="13" t="n">
        <f aca="false">AC$114+AD$62</f>
        <v>-2920743.59902744</v>
      </c>
      <c r="AE114" s="13" t="n">
        <f aca="false">AD$114+AE$62</f>
        <v>-2912873.06476613</v>
      </c>
      <c r="AF114" s="13" t="n">
        <f aca="false">AE$114+AF$62</f>
        <v>-2908898.57779524</v>
      </c>
      <c r="AG114" s="13" t="n">
        <f aca="false">AF$114+AG$62</f>
        <v>-2904924.09082436</v>
      </c>
      <c r="AH114" s="13" t="n">
        <f aca="false">AG$114+AH$62</f>
        <v>-2894751.7088763</v>
      </c>
      <c r="AI114" s="13" t="n">
        <f aca="false">AH$114+AI$62</f>
        <v>-2777665.63857208</v>
      </c>
      <c r="AJ114" s="13" t="n">
        <f aca="false">AI$114+AJ$62</f>
        <v>-2660579.56826786</v>
      </c>
      <c r="AK114" s="13" t="n">
        <f aca="false">AJ$114+AK$62</f>
        <v>-2543493.49796364</v>
      </c>
      <c r="AL114" s="13" t="n">
        <f aca="false">AK$114+AL$62</f>
        <v>-2442940.03485752</v>
      </c>
      <c r="AM114" s="13" t="n">
        <f aca="false">AL$114+AM$62</f>
        <v>-2379271.4050355</v>
      </c>
      <c r="AN114" s="13" t="n">
        <f aca="false">AM$114+AN$62</f>
        <v>-2317685.46630173</v>
      </c>
      <c r="AO114" s="13" t="n">
        <f aca="false">AN$114+AO$62</f>
        <v>-2256099.52756797</v>
      </c>
      <c r="AP114" s="13" t="n">
        <f aca="false">AO$114+AP$62</f>
        <v>-2194528.02428278</v>
      </c>
      <c r="AQ114" s="13" t="n">
        <f aca="false">AP$114+AQ$62</f>
        <v>-2136818.7974926</v>
      </c>
      <c r="AR114" s="13" t="n">
        <f aca="false">AQ$114+AR$62</f>
        <v>-2082496.94700026</v>
      </c>
      <c r="AS114" s="13" t="n">
        <f aca="false">AR$114+AS$62</f>
        <v>-2028175.09650792</v>
      </c>
      <c r="AT114" s="13" t="n">
        <f aca="false">AS$114+AT$62</f>
        <v>-1968616.26688316</v>
      </c>
      <c r="AU114" s="13" t="n">
        <f aca="false">AT$114+AU$62</f>
        <v>-1818719.54722416</v>
      </c>
      <c r="AV114" s="13" t="n">
        <f aca="false">AU$114+AV$62</f>
        <v>-1668822.82756515</v>
      </c>
      <c r="AW114" s="13" t="n">
        <f aca="false">AV$114+AW$62</f>
        <v>-1518926.10790614</v>
      </c>
      <c r="AX114" s="13" t="n">
        <f aca="false">AW$114+AX$62</f>
        <v>-1369029.38824714</v>
      </c>
      <c r="AY114" s="13" t="n">
        <f aca="false">AX$114+AY$62</f>
        <v>-1221326.7403137</v>
      </c>
      <c r="AZ114" s="13" t="n">
        <f aca="false">AY$114+AZ$62</f>
        <v>-1073751.28494406</v>
      </c>
      <c r="BA114" s="13" t="n">
        <f aca="false">AZ$114+BA$62</f>
        <v>-926175.829574429</v>
      </c>
      <c r="BB114" s="13" t="n">
        <f aca="false">BA$114+BB$62</f>
        <v>-778600.374204793</v>
      </c>
      <c r="BC114" s="13" t="n">
        <f aca="false">BB$114+BC$62</f>
        <v>-634430.449013933</v>
      </c>
      <c r="BD114" s="13" t="n">
        <f aca="false">BC$114+BD$62</f>
        <v>-490448.826666414</v>
      </c>
      <c r="BE114" s="13" t="n">
        <f aca="false">BD$114+BE$62</f>
        <v>-346467.204318896</v>
      </c>
      <c r="BF114" s="13" t="n">
        <f aca="false">BE$114+BF$62</f>
        <v>-202088.986654939</v>
      </c>
      <c r="BG114" s="13" t="n">
        <f aca="false">BF$114+BG$62</f>
        <v>-50869.4997824202</v>
      </c>
      <c r="BH114" s="13" t="n">
        <f aca="false">BG$114+BH$62</f>
        <v>100349.987090098</v>
      </c>
      <c r="BI114" s="13" t="n">
        <f aca="false">BH$114+BI$62</f>
        <v>251569.473962617</v>
      </c>
      <c r="BJ114" s="13" t="n">
        <f aca="false">BI$114+BJ$62</f>
        <v>402788.960835136</v>
      </c>
      <c r="BK114" s="13" t="n">
        <f aca="false">BJ$114+BK$62</f>
        <v>551792.435264828</v>
      </c>
      <c r="BL114" s="13" t="n">
        <f aca="false">BK$114+BL$62</f>
        <v>700667.445205082</v>
      </c>
      <c r="BM114" s="13" t="n">
        <f aca="false">BL$114+BM$62</f>
        <v>849542.455145336</v>
      </c>
      <c r="BN114" s="13" t="n">
        <f aca="false">BM$114+BN$62</f>
        <v>998417.465085589</v>
      </c>
      <c r="BO114" s="13" t="n">
        <f aca="false">BN$114+BO$62</f>
        <v>1147280.49963303</v>
      </c>
      <c r="BP114" s="13" t="n">
        <f aca="false">BO$114+BP$62</f>
        <v>1295281.30589809</v>
      </c>
      <c r="BQ114" s="13" t="n">
        <f aca="false">BP$114+BQ$62</f>
        <v>1443282.11216315</v>
      </c>
      <c r="BR114" s="13" t="n">
        <f aca="false">BQ$114+BR$62</f>
        <v>1591683.47969781</v>
      </c>
      <c r="BS114" s="13" t="n">
        <f aca="false">BR$114+BS$62</f>
        <v>1746994.52913311</v>
      </c>
      <c r="BT114" s="13" t="n">
        <f aca="false">BS$114+BT$62</f>
        <v>1902305.57856842</v>
      </c>
      <c r="BU114" s="13" t="n">
        <f aca="false">BT$114+BU$62</f>
        <v>2057616.62800373</v>
      </c>
      <c r="BV114" s="13" t="n">
        <f aca="false">BU$114+BV$62</f>
        <v>2212927.67743904</v>
      </c>
      <c r="BW114" s="13" t="n">
        <f aca="false">BV$114+BW$62</f>
        <v>2366000.55430709</v>
      </c>
      <c r="BX114" s="13" t="n">
        <f aca="false">BW$114+BX$62</f>
        <v>2518943.68204081</v>
      </c>
      <c r="BY114" s="13" t="n">
        <f aca="false">BX$114+BY$62</f>
        <v>2671886.80977453</v>
      </c>
      <c r="BZ114" s="13" t="n">
        <f aca="false">BY$114+BZ$62</f>
        <v>2824829.93750825</v>
      </c>
      <c r="CA114" s="13" t="n">
        <f aca="false">BZ$114+CA$62</f>
        <v>2977760.8127478</v>
      </c>
      <c r="CB114" s="13" t="n">
        <f aca="false">CA$114+CB$62</f>
        <v>3129809.50840689</v>
      </c>
      <c r="CC114" s="13" t="n">
        <f aca="false">CB$114+CC$62</f>
        <v>3281858.20406598</v>
      </c>
      <c r="CD114" s="13" t="n">
        <f aca="false">CC$114+CD$62</f>
        <v>3434311.46660737</v>
      </c>
      <c r="CE114" s="13" t="n">
        <f aca="false">CD$114+CE$62</f>
        <v>3593743.50786841</v>
      </c>
      <c r="CF114" s="13" t="n">
        <f aca="false">CE$114+CF$62</f>
        <v>3753175.54912946</v>
      </c>
      <c r="CG114" s="13" t="n">
        <f aca="false">CF$114+CG$62</f>
        <v>3912607.5903905</v>
      </c>
      <c r="CH114" s="13" t="n">
        <f aca="false">CG$114+CH$62</f>
        <v>4072039.63165155</v>
      </c>
      <c r="CI114" s="13" t="n">
        <f aca="false">CH$114+CI$62</f>
        <v>4229211.11861967</v>
      </c>
      <c r="CJ114" s="13" t="n">
        <f aca="false">CI$114+CJ$62</f>
        <v>4386251.55896211</v>
      </c>
      <c r="CK114" s="13" t="n">
        <f aca="false">CJ$114+CK$62</f>
        <v>4543291.99930455</v>
      </c>
      <c r="CL114" s="13" t="n">
        <f aca="false">CK$114+CL$62</f>
        <v>4700332.43964699</v>
      </c>
      <c r="CM114" s="13" t="n">
        <f aca="false">CL$114+CM$62</f>
        <v>4857360.34268881</v>
      </c>
      <c r="CN114" s="13" t="n">
        <f aca="false">CM$114+CN$62</f>
        <v>5013485.56008561</v>
      </c>
      <c r="CO114" s="13" t="n">
        <f aca="false">CN$114+CO$62</f>
        <v>5169610.77748242</v>
      </c>
      <c r="CP114" s="13" t="n">
        <f aca="false">CO$114+CP$62</f>
        <v>5326144.60743035</v>
      </c>
      <c r="CQ114" s="13" t="n">
        <f aca="false">CP$114+CQ$62</f>
        <v>5489727.00388513</v>
      </c>
      <c r="CR114" s="13" t="n">
        <f aca="false">CQ$114+CR$62</f>
        <v>5653309.4003399</v>
      </c>
      <c r="CS114" s="13" t="n">
        <f aca="false">CR$114+CS$62</f>
        <v>5816891.79679468</v>
      </c>
      <c r="CT114" s="13" t="n">
        <f aca="false">CS$114+CT$62</f>
        <v>5980474.19324946</v>
      </c>
      <c r="CU114" s="13" t="n">
        <f aca="false">CT$114+CU$62</f>
        <v>6141773.42986838</v>
      </c>
      <c r="CV114" s="13" t="n">
        <f aca="false">CU$114+CV$62</f>
        <v>6302940.30939537</v>
      </c>
      <c r="CW114" s="13" t="n">
        <f aca="false">CV$114+CW$62</f>
        <v>6464107.18892236</v>
      </c>
      <c r="CX114" s="13" t="n">
        <f aca="false">CW$114+CX$62</f>
        <v>6625274.06844935</v>
      </c>
      <c r="CY114" s="13" t="n">
        <f aca="false">CX$114+CY$62</f>
        <v>6786428.1179391</v>
      </c>
      <c r="CZ114" s="13" t="n">
        <f aca="false">CY$114+CZ$62</f>
        <v>6946658.40474753</v>
      </c>
      <c r="DA114" s="13" t="n">
        <f aca="false">CZ$114+DA$62</f>
        <v>7106888.69155596</v>
      </c>
      <c r="DB114" s="13" t="n">
        <f aca="false">DA$114+DB$62</f>
        <v>7267531.67704102</v>
      </c>
      <c r="DC114" s="13" t="n">
        <f aca="false">DB$114+DC$62</f>
        <v>7435293.714698</v>
      </c>
      <c r="DD114" s="13" t="n">
        <f aca="false">DC$114+DD$62</f>
        <v>7603055.75235499</v>
      </c>
      <c r="DE114" s="13" t="n">
        <f aca="false">DD$114+DE$62</f>
        <v>7770817.79001197</v>
      </c>
      <c r="DF114" s="13" t="n">
        <f aca="false">DE$114+DF$62</f>
        <v>7938579.82766895</v>
      </c>
      <c r="DG114" s="13" t="n">
        <f aca="false">DF$114+DG$62</f>
        <v>8104035.87389172</v>
      </c>
      <c r="DH114" s="13" t="n">
        <f aca="false">DG$114+DH$62</f>
        <v>8269358.23945163</v>
      </c>
      <c r="DI114" s="13" t="n">
        <f aca="false">DH$114+DI$62</f>
        <v>8434680.60501155</v>
      </c>
      <c r="DJ114" s="13" t="n">
        <f aca="false">DI$114+DJ$62</f>
        <v>8600002.97057146</v>
      </c>
      <c r="DK114" s="13" t="n">
        <f aca="false">DJ$114+DK$62</f>
        <v>8765312.2051956</v>
      </c>
      <c r="DL114" s="13" t="n">
        <f aca="false">DK$114+DL$62</f>
        <v>8929676.01244329</v>
      </c>
      <c r="DM114" s="13" t="n">
        <f aca="false">DL$114+DM$62</f>
        <v>9094039.81969099</v>
      </c>
      <c r="DN114" s="13" t="n">
        <f aca="false">DM$114+DN$62</f>
        <v>9258820.45260209</v>
      </c>
      <c r="DO114" s="13" t="n">
        <f aca="false">DN$114+DO$62</f>
        <v>9430791.32820682</v>
      </c>
      <c r="DP114" s="13" t="n">
        <f aca="false">DO$114+DP$62</f>
        <v>9602762.20381156</v>
      </c>
      <c r="DQ114" s="13" t="n">
        <f aca="false">DP$114+DQ$62</f>
        <v>9774733.0794163</v>
      </c>
      <c r="DR114" s="13" t="n">
        <f aca="false">DQ$114+DR$62</f>
        <v>10087669.3671184</v>
      </c>
      <c r="DS114" s="13" t="n">
        <f aca="false">DR$114+DS$62</f>
        <v>10696581.9458005</v>
      </c>
      <c r="DT114" s="13" t="n">
        <f aca="false">DS$114+DT$62</f>
        <v>11322178.8365424</v>
      </c>
      <c r="DU114" s="13" t="n">
        <f aca="false">DT$114+DU$62</f>
        <v>11947775.7272842</v>
      </c>
      <c r="DV114" s="13" t="n">
        <f aca="false">DU$114+DV$62</f>
        <v>15573055.7594377</v>
      </c>
      <c r="DW114" s="13" t="n">
        <f aca="false">DV$114+DW$62</f>
        <v>15573055.7594377</v>
      </c>
      <c r="DX114" s="13" t="n">
        <f aca="false">DW$114+DX$62</f>
        <v>15573055.7594377</v>
      </c>
      <c r="DY114" s="13" t="n">
        <f aca="false">DX$114+DY$62</f>
        <v>15573055.7594377</v>
      </c>
      <c r="DZ114" s="13" t="n">
        <f aca="false">DY$114+DZ$62</f>
        <v>15573055.7594377</v>
      </c>
      <c r="EA114" s="13" t="n">
        <f aca="false">DZ$114+EA$62</f>
        <v>15573055.7594377</v>
      </c>
      <c r="EB114" s="13" t="n">
        <f aca="false">EA$114+EB$62</f>
        <v>15573055.7594377</v>
      </c>
      <c r="EC114" s="13" t="n">
        <f aca="false">EB$114+EC$62</f>
        <v>15573055.7594377</v>
      </c>
      <c r="ED114" s="13" t="n">
        <f aca="false">EC$114+ED$62</f>
        <v>15573055.7594377</v>
      </c>
      <c r="EE114" s="13" t="n">
        <f aca="false">ED$114+EE$62</f>
        <v>15573055.7594377</v>
      </c>
      <c r="EF114" s="13" t="n">
        <f aca="false">EE$114+EF$62</f>
        <v>15573055.7594377</v>
      </c>
      <c r="EG114" s="13" t="n">
        <f aca="false">EF$114+EG$62</f>
        <v>15573055.7594377</v>
      </c>
      <c r="EH114" s="13" t="n">
        <f aca="false">EG$114+EH$62</f>
        <v>15573055.7594377</v>
      </c>
      <c r="EI114" s="13" t="n">
        <f aca="false">EH$114+EI$62</f>
        <v>15573055.7594377</v>
      </c>
      <c r="EJ114" s="13" t="n">
        <f aca="false">EI$114+EJ$62</f>
        <v>15573055.7594377</v>
      </c>
      <c r="EK114" s="13" t="n">
        <f aca="false">EJ$114+EK$62</f>
        <v>15573055.7594377</v>
      </c>
      <c r="EL114" s="13" t="n">
        <f aca="false">EK$114+EL$62</f>
        <v>15573055.7594377</v>
      </c>
      <c r="EM114" s="13" t="n">
        <f aca="false">EL$114+EM$62</f>
        <v>15573055.7594377</v>
      </c>
      <c r="EN114" s="13" t="n">
        <f aca="false">EM$114+EN$62</f>
        <v>15573055.7594377</v>
      </c>
      <c r="EO114" s="13" t="n">
        <f aca="false">EN$114+EO$62</f>
        <v>15573055.7594377</v>
      </c>
      <c r="EP114" s="13" t="n">
        <f aca="false">EO$114+EP$62</f>
        <v>15573055.7594377</v>
      </c>
      <c r="EQ114" s="13" t="n">
        <f aca="false">EP$114+EQ$62</f>
        <v>15573055.7594377</v>
      </c>
      <c r="ER114" s="13" t="n">
        <f aca="false">EQ$114+ER$62</f>
        <v>15573055.7594377</v>
      </c>
      <c r="ES114" s="13" t="n">
        <f aca="false">ER$114+ES$62</f>
        <v>15573055.7594377</v>
      </c>
      <c r="ET114" s="13" t="n">
        <f aca="false">ES$114+ET$62</f>
        <v>15573055.7594377</v>
      </c>
      <c r="EU114" s="13" t="n">
        <f aca="false">ET$114+EU$62</f>
        <v>15573055.7594377</v>
      </c>
      <c r="EV114" s="13" t="n">
        <f aca="false">EU$114+EV$62</f>
        <v>15573055.7594377</v>
      </c>
      <c r="EW114" s="13" t="n">
        <f aca="false">EV$114+EW$62</f>
        <v>15573055.7594377</v>
      </c>
      <c r="EX114" s="13" t="n">
        <f aca="false">EW$114+EX$62</f>
        <v>15573055.7594377</v>
      </c>
      <c r="EY114" s="13" t="n">
        <f aca="false">EX$114+EY$62</f>
        <v>15573055.7594377</v>
      </c>
      <c r="EZ114" s="13" t="n">
        <f aca="false">EY$114+EZ$62</f>
        <v>15573055.7594377</v>
      </c>
      <c r="FA114" s="13" t="n">
        <f aca="false">EZ$114+FA$62</f>
        <v>15573055.7594377</v>
      </c>
      <c r="FB114" s="13" t="n">
        <f aca="false">FA$114+FB$62</f>
        <v>15573055.7594377</v>
      </c>
      <c r="FC114" s="13" t="n">
        <f aca="false">FB$114+FC$62</f>
        <v>15573055.7594377</v>
      </c>
      <c r="FD114" s="13" t="n">
        <f aca="false">FC$114+FD$62</f>
        <v>15573055.7594377</v>
      </c>
      <c r="FE114" s="13" t="n">
        <f aca="false">FD$114+FE$62</f>
        <v>15573055.7594377</v>
      </c>
      <c r="FF114" s="13" t="n">
        <f aca="false">FE$114+FF$62</f>
        <v>15573055.7594377</v>
      </c>
    </row>
    <row r="115" customFormat="false" ht="15" hidden="false" customHeight="false" outlineLevel="0" collapsed="false">
      <c r="A115" s="2" t="s">
        <v>1635</v>
      </c>
      <c r="B115" s="8" t="s">
        <v>1636</v>
      </c>
      <c r="C115" s="8" t="s">
        <v>255</v>
      </c>
      <c r="E115" s="65" t="n">
        <f aca="false">INDEX($F115:$FF115,1,p_MesFin+1)</f>
        <v>6732540.92587864</v>
      </c>
      <c r="F115" s="13" t="n">
        <f aca="false">0+F$113</f>
        <v>-1719186.38219178</v>
      </c>
      <c r="G115" s="13" t="n">
        <f aca="false">F$115+G$113</f>
        <v>-2048056.23531363</v>
      </c>
      <c r="H115" s="13" t="n">
        <f aca="false">G$115+H$113</f>
        <v>-2409093.04737965</v>
      </c>
      <c r="I115" s="13" t="n">
        <f aca="false">H$115+I$113</f>
        <v>-2762657.41791506</v>
      </c>
      <c r="J115" s="13" t="n">
        <f aca="false">I$115+J$113</f>
        <v>-3092073.85983928</v>
      </c>
      <c r="K115" s="13" t="n">
        <f aca="false">J$115+K$113</f>
        <v>-3051151.71403885</v>
      </c>
      <c r="L115" s="13" t="n">
        <f aca="false">K$115+L$113</f>
        <v>-3010537.56097821</v>
      </c>
      <c r="M115" s="13" t="n">
        <f aca="false">L$115+M$113</f>
        <v>-2970229.08260862</v>
      </c>
      <c r="N115" s="13" t="n">
        <f aca="false">M$115+N$113</f>
        <v>-2949368.51327477</v>
      </c>
      <c r="O115" s="13" t="n">
        <f aca="false">N$115+O$113</f>
        <v>-2970004.18960121</v>
      </c>
      <c r="P115" s="13" t="n">
        <f aca="false">O$115+P$113</f>
        <v>-2992799.62358081</v>
      </c>
      <c r="Q115" s="13" t="n">
        <f aca="false">P$115+Q$113</f>
        <v>-3015423.49206626</v>
      </c>
      <c r="R115" s="13" t="n">
        <f aca="false">Q$115+R$113</f>
        <v>-3037893.30496172</v>
      </c>
      <c r="S115" s="13" t="n">
        <f aca="false">R$115+S$113</f>
        <v>-3152055.19823595</v>
      </c>
      <c r="T115" s="13" t="n">
        <f aca="false">S$115+T$113</f>
        <v>-3179437.30720051</v>
      </c>
      <c r="U115" s="13" t="n">
        <f aca="false">T$115+U$113</f>
        <v>-3206613.32993485</v>
      </c>
      <c r="V115" s="13" t="n">
        <f aca="false">U$115+V$113</f>
        <v>-3228198.35998795</v>
      </c>
      <c r="W115" s="13" t="n">
        <f aca="false">V$115+W$113</f>
        <v>-3157403.8597424</v>
      </c>
      <c r="X115" s="13" t="n">
        <f aca="false">W$115+X$113</f>
        <v>-3087142.18082539</v>
      </c>
      <c r="Y115" s="13" t="n">
        <f aca="false">X$115+Y$113</f>
        <v>-3017409.31305861</v>
      </c>
      <c r="Z115" s="13" t="n">
        <f aca="false">Y$115+Z$113</f>
        <v>-2965777.41399852</v>
      </c>
      <c r="AA115" s="13" t="n">
        <f aca="false">Z$115+AA$113</f>
        <v>-2952770.00826203</v>
      </c>
      <c r="AB115" s="13" t="n">
        <f aca="false">AA$115+AB$113</f>
        <v>-2942002.21005351</v>
      </c>
      <c r="AC115" s="13" t="n">
        <f aca="false">AB$115+AC$113</f>
        <v>-2931315.45362828</v>
      </c>
      <c r="AD115" s="13" t="n">
        <f aca="false">AC$115+AD$113</f>
        <v>-2920724.01892405</v>
      </c>
      <c r="AE115" s="13" t="n">
        <f aca="false">AD$115+AE$113</f>
        <v>-2914208.04580278</v>
      </c>
      <c r="AF115" s="13" t="n">
        <f aca="false">AE$115+AF$113</f>
        <v>-2910942.35434078</v>
      </c>
      <c r="AG115" s="13" t="n">
        <f aca="false">AF$115+AG$113</f>
        <v>-2907701.24148385</v>
      </c>
      <c r="AH115" s="13" t="n">
        <f aca="false">AG$115+AH$113</f>
        <v>-2899468.30552288</v>
      </c>
      <c r="AI115" s="13" t="n">
        <f aca="false">AH$115+AI$113</f>
        <v>-2805418.84432003</v>
      </c>
      <c r="AJ115" s="13" t="n">
        <f aca="false">AI$115+AJ$113</f>
        <v>-2712077.22848218</v>
      </c>
      <c r="AK115" s="13" t="n">
        <f aca="false">AJ$115+AK$113</f>
        <v>-2619438.13054593</v>
      </c>
      <c r="AL115" s="13" t="n">
        <f aca="false">AK$115+AL$113</f>
        <v>-2540478.49728058</v>
      </c>
      <c r="AM115" s="13" t="n">
        <f aca="false">AL$115+AM$113</f>
        <v>-2490858.97295423</v>
      </c>
      <c r="AN115" s="13" t="n">
        <f aca="false">AM$115+AN$113</f>
        <v>-2443223.80933297</v>
      </c>
      <c r="AO115" s="13" t="n">
        <f aca="false">AN$115+AO$113</f>
        <v>-2395947.16270212</v>
      </c>
      <c r="AP115" s="13" t="n">
        <f aca="false">AO$115+AP$113</f>
        <v>-2349037.33276876</v>
      </c>
      <c r="AQ115" s="13" t="n">
        <f aca="false">AP$115+AQ$113</f>
        <v>-2305400.98848158</v>
      </c>
      <c r="AR115" s="13" t="n">
        <f aca="false">AQ$115+AR$113</f>
        <v>-2264635.12339454</v>
      </c>
      <c r="AS115" s="13" t="n">
        <f aca="false">AR$115+AS$113</f>
        <v>-2224176.07483023</v>
      </c>
      <c r="AT115" s="13" t="n">
        <f aca="false">AS$115+AT$113</f>
        <v>-2180150.37506923</v>
      </c>
      <c r="AU115" s="13" t="n">
        <f aca="false">AT$115+AU$113</f>
        <v>-2070181.12985393</v>
      </c>
      <c r="AV115" s="13" t="n">
        <f aca="false">AU$115+AV$113</f>
        <v>-1961039.54722725</v>
      </c>
      <c r="AW115" s="13" t="n">
        <f aca="false">AV$115+AW$113</f>
        <v>-1852719.39794428</v>
      </c>
      <c r="AX115" s="13" t="n">
        <f aca="false">AW$115+AX$113</f>
        <v>-1745214.49964335</v>
      </c>
      <c r="AY115" s="13" t="n">
        <f aca="false">AX$115+AY$113</f>
        <v>-1640080.44647349</v>
      </c>
      <c r="AZ115" s="13" t="n">
        <f aca="false">AY$115+AZ$113</f>
        <v>-1535827.51841617</v>
      </c>
      <c r="BA115" s="13" t="n">
        <f aca="false">AZ$115+BA$113</f>
        <v>-1432359.23017464</v>
      </c>
      <c r="BB115" s="13" t="n">
        <f aca="false">BA$115+BB$113</f>
        <v>-1329669.67630669</v>
      </c>
      <c r="BC115" s="13" t="n">
        <f aca="false">BB$115+BC$113</f>
        <v>-1230104.87967302</v>
      </c>
      <c r="BD115" s="13" t="n">
        <f aca="false">BC$115+BD$113</f>
        <v>-1131418.50309047</v>
      </c>
      <c r="BE115" s="13" t="n">
        <f aca="false">BD$115+BE$113</f>
        <v>-1033474.87073375</v>
      </c>
      <c r="BF115" s="13" t="n">
        <f aca="false">BE$115+BF$113</f>
        <v>-936000.638627852</v>
      </c>
      <c r="BG115" s="13" t="n">
        <f aca="false">BF$115+BG$113</f>
        <v>-834676.035998176</v>
      </c>
      <c r="BH115" s="13" t="n">
        <f aca="false">BG$115+BH$113</f>
        <v>-734114.033700433</v>
      </c>
      <c r="BI115" s="13" t="n">
        <f aca="false">BH$115+BI$113</f>
        <v>-634308.892168406</v>
      </c>
      <c r="BJ115" s="13" t="n">
        <f aca="false">BI$115+BJ$113</f>
        <v>-535254.915033628</v>
      </c>
      <c r="BK115" s="13" t="n">
        <f aca="false">BJ$115+BK$113</f>
        <v>-438387.088422275</v>
      </c>
      <c r="BL115" s="13" t="n">
        <f aca="false">BK$115+BL$113</f>
        <v>-342331.205844713</v>
      </c>
      <c r="BM115" s="13" t="n">
        <f aca="false">BL$115+BM$113</f>
        <v>-246998.269580648</v>
      </c>
      <c r="BN115" s="13" t="n">
        <f aca="false">BM$115+BN$113</f>
        <v>-152382.838512283</v>
      </c>
      <c r="BO115" s="13" t="n">
        <f aca="false">BN$115+BO$113</f>
        <v>-58487.065985638</v>
      </c>
      <c r="BP115" s="13" t="n">
        <f aca="false">BO$115+BP$113</f>
        <v>34162.2582057078</v>
      </c>
      <c r="BQ115" s="13" t="n">
        <f aca="false">BP$115+BQ$113</f>
        <v>126114.274896723</v>
      </c>
      <c r="BR115" s="13" t="n">
        <f aca="false">BQ$115+BR$113</f>
        <v>217621.225518175</v>
      </c>
      <c r="BS115" s="13" t="n">
        <f aca="false">BR$115+BS$113</f>
        <v>312668.033701504</v>
      </c>
      <c r="BT115" s="13" t="n">
        <f aca="false">BS$115+BT$113</f>
        <v>406999.490177661</v>
      </c>
      <c r="BU115" s="13" t="n">
        <f aca="false">BT$115+BU$113</f>
        <v>500620.978905084</v>
      </c>
      <c r="BV115" s="13" t="n">
        <f aca="false">BU$115+BV$113</f>
        <v>593537.843320872</v>
      </c>
      <c r="BW115" s="13" t="n">
        <f aca="false">BV$115+BW$113</f>
        <v>684426.448515219</v>
      </c>
      <c r="BX115" s="13" t="n">
        <f aca="false">BW$115+BX$113</f>
        <v>774554.537860021</v>
      </c>
      <c r="BY115" s="13" t="n">
        <f aca="false">BX$115+BY$113</f>
        <v>864004.295298583</v>
      </c>
      <c r="BZ115" s="13" t="n">
        <f aca="false">BY$115+BZ$113</f>
        <v>952780.826166859</v>
      </c>
      <c r="CA115" s="13" t="n">
        <f aca="false">BZ$115+CA$113</f>
        <v>1040882.13888799</v>
      </c>
      <c r="CB115" s="13" t="n">
        <f aca="false">CA$115+CB$113</f>
        <v>1127815.98763552</v>
      </c>
      <c r="CC115" s="13" t="n">
        <f aca="false">CB$115+CC$113</f>
        <v>1214095.54532056</v>
      </c>
      <c r="CD115" s="13" t="n">
        <f aca="false">CC$115+CD$113</f>
        <v>1299953.5787381</v>
      </c>
      <c r="CE115" s="13" t="n">
        <f aca="false">CD$115+CE$113</f>
        <v>1389066.11886117</v>
      </c>
      <c r="CF115" s="13" t="n">
        <f aca="false">CE$115+CF$113</f>
        <v>1477507.97041588</v>
      </c>
      <c r="CG115" s="13" t="n">
        <f aca="false">CF$115+CG$113</f>
        <v>1565284.18121206</v>
      </c>
      <c r="CH115" s="13" t="n">
        <f aca="false">CG$115+CH$113</f>
        <v>1652399.76106815</v>
      </c>
      <c r="CI115" s="13" t="n">
        <f aca="false">CH$115+CI$113</f>
        <v>1737633.78456676</v>
      </c>
      <c r="CJ115" s="13" t="n">
        <f aca="false">CI$115+CJ$113</f>
        <v>1822155.77875918</v>
      </c>
      <c r="CK115" s="13" t="n">
        <f aca="false">CJ$115+CK$113</f>
        <v>1906041.63425325</v>
      </c>
      <c r="CL115" s="13" t="n">
        <f aca="false">CK$115+CL$113</f>
        <v>1989296.13882578</v>
      </c>
      <c r="CM115" s="13" t="n">
        <f aca="false">CL$115+CM$113</f>
        <v>2071917.44763254</v>
      </c>
      <c r="CN115" s="13" t="n">
        <f aca="false">CM$115+CN$113</f>
        <v>2153445.54329349</v>
      </c>
      <c r="CO115" s="13" t="n">
        <f aca="false">CN$115+CO$113</f>
        <v>2234360.03326342</v>
      </c>
      <c r="CP115" s="13" t="n">
        <f aca="false">CO$115+CP$113</f>
        <v>2314875.71212934</v>
      </c>
      <c r="CQ115" s="13" t="n">
        <f aca="false">CP$115+CQ$113</f>
        <v>2398383.66101795</v>
      </c>
      <c r="CR115" s="13" t="n">
        <f aca="false">CQ$115+CR$113</f>
        <v>2481263.10322714</v>
      </c>
      <c r="CS115" s="13" t="n">
        <f aca="false">CR$115+CS$113</f>
        <v>2563518.76909279</v>
      </c>
      <c r="CT115" s="13" t="n">
        <f aca="false">CS$115+CT$113</f>
        <v>2645155.3533488</v>
      </c>
      <c r="CU115" s="13" t="n">
        <f aca="false">CT$115+CU$113</f>
        <v>2725046.66910468</v>
      </c>
      <c r="CV115" s="13" t="n">
        <f aca="false">CU$115+CV$113</f>
        <v>2804271.63517228</v>
      </c>
      <c r="CW115" s="13" t="n">
        <f aca="false">CV$115+CW$113</f>
        <v>2882900.3296153</v>
      </c>
      <c r="CX115" s="13" t="n">
        <f aca="false">CW$115+CX$113</f>
        <v>2960937.2401586</v>
      </c>
      <c r="CY115" s="13" t="n">
        <f aca="false">CX$115+CY$113</f>
        <v>3038380.65521004</v>
      </c>
      <c r="CZ115" s="13" t="n">
        <f aca="false">CY$115+CZ$113</f>
        <v>3114800.62926106</v>
      </c>
      <c r="DA115" s="13" t="n">
        <f aca="false">CZ$115+DA$113</f>
        <v>3190645.44292591</v>
      </c>
      <c r="DB115" s="13" t="n">
        <f aca="false">DA$115+DB$113</f>
        <v>3266113.3051945</v>
      </c>
      <c r="DC115" s="13" t="n">
        <f aca="false">DB$115+DC$113</f>
        <v>3344332.43439876</v>
      </c>
      <c r="DD115" s="13" t="n">
        <f aca="false">DC$115+DD$113</f>
        <v>3421962.86221809</v>
      </c>
      <c r="DE115" s="13" t="n">
        <f aca="false">DD$115+DE$113</f>
        <v>3499009.01940141</v>
      </c>
      <c r="DF115" s="13" t="n">
        <f aca="false">DE$115+DF$113</f>
        <v>3575475.30335041</v>
      </c>
      <c r="DG115" s="13" t="n">
        <f aca="false">DF$115+DG$113</f>
        <v>3650322.91342354</v>
      </c>
      <c r="DH115" s="13" t="n">
        <f aca="false">DG$115+DH$113</f>
        <v>3724547.17901938</v>
      </c>
      <c r="DI115" s="13" t="n">
        <f aca="false">DH$115+DI$113</f>
        <v>3798212.80981072</v>
      </c>
      <c r="DJ115" s="13" t="n">
        <f aca="false">DI$115+DJ$113</f>
        <v>3871324.01025606</v>
      </c>
      <c r="DK115" s="13" t="n">
        <f aca="false">DJ$115+DK$113</f>
        <v>3943879.18992617</v>
      </c>
      <c r="DL115" s="13" t="n">
        <f aca="false">DK$115+DL$113</f>
        <v>4015476.46637169</v>
      </c>
      <c r="DM115" s="13" t="n">
        <f aca="false">DL$115+DM$113</f>
        <v>4086534.87954645</v>
      </c>
      <c r="DN115" s="13" t="n">
        <f aca="false">DM$115+DN$113</f>
        <v>4157237.33255756</v>
      </c>
      <c r="DO115" s="13" t="n">
        <f aca="false">DN$115+DO$113</f>
        <v>4230469.55606236</v>
      </c>
      <c r="DP115" s="13" t="n">
        <f aca="false">DO$115+DP$113</f>
        <v>4303150.6111786</v>
      </c>
      <c r="DQ115" s="13" t="n">
        <f aca="false">DP$115+DQ$113</f>
        <v>4375284.64617022</v>
      </c>
      <c r="DR115" s="13" t="n">
        <f aca="false">DQ$115+DR$113</f>
        <v>4505559.39748191</v>
      </c>
      <c r="DS115" s="13" t="n">
        <f aca="false">DR$115+DS$113</f>
        <v>4757140.6499798</v>
      </c>
      <c r="DT115" s="13" t="n">
        <f aca="false">DS$115+DT$113</f>
        <v>5013669.91312754</v>
      </c>
      <c r="DU115" s="13" t="n">
        <f aca="false">DT$115+DU$113</f>
        <v>5268268.45761319</v>
      </c>
      <c r="DV115" s="13" t="n">
        <f aca="false">DU$115+DV$113</f>
        <v>6732540.92587864</v>
      </c>
      <c r="DW115" s="13" t="n">
        <f aca="false">DV$115+DW$113</f>
        <v>6732540.92587864</v>
      </c>
      <c r="DX115" s="13" t="n">
        <f aca="false">DW$115+DX$113</f>
        <v>6732540.92587864</v>
      </c>
      <c r="DY115" s="13" t="n">
        <f aca="false">DX$115+DY$113</f>
        <v>6732540.92587864</v>
      </c>
      <c r="DZ115" s="13" t="n">
        <f aca="false">DY$115+DZ$113</f>
        <v>6732540.92587864</v>
      </c>
      <c r="EA115" s="13" t="n">
        <f aca="false">DZ$115+EA$113</f>
        <v>6732540.92587864</v>
      </c>
      <c r="EB115" s="13" t="n">
        <f aca="false">EA$115+EB$113</f>
        <v>6732540.92587864</v>
      </c>
      <c r="EC115" s="13" t="n">
        <f aca="false">EB$115+EC$113</f>
        <v>6732540.92587864</v>
      </c>
      <c r="ED115" s="13" t="n">
        <f aca="false">EC$115+ED$113</f>
        <v>6732540.92587864</v>
      </c>
      <c r="EE115" s="13" t="n">
        <f aca="false">ED$115+EE$113</f>
        <v>6732540.92587864</v>
      </c>
      <c r="EF115" s="13" t="n">
        <f aca="false">EE$115+EF$113</f>
        <v>6732540.92587864</v>
      </c>
      <c r="EG115" s="13" t="n">
        <f aca="false">EF$115+EG$113</f>
        <v>6732540.92587864</v>
      </c>
      <c r="EH115" s="13" t="n">
        <f aca="false">EG$115+EH$113</f>
        <v>6732540.92587864</v>
      </c>
      <c r="EI115" s="13" t="n">
        <f aca="false">EH$115+EI$113</f>
        <v>6732540.92587864</v>
      </c>
      <c r="EJ115" s="13" t="n">
        <f aca="false">EI$115+EJ$113</f>
        <v>6732540.92587864</v>
      </c>
      <c r="EK115" s="13" t="n">
        <f aca="false">EJ$115+EK$113</f>
        <v>6732540.92587864</v>
      </c>
      <c r="EL115" s="13" t="n">
        <f aca="false">EK$115+EL$113</f>
        <v>6732540.92587864</v>
      </c>
      <c r="EM115" s="13" t="n">
        <f aca="false">EL$115+EM$113</f>
        <v>6732540.92587864</v>
      </c>
      <c r="EN115" s="13" t="n">
        <f aca="false">EM$115+EN$113</f>
        <v>6732540.92587864</v>
      </c>
      <c r="EO115" s="13" t="n">
        <f aca="false">EN$115+EO$113</f>
        <v>6732540.92587864</v>
      </c>
      <c r="EP115" s="13" t="n">
        <f aca="false">EO$115+EP$113</f>
        <v>6732540.92587864</v>
      </c>
      <c r="EQ115" s="13" t="n">
        <f aca="false">EP$115+EQ$113</f>
        <v>6732540.92587864</v>
      </c>
      <c r="ER115" s="13" t="n">
        <f aca="false">EQ$115+ER$113</f>
        <v>6732540.92587864</v>
      </c>
      <c r="ES115" s="13" t="n">
        <f aca="false">ER$115+ES$113</f>
        <v>6732540.92587864</v>
      </c>
      <c r="ET115" s="13" t="n">
        <f aca="false">ES$115+ET$113</f>
        <v>6732540.92587864</v>
      </c>
      <c r="EU115" s="13" t="n">
        <f aca="false">ET$115+EU$113</f>
        <v>6732540.92587864</v>
      </c>
      <c r="EV115" s="13" t="n">
        <f aca="false">EU$115+EV$113</f>
        <v>6732540.92587864</v>
      </c>
      <c r="EW115" s="13" t="n">
        <f aca="false">EV$115+EW$113</f>
        <v>6732540.92587864</v>
      </c>
      <c r="EX115" s="13" t="n">
        <f aca="false">EW$115+EX$113</f>
        <v>6732540.92587864</v>
      </c>
      <c r="EY115" s="13" t="n">
        <f aca="false">EX$115+EY$113</f>
        <v>6732540.92587864</v>
      </c>
      <c r="EZ115" s="13" t="n">
        <f aca="false">EY$115+EZ$113</f>
        <v>6732540.92587864</v>
      </c>
      <c r="FA115" s="13" t="n">
        <f aca="false">EZ$115+FA$113</f>
        <v>6732540.92587864</v>
      </c>
      <c r="FB115" s="13" t="n">
        <f aca="false">FA$115+FB$113</f>
        <v>6732540.92587864</v>
      </c>
      <c r="FC115" s="13" t="n">
        <f aca="false">FB$115+FC$113</f>
        <v>6732540.92587864</v>
      </c>
      <c r="FD115" s="13" t="n">
        <f aca="false">FC$115+FD$113</f>
        <v>6732540.92587864</v>
      </c>
      <c r="FE115" s="13" t="n">
        <f aca="false">FD$115+FE$113</f>
        <v>6732540.92587864</v>
      </c>
      <c r="FF115" s="13" t="n">
        <f aca="false">FE$115+FF$113</f>
        <v>6732540.92587864</v>
      </c>
    </row>
    <row r="116" customFormat="false" ht="15" hidden="false" customHeight="false" outlineLevel="0" collapsed="false">
      <c r="A116" s="2" t="s">
        <v>1637</v>
      </c>
      <c r="B116" s="8" t="s">
        <v>1638</v>
      </c>
      <c r="C116" s="8" t="s">
        <v>255</v>
      </c>
      <c r="E116" s="65" t="n">
        <f aca="false">SUM($F116:$FF116)</f>
        <v>5574434.52574395</v>
      </c>
      <c r="F116" s="13" t="n">
        <f aca="false">IF(Calendario!F$15=1,F$91+F$112-F$96,0)</f>
        <v>0</v>
      </c>
      <c r="G116" s="13" t="n">
        <f aca="false">IF(Calendario!G$15=1,G$91+G$112-G$96,0)</f>
        <v>0</v>
      </c>
      <c r="H116" s="13" t="n">
        <f aca="false">IF(Calendario!H$15=1,H$91+H$112-H$96,0)</f>
        <v>0</v>
      </c>
      <c r="I116" s="13" t="n">
        <f aca="false">IF(Calendario!I$15=1,I$91+I$112-I$96,0)</f>
        <v>0</v>
      </c>
      <c r="J116" s="13" t="n">
        <f aca="false">IF(Calendario!J$15=1,J$91+J$112-J$96,0)</f>
        <v>0</v>
      </c>
      <c r="K116" s="13" t="n">
        <f aca="false">IF(Calendario!K$15=1,K$91+K$112-K$96,0)</f>
        <v>0</v>
      </c>
      <c r="L116" s="13" t="n">
        <f aca="false">IF(Calendario!L$15=1,L$91+L$112-L$96,0)</f>
        <v>0</v>
      </c>
      <c r="M116" s="13" t="n">
        <f aca="false">IF(Calendario!M$15=1,M$91+M$112-M$96,0)</f>
        <v>0</v>
      </c>
      <c r="N116" s="13" t="n">
        <f aca="false">IF(Calendario!N$15=1,N$91+N$112-N$96,0)</f>
        <v>0</v>
      </c>
      <c r="O116" s="13" t="n">
        <f aca="false">IF(Calendario!O$15=1,O$91+O$112-O$96,0)</f>
        <v>0</v>
      </c>
      <c r="P116" s="13" t="n">
        <f aca="false">IF(Calendario!P$15=1,P$91+P$112-P$96,0)</f>
        <v>0</v>
      </c>
      <c r="Q116" s="13" t="n">
        <f aca="false">IF(Calendario!Q$15=1,Q$91+Q$112-Q$96,0)</f>
        <v>0</v>
      </c>
      <c r="R116" s="13" t="n">
        <f aca="false">IF(Calendario!R$15=1,R$91+R$112-R$96,0)</f>
        <v>0</v>
      </c>
      <c r="S116" s="13" t="n">
        <f aca="false">IF(Calendario!S$15=1,S$91+S$112-S$96,0)</f>
        <v>0</v>
      </c>
      <c r="T116" s="13" t="n">
        <f aca="false">IF(Calendario!T$15=1,T$91+T$112-T$96,0)</f>
        <v>0</v>
      </c>
      <c r="U116" s="13" t="n">
        <f aca="false">IF(Calendario!U$15=1,U$91+U$112-U$96,0)</f>
        <v>0</v>
      </c>
      <c r="V116" s="13" t="n">
        <f aca="false">IF(Calendario!V$15=1,V$91+V$112-V$96,0)</f>
        <v>0</v>
      </c>
      <c r="W116" s="13" t="n">
        <f aca="false">IF(Calendario!W$15=1,W$91+W$112-W$96,0)</f>
        <v>0</v>
      </c>
      <c r="X116" s="13" t="n">
        <f aca="false">IF(Calendario!X$15=1,X$91+X$112-X$96,0)</f>
        <v>0</v>
      </c>
      <c r="Y116" s="13" t="n">
        <f aca="false">IF(Calendario!Y$15=1,Y$91+Y$112-Y$96,0)</f>
        <v>0</v>
      </c>
      <c r="Z116" s="13" t="n">
        <f aca="false">IF(Calendario!Z$15=1,Z$91+Z$112-Z$96,0)</f>
        <v>0</v>
      </c>
      <c r="AA116" s="13" t="n">
        <f aca="false">IF(Calendario!AA$15=1,AA$91+AA$112-AA$96,0)</f>
        <v>0</v>
      </c>
      <c r="AB116" s="13" t="n">
        <f aca="false">IF(Calendario!AB$15=1,AB$91+AB$112-AB$96,0)</f>
        <v>0</v>
      </c>
      <c r="AC116" s="13" t="n">
        <f aca="false">IF(Calendario!AC$15=1,AC$91+AC$112-AC$96,0)</f>
        <v>0</v>
      </c>
      <c r="AD116" s="13" t="n">
        <f aca="false">IF(Calendario!AD$15=1,AD$91+AD$112-AD$96,0)</f>
        <v>0</v>
      </c>
      <c r="AE116" s="13" t="n">
        <f aca="false">IF(Calendario!AE$15=1,AE$91+AE$112-AE$96,0)</f>
        <v>0</v>
      </c>
      <c r="AF116" s="13" t="n">
        <f aca="false">IF(Calendario!AF$15=1,AF$91+AF$112-AF$96,0)</f>
        <v>0</v>
      </c>
      <c r="AG116" s="13" t="n">
        <f aca="false">IF(Calendario!AG$15=1,AG$91+AG$112-AG$96,0)</f>
        <v>0</v>
      </c>
      <c r="AH116" s="13" t="n">
        <f aca="false">IF(Calendario!AH$15=1,AH$91+AH$112-AH$96,0)</f>
        <v>0</v>
      </c>
      <c r="AI116" s="13" t="n">
        <f aca="false">IF(Calendario!AI$15=1,AI$91+AI$112-AI$96,0)</f>
        <v>0</v>
      </c>
      <c r="AJ116" s="13" t="n">
        <f aca="false">IF(Calendario!AJ$15=1,AJ$91+AJ$112-AJ$96,0)</f>
        <v>0</v>
      </c>
      <c r="AK116" s="13" t="n">
        <f aca="false">IF(Calendario!AK$15=1,AK$91+AK$112-AK$96,0)</f>
        <v>0</v>
      </c>
      <c r="AL116" s="13" t="n">
        <f aca="false">IF(Calendario!AL$15=1,AL$91+AL$112-AL$96,0)</f>
        <v>0</v>
      </c>
      <c r="AM116" s="13" t="n">
        <f aca="false">IF(Calendario!AM$15=1,AM$91+AM$112-AM$96,0)</f>
        <v>0</v>
      </c>
      <c r="AN116" s="13" t="n">
        <f aca="false">IF(Calendario!AN$15=1,AN$91+AN$112-AN$96,0)</f>
        <v>0</v>
      </c>
      <c r="AO116" s="13" t="n">
        <f aca="false">IF(Calendario!AO$15=1,AO$91+AO$112-AO$96,0)</f>
        <v>0</v>
      </c>
      <c r="AP116" s="13" t="n">
        <f aca="false">IF(Calendario!AP$15=1,AP$91+AP$112-AP$96,0)</f>
        <v>0</v>
      </c>
      <c r="AQ116" s="13" t="n">
        <f aca="false">IF(Calendario!AQ$15=1,AQ$91+AQ$112-AQ$96,0)</f>
        <v>0</v>
      </c>
      <c r="AR116" s="13" t="n">
        <f aca="false">IF(Calendario!AR$15=1,AR$91+AR$112-AR$96,0)</f>
        <v>0</v>
      </c>
      <c r="AS116" s="13" t="n">
        <f aca="false">IF(Calendario!AS$15=1,AS$91+AS$112-AS$96,0)</f>
        <v>0</v>
      </c>
      <c r="AT116" s="13" t="n">
        <f aca="false">IF(Calendario!AT$15=1,AT$91+AT$112-AT$96,0)</f>
        <v>0</v>
      </c>
      <c r="AU116" s="13" t="n">
        <f aca="false">IF(Calendario!AU$15=1,AU$91+AU$112-AU$96,0)</f>
        <v>0</v>
      </c>
      <c r="AV116" s="13" t="n">
        <f aca="false">IF(Calendario!AV$15=1,AV$91+AV$112-AV$96,0)</f>
        <v>0</v>
      </c>
      <c r="AW116" s="13" t="n">
        <f aca="false">IF(Calendario!AW$15=1,AW$91+AW$112-AW$96,0)</f>
        <v>0</v>
      </c>
      <c r="AX116" s="13" t="n">
        <f aca="false">IF(Calendario!AX$15=1,AX$91+AX$112-AX$96,0)</f>
        <v>0</v>
      </c>
      <c r="AY116" s="13" t="n">
        <f aca="false">IF(Calendario!AY$15=1,AY$91+AY$112-AY$96,0)</f>
        <v>0</v>
      </c>
      <c r="AZ116" s="13" t="n">
        <f aca="false">IF(Calendario!AZ$15=1,AZ$91+AZ$112-AZ$96,0)</f>
        <v>0</v>
      </c>
      <c r="BA116" s="13" t="n">
        <f aca="false">IF(Calendario!BA$15=1,BA$91+BA$112-BA$96,0)</f>
        <v>0</v>
      </c>
      <c r="BB116" s="13" t="n">
        <f aca="false">IF(Calendario!BB$15=1,BB$91+BB$112-BB$96,0)</f>
        <v>0</v>
      </c>
      <c r="BC116" s="13" t="n">
        <f aca="false">IF(Calendario!BC$15=1,BC$91+BC$112-BC$96,0)</f>
        <v>0</v>
      </c>
      <c r="BD116" s="13" t="n">
        <f aca="false">IF(Calendario!BD$15=1,BD$91+BD$112-BD$96,0)</f>
        <v>0</v>
      </c>
      <c r="BE116" s="13" t="n">
        <f aca="false">IF(Calendario!BE$15=1,BE$91+BE$112-BE$96,0)</f>
        <v>0</v>
      </c>
      <c r="BF116" s="13" t="n">
        <f aca="false">IF(Calendario!BF$15=1,BF$91+BF$112-BF$96,0)</f>
        <v>0</v>
      </c>
      <c r="BG116" s="13" t="n">
        <f aca="false">IF(Calendario!BG$15=1,BG$91+BG$112-BG$96,0)</f>
        <v>0</v>
      </c>
      <c r="BH116" s="13" t="n">
        <f aca="false">IF(Calendario!BH$15=1,BH$91+BH$112-BH$96,0)</f>
        <v>0</v>
      </c>
      <c r="BI116" s="13" t="n">
        <f aca="false">IF(Calendario!BI$15=1,BI$91+BI$112-BI$96,0)</f>
        <v>0</v>
      </c>
      <c r="BJ116" s="13" t="n">
        <f aca="false">IF(Calendario!BJ$15=1,BJ$91+BJ$112-BJ$96,0)</f>
        <v>0</v>
      </c>
      <c r="BK116" s="13" t="n">
        <f aca="false">IF(Calendario!BK$15=1,BK$91+BK$112-BK$96,0)</f>
        <v>0</v>
      </c>
      <c r="BL116" s="13" t="n">
        <f aca="false">IF(Calendario!BL$15=1,BL$91+BL$112-BL$96,0)</f>
        <v>0</v>
      </c>
      <c r="BM116" s="13" t="n">
        <f aca="false">IF(Calendario!BM$15=1,BM$91+BM$112-BM$96,0)</f>
        <v>0</v>
      </c>
      <c r="BN116" s="13" t="n">
        <f aca="false">IF(Calendario!BN$15=1,BN$91+BN$112-BN$96,0)</f>
        <v>0</v>
      </c>
      <c r="BO116" s="13" t="n">
        <f aca="false">IF(Calendario!BO$15=1,BO$91+BO$112-BO$96,0)</f>
        <v>0</v>
      </c>
      <c r="BP116" s="13" t="n">
        <f aca="false">IF(Calendario!BP$15=1,BP$91+BP$112-BP$96,0)</f>
        <v>0</v>
      </c>
      <c r="BQ116" s="13" t="n">
        <f aca="false">IF(Calendario!BQ$15=1,BQ$91+BQ$112-BQ$96,0)</f>
        <v>0</v>
      </c>
      <c r="BR116" s="13" t="n">
        <f aca="false">IF(Calendario!BR$15=1,BR$91+BR$112-BR$96,0)</f>
        <v>0</v>
      </c>
      <c r="BS116" s="13" t="n">
        <f aca="false">IF(Calendario!BS$15=1,BS$91+BS$112-BS$96,0)</f>
        <v>0</v>
      </c>
      <c r="BT116" s="13" t="n">
        <f aca="false">IF(Calendario!BT$15=1,BT$91+BT$112-BT$96,0)</f>
        <v>0</v>
      </c>
      <c r="BU116" s="13" t="n">
        <f aca="false">IF(Calendario!BU$15=1,BU$91+BU$112-BU$96,0)</f>
        <v>0</v>
      </c>
      <c r="BV116" s="13" t="n">
        <f aca="false">IF(Calendario!BV$15=1,BV$91+BV$112-BV$96,0)</f>
        <v>0</v>
      </c>
      <c r="BW116" s="13" t="n">
        <f aca="false">IF(Calendario!BW$15=1,BW$91+BW$112-BW$96,0)</f>
        <v>0</v>
      </c>
      <c r="BX116" s="13" t="n">
        <f aca="false">IF(Calendario!BX$15=1,BX$91+BX$112-BX$96,0)</f>
        <v>0</v>
      </c>
      <c r="BY116" s="13" t="n">
        <f aca="false">IF(Calendario!BY$15=1,BY$91+BY$112-BY$96,0)</f>
        <v>0</v>
      </c>
      <c r="BZ116" s="13" t="n">
        <f aca="false">IF(Calendario!BZ$15=1,BZ$91+BZ$112-BZ$96,0)</f>
        <v>0</v>
      </c>
      <c r="CA116" s="13" t="n">
        <f aca="false">IF(Calendario!CA$15=1,CA$91+CA$112-CA$96,0)</f>
        <v>0</v>
      </c>
      <c r="CB116" s="13" t="n">
        <f aca="false">IF(Calendario!CB$15=1,CB$91+CB$112-CB$96,0)</f>
        <v>0</v>
      </c>
      <c r="CC116" s="13" t="n">
        <f aca="false">IF(Calendario!CC$15=1,CC$91+CC$112-CC$96,0)</f>
        <v>0</v>
      </c>
      <c r="CD116" s="13" t="n">
        <f aca="false">IF(Calendario!CD$15=1,CD$91+CD$112-CD$96,0)</f>
        <v>0</v>
      </c>
      <c r="CE116" s="13" t="n">
        <f aca="false">IF(Calendario!CE$15=1,CE$91+CE$112-CE$96,0)</f>
        <v>0</v>
      </c>
      <c r="CF116" s="13" t="n">
        <f aca="false">IF(Calendario!CF$15=1,CF$91+CF$112-CF$96,0)</f>
        <v>0</v>
      </c>
      <c r="CG116" s="13" t="n">
        <f aca="false">IF(Calendario!CG$15=1,CG$91+CG$112-CG$96,0)</f>
        <v>0</v>
      </c>
      <c r="CH116" s="13" t="n">
        <f aca="false">IF(Calendario!CH$15=1,CH$91+CH$112-CH$96,0)</f>
        <v>0</v>
      </c>
      <c r="CI116" s="13" t="n">
        <f aca="false">IF(Calendario!CI$15=1,CI$91+CI$112-CI$96,0)</f>
        <v>0</v>
      </c>
      <c r="CJ116" s="13" t="n">
        <f aca="false">IF(Calendario!CJ$15=1,CJ$91+CJ$112-CJ$96,0)</f>
        <v>0</v>
      </c>
      <c r="CK116" s="13" t="n">
        <f aca="false">IF(Calendario!CK$15=1,CK$91+CK$112-CK$96,0)</f>
        <v>0</v>
      </c>
      <c r="CL116" s="13" t="n">
        <f aca="false">IF(Calendario!CL$15=1,CL$91+CL$112-CL$96,0)</f>
        <v>0</v>
      </c>
      <c r="CM116" s="13" t="n">
        <f aca="false">IF(Calendario!CM$15=1,CM$91+CM$112-CM$96,0)</f>
        <v>0</v>
      </c>
      <c r="CN116" s="13" t="n">
        <f aca="false">IF(Calendario!CN$15=1,CN$91+CN$112-CN$96,0)</f>
        <v>0</v>
      </c>
      <c r="CO116" s="13" t="n">
        <f aca="false">IF(Calendario!CO$15=1,CO$91+CO$112-CO$96,0)</f>
        <v>0</v>
      </c>
      <c r="CP116" s="13" t="n">
        <f aca="false">IF(Calendario!CP$15=1,CP$91+CP$112-CP$96,0)</f>
        <v>0</v>
      </c>
      <c r="CQ116" s="13" t="n">
        <f aca="false">IF(Calendario!CQ$15=1,CQ$91+CQ$112-CQ$96,0)</f>
        <v>0</v>
      </c>
      <c r="CR116" s="13" t="n">
        <f aca="false">IF(Calendario!CR$15=1,CR$91+CR$112-CR$96,0)</f>
        <v>0</v>
      </c>
      <c r="CS116" s="13" t="n">
        <f aca="false">IF(Calendario!CS$15=1,CS$91+CS$112-CS$96,0)</f>
        <v>0</v>
      </c>
      <c r="CT116" s="13" t="n">
        <f aca="false">IF(Calendario!CT$15=1,CT$91+CT$112-CT$96,0)</f>
        <v>0</v>
      </c>
      <c r="CU116" s="13" t="n">
        <f aca="false">IF(Calendario!CU$15=1,CU$91+CU$112-CU$96,0)</f>
        <v>0</v>
      </c>
      <c r="CV116" s="13" t="n">
        <f aca="false">IF(Calendario!CV$15=1,CV$91+CV$112-CV$96,0)</f>
        <v>0</v>
      </c>
      <c r="CW116" s="13" t="n">
        <f aca="false">IF(Calendario!CW$15=1,CW$91+CW$112-CW$96,0)</f>
        <v>0</v>
      </c>
      <c r="CX116" s="13" t="n">
        <f aca="false">IF(Calendario!CX$15=1,CX$91+CX$112-CX$96,0)</f>
        <v>0</v>
      </c>
      <c r="CY116" s="13" t="n">
        <f aca="false">IF(Calendario!CY$15=1,CY$91+CY$112-CY$96,0)</f>
        <v>0</v>
      </c>
      <c r="CZ116" s="13" t="n">
        <f aca="false">IF(Calendario!CZ$15=1,CZ$91+CZ$112-CZ$96,0)</f>
        <v>0</v>
      </c>
      <c r="DA116" s="13" t="n">
        <f aca="false">IF(Calendario!DA$15=1,DA$91+DA$112-DA$96,0)</f>
        <v>0</v>
      </c>
      <c r="DB116" s="13" t="n">
        <f aca="false">IF(Calendario!DB$15=1,DB$91+DB$112-DB$96,0)</f>
        <v>0</v>
      </c>
      <c r="DC116" s="13" t="n">
        <f aca="false">IF(Calendario!DC$15=1,DC$91+DC$112-DC$96,0)</f>
        <v>0</v>
      </c>
      <c r="DD116" s="13" t="n">
        <f aca="false">IF(Calendario!DD$15=1,DD$91+DD$112-DD$96,0)</f>
        <v>0</v>
      </c>
      <c r="DE116" s="13" t="n">
        <f aca="false">IF(Calendario!DE$15=1,DE$91+DE$112-DE$96,0)</f>
        <v>0</v>
      </c>
      <c r="DF116" s="13" t="n">
        <f aca="false">IF(Calendario!DF$15=1,DF$91+DF$112-DF$96,0)</f>
        <v>0</v>
      </c>
      <c r="DG116" s="13" t="n">
        <f aca="false">IF(Calendario!DG$15=1,DG$91+DG$112-DG$96,0)</f>
        <v>0</v>
      </c>
      <c r="DH116" s="13" t="n">
        <f aca="false">IF(Calendario!DH$15=1,DH$91+DH$112-DH$96,0)</f>
        <v>0</v>
      </c>
      <c r="DI116" s="13" t="n">
        <f aca="false">IF(Calendario!DI$15=1,DI$91+DI$112-DI$96,0)</f>
        <v>0</v>
      </c>
      <c r="DJ116" s="13" t="n">
        <f aca="false">IF(Calendario!DJ$15=1,DJ$91+DJ$112-DJ$96,0)</f>
        <v>0</v>
      </c>
      <c r="DK116" s="13" t="n">
        <f aca="false">IF(Calendario!DK$15=1,DK$91+DK$112-DK$96,0)</f>
        <v>0</v>
      </c>
      <c r="DL116" s="13" t="n">
        <f aca="false">IF(Calendario!DL$15=1,DL$91+DL$112-DL$96,0)</f>
        <v>0</v>
      </c>
      <c r="DM116" s="13" t="n">
        <f aca="false">IF(Calendario!DM$15=1,DM$91+DM$112-DM$96,0)</f>
        <v>0</v>
      </c>
      <c r="DN116" s="13" t="n">
        <f aca="false">IF(Calendario!DN$15=1,DN$91+DN$112-DN$96,0)</f>
        <v>0</v>
      </c>
      <c r="DO116" s="13" t="n">
        <f aca="false">IF(Calendario!DO$15=1,DO$91+DO$112-DO$96,0)</f>
        <v>0</v>
      </c>
      <c r="DP116" s="13" t="n">
        <f aca="false">IF(Calendario!DP$15=1,DP$91+DP$112-DP$96,0)</f>
        <v>0</v>
      </c>
      <c r="DQ116" s="13" t="n">
        <f aca="false">IF(Calendario!DQ$15=1,DQ$91+DQ$112-DQ$96,0)</f>
        <v>0</v>
      </c>
      <c r="DR116" s="13" t="n">
        <f aca="false">IF(Calendario!DR$15=1,DR$91+DR$112-DR$96,0)</f>
        <v>0</v>
      </c>
      <c r="DS116" s="13" t="n">
        <f aca="false">IF(Calendario!DS$15=1,DS$91+DS$112-DS$96,0)</f>
        <v>0</v>
      </c>
      <c r="DT116" s="13" t="n">
        <f aca="false">IF(Calendario!DT$15=1,DT$91+DT$112-DT$96,0)</f>
        <v>0</v>
      </c>
      <c r="DU116" s="13" t="n">
        <f aca="false">IF(Calendario!DU$15=1,DU$91+DU$112-DU$96,0)</f>
        <v>0</v>
      </c>
      <c r="DV116" s="13" t="n">
        <f aca="false">IF(Calendario!DV$15=1,DV$91+DV$112-DV$96,0)</f>
        <v>5574434.52574395</v>
      </c>
      <c r="DW116" s="13" t="n">
        <f aca="false">IF(Calendario!DW$15=1,DW$91+DW$112-DW$96,0)</f>
        <v>0</v>
      </c>
      <c r="DX116" s="13" t="n">
        <f aca="false">IF(Calendario!DX$15=1,DX$91+DX$112-DX$96,0)</f>
        <v>0</v>
      </c>
      <c r="DY116" s="13" t="n">
        <f aca="false">IF(Calendario!DY$15=1,DY$91+DY$112-DY$96,0)</f>
        <v>0</v>
      </c>
      <c r="DZ116" s="13" t="n">
        <f aca="false">IF(Calendario!DZ$15=1,DZ$91+DZ$112-DZ$96,0)</f>
        <v>0</v>
      </c>
      <c r="EA116" s="13" t="n">
        <f aca="false">IF(Calendario!EA$15=1,EA$91+EA$112-EA$96,0)</f>
        <v>0</v>
      </c>
      <c r="EB116" s="13" t="n">
        <f aca="false">IF(Calendario!EB$15=1,EB$91+EB$112-EB$96,0)</f>
        <v>0</v>
      </c>
      <c r="EC116" s="13" t="n">
        <f aca="false">IF(Calendario!EC$15=1,EC$91+EC$112-EC$96,0)</f>
        <v>0</v>
      </c>
      <c r="ED116" s="13" t="n">
        <f aca="false">IF(Calendario!ED$15=1,ED$91+ED$112-ED$96,0)</f>
        <v>0</v>
      </c>
      <c r="EE116" s="13" t="n">
        <f aca="false">IF(Calendario!EE$15=1,EE$91+EE$112-EE$96,0)</f>
        <v>0</v>
      </c>
      <c r="EF116" s="13" t="n">
        <f aca="false">IF(Calendario!EF$15=1,EF$91+EF$112-EF$96,0)</f>
        <v>0</v>
      </c>
      <c r="EG116" s="13" t="n">
        <f aca="false">IF(Calendario!EG$15=1,EG$91+EG$112-EG$96,0)</f>
        <v>0</v>
      </c>
      <c r="EH116" s="13" t="n">
        <f aca="false">IF(Calendario!EH$15=1,EH$91+EH$112-EH$96,0)</f>
        <v>0</v>
      </c>
      <c r="EI116" s="13" t="n">
        <f aca="false">IF(Calendario!EI$15=1,EI$91+EI$112-EI$96,0)</f>
        <v>0</v>
      </c>
      <c r="EJ116" s="13" t="n">
        <f aca="false">IF(Calendario!EJ$15=1,EJ$91+EJ$112-EJ$96,0)</f>
        <v>0</v>
      </c>
      <c r="EK116" s="13" t="n">
        <f aca="false">IF(Calendario!EK$15=1,EK$91+EK$112-EK$96,0)</f>
        <v>0</v>
      </c>
      <c r="EL116" s="13" t="n">
        <f aca="false">IF(Calendario!EL$15=1,EL$91+EL$112-EL$96,0)</f>
        <v>0</v>
      </c>
      <c r="EM116" s="13" t="n">
        <f aca="false">IF(Calendario!EM$15=1,EM$91+EM$112-EM$96,0)</f>
        <v>0</v>
      </c>
      <c r="EN116" s="13" t="n">
        <f aca="false">IF(Calendario!EN$15=1,EN$91+EN$112-EN$96,0)</f>
        <v>0</v>
      </c>
      <c r="EO116" s="13" t="n">
        <f aca="false">IF(Calendario!EO$15=1,EO$91+EO$112-EO$96,0)</f>
        <v>0</v>
      </c>
      <c r="EP116" s="13" t="n">
        <f aca="false">IF(Calendario!EP$15=1,EP$91+EP$112-EP$96,0)</f>
        <v>0</v>
      </c>
      <c r="EQ116" s="13" t="n">
        <f aca="false">IF(Calendario!EQ$15=1,EQ$91+EQ$112-EQ$96,0)</f>
        <v>0</v>
      </c>
      <c r="ER116" s="13" t="n">
        <f aca="false">IF(Calendario!ER$15=1,ER$91+ER$112-ER$96,0)</f>
        <v>0</v>
      </c>
      <c r="ES116" s="13" t="n">
        <f aca="false">IF(Calendario!ES$15=1,ES$91+ES$112-ES$96,0)</f>
        <v>0</v>
      </c>
      <c r="ET116" s="13" t="n">
        <f aca="false">IF(Calendario!ET$15=1,ET$91+ET$112-ET$96,0)</f>
        <v>0</v>
      </c>
      <c r="EU116" s="13" t="n">
        <f aca="false">IF(Calendario!EU$15=1,EU$91+EU$112-EU$96,0)</f>
        <v>0</v>
      </c>
      <c r="EV116" s="13" t="n">
        <f aca="false">IF(Calendario!EV$15=1,EV$91+EV$112-EV$96,0)</f>
        <v>0</v>
      </c>
      <c r="EW116" s="13" t="n">
        <f aca="false">IF(Calendario!EW$15=1,EW$91+EW$112-EW$96,0)</f>
        <v>0</v>
      </c>
      <c r="EX116" s="13" t="n">
        <f aca="false">IF(Calendario!EX$15=1,EX$91+EX$112-EX$96,0)</f>
        <v>0</v>
      </c>
      <c r="EY116" s="13" t="n">
        <f aca="false">IF(Calendario!EY$15=1,EY$91+EY$112-EY$96,0)</f>
        <v>0</v>
      </c>
      <c r="EZ116" s="13" t="n">
        <f aca="false">IF(Calendario!EZ$15=1,EZ$91+EZ$112-EZ$96,0)</f>
        <v>0</v>
      </c>
      <c r="FA116" s="13" t="n">
        <f aca="false">IF(Calendario!FA$15=1,FA$91+FA$112-FA$96,0)</f>
        <v>0</v>
      </c>
      <c r="FB116" s="13" t="n">
        <f aca="false">IF(Calendario!FB$15=1,FB$91+FB$112-FB$96,0)</f>
        <v>0</v>
      </c>
      <c r="FC116" s="13" t="n">
        <f aca="false">IF(Calendario!FC$15=1,FC$91+FC$112-FC$96,0)</f>
        <v>0</v>
      </c>
      <c r="FD116" s="13" t="n">
        <f aca="false">IF(Calendario!FD$15=1,FD$91+FD$112-FD$96,0)</f>
        <v>0</v>
      </c>
      <c r="FE116" s="13" t="n">
        <f aca="false">IF(Calendario!FE$15=1,FE$91+FE$112-FE$96,0)</f>
        <v>0</v>
      </c>
      <c r="FF116" s="13" t="n">
        <f aca="false">IF(Calendario!FF$15=1,FF$91+FF$112-FF$96,0)</f>
        <v>0</v>
      </c>
    </row>
    <row r="117" customFormat="false" ht="15" hidden="false" customHeight="false" outlineLevel="0" collapsed="false">
      <c r="A117" s="2" t="s">
        <v>1639</v>
      </c>
      <c r="B117" s="66" t="s">
        <v>1640</v>
      </c>
      <c r="C117" s="8" t="s">
        <v>255</v>
      </c>
      <c r="E117" s="67" t="n">
        <f aca="false">SUM($F117:$FF117)</f>
        <v>14759841.6312133</v>
      </c>
      <c r="F117" s="12" t="n">
        <f aca="false">-F$68-F$89-F$59+F$83+F$116</f>
        <v>-200000</v>
      </c>
      <c r="G117" s="12" t="n">
        <f aca="false">-G$68-G$89-G$59+G$83+G$116</f>
        <v>-567782</v>
      </c>
      <c r="H117" s="12" t="n">
        <f aca="false">-H$68-H$89-H$59+H$83+H$116</f>
        <v>0</v>
      </c>
      <c r="I117" s="12" t="n">
        <f aca="false">-I$68-I$89-I$59+I$83+I$116</f>
        <v>0</v>
      </c>
      <c r="J117" s="12" t="n">
        <f aca="false">-J$68-J$89-J$59+J$83+J$116</f>
        <v>0</v>
      </c>
      <c r="K117" s="12" t="n">
        <f aca="false">-K$68-K$89-K$59+K$83+K$116</f>
        <v>0</v>
      </c>
      <c r="L117" s="12" t="n">
        <f aca="false">-L$68-L$89-L$59+L$83+L$116</f>
        <v>0</v>
      </c>
      <c r="M117" s="12" t="n">
        <f aca="false">-M$68-M$89-M$59+M$83+M$116</f>
        <v>0</v>
      </c>
      <c r="N117" s="12" t="n">
        <f aca="false">-N$68-N$89-N$59+N$83+N$116</f>
        <v>0</v>
      </c>
      <c r="O117" s="12" t="n">
        <f aca="false">-O$68-O$89-O$59+O$83+O$116</f>
        <v>0</v>
      </c>
      <c r="P117" s="12" t="n">
        <f aca="false">-P$68-P$89-P$59+P$83+P$116</f>
        <v>0</v>
      </c>
      <c r="Q117" s="12" t="n">
        <f aca="false">-Q$68-Q$89-Q$59+Q$83+Q$116</f>
        <v>0</v>
      </c>
      <c r="R117" s="12" t="n">
        <f aca="false">-R$68-R$89-R$59+R$83+R$116</f>
        <v>0</v>
      </c>
      <c r="S117" s="12" t="n">
        <f aca="false">-S$68-S$89-S$59+S$83+S$116</f>
        <v>-371928</v>
      </c>
      <c r="T117" s="12" t="n">
        <f aca="false">-T$68-T$89-T$59+T$83+T$116</f>
        <v>0</v>
      </c>
      <c r="U117" s="12" t="n">
        <f aca="false">-U$68-U$89-U$59+U$83+U$116</f>
        <v>0</v>
      </c>
      <c r="V117" s="12" t="n">
        <f aca="false">-V$68-V$89-V$59+V$83+V$116</f>
        <v>0</v>
      </c>
      <c r="W117" s="12" t="n">
        <f aca="false">-W$68-W$89-W$59+W$83+W$116</f>
        <v>0</v>
      </c>
      <c r="X117" s="12" t="n">
        <f aca="false">-X$68-X$89-X$59+X$83+X$116</f>
        <v>0</v>
      </c>
      <c r="Y117" s="12" t="n">
        <f aca="false">-Y$68-Y$89-Y$59+Y$83+Y$116</f>
        <v>0</v>
      </c>
      <c r="Z117" s="12" t="n">
        <f aca="false">-Z$68-Z$89-Z$59+Z$83+Z$116</f>
        <v>0</v>
      </c>
      <c r="AA117" s="12" t="n">
        <f aca="false">-AA$68-AA$89-AA$59+AA$83+AA$116</f>
        <v>0</v>
      </c>
      <c r="AB117" s="12" t="n">
        <f aca="false">-AB$68-AB$89-AB$59+AB$83+AB$116</f>
        <v>0</v>
      </c>
      <c r="AC117" s="12" t="n">
        <f aca="false">-AC$68-AC$89-AC$59+AC$83+AC$116</f>
        <v>0</v>
      </c>
      <c r="AD117" s="12" t="n">
        <f aca="false">-AD$68-AD$89-AD$59+AD$83+AD$116</f>
        <v>0</v>
      </c>
      <c r="AE117" s="12" t="n">
        <f aca="false">-AE$68-AE$89-AE$59+AE$83+AE$116</f>
        <v>0</v>
      </c>
      <c r="AF117" s="12" t="n">
        <f aca="false">-AF$68-AF$89-AF$59+AF$83+AF$116</f>
        <v>0</v>
      </c>
      <c r="AG117" s="12" t="n">
        <f aca="false">-AG$68-AG$89-AG$59+AG$83+AG$116</f>
        <v>0</v>
      </c>
      <c r="AH117" s="12" t="n">
        <f aca="false">-AH$68-AH$89-AH$59+AH$83+AH$116</f>
        <v>0</v>
      </c>
      <c r="AI117" s="12" t="n">
        <f aca="false">-AI$68-AI$89-AI$59+AI$83+AI$116</f>
        <v>0</v>
      </c>
      <c r="AJ117" s="12" t="n">
        <f aca="false">-AJ$68-AJ$89-AJ$59+AJ$83+AJ$116</f>
        <v>0</v>
      </c>
      <c r="AK117" s="12" t="n">
        <f aca="false">-AK$68-AK$89-AK$59+AK$83+AK$116</f>
        <v>0</v>
      </c>
      <c r="AL117" s="12" t="n">
        <f aca="false">-AL$68-AL$89-AL$59+AL$83+AL$116</f>
        <v>0</v>
      </c>
      <c r="AM117" s="12" t="n">
        <f aca="false">-AM$68-AM$89-AM$59+AM$83+AM$116</f>
        <v>0</v>
      </c>
      <c r="AN117" s="12" t="n">
        <f aca="false">-AN$68-AN$89-AN$59+AN$83+AN$116</f>
        <v>0</v>
      </c>
      <c r="AO117" s="12" t="n">
        <f aca="false">-AO$68-AO$89-AO$59+AO$83+AO$116</f>
        <v>0</v>
      </c>
      <c r="AP117" s="12" t="n">
        <f aca="false">-AP$68-AP$89-AP$59+AP$83+AP$116</f>
        <v>0</v>
      </c>
      <c r="AQ117" s="12" t="n">
        <f aca="false">-AQ$68-AQ$89-AQ$59+AQ$83+AQ$116</f>
        <v>0</v>
      </c>
      <c r="AR117" s="12" t="n">
        <f aca="false">-AR$68-AR$89-AR$59+AR$83+AR$116</f>
        <v>0</v>
      </c>
      <c r="AS117" s="12" t="n">
        <f aca="false">-AS$68-AS$89-AS$59+AS$83+AS$116</f>
        <v>0</v>
      </c>
      <c r="AT117" s="12" t="n">
        <f aca="false">-AT$68-AT$89-AT$59+AT$83+AT$116</f>
        <v>0</v>
      </c>
      <c r="AU117" s="12" t="n">
        <f aca="false">-AU$68-AU$89-AU$59+AU$83+AU$116</f>
        <v>0</v>
      </c>
      <c r="AV117" s="12" t="n">
        <f aca="false">-AV$68-AV$89-AV$59+AV$83+AV$116</f>
        <v>0</v>
      </c>
      <c r="AW117" s="12" t="n">
        <f aca="false">-AW$68-AW$89-AW$59+AW$83+AW$116</f>
        <v>0</v>
      </c>
      <c r="AX117" s="12" t="n">
        <f aca="false">-AX$68-AX$89-AX$59+AX$83+AX$116</f>
        <v>0</v>
      </c>
      <c r="AY117" s="12" t="n">
        <f aca="false">-AY$68-AY$89-AY$59+AY$83+AY$116</f>
        <v>0</v>
      </c>
      <c r="AZ117" s="12" t="n">
        <f aca="false">-AZ$68-AZ$89-AZ$59+AZ$83+AZ$116</f>
        <v>68973.8384762281</v>
      </c>
      <c r="BA117" s="12" t="n">
        <f aca="false">-BA$68-BA$89-BA$59+BA$83+BA$116</f>
        <v>83888.9179777888</v>
      </c>
      <c r="BB117" s="12" t="n">
        <f aca="false">-BB$68-BB$89-BB$59+BB$83+BB$116</f>
        <v>83931.5156517561</v>
      </c>
      <c r="BC117" s="12" t="n">
        <f aca="false">-BC$68-BC$89-BC$59+BC$83+BC$116</f>
        <v>79855.0310599137</v>
      </c>
      <c r="BD117" s="12" t="n">
        <f aca="false">-BD$68-BD$89-BD$59+BD$83+BD$116</f>
        <v>29556.7097201064</v>
      </c>
      <c r="BE117" s="12" t="n">
        <f aca="false">-BE$68-BE$89-BE$59+BE$83+BE$116</f>
        <v>0</v>
      </c>
      <c r="BF117" s="12" t="n">
        <f aca="false">-BF$68-BF$89-BF$59+BF$83+BF$116</f>
        <v>212242.418769243</v>
      </c>
      <c r="BG117" s="12" t="n">
        <f aca="false">-BG$68-BG$89-BG$59+BG$83+BG$116</f>
        <v>87793.3759555534</v>
      </c>
      <c r="BH117" s="12" t="n">
        <f aca="false">-BH$68-BH$89-BH$59+BH$83+BH$116</f>
        <v>87837.9268280823</v>
      </c>
      <c r="BI117" s="12" t="n">
        <f aca="false">-BI$68-BI$89-BI$59+BI$83+BI$116</f>
        <v>87882.8118321552</v>
      </c>
      <c r="BJ117" s="12" t="n">
        <f aca="false">-BJ$68-BJ$89-BJ$59+BJ$83+BJ$116</f>
        <v>87928.0334737586</v>
      </c>
      <c r="BK117" s="12" t="n">
        <f aca="false">-BK$68-BK$89-BK$59+BK$83+BK$116</f>
        <v>85757.5818348483</v>
      </c>
      <c r="BL117" s="12" t="n">
        <f aca="false">-BL$68-BL$89-BL$59+BL$83+BL$116</f>
        <v>85675.0198553536</v>
      </c>
      <c r="BM117" s="12" t="n">
        <f aca="false">-BM$68-BM$89-BM$59+BM$83+BM$116</f>
        <v>69696.6538631946</v>
      </c>
      <c r="BN117" s="12" t="n">
        <f aca="false">-BN$68-BN$89-BN$59+BN$83+BN$116</f>
        <v>0</v>
      </c>
      <c r="BO117" s="12" t="n">
        <f aca="false">-BO$68-BO$89-BO$59+BO$83+BO$116</f>
        <v>0</v>
      </c>
      <c r="BP117" s="12" t="n">
        <f aca="false">-BP$68-BP$89-BP$59+BP$83+BP$116</f>
        <v>0</v>
      </c>
      <c r="BQ117" s="12" t="n">
        <f aca="false">-BQ$68-BQ$89-BQ$59+BQ$83+BQ$116</f>
        <v>0</v>
      </c>
      <c r="BR117" s="12" t="n">
        <f aca="false">-BR$68-BR$89-BR$59+BR$83+BR$116</f>
        <v>694337.477361594</v>
      </c>
      <c r="BS117" s="12" t="n">
        <f aca="false">-BS$68-BS$89-BS$59+BS$83+BS$116</f>
        <v>155311.049435307</v>
      </c>
      <c r="BT117" s="12" t="n">
        <f aca="false">-BT$68-BT$89-BT$59+BT$83+BT$116</f>
        <v>155311.049435307</v>
      </c>
      <c r="BU117" s="12" t="n">
        <f aca="false">-BU$68-BU$89-BU$59+BU$83+BU$116</f>
        <v>155311.049435307</v>
      </c>
      <c r="BV117" s="12" t="n">
        <f aca="false">-BV$68-BV$89-BV$59+BV$83+BV$116</f>
        <v>155311.049435307</v>
      </c>
      <c r="BW117" s="12" t="n">
        <f aca="false">-BW$68-BW$89-BW$59+BW$83+BW$116</f>
        <v>153072.876868053</v>
      </c>
      <c r="BX117" s="12" t="n">
        <f aca="false">-BX$68-BX$89-BX$59+BX$83+BX$116</f>
        <v>152943.12773372</v>
      </c>
      <c r="BY117" s="12" t="n">
        <f aca="false">-BY$68-BY$89-BY$59+BY$83+BY$116</f>
        <v>73890.5298202352</v>
      </c>
      <c r="BZ117" s="12" t="n">
        <f aca="false">-BZ$68-BZ$89-BZ$59+BZ$83+BZ$116</f>
        <v>0</v>
      </c>
      <c r="CA117" s="12" t="n">
        <f aca="false">-CA$68-CA$89-CA$59+CA$83+CA$116</f>
        <v>0</v>
      </c>
      <c r="CB117" s="12" t="n">
        <f aca="false">-CB$68-CB$89-CB$59+CB$83+CB$116</f>
        <v>0</v>
      </c>
      <c r="CC117" s="12" t="n">
        <f aca="false">-CC$68-CC$89-CC$59+CC$83+CC$116</f>
        <v>0</v>
      </c>
      <c r="CD117" s="12" t="n">
        <f aca="false">-CD$68-CD$89-CD$59+CD$83+CD$116</f>
        <v>840749.034358189</v>
      </c>
      <c r="CE117" s="12" t="n">
        <f aca="false">-CE$68-CE$89-CE$59+CE$83+CE$116</f>
        <v>159432.041261044</v>
      </c>
      <c r="CF117" s="12" t="n">
        <f aca="false">-CF$68-CF$89-CF$59+CF$83+CF$116</f>
        <v>159432.041261044</v>
      </c>
      <c r="CG117" s="12" t="n">
        <f aca="false">-CG$68-CG$89-CG$59+CG$83+CG$116</f>
        <v>159432.041261044</v>
      </c>
      <c r="CH117" s="12" t="n">
        <f aca="false">-CH$68-CH$89-CH$59+CH$83+CH$116</f>
        <v>159432.041261044</v>
      </c>
      <c r="CI117" s="12" t="n">
        <f aca="false">-CI$68-CI$89-CI$59+CI$83+CI$116</f>
        <v>157171.486968118</v>
      </c>
      <c r="CJ117" s="12" t="n">
        <f aca="false">-CJ$68-CJ$89-CJ$59+CJ$83+CJ$116</f>
        <v>157040.440342441</v>
      </c>
      <c r="CK117" s="12" t="n">
        <f aca="false">-CK$68-CK$89-CK$59+CK$83+CK$116</f>
        <v>2421.40517188038</v>
      </c>
      <c r="CL117" s="12" t="n">
        <f aca="false">-CL$68-CL$89-CL$59+CL$83+CL$116</f>
        <v>0</v>
      </c>
      <c r="CM117" s="12" t="n">
        <f aca="false">-CM$68-CM$89-CM$59+CM$83+CM$116</f>
        <v>0</v>
      </c>
      <c r="CN117" s="12" t="n">
        <f aca="false">-CN$68-CN$89-CN$59+CN$83+CN$116</f>
        <v>0</v>
      </c>
      <c r="CO117" s="12" t="n">
        <f aca="false">-CO$68-CO$89-CO$59+CO$83+CO$116</f>
        <v>0</v>
      </c>
      <c r="CP117" s="12" t="n">
        <f aca="false">-CP$68-CP$89-CP$59+CP$83+CP$116</f>
        <v>936736.14070434</v>
      </c>
      <c r="CQ117" s="12" t="n">
        <f aca="false">-CQ$68-CQ$89-CQ$59+CQ$83+CQ$116</f>
        <v>163582.396454778</v>
      </c>
      <c r="CR117" s="12" t="n">
        <f aca="false">-CR$68-CR$89-CR$59+CR$83+CR$116</f>
        <v>163582.396454778</v>
      </c>
      <c r="CS117" s="12" t="n">
        <f aca="false">-CS$68-CS$89-CS$59+CS$83+CS$116</f>
        <v>163582.396454778</v>
      </c>
      <c r="CT117" s="12" t="n">
        <f aca="false">-CT$68-CT$89-CT$59+CT$83+CT$116</f>
        <v>163582.396454778</v>
      </c>
      <c r="CU117" s="12" t="n">
        <f aca="false">-CU$68-CU$89-CU$59+CU$83+CU$116</f>
        <v>161299.236618923</v>
      </c>
      <c r="CV117" s="12" t="n">
        <f aca="false">-CV$68-CV$89-CV$59+CV$83+CV$116</f>
        <v>92205.2533543235</v>
      </c>
      <c r="CW117" s="12" t="n">
        <f aca="false">-CW$68-CW$89-CW$59+CW$83+CW$116</f>
        <v>0</v>
      </c>
      <c r="CX117" s="12" t="n">
        <f aca="false">-CX$68-CX$89-CX$59+CX$83+CX$116</f>
        <v>0</v>
      </c>
      <c r="CY117" s="12" t="n">
        <f aca="false">-CY$68-CY$89-CY$59+CY$83+CY$116</f>
        <v>0</v>
      </c>
      <c r="CZ117" s="12" t="n">
        <f aca="false">-CZ$68-CZ$89-CZ$59+CZ$83+CZ$116</f>
        <v>0</v>
      </c>
      <c r="DA117" s="12" t="n">
        <f aca="false">-DA$68-DA$89-DA$59+DA$83+DA$116</f>
        <v>0</v>
      </c>
      <c r="DB117" s="12" t="n">
        <f aca="false">-DB$68-DB$89-DB$59+DB$83+DB$116</f>
        <v>1032810.13620038</v>
      </c>
      <c r="DC117" s="12" t="n">
        <f aca="false">-DC$68-DC$89-DC$59+DC$83+DC$116</f>
        <v>167762.037656982</v>
      </c>
      <c r="DD117" s="12" t="n">
        <f aca="false">-DD$68-DD$89-DD$59+DD$83+DD$116</f>
        <v>167762.037656982</v>
      </c>
      <c r="DE117" s="12" t="n">
        <f aca="false">-DE$68-DE$89-DE$59+DE$83+DE$116</f>
        <v>167762.037656982</v>
      </c>
      <c r="DF117" s="12" t="n">
        <f aca="false">-DF$68-DF$89-DF$59+DF$83+DF$116</f>
        <v>167762.037656982</v>
      </c>
      <c r="DG117" s="12" t="n">
        <f aca="false">-DG$68-DG$89-DG$59+DG$83+DG$116</f>
        <v>165456.046222767</v>
      </c>
      <c r="DH117" s="12" t="n">
        <f aca="false">-DH$68-DH$89-DH$59+DH$83+DH$116</f>
        <v>25068.006300516</v>
      </c>
      <c r="DI117" s="12" t="n">
        <f aca="false">-DI$68-DI$89-DI$59+DI$83+DI$116</f>
        <v>0</v>
      </c>
      <c r="DJ117" s="12" t="n">
        <f aca="false">-DJ$68-DJ$89-DJ$59+DJ$83+DJ$116</f>
        <v>0</v>
      </c>
      <c r="DK117" s="12" t="n">
        <f aca="false">-DK$68-DK$89-DK$59+DK$83+DK$116</f>
        <v>0</v>
      </c>
      <c r="DL117" s="12" t="n">
        <f aca="false">-DL$68-DL$89-DL$59+DL$83+DL$116</f>
        <v>0</v>
      </c>
      <c r="DM117" s="12" t="n">
        <f aca="false">-DM$68-DM$89-DM$59+DM$83+DM$116</f>
        <v>0</v>
      </c>
      <c r="DN117" s="12" t="n">
        <f aca="false">-DN$68-DN$89-DN$59+DN$83+DN$116</f>
        <v>1128966.28621573</v>
      </c>
      <c r="DO117" s="12" t="n">
        <f aca="false">-DO$68-DO$89-DO$59+DO$83+DO$116</f>
        <v>171970.875604736</v>
      </c>
      <c r="DP117" s="12" t="n">
        <f aca="false">-DP$68-DP$89-DP$59+DP$83+DP$116</f>
        <v>171970.875604736</v>
      </c>
      <c r="DQ117" s="12" t="n">
        <f aca="false">-DQ$68-DQ$89-DQ$59+DQ$83+DQ$116</f>
        <v>171970.875604736</v>
      </c>
      <c r="DR117" s="12" t="n">
        <f aca="false">-DR$68-DR$89-DR$59+DR$83+DR$116</f>
        <v>299667.059883469</v>
      </c>
      <c r="DS117" s="12" t="n">
        <f aca="false">-DS$68-DS$89-DS$59+DS$83+DS$116</f>
        <v>0</v>
      </c>
      <c r="DT117" s="12" t="n">
        <f aca="false">-DT$68-DT$89-DT$59+DT$83+DT$116</f>
        <v>0</v>
      </c>
      <c r="DU117" s="12" t="n">
        <f aca="false">-DU$68-DU$89-DU$59+DU$83+DU$116</f>
        <v>0</v>
      </c>
      <c r="DV117" s="12" t="n">
        <f aca="false">-DV$68-DV$89-DV$59+DV$83+DV$116</f>
        <v>5574434.52574395</v>
      </c>
      <c r="DW117" s="12" t="n">
        <f aca="false">-DW$68-DW$89-DW$59+DW$83+DW$116</f>
        <v>0</v>
      </c>
      <c r="DX117" s="12" t="n">
        <f aca="false">-DX$68-DX$89-DX$59+DX$83+DX$116</f>
        <v>0</v>
      </c>
      <c r="DY117" s="12" t="n">
        <f aca="false">-DY$68-DY$89-DY$59+DY$83+DY$116</f>
        <v>0</v>
      </c>
      <c r="DZ117" s="12" t="n">
        <f aca="false">-DZ$68-DZ$89-DZ$59+DZ$83+DZ$116</f>
        <v>0</v>
      </c>
      <c r="EA117" s="12" t="n">
        <f aca="false">-EA$68-EA$89-EA$59+EA$83+EA$116</f>
        <v>0</v>
      </c>
      <c r="EB117" s="12" t="n">
        <f aca="false">-EB$68-EB$89-EB$59+EB$83+EB$116</f>
        <v>0</v>
      </c>
      <c r="EC117" s="12" t="n">
        <f aca="false">-EC$68-EC$89-EC$59+EC$83+EC$116</f>
        <v>0</v>
      </c>
      <c r="ED117" s="12" t="n">
        <f aca="false">-ED$68-ED$89-ED$59+ED$83+ED$116</f>
        <v>0</v>
      </c>
      <c r="EE117" s="12" t="n">
        <f aca="false">-EE$68-EE$89-EE$59+EE$83+EE$116</f>
        <v>0</v>
      </c>
      <c r="EF117" s="12" t="n">
        <f aca="false">-EF$68-EF$89-EF$59+EF$83+EF$116</f>
        <v>0</v>
      </c>
      <c r="EG117" s="12" t="n">
        <f aca="false">-EG$68-EG$89-EG$59+EG$83+EG$116</f>
        <v>0</v>
      </c>
      <c r="EH117" s="12" t="n">
        <f aca="false">-EH$68-EH$89-EH$59+EH$83+EH$116</f>
        <v>0</v>
      </c>
      <c r="EI117" s="12" t="n">
        <f aca="false">-EI$68-EI$89-EI$59+EI$83+EI$116</f>
        <v>0</v>
      </c>
      <c r="EJ117" s="12" t="n">
        <f aca="false">-EJ$68-EJ$89-EJ$59+EJ$83+EJ$116</f>
        <v>0</v>
      </c>
      <c r="EK117" s="12" t="n">
        <f aca="false">-EK$68-EK$89-EK$59+EK$83+EK$116</f>
        <v>0</v>
      </c>
      <c r="EL117" s="12" t="n">
        <f aca="false">-EL$68-EL$89-EL$59+EL$83+EL$116</f>
        <v>0</v>
      </c>
      <c r="EM117" s="12" t="n">
        <f aca="false">-EM$68-EM$89-EM$59+EM$83+EM$116</f>
        <v>0</v>
      </c>
      <c r="EN117" s="12" t="n">
        <f aca="false">-EN$68-EN$89-EN$59+EN$83+EN$116</f>
        <v>0</v>
      </c>
      <c r="EO117" s="12" t="n">
        <f aca="false">-EO$68-EO$89-EO$59+EO$83+EO$116</f>
        <v>0</v>
      </c>
      <c r="EP117" s="12" t="n">
        <f aca="false">-EP$68-EP$89-EP$59+EP$83+EP$116</f>
        <v>0</v>
      </c>
      <c r="EQ117" s="12" t="n">
        <f aca="false">-EQ$68-EQ$89-EQ$59+EQ$83+EQ$116</f>
        <v>0</v>
      </c>
      <c r="ER117" s="12" t="n">
        <f aca="false">-ER$68-ER$89-ER$59+ER$83+ER$116</f>
        <v>0</v>
      </c>
      <c r="ES117" s="12" t="n">
        <f aca="false">-ES$68-ES$89-ES$59+ES$83+ES$116</f>
        <v>0</v>
      </c>
      <c r="ET117" s="12" t="n">
        <f aca="false">-ET$68-ET$89-ET$59+ET$83+ET$116</f>
        <v>0</v>
      </c>
      <c r="EU117" s="12" t="n">
        <f aca="false">-EU$68-EU$89-EU$59+EU$83+EU$116</f>
        <v>0</v>
      </c>
      <c r="EV117" s="12" t="n">
        <f aca="false">-EV$68-EV$89-EV$59+EV$83+EV$116</f>
        <v>0</v>
      </c>
      <c r="EW117" s="12" t="n">
        <f aca="false">-EW$68-EW$89-EW$59+EW$83+EW$116</f>
        <v>0</v>
      </c>
      <c r="EX117" s="12" t="n">
        <f aca="false">-EX$68-EX$89-EX$59+EX$83+EX$116</f>
        <v>0</v>
      </c>
      <c r="EY117" s="12" t="n">
        <f aca="false">-EY$68-EY$89-EY$59+EY$83+EY$116</f>
        <v>0</v>
      </c>
      <c r="EZ117" s="12" t="n">
        <f aca="false">-EZ$68-EZ$89-EZ$59+EZ$83+EZ$116</f>
        <v>0</v>
      </c>
      <c r="FA117" s="12" t="n">
        <f aca="false">-FA$68-FA$89-FA$59+FA$83+FA$116</f>
        <v>0</v>
      </c>
      <c r="FB117" s="12" t="n">
        <f aca="false">-FB$68-FB$89-FB$59+FB$83+FB$116</f>
        <v>0</v>
      </c>
      <c r="FC117" s="12" t="n">
        <f aca="false">-FC$68-FC$89-FC$59+FC$83+FC$116</f>
        <v>0</v>
      </c>
      <c r="FD117" s="12" t="n">
        <f aca="false">-FD$68-FD$89-FD$59+FD$83+FD$116</f>
        <v>0</v>
      </c>
      <c r="FE117" s="12" t="n">
        <f aca="false">-FE$68-FE$89-FE$59+FE$83+FE$116</f>
        <v>0</v>
      </c>
      <c r="FF117" s="12" t="n">
        <f aca="false">-FF$68-FF$89-FF$59+FF$83+FF$116</f>
        <v>0</v>
      </c>
    </row>
    <row r="118" customFormat="false" ht="15" hidden="false" customHeight="false" outlineLevel="0" collapsed="false">
      <c r="A118" s="2" t="s">
        <v>1641</v>
      </c>
      <c r="B118" s="8" t="s">
        <v>1642</v>
      </c>
      <c r="C118" s="8" t="s">
        <v>255</v>
      </c>
      <c r="E118" s="65" t="n">
        <f aca="false">SUM($F118:$FF118)</f>
        <v>3748260.0338038</v>
      </c>
      <c r="F118" s="13" t="n">
        <f aca="false">F$117*F$109</f>
        <v>-200000</v>
      </c>
      <c r="G118" s="13" t="n">
        <f aca="false">G$117*G$109</f>
        <v>-560674.004749112</v>
      </c>
      <c r="H118" s="13" t="n">
        <f aca="false">H$117*H$109</f>
        <v>0</v>
      </c>
      <c r="I118" s="13" t="n">
        <f aca="false">I$117*I$109</f>
        <v>0</v>
      </c>
      <c r="J118" s="13" t="n">
        <f aca="false">J$117*J$109</f>
        <v>0</v>
      </c>
      <c r="K118" s="13" t="n">
        <f aca="false">K$117*K$109</f>
        <v>0</v>
      </c>
      <c r="L118" s="13" t="n">
        <f aca="false">L$117*L$109</f>
        <v>0</v>
      </c>
      <c r="M118" s="13" t="n">
        <f aca="false">M$117*M$109</f>
        <v>0</v>
      </c>
      <c r="N118" s="13" t="n">
        <f aca="false">N$117*N$109</f>
        <v>0</v>
      </c>
      <c r="O118" s="13" t="n">
        <f aca="false">O$117*O$109</f>
        <v>0</v>
      </c>
      <c r="P118" s="13" t="n">
        <f aca="false">P$117*P$109</f>
        <v>0</v>
      </c>
      <c r="Q118" s="13" t="n">
        <f aca="false">Q$117*Q$109</f>
        <v>0</v>
      </c>
      <c r="R118" s="13" t="n">
        <f aca="false">R$117*R$109</f>
        <v>0</v>
      </c>
      <c r="S118" s="13" t="n">
        <f aca="false">S$117*S$109</f>
        <v>-315742.673361696</v>
      </c>
      <c r="T118" s="13" t="n">
        <f aca="false">T$117*T$109</f>
        <v>0</v>
      </c>
      <c r="U118" s="13" t="n">
        <f aca="false">U$117*U$109</f>
        <v>0</v>
      </c>
      <c r="V118" s="13" t="n">
        <f aca="false">V$117*V$109</f>
        <v>0</v>
      </c>
      <c r="W118" s="13" t="n">
        <f aca="false">W$117*W$109</f>
        <v>0</v>
      </c>
      <c r="X118" s="13" t="n">
        <f aca="false">X$117*X$109</f>
        <v>0</v>
      </c>
      <c r="Y118" s="13" t="n">
        <f aca="false">Y$117*Y$109</f>
        <v>0</v>
      </c>
      <c r="Z118" s="13" t="n">
        <f aca="false">Z$117*Z$109</f>
        <v>0</v>
      </c>
      <c r="AA118" s="13" t="n">
        <f aca="false">AA$117*AA$109</f>
        <v>0</v>
      </c>
      <c r="AB118" s="13" t="n">
        <f aca="false">AB$117*AB$109</f>
        <v>0</v>
      </c>
      <c r="AC118" s="13" t="n">
        <f aca="false">AC$117*AC$109</f>
        <v>0</v>
      </c>
      <c r="AD118" s="13" t="n">
        <f aca="false">AD$117*AD$109</f>
        <v>0</v>
      </c>
      <c r="AE118" s="13" t="n">
        <f aca="false">AE$117*AE$109</f>
        <v>0</v>
      </c>
      <c r="AF118" s="13" t="n">
        <f aca="false">AF$117*AF$109</f>
        <v>0</v>
      </c>
      <c r="AG118" s="13" t="n">
        <f aca="false">AG$117*AG$109</f>
        <v>0</v>
      </c>
      <c r="AH118" s="13" t="n">
        <f aca="false">AH$117*AH$109</f>
        <v>0</v>
      </c>
      <c r="AI118" s="13" t="n">
        <f aca="false">AI$117*AI$109</f>
        <v>0</v>
      </c>
      <c r="AJ118" s="13" t="n">
        <f aca="false">AJ$117*AJ$109</f>
        <v>0</v>
      </c>
      <c r="AK118" s="13" t="n">
        <f aca="false">AK$117*AK$109</f>
        <v>0</v>
      </c>
      <c r="AL118" s="13" t="n">
        <f aca="false">AL$117*AL$109</f>
        <v>0</v>
      </c>
      <c r="AM118" s="13" t="n">
        <f aca="false">AM$117*AM$109</f>
        <v>0</v>
      </c>
      <c r="AN118" s="13" t="n">
        <f aca="false">AN$117*AN$109</f>
        <v>0</v>
      </c>
      <c r="AO118" s="13" t="n">
        <f aca="false">AO$117*AO$109</f>
        <v>0</v>
      </c>
      <c r="AP118" s="13" t="n">
        <f aca="false">AP$117*AP$109</f>
        <v>0</v>
      </c>
      <c r="AQ118" s="13" t="n">
        <f aca="false">AQ$117*AQ$109</f>
        <v>0</v>
      </c>
      <c r="AR118" s="13" t="n">
        <f aca="false">AR$117*AR$109</f>
        <v>0</v>
      </c>
      <c r="AS118" s="13" t="n">
        <f aca="false">AS$117*AS$109</f>
        <v>0</v>
      </c>
      <c r="AT118" s="13" t="n">
        <f aca="false">AT$117*AT$109</f>
        <v>0</v>
      </c>
      <c r="AU118" s="13" t="n">
        <f aca="false">AU$117*AU$109</f>
        <v>0</v>
      </c>
      <c r="AV118" s="13" t="n">
        <f aca="false">AV$117*AV$109</f>
        <v>0</v>
      </c>
      <c r="AW118" s="13" t="n">
        <f aca="false">AW$117*AW$109</f>
        <v>0</v>
      </c>
      <c r="AX118" s="13" t="n">
        <f aca="false">AX$117*AX$109</f>
        <v>0</v>
      </c>
      <c r="AY118" s="13" t="n">
        <f aca="false">AY$117*AY$109</f>
        <v>0</v>
      </c>
      <c r="AZ118" s="13" t="n">
        <f aca="false">AZ$117*AZ$109</f>
        <v>38637.518011589</v>
      </c>
      <c r="BA118" s="13" t="n">
        <f aca="false">BA$117*BA$109</f>
        <v>46404.2991853084</v>
      </c>
      <c r="BB118" s="13" t="n">
        <f aca="false">BB$117*BB$109</f>
        <v>45846.6377851869</v>
      </c>
      <c r="BC118" s="13" t="n">
        <f aca="false">BC$117*BC$109</f>
        <v>43073.8319572305</v>
      </c>
      <c r="BD118" s="13" t="n">
        <f aca="false">BD$117*BD$109</f>
        <v>15743.3123994696</v>
      </c>
      <c r="BE118" s="13" t="n">
        <f aca="false">BE$117*BE$109</f>
        <v>0</v>
      </c>
      <c r="BF118" s="13" t="n">
        <f aca="false">BF$117*BF$109</f>
        <v>110237.616464148</v>
      </c>
      <c r="BG118" s="13" t="n">
        <f aca="false">BG$117*BG$109</f>
        <v>45028.5723921105</v>
      </c>
      <c r="BH118" s="13" t="n">
        <f aca="false">BH$117*BH$109</f>
        <v>44487.4288145143</v>
      </c>
      <c r="BI118" s="13" t="n">
        <f aca="false">BI$117*BI$109</f>
        <v>43952.9443855659</v>
      </c>
      <c r="BJ118" s="13" t="n">
        <f aca="false">BJ$117*BJ$109</f>
        <v>43425.036330003</v>
      </c>
      <c r="BK118" s="13" t="n">
        <f aca="false">BK$117*BK$109</f>
        <v>41822.9013213055</v>
      </c>
      <c r="BL118" s="13" t="n">
        <f aca="false">BL$117*BL$109</f>
        <v>41259.5650194367</v>
      </c>
      <c r="BM118" s="13" t="n">
        <f aca="false">BM$117*BM$109</f>
        <v>33144.4761987853</v>
      </c>
      <c r="BN118" s="13" t="n">
        <f aca="false">BN$117*BN$109</f>
        <v>0</v>
      </c>
      <c r="BO118" s="13" t="n">
        <f aca="false">BO$117*BO$109</f>
        <v>0</v>
      </c>
      <c r="BP118" s="13" t="n">
        <f aca="false">BP$117*BP$109</f>
        <v>0</v>
      </c>
      <c r="BQ118" s="13" t="n">
        <f aca="false">BQ$117*BQ$109</f>
        <v>0</v>
      </c>
      <c r="BR118" s="13" t="n">
        <f aca="false">BR$117*BR$109</f>
        <v>310037.225546949</v>
      </c>
      <c r="BS118" s="13" t="n">
        <f aca="false">BS$117*BS$109</f>
        <v>68481.6773829605</v>
      </c>
      <c r="BT118" s="13" t="n">
        <f aca="false">BT$117*BT$109</f>
        <v>67624.3634180745</v>
      </c>
      <c r="BU118" s="13" t="n">
        <f aca="false">BU$117*BU$109</f>
        <v>66777.7820646325</v>
      </c>
      <c r="BV118" s="13" t="n">
        <f aca="false">BV$117*BV$109</f>
        <v>65941.7989623499</v>
      </c>
      <c r="BW118" s="13" t="n">
        <f aca="false">BW$117*BW$109</f>
        <v>64177.896976018</v>
      </c>
      <c r="BX118" s="13" t="n">
        <f aca="false">BX$117*BX$109</f>
        <v>63320.7434424735</v>
      </c>
      <c r="BY118" s="13" t="n">
        <f aca="false">BY$117*BY$109</f>
        <v>30208.8100908555</v>
      </c>
      <c r="BZ118" s="13" t="n">
        <f aca="false">BZ$117*BZ$109</f>
        <v>0</v>
      </c>
      <c r="CA118" s="13" t="n">
        <f aca="false">CA$117*CA$109</f>
        <v>0</v>
      </c>
      <c r="CB118" s="13" t="n">
        <f aca="false">CB$117*CB$109</f>
        <v>0</v>
      </c>
      <c r="CC118" s="13" t="n">
        <f aca="false">CC$117*CC$109</f>
        <v>0</v>
      </c>
      <c r="CD118" s="13" t="n">
        <f aca="false">CD$117*CD$109</f>
        <v>322741.801058824</v>
      </c>
      <c r="CE118" s="13" t="n">
        <f aca="false">CE$117*CE$109</f>
        <v>60435.6570622608</v>
      </c>
      <c r="CF118" s="13" t="n">
        <f aca="false">CF$117*CF$109</f>
        <v>59679.0702677114</v>
      </c>
      <c r="CG118" s="13" t="n">
        <f aca="false">CG$117*CG$109</f>
        <v>58931.9550931545</v>
      </c>
      <c r="CH118" s="13" t="n">
        <f aca="false">CH$117*CH$109</f>
        <v>58194.1929645071</v>
      </c>
      <c r="CI118" s="13" t="n">
        <f aca="false">CI$117*CI$109</f>
        <v>56650.8728602461</v>
      </c>
      <c r="CJ118" s="13" t="n">
        <f aca="false">CJ$117*CJ$109</f>
        <v>55895.024219842</v>
      </c>
      <c r="CK118" s="13" t="n">
        <f aca="false">CK$117*CK$109</f>
        <v>851.055554531255</v>
      </c>
      <c r="CL118" s="13" t="n">
        <f aca="false">CL$117*CL$109</f>
        <v>0</v>
      </c>
      <c r="CM118" s="13" t="n">
        <f aca="false">CM$117*CM$109</f>
        <v>0</v>
      </c>
      <c r="CN118" s="13" t="n">
        <f aca="false">CN$117*CN$109</f>
        <v>0</v>
      </c>
      <c r="CO118" s="13" t="n">
        <f aca="false">CO$117*CO$109</f>
        <v>0</v>
      </c>
      <c r="CP118" s="13" t="n">
        <f aca="false">CP$117*CP$109</f>
        <v>309137.523770656</v>
      </c>
      <c r="CQ118" s="13" t="n">
        <f aca="false">CQ$117*CQ$109</f>
        <v>53308.9114342652</v>
      </c>
      <c r="CR118" s="13" t="n">
        <f aca="false">CR$117*CR$109</f>
        <v>52641.5435196347</v>
      </c>
      <c r="CS118" s="13" t="n">
        <f aca="false">CS$117*CS$109</f>
        <v>51982.5303044624</v>
      </c>
      <c r="CT118" s="13" t="n">
        <f aca="false">CT$117*CT$109</f>
        <v>51331.7671972606</v>
      </c>
      <c r="CU118" s="13" t="n">
        <f aca="false">CU$117*CU$109</f>
        <v>49981.6699400041</v>
      </c>
      <c r="CV118" s="13" t="n">
        <f aca="false">CV$117*CV$109</f>
        <v>28213.8865899806</v>
      </c>
      <c r="CW118" s="13" t="n">
        <f aca="false">CW$117*CW$109</f>
        <v>0</v>
      </c>
      <c r="CX118" s="13" t="n">
        <f aca="false">CX$117*CX$109</f>
        <v>0</v>
      </c>
      <c r="CY118" s="13" t="n">
        <f aca="false">CY$117*CY$109</f>
        <v>0</v>
      </c>
      <c r="CZ118" s="13" t="n">
        <f aca="false">CZ$117*CZ$109</f>
        <v>0</v>
      </c>
      <c r="DA118" s="13" t="n">
        <f aca="false">DA$117*DA$109</f>
        <v>0</v>
      </c>
      <c r="DB118" s="13" t="n">
        <f aca="false">DB$117*DB$109</f>
        <v>293022.214085086</v>
      </c>
      <c r="DC118" s="13" t="n">
        <f aca="false">DC$117*DC$109</f>
        <v>47000.5074670589</v>
      </c>
      <c r="DD118" s="13" t="n">
        <f aca="false">DD$117*DD$109</f>
        <v>46412.1137105376</v>
      </c>
      <c r="DE118" s="13" t="n">
        <f aca="false">DE$117*DE$109</f>
        <v>45831.0859853928</v>
      </c>
      <c r="DF118" s="13" t="n">
        <f aca="false">DF$117*DF$109</f>
        <v>45257.3320771548</v>
      </c>
      <c r="DG118" s="13" t="n">
        <f aca="false">DG$117*DG$109</f>
        <v>44076.4591843169</v>
      </c>
      <c r="DH118" s="13" t="n">
        <f aca="false">DH$117*DH$109</f>
        <v>6594.35999942279</v>
      </c>
      <c r="DI118" s="13" t="n">
        <f aca="false">DI$117*DI$109</f>
        <v>0</v>
      </c>
      <c r="DJ118" s="13" t="n">
        <f aca="false">DJ$117*DJ$109</f>
        <v>0</v>
      </c>
      <c r="DK118" s="13" t="n">
        <f aca="false">DK$117*DK$109</f>
        <v>0</v>
      </c>
      <c r="DL118" s="13" t="n">
        <f aca="false">DL$117*DL$109</f>
        <v>0</v>
      </c>
      <c r="DM118" s="13" t="n">
        <f aca="false">DM$117*DM$109</f>
        <v>0</v>
      </c>
      <c r="DN118" s="13" t="n">
        <f aca="false">DN$117*DN$109</f>
        <v>275363.665112048</v>
      </c>
      <c r="DO118" s="13" t="n">
        <f aca="false">DO$117*DO$109</f>
        <v>41419.9302849298</v>
      </c>
      <c r="DP118" s="13" t="n">
        <f aca="false">DP$117*DP$109</f>
        <v>40901.3991096594</v>
      </c>
      <c r="DQ118" s="13" t="n">
        <f aca="false">DQ$117*DQ$109</f>
        <v>40389.3593644295</v>
      </c>
      <c r="DR118" s="13" t="n">
        <f aca="false">DR$117*DR$109</f>
        <v>69499.2102556293</v>
      </c>
      <c r="DS118" s="13" t="n">
        <f aca="false">DS$117*DS$109</f>
        <v>0</v>
      </c>
      <c r="DT118" s="13" t="n">
        <f aca="false">DT$117*DT$109</f>
        <v>0</v>
      </c>
      <c r="DU118" s="13" t="n">
        <f aca="false">DU$117*DU$109</f>
        <v>0</v>
      </c>
      <c r="DV118" s="13" t="n">
        <f aca="false">DV$117*DV$109</f>
        <v>1229297.17529264</v>
      </c>
      <c r="DW118" s="13" t="n">
        <f aca="false">DW$117*DW$109</f>
        <v>0</v>
      </c>
      <c r="DX118" s="13" t="n">
        <f aca="false">DX$117*DX$109</f>
        <v>0</v>
      </c>
      <c r="DY118" s="13" t="n">
        <f aca="false">DY$117*DY$109</f>
        <v>0</v>
      </c>
      <c r="DZ118" s="13" t="n">
        <f aca="false">DZ$117*DZ$109</f>
        <v>0</v>
      </c>
      <c r="EA118" s="13" t="n">
        <f aca="false">EA$117*EA$109</f>
        <v>0</v>
      </c>
      <c r="EB118" s="13" t="n">
        <f aca="false">EB$117*EB$109</f>
        <v>0</v>
      </c>
      <c r="EC118" s="13" t="n">
        <f aca="false">EC$117*EC$109</f>
        <v>0</v>
      </c>
      <c r="ED118" s="13" t="n">
        <f aca="false">ED$117*ED$109</f>
        <v>0</v>
      </c>
      <c r="EE118" s="13" t="n">
        <f aca="false">EE$117*EE$109</f>
        <v>0</v>
      </c>
      <c r="EF118" s="13" t="n">
        <f aca="false">EF$117*EF$109</f>
        <v>0</v>
      </c>
      <c r="EG118" s="13" t="n">
        <f aca="false">EG$117*EG$109</f>
        <v>0</v>
      </c>
      <c r="EH118" s="13" t="n">
        <f aca="false">EH$117*EH$109</f>
        <v>0</v>
      </c>
      <c r="EI118" s="13" t="n">
        <f aca="false">EI$117*EI$109</f>
        <v>0</v>
      </c>
      <c r="EJ118" s="13" t="n">
        <f aca="false">EJ$117*EJ$109</f>
        <v>0</v>
      </c>
      <c r="EK118" s="13" t="n">
        <f aca="false">EK$117*EK$109</f>
        <v>0</v>
      </c>
      <c r="EL118" s="13" t="n">
        <f aca="false">EL$117*EL$109</f>
        <v>0</v>
      </c>
      <c r="EM118" s="13" t="n">
        <f aca="false">EM$117*EM$109</f>
        <v>0</v>
      </c>
      <c r="EN118" s="13" t="n">
        <f aca="false">EN$117*EN$109</f>
        <v>0</v>
      </c>
      <c r="EO118" s="13" t="n">
        <f aca="false">EO$117*EO$109</f>
        <v>0</v>
      </c>
      <c r="EP118" s="13" t="n">
        <f aca="false">EP$117*EP$109</f>
        <v>0</v>
      </c>
      <c r="EQ118" s="13" t="n">
        <f aca="false">EQ$117*EQ$109</f>
        <v>0</v>
      </c>
      <c r="ER118" s="13" t="n">
        <f aca="false">ER$117*ER$109</f>
        <v>0</v>
      </c>
      <c r="ES118" s="13" t="n">
        <f aca="false">ES$117*ES$109</f>
        <v>0</v>
      </c>
      <c r="ET118" s="13" t="n">
        <f aca="false">ET$117*ET$109</f>
        <v>0</v>
      </c>
      <c r="EU118" s="13" t="n">
        <f aca="false">EU$117*EU$109</f>
        <v>0</v>
      </c>
      <c r="EV118" s="13" t="n">
        <f aca="false">EV$117*EV$109</f>
        <v>0</v>
      </c>
      <c r="EW118" s="13" t="n">
        <f aca="false">EW$117*EW$109</f>
        <v>0</v>
      </c>
      <c r="EX118" s="13" t="n">
        <f aca="false">EX$117*EX$109</f>
        <v>0</v>
      </c>
      <c r="EY118" s="13" t="n">
        <f aca="false">EY$117*EY$109</f>
        <v>0</v>
      </c>
      <c r="EZ118" s="13" t="n">
        <f aca="false">EZ$117*EZ$109</f>
        <v>0</v>
      </c>
      <c r="FA118" s="13" t="n">
        <f aca="false">FA$117*FA$109</f>
        <v>0</v>
      </c>
      <c r="FB118" s="13" t="n">
        <f aca="false">FB$117*FB$109</f>
        <v>0</v>
      </c>
      <c r="FC118" s="13" t="n">
        <f aca="false">FC$117*FC$109</f>
        <v>0</v>
      </c>
      <c r="FD118" s="13" t="n">
        <f aca="false">FD$117*FD$109</f>
        <v>0</v>
      </c>
      <c r="FE118" s="13" t="n">
        <f aca="false">FE$117*FE$109</f>
        <v>0</v>
      </c>
      <c r="FF118" s="13" t="n">
        <f aca="false">FF$117*FF$109</f>
        <v>0</v>
      </c>
    </row>
    <row r="119" customFormat="false" ht="15" hidden="false" customHeight="false" outlineLevel="0" collapsed="false">
      <c r="A119" s="2" t="s">
        <v>1643</v>
      </c>
      <c r="B119" s="8" t="s">
        <v>1644</v>
      </c>
      <c r="C119" s="8" t="s">
        <v>255</v>
      </c>
      <c r="E119" s="65" t="n">
        <f aca="false">INDEX($F119:$FF119,1,p_MesFin+1)</f>
        <v>14759841.6312133</v>
      </c>
      <c r="F119" s="13" t="n">
        <f aca="false">0+F$117</f>
        <v>-200000</v>
      </c>
      <c r="G119" s="13" t="n">
        <f aca="false">F$119+G$117</f>
        <v>-767782</v>
      </c>
      <c r="H119" s="13" t="n">
        <f aca="false">G$119+H$117</f>
        <v>-767782</v>
      </c>
      <c r="I119" s="13" t="n">
        <f aca="false">H$119+I$117</f>
        <v>-767782</v>
      </c>
      <c r="J119" s="13" t="n">
        <f aca="false">I$119+J$117</f>
        <v>-767782</v>
      </c>
      <c r="K119" s="13" t="n">
        <f aca="false">J$119+K$117</f>
        <v>-767782</v>
      </c>
      <c r="L119" s="13" t="n">
        <f aca="false">K$119+L$117</f>
        <v>-767782</v>
      </c>
      <c r="M119" s="13" t="n">
        <f aca="false">L$119+M$117</f>
        <v>-767782</v>
      </c>
      <c r="N119" s="13" t="n">
        <f aca="false">M$119+N$117</f>
        <v>-767782</v>
      </c>
      <c r="O119" s="13" t="n">
        <f aca="false">N$119+O$117</f>
        <v>-767782</v>
      </c>
      <c r="P119" s="13" t="n">
        <f aca="false">O$119+P$117</f>
        <v>-767782</v>
      </c>
      <c r="Q119" s="13" t="n">
        <f aca="false">P$119+Q$117</f>
        <v>-767782</v>
      </c>
      <c r="R119" s="13" t="n">
        <f aca="false">Q$119+R$117</f>
        <v>-767782</v>
      </c>
      <c r="S119" s="13" t="n">
        <f aca="false">R$119+S$117</f>
        <v>-1139710</v>
      </c>
      <c r="T119" s="13" t="n">
        <f aca="false">S$119+T$117</f>
        <v>-1139710</v>
      </c>
      <c r="U119" s="13" t="n">
        <f aca="false">T$119+U$117</f>
        <v>-1139710</v>
      </c>
      <c r="V119" s="13" t="n">
        <f aca="false">U$119+V$117</f>
        <v>-1139710</v>
      </c>
      <c r="W119" s="13" t="n">
        <f aca="false">V$119+W$117</f>
        <v>-1139710</v>
      </c>
      <c r="X119" s="13" t="n">
        <f aca="false">W$119+X$117</f>
        <v>-1139710</v>
      </c>
      <c r="Y119" s="13" t="n">
        <f aca="false">X$119+Y$117</f>
        <v>-1139710</v>
      </c>
      <c r="Z119" s="13" t="n">
        <f aca="false">Y$119+Z$117</f>
        <v>-1139710</v>
      </c>
      <c r="AA119" s="13" t="n">
        <f aca="false">Z$119+AA$117</f>
        <v>-1139710</v>
      </c>
      <c r="AB119" s="13" t="n">
        <f aca="false">AA$119+AB$117</f>
        <v>-1139710</v>
      </c>
      <c r="AC119" s="13" t="n">
        <f aca="false">AB$119+AC$117</f>
        <v>-1139710</v>
      </c>
      <c r="AD119" s="13" t="n">
        <f aca="false">AC$119+AD$117</f>
        <v>-1139710</v>
      </c>
      <c r="AE119" s="13" t="n">
        <f aca="false">AD$119+AE$117</f>
        <v>-1139710</v>
      </c>
      <c r="AF119" s="13" t="n">
        <f aca="false">AE$119+AF$117</f>
        <v>-1139710</v>
      </c>
      <c r="AG119" s="13" t="n">
        <f aca="false">AF$119+AG$117</f>
        <v>-1139710</v>
      </c>
      <c r="AH119" s="13" t="n">
        <f aca="false">AG$119+AH$117</f>
        <v>-1139710</v>
      </c>
      <c r="AI119" s="13" t="n">
        <f aca="false">AH$119+AI$117</f>
        <v>-1139710</v>
      </c>
      <c r="AJ119" s="13" t="n">
        <f aca="false">AI$119+AJ$117</f>
        <v>-1139710</v>
      </c>
      <c r="AK119" s="13" t="n">
        <f aca="false">AJ$119+AK$117</f>
        <v>-1139710</v>
      </c>
      <c r="AL119" s="13" t="n">
        <f aca="false">AK$119+AL$117</f>
        <v>-1139710</v>
      </c>
      <c r="AM119" s="13" t="n">
        <f aca="false">AL$119+AM$117</f>
        <v>-1139710</v>
      </c>
      <c r="AN119" s="13" t="n">
        <f aca="false">AM$119+AN$117</f>
        <v>-1139710</v>
      </c>
      <c r="AO119" s="13" t="n">
        <f aca="false">AN$119+AO$117</f>
        <v>-1139710</v>
      </c>
      <c r="AP119" s="13" t="n">
        <f aca="false">AO$119+AP$117</f>
        <v>-1139710</v>
      </c>
      <c r="AQ119" s="13" t="n">
        <f aca="false">AP$119+AQ$117</f>
        <v>-1139710</v>
      </c>
      <c r="AR119" s="13" t="n">
        <f aca="false">AQ$119+AR$117</f>
        <v>-1139710</v>
      </c>
      <c r="AS119" s="13" t="n">
        <f aca="false">AR$119+AS$117</f>
        <v>-1139710</v>
      </c>
      <c r="AT119" s="13" t="n">
        <f aca="false">AS$119+AT$117</f>
        <v>-1139710</v>
      </c>
      <c r="AU119" s="13" t="n">
        <f aca="false">AT$119+AU$117</f>
        <v>-1139710</v>
      </c>
      <c r="AV119" s="13" t="n">
        <f aca="false">AU$119+AV$117</f>
        <v>-1139710</v>
      </c>
      <c r="AW119" s="13" t="n">
        <f aca="false">AV$119+AW$117</f>
        <v>-1139710</v>
      </c>
      <c r="AX119" s="13" t="n">
        <f aca="false">AW$119+AX$117</f>
        <v>-1139710</v>
      </c>
      <c r="AY119" s="13" t="n">
        <f aca="false">AX$119+AY$117</f>
        <v>-1139710</v>
      </c>
      <c r="AZ119" s="13" t="n">
        <f aca="false">AY$119+AZ$117</f>
        <v>-1070736.16152377</v>
      </c>
      <c r="BA119" s="13" t="n">
        <f aca="false">AZ$119+BA$117</f>
        <v>-986847.243545983</v>
      </c>
      <c r="BB119" s="13" t="n">
        <f aca="false">BA$119+BB$117</f>
        <v>-902915.727894227</v>
      </c>
      <c r="BC119" s="13" t="n">
        <f aca="false">BB$119+BC$117</f>
        <v>-823060.696834314</v>
      </c>
      <c r="BD119" s="13" t="n">
        <f aca="false">BC$119+BD$117</f>
        <v>-793503.987114207</v>
      </c>
      <c r="BE119" s="13" t="n">
        <f aca="false">BD$119+BE$117</f>
        <v>-793503.987114207</v>
      </c>
      <c r="BF119" s="13" t="n">
        <f aca="false">BE$119+BF$117</f>
        <v>-581261.568344964</v>
      </c>
      <c r="BG119" s="13" t="n">
        <f aca="false">BF$119+BG$117</f>
        <v>-493468.192389411</v>
      </c>
      <c r="BH119" s="13" t="n">
        <f aca="false">BG$119+BH$117</f>
        <v>-405630.265561328</v>
      </c>
      <c r="BI119" s="13" t="n">
        <f aca="false">BH$119+BI$117</f>
        <v>-317747.453729173</v>
      </c>
      <c r="BJ119" s="13" t="n">
        <f aca="false">BI$119+BJ$117</f>
        <v>-229819.420255415</v>
      </c>
      <c r="BK119" s="13" t="n">
        <f aca="false">BJ$119+BK$117</f>
        <v>-144061.838420566</v>
      </c>
      <c r="BL119" s="13" t="n">
        <f aca="false">BK$119+BL$117</f>
        <v>-58386.8185652127</v>
      </c>
      <c r="BM119" s="13" t="n">
        <f aca="false">BL$119+BM$117</f>
        <v>11309.835297982</v>
      </c>
      <c r="BN119" s="13" t="n">
        <f aca="false">BM$119+BN$117</f>
        <v>11309.835297982</v>
      </c>
      <c r="BO119" s="13" t="n">
        <f aca="false">BN$119+BO$117</f>
        <v>11309.835297982</v>
      </c>
      <c r="BP119" s="13" t="n">
        <f aca="false">BO$119+BP$117</f>
        <v>11309.835297982</v>
      </c>
      <c r="BQ119" s="13" t="n">
        <f aca="false">BP$119+BQ$117</f>
        <v>11309.835297982</v>
      </c>
      <c r="BR119" s="13" t="n">
        <f aca="false">BQ$119+BR$117</f>
        <v>705647.312659576</v>
      </c>
      <c r="BS119" s="13" t="n">
        <f aca="false">BR$119+BS$117</f>
        <v>860958.362094883</v>
      </c>
      <c r="BT119" s="13" t="n">
        <f aca="false">BS$119+BT$117</f>
        <v>1016269.41153019</v>
      </c>
      <c r="BU119" s="13" t="n">
        <f aca="false">BT$119+BU$117</f>
        <v>1171580.4609655</v>
      </c>
      <c r="BV119" s="13" t="n">
        <f aca="false">BU$119+BV$117</f>
        <v>1326891.51040081</v>
      </c>
      <c r="BW119" s="13" t="n">
        <f aca="false">BV$119+BW$117</f>
        <v>1479964.38726886</v>
      </c>
      <c r="BX119" s="13" t="n">
        <f aca="false">BW$119+BX$117</f>
        <v>1632907.51500258</v>
      </c>
      <c r="BY119" s="13" t="n">
        <f aca="false">BX$119+BY$117</f>
        <v>1706798.04482281</v>
      </c>
      <c r="BZ119" s="13" t="n">
        <f aca="false">BY$119+BZ$117</f>
        <v>1706798.04482281</v>
      </c>
      <c r="CA119" s="13" t="n">
        <f aca="false">BZ$119+CA$117</f>
        <v>1706798.04482281</v>
      </c>
      <c r="CB119" s="13" t="n">
        <f aca="false">CA$119+CB$117</f>
        <v>1706798.04482281</v>
      </c>
      <c r="CC119" s="13" t="n">
        <f aca="false">CB$119+CC$117</f>
        <v>1706798.04482281</v>
      </c>
      <c r="CD119" s="13" t="n">
        <f aca="false">CC$119+CD$117</f>
        <v>2547547.079181</v>
      </c>
      <c r="CE119" s="13" t="n">
        <f aca="false">CD$119+CE$117</f>
        <v>2706979.12044205</v>
      </c>
      <c r="CF119" s="13" t="n">
        <f aca="false">CE$119+CF$117</f>
        <v>2866411.16170309</v>
      </c>
      <c r="CG119" s="13" t="n">
        <f aca="false">CF$119+CG$117</f>
        <v>3025843.20296414</v>
      </c>
      <c r="CH119" s="13" t="n">
        <f aca="false">CG$119+CH$117</f>
        <v>3185275.24422518</v>
      </c>
      <c r="CI119" s="13" t="n">
        <f aca="false">CH$119+CI$117</f>
        <v>3342446.7311933</v>
      </c>
      <c r="CJ119" s="13" t="n">
        <f aca="false">CI$119+CJ$117</f>
        <v>3499487.17153574</v>
      </c>
      <c r="CK119" s="13" t="n">
        <f aca="false">CJ$119+CK$117</f>
        <v>3501908.57670762</v>
      </c>
      <c r="CL119" s="13" t="n">
        <f aca="false">CK$119+CL$117</f>
        <v>3501908.57670762</v>
      </c>
      <c r="CM119" s="13" t="n">
        <f aca="false">CL$119+CM$117</f>
        <v>3501908.57670762</v>
      </c>
      <c r="CN119" s="13" t="n">
        <f aca="false">CM$119+CN$117</f>
        <v>3501908.57670762</v>
      </c>
      <c r="CO119" s="13" t="n">
        <f aca="false">CN$119+CO$117</f>
        <v>3501908.57670762</v>
      </c>
      <c r="CP119" s="13" t="n">
        <f aca="false">CO$119+CP$117</f>
        <v>4438644.71741196</v>
      </c>
      <c r="CQ119" s="13" t="n">
        <f aca="false">CP$119+CQ$117</f>
        <v>4602227.11386674</v>
      </c>
      <c r="CR119" s="13" t="n">
        <f aca="false">CQ$119+CR$117</f>
        <v>4765809.51032152</v>
      </c>
      <c r="CS119" s="13" t="n">
        <f aca="false">CR$119+CS$117</f>
        <v>4929391.90677629</v>
      </c>
      <c r="CT119" s="13" t="n">
        <f aca="false">CS$119+CT$117</f>
        <v>5092974.30323107</v>
      </c>
      <c r="CU119" s="13" t="n">
        <f aca="false">CT$119+CU$117</f>
        <v>5254273.53985</v>
      </c>
      <c r="CV119" s="13" t="n">
        <f aca="false">CU$119+CV$117</f>
        <v>5346478.79320432</v>
      </c>
      <c r="CW119" s="13" t="n">
        <f aca="false">CV$119+CW$117</f>
        <v>5346478.79320432</v>
      </c>
      <c r="CX119" s="13" t="n">
        <f aca="false">CW$119+CX$117</f>
        <v>5346478.79320432</v>
      </c>
      <c r="CY119" s="13" t="n">
        <f aca="false">CX$119+CY$117</f>
        <v>5346478.79320432</v>
      </c>
      <c r="CZ119" s="13" t="n">
        <f aca="false">CY$119+CZ$117</f>
        <v>5346478.79320432</v>
      </c>
      <c r="DA119" s="13" t="n">
        <f aca="false">CZ$119+DA$117</f>
        <v>5346478.79320432</v>
      </c>
      <c r="DB119" s="13" t="n">
        <f aca="false">DA$119+DB$117</f>
        <v>6379288.92940469</v>
      </c>
      <c r="DC119" s="13" t="n">
        <f aca="false">DB$119+DC$117</f>
        <v>6547050.96706168</v>
      </c>
      <c r="DD119" s="13" t="n">
        <f aca="false">DC$119+DD$117</f>
        <v>6714813.00471866</v>
      </c>
      <c r="DE119" s="13" t="n">
        <f aca="false">DD$119+DE$117</f>
        <v>6882575.04237564</v>
      </c>
      <c r="DF119" s="13" t="n">
        <f aca="false">DE$119+DF$117</f>
        <v>7050337.08003262</v>
      </c>
      <c r="DG119" s="13" t="n">
        <f aca="false">DF$119+DG$117</f>
        <v>7215793.12625539</v>
      </c>
      <c r="DH119" s="13" t="n">
        <f aca="false">DG$119+DH$117</f>
        <v>7240861.13255591</v>
      </c>
      <c r="DI119" s="13" t="n">
        <f aca="false">DH$119+DI$117</f>
        <v>7240861.13255591</v>
      </c>
      <c r="DJ119" s="13" t="n">
        <f aca="false">DI$119+DJ$117</f>
        <v>7240861.13255591</v>
      </c>
      <c r="DK119" s="13" t="n">
        <f aca="false">DJ$119+DK$117</f>
        <v>7240861.13255591</v>
      </c>
      <c r="DL119" s="13" t="n">
        <f aca="false">DK$119+DL$117</f>
        <v>7240861.13255591</v>
      </c>
      <c r="DM119" s="13" t="n">
        <f aca="false">DL$119+DM$117</f>
        <v>7240861.13255591</v>
      </c>
      <c r="DN119" s="13" t="n">
        <f aca="false">DM$119+DN$117</f>
        <v>8369827.41877164</v>
      </c>
      <c r="DO119" s="13" t="n">
        <f aca="false">DN$119+DO$117</f>
        <v>8541798.29437638</v>
      </c>
      <c r="DP119" s="13" t="n">
        <f aca="false">DO$119+DP$117</f>
        <v>8713769.16998111</v>
      </c>
      <c r="DQ119" s="13" t="n">
        <f aca="false">DP$119+DQ$117</f>
        <v>8885740.04558585</v>
      </c>
      <c r="DR119" s="13" t="n">
        <f aca="false">DQ$119+DR$117</f>
        <v>9185407.10546932</v>
      </c>
      <c r="DS119" s="13" t="n">
        <f aca="false">DR$119+DS$117</f>
        <v>9185407.10546932</v>
      </c>
      <c r="DT119" s="13" t="n">
        <f aca="false">DS$119+DT$117</f>
        <v>9185407.10546932</v>
      </c>
      <c r="DU119" s="13" t="n">
        <f aca="false">DT$119+DU$117</f>
        <v>9185407.10546932</v>
      </c>
      <c r="DV119" s="13" t="n">
        <f aca="false">DU$119+DV$117</f>
        <v>14759841.6312133</v>
      </c>
      <c r="DW119" s="13" t="n">
        <f aca="false">DV$119+DW$117</f>
        <v>14759841.6312133</v>
      </c>
      <c r="DX119" s="13" t="n">
        <f aca="false">DW$119+DX$117</f>
        <v>14759841.6312133</v>
      </c>
      <c r="DY119" s="13" t="n">
        <f aca="false">DX$119+DY$117</f>
        <v>14759841.6312133</v>
      </c>
      <c r="DZ119" s="13" t="n">
        <f aca="false">DY$119+DZ$117</f>
        <v>14759841.6312133</v>
      </c>
      <c r="EA119" s="13" t="n">
        <f aca="false">DZ$119+EA$117</f>
        <v>14759841.6312133</v>
      </c>
      <c r="EB119" s="13" t="n">
        <f aca="false">EA$119+EB$117</f>
        <v>14759841.6312133</v>
      </c>
      <c r="EC119" s="13" t="n">
        <f aca="false">EB$119+EC$117</f>
        <v>14759841.6312133</v>
      </c>
      <c r="ED119" s="13" t="n">
        <f aca="false">EC$119+ED$117</f>
        <v>14759841.6312133</v>
      </c>
      <c r="EE119" s="13" t="n">
        <f aca="false">ED$119+EE$117</f>
        <v>14759841.6312133</v>
      </c>
      <c r="EF119" s="13" t="n">
        <f aca="false">EE$119+EF$117</f>
        <v>14759841.6312133</v>
      </c>
      <c r="EG119" s="13" t="n">
        <f aca="false">EF$119+EG$117</f>
        <v>14759841.6312133</v>
      </c>
      <c r="EH119" s="13" t="n">
        <f aca="false">EG$119+EH$117</f>
        <v>14759841.6312133</v>
      </c>
      <c r="EI119" s="13" t="n">
        <f aca="false">EH$119+EI$117</f>
        <v>14759841.6312133</v>
      </c>
      <c r="EJ119" s="13" t="n">
        <f aca="false">EI$119+EJ$117</f>
        <v>14759841.6312133</v>
      </c>
      <c r="EK119" s="13" t="n">
        <f aca="false">EJ$119+EK$117</f>
        <v>14759841.6312133</v>
      </c>
      <c r="EL119" s="13" t="n">
        <f aca="false">EK$119+EL$117</f>
        <v>14759841.6312133</v>
      </c>
      <c r="EM119" s="13" t="n">
        <f aca="false">EL$119+EM$117</f>
        <v>14759841.6312133</v>
      </c>
      <c r="EN119" s="13" t="n">
        <f aca="false">EM$119+EN$117</f>
        <v>14759841.6312133</v>
      </c>
      <c r="EO119" s="13" t="n">
        <f aca="false">EN$119+EO$117</f>
        <v>14759841.6312133</v>
      </c>
      <c r="EP119" s="13" t="n">
        <f aca="false">EO$119+EP$117</f>
        <v>14759841.6312133</v>
      </c>
      <c r="EQ119" s="13" t="n">
        <f aca="false">EP$119+EQ$117</f>
        <v>14759841.6312133</v>
      </c>
      <c r="ER119" s="13" t="n">
        <f aca="false">EQ$119+ER$117</f>
        <v>14759841.6312133</v>
      </c>
      <c r="ES119" s="13" t="n">
        <f aca="false">ER$119+ES$117</f>
        <v>14759841.6312133</v>
      </c>
      <c r="ET119" s="13" t="n">
        <f aca="false">ES$119+ET$117</f>
        <v>14759841.6312133</v>
      </c>
      <c r="EU119" s="13" t="n">
        <f aca="false">ET$119+EU$117</f>
        <v>14759841.6312133</v>
      </c>
      <c r="EV119" s="13" t="n">
        <f aca="false">EU$119+EV$117</f>
        <v>14759841.6312133</v>
      </c>
      <c r="EW119" s="13" t="n">
        <f aca="false">EV$119+EW$117</f>
        <v>14759841.6312133</v>
      </c>
      <c r="EX119" s="13" t="n">
        <f aca="false">EW$119+EX$117</f>
        <v>14759841.6312133</v>
      </c>
      <c r="EY119" s="13" t="n">
        <f aca="false">EX$119+EY$117</f>
        <v>14759841.6312133</v>
      </c>
      <c r="EZ119" s="13" t="n">
        <f aca="false">EY$119+EZ$117</f>
        <v>14759841.6312133</v>
      </c>
      <c r="FA119" s="13" t="n">
        <f aca="false">EZ$119+FA$117</f>
        <v>14759841.6312133</v>
      </c>
      <c r="FB119" s="13" t="n">
        <f aca="false">FA$119+FB$117</f>
        <v>14759841.6312133</v>
      </c>
      <c r="FC119" s="13" t="n">
        <f aca="false">FB$119+FC$117</f>
        <v>14759841.6312133</v>
      </c>
      <c r="FD119" s="13" t="n">
        <f aca="false">FC$119+FD$117</f>
        <v>14759841.6312133</v>
      </c>
      <c r="FE119" s="13" t="n">
        <f aca="false">FD$119+FE$117</f>
        <v>14759841.6312133</v>
      </c>
      <c r="FF119" s="13" t="n">
        <f aca="false">FE$119+FF$117</f>
        <v>14759841.6312133</v>
      </c>
    </row>
    <row r="120" customFormat="false" ht="15" hidden="false" customHeight="false" outlineLevel="0" collapsed="false">
      <c r="A120" s="2" t="s">
        <v>1645</v>
      </c>
      <c r="B120" s="8" t="s">
        <v>1646</v>
      </c>
      <c r="C120" s="8" t="s">
        <v>255</v>
      </c>
      <c r="E120" s="65" t="n">
        <f aca="false">SUM($F120:$FF120)</f>
        <v>11760281.5699874</v>
      </c>
      <c r="F120" s="13" t="n">
        <f aca="false">F$60+F$59-F$67-F$71-F$72+F$65-F$66+F$87-F$75</f>
        <v>1072400.61780822</v>
      </c>
      <c r="G120" s="13" t="n">
        <f aca="false">G$60+G$59-G$67-G$71-G$72+G$65-G$66+G$87-G$75</f>
        <v>-354394.392426447</v>
      </c>
      <c r="H120" s="13" t="n">
        <f aca="false">H$60+H$59-H$67-H$71-H$72+H$65-H$66+H$87-H$75</f>
        <v>-389563.929166692</v>
      </c>
      <c r="I120" s="13" t="n">
        <f aca="false">I$60+I$59-I$67-I$71-I$72+I$65-I$66+I$87-I$75</f>
        <v>-384699.759246632</v>
      </c>
      <c r="J120" s="13" t="n">
        <f aca="false">J$60+J$59-J$67-J$71-J$72+J$65-J$66+J$87-J$75</f>
        <v>-362553.64052517</v>
      </c>
      <c r="K120" s="13" t="n">
        <f aca="false">K$60+K$59-K$67-K$71-K$72+K$65-K$66+K$87-K$75</f>
        <v>19466.907420035</v>
      </c>
      <c r="L120" s="13" t="n">
        <f aca="false">L$60+L$59-L$67-L$71-L$72+L$65-L$66+L$87-L$75</f>
        <v>19466.907420035</v>
      </c>
      <c r="M120" s="13" t="n">
        <f aca="false">M$60+M$59-M$67-M$71-M$72+M$65-M$66+M$87-M$75</f>
        <v>-22656.3966746528</v>
      </c>
      <c r="N120" s="13" t="n">
        <f aca="false">N$60+N$59-N$67-N$71-N$72+N$65-N$66+N$87-N$75</f>
        <v>-42962.0809464411</v>
      </c>
      <c r="O120" s="13" t="n">
        <f aca="false">O$60+O$59-O$67-O$71-O$72+O$65-O$66+O$87-O$75</f>
        <v>-87178.0318778057</v>
      </c>
      <c r="P120" s="13" t="n">
        <f aca="false">P$60+P$59-P$67-P$71-P$72+P$65-P$66+P$87-P$75</f>
        <v>-89642.7062159393</v>
      </c>
      <c r="Q120" s="13" t="n">
        <f aca="false">Q$60+Q$59-Q$67-Q$71-Q$72+Q$65-Q$66+Q$87-Q$75</f>
        <v>-89610.3975625534</v>
      </c>
      <c r="R120" s="13" t="n">
        <f aca="false">R$60+R$59-R$67-R$71-R$72+R$65-R$66+R$87-R$75</f>
        <v>-89595.6042913956</v>
      </c>
      <c r="S120" s="13" t="n">
        <f aca="false">S$60+S$59-S$67-S$71-S$72+S$65-S$66+S$87-S$75</f>
        <v>-190903.778717821</v>
      </c>
      <c r="T120" s="13" t="n">
        <f aca="false">T$60+T$59-T$67-T$71-T$72+T$65-T$66+T$87-T$75</f>
        <v>-95364.6416799145</v>
      </c>
      <c r="U120" s="13" t="n">
        <f aca="false">U$60+U$59-U$67-U$71-U$72+U$65-U$66+U$87-U$75</f>
        <v>-95331.3528081329</v>
      </c>
      <c r="V120" s="13" t="n">
        <f aca="false">V$60+V$59-V$67-V$71-V$72+V$65-V$66+V$87-V$75</f>
        <v>-89219.2754570276</v>
      </c>
      <c r="W120" s="13" t="n">
        <f aca="false">W$60+W$59-W$67-W$71-W$72+W$65-W$66+W$87-W$75</f>
        <v>15669.3091408777</v>
      </c>
      <c r="X120" s="13" t="n">
        <f aca="false">X$60+X$59-X$67-X$71-X$72+X$65-X$66+X$87-X$75</f>
        <v>15703.3526438152</v>
      </c>
      <c r="Y120" s="13" t="n">
        <f aca="false">Y$60+Y$59-Y$67-Y$71-Y$72+Y$65-Y$66+Y$87-Y$75</f>
        <v>15737.6514730247</v>
      </c>
      <c r="Z120" s="13" t="n">
        <f aca="false">Z$60+Z$59-Z$67-Z$71-Z$72+Z$65-Z$66+Z$87-Z$75</f>
        <v>-4670.73398591428</v>
      </c>
      <c r="AA120" s="13" t="n">
        <f aca="false">AA$60+AA$59-AA$67-AA$71-AA$72+AA$65-AA$66+AA$87-AA$75</f>
        <v>-49445.6365362221</v>
      </c>
      <c r="AB120" s="13" t="n">
        <f aca="false">AB$60+AB$59-AB$67-AB$71-AB$72+AB$65-AB$66+AB$87-AB$75</f>
        <v>-51939.5236436592</v>
      </c>
      <c r="AC120" s="13" t="n">
        <f aca="false">AC$60+AC$59-AC$67-AC$71-AC$72+AC$65-AC$66+AC$87-AC$75</f>
        <v>-51904.1842157305</v>
      </c>
      <c r="AD120" s="13" t="n">
        <f aca="false">AD$60+AD$59-AD$67-AD$71-AD$72+AD$65-AD$66+AD$87-AD$75</f>
        <v>-51886.4296189933</v>
      </c>
      <c r="AE120" s="13" t="n">
        <f aca="false">AE$60+AE$59-AE$67-AE$71-AE$72+AE$65-AE$66+AE$87-AE$75</f>
        <v>-56676.953860291</v>
      </c>
      <c r="AF120" s="13" t="n">
        <f aca="false">AF$60+AF$59-AF$67-AF$71-AF$72+AF$65-AF$66+AF$87-AF$75</f>
        <v>-60536.8606072235</v>
      </c>
      <c r="AG120" s="13" t="n">
        <f aca="false">AG$60+AG$59-AG$67-AG$71-AG$72+AG$65-AG$66+AG$87-AG$75</f>
        <v>-60500.4490096532</v>
      </c>
      <c r="AH120" s="13" t="n">
        <f aca="false">AH$60+AH$59-AH$67-AH$71-AH$72+AH$65-AH$66+AH$87-AH$75</f>
        <v>-54265.869347932</v>
      </c>
      <c r="AI120" s="13" t="n">
        <f aca="false">AI$60+AI$59-AI$67-AI$71-AI$72+AI$65-AI$66+AI$87-AI$75</f>
        <v>52684.7788279186</v>
      </c>
      <c r="AJ120" s="13" t="n">
        <f aca="false">AJ$60+AJ$59-AJ$67-AJ$71-AJ$72+AJ$65-AJ$66+AJ$87-AJ$75</f>
        <v>52722.0158462525</v>
      </c>
      <c r="AK120" s="13" t="n">
        <f aca="false">AK$60+AK$59-AK$67-AK$71-AK$72+AK$65-AK$66+AK$87-AK$75</f>
        <v>52759.5321422239</v>
      </c>
      <c r="AL120" s="13" t="n">
        <f aca="false">AL$60+AL$59-AL$67-AL$71-AL$72+AL$65-AL$66+AL$87-AL$75</f>
        <v>36264.7226123104</v>
      </c>
      <c r="AM120" s="13" t="n">
        <f aca="false">AM$60+AM$59-AM$67-AM$71-AM$72+AM$65-AM$66+AM$87-AM$75</f>
        <v>-582.029521073731</v>
      </c>
      <c r="AN120" s="13" t="n">
        <f aca="false">AN$60+AN$59-AN$67-AN$71-AN$72+AN$65-AN$66+AN$87-AN$75</f>
        <v>-2626.35385000773</v>
      </c>
      <c r="AO120" s="13" t="n">
        <f aca="false">AO$60+AO$59-AO$67-AO$71-AO$72+AO$65-AO$66+AO$87-AO$75</f>
        <v>-2587.69933997983</v>
      </c>
      <c r="AP120" s="13" t="n">
        <f aca="false">AP$60+AP$59-AP$67-AP$71-AP$72+AP$65-AP$66+AP$87-AP$75</f>
        <v>-2563.19036969514</v>
      </c>
      <c r="AQ120" s="13" t="n">
        <f aca="false">AQ$60+AQ$59-AQ$67-AQ$71-AQ$72+AQ$65-AQ$66+AQ$87-AQ$75</f>
        <v>-6386.23036271909</v>
      </c>
      <c r="AR120" s="13" t="n">
        <f aca="false">AR$60+AR$59-AR$67-AR$71-AR$72+AR$65-AR$66+AR$87-AR$75</f>
        <v>-9734.07588479434</v>
      </c>
      <c r="AS120" s="13" t="n">
        <f aca="false">AS$60+AS$59-AS$67-AS$71-AS$72+AS$65-AS$66+AS$87-AS$75</f>
        <v>-9694.24862821669</v>
      </c>
      <c r="AT120" s="13" t="n">
        <f aca="false">AT$60+AT$59-AT$67-AT$71-AT$72+AT$65-AT$66+AT$87-AT$75</f>
        <v>-4417.14353479454</v>
      </c>
      <c r="AU120" s="13" t="n">
        <f aca="false">AU$60+AU$59-AU$67-AU$71-AU$72+AU$65-AU$66+AU$87-AU$75</f>
        <v>85961.1734051616</v>
      </c>
      <c r="AV120" s="13" t="n">
        <f aca="false">AV$60+AV$59-AV$67-AV$71-AV$72+AV$65-AV$66+AV$87-AV$75</f>
        <v>86001.9035126639</v>
      </c>
      <c r="AW120" s="13" t="n">
        <f aca="false">AW$60+AW$59-AW$67-AW$71-AW$72+AW$65-AW$66+AW$87-AW$75</f>
        <v>86042.9390959725</v>
      </c>
      <c r="AX120" s="13" t="n">
        <f aca="false">AX$60+AX$59-AX$67-AX$71-AX$72+AX$65-AX$66+AX$87-AX$75</f>
        <v>86084.282446156</v>
      </c>
      <c r="AY120" s="13" t="n">
        <f aca="false">AY$60+AY$59-AY$67-AY$71-AY$72+AY$65-AY$66+AY$87-AY$75</f>
        <v>83931.8641458956</v>
      </c>
      <c r="AZ120" s="13" t="n">
        <f aca="false">AZ$60+AZ$59-AZ$67-AZ$71-AZ$72+AZ$65-AZ$66+AZ$87-AZ$75</f>
        <v>83846.6374080946</v>
      </c>
      <c r="BA120" s="13" t="n">
        <f aca="false">BA$60+BA$59-BA$67-BA$71-BA$72+BA$65-BA$66+BA$87-BA$75</f>
        <v>83888.9179777888</v>
      </c>
      <c r="BB120" s="13" t="n">
        <f aca="false">BB$60+BB$59-BB$67-BB$71-BB$72+BB$65-BB$66+BB$87-BB$75</f>
        <v>83931.5156517561</v>
      </c>
      <c r="BC120" s="13" t="n">
        <f aca="false">BC$60+BC$59-BC$67-BC$71-BC$72+BC$65-BC$66+BC$87-BC$75</f>
        <v>80568.9026295027</v>
      </c>
      <c r="BD120" s="13" t="n">
        <f aca="false">BD$60+BD$59-BD$67-BD$71-BD$72+BD$65-BD$66+BD$87-BD$75</f>
        <v>80423.8388213572</v>
      </c>
      <c r="BE120" s="13" t="n">
        <f aca="false">BE$60+BE$59-BE$67-BE$71-BE$72+BE$65-BE$66+BE$87-BE$75</f>
        <v>80467.4021493172</v>
      </c>
      <c r="BF120" s="13" t="n">
        <f aca="false">BF$60+BF$59-BF$67-BF$71-BF$72+BF$65-BF$66+BF$87-BF$75</f>
        <v>80907.8875186752</v>
      </c>
      <c r="BG120" s="13" t="n">
        <f aca="false">BG$60+BG$59-BG$67-BG$71-BG$72+BG$65-BG$66+BG$87-BG$75</f>
        <v>87793.3759555534</v>
      </c>
      <c r="BH120" s="13" t="n">
        <f aca="false">BH$60+BH$59-BH$67-BH$71-BH$72+BH$65-BH$66+BH$87-BH$75</f>
        <v>87837.9268280823</v>
      </c>
      <c r="BI120" s="13" t="n">
        <f aca="false">BI$60+BI$59-BI$67-BI$71-BI$72+BI$65-BI$66+BI$87-BI$75</f>
        <v>87882.8118321552</v>
      </c>
      <c r="BJ120" s="13" t="n">
        <f aca="false">BJ$60+BJ$59-BJ$67-BJ$71-BJ$72+BJ$65-BJ$66+BJ$87-BJ$75</f>
        <v>87928.0334737586</v>
      </c>
      <c r="BK120" s="13" t="n">
        <f aca="false">BK$60+BK$59-BK$67-BK$71-BK$72+BK$65-BK$66+BK$87-BK$75</f>
        <v>85757.5818348483</v>
      </c>
      <c r="BL120" s="13" t="n">
        <f aca="false">BL$60+BL$59-BL$67-BL$71-BL$72+BL$65-BL$66+BL$87-BL$75</f>
        <v>85675.0198553536</v>
      </c>
      <c r="BM120" s="13" t="n">
        <f aca="false">BM$60+BM$59-BM$67-BM$71-BM$72+BM$65-BM$66+BM$87-BM$75</f>
        <v>85721.2666341235</v>
      </c>
      <c r="BN120" s="13" t="n">
        <f aca="false">BN$60+BN$59-BN$67-BN$71-BN$72+BN$65-BN$66+BN$87-BN$75</f>
        <v>85767.860263732</v>
      </c>
      <c r="BO120" s="13" t="n">
        <f aca="false">BO$60+BO$59-BO$67-BO$71-BO$72+BO$65-BO$66+BO$87-BO$75</f>
        <v>148863.034547443</v>
      </c>
      <c r="BP120" s="13" t="n">
        <f aca="false">BP$60+BP$59-BP$67-BP$71-BP$72+BP$65-BP$66+BP$87-BP$75</f>
        <v>148000.806265057</v>
      </c>
      <c r="BQ120" s="13" t="n">
        <f aca="false">BQ$60+BQ$59-BQ$67-BQ$71-BQ$72+BQ$65-BQ$66+BQ$87-BQ$75</f>
        <v>148000.806265057</v>
      </c>
      <c r="BR120" s="13" t="n">
        <f aca="false">BR$60+BR$59-BR$67-BR$71-BR$72+BR$65-BR$66+BR$87-BR$75</f>
        <v>148401.36753466</v>
      </c>
      <c r="BS120" s="13" t="n">
        <f aca="false">BS$60+BS$59-BS$67-BS$71-BS$72+BS$65-BS$66+BS$87-BS$75</f>
        <v>155311.049435307</v>
      </c>
      <c r="BT120" s="13" t="n">
        <f aca="false">BT$60+BT$59-BT$67-BT$71-BT$72+BT$65-BT$66+BT$87-BT$75</f>
        <v>155311.049435307</v>
      </c>
      <c r="BU120" s="13" t="n">
        <f aca="false">BU$60+BU$59-BU$67-BU$71-BU$72+BU$65-BU$66+BU$87-BU$75</f>
        <v>155311.049435307</v>
      </c>
      <c r="BV120" s="13" t="n">
        <f aca="false">BV$60+BV$59-BV$67-BV$71-BV$72+BV$65-BV$66+BV$87-BV$75</f>
        <v>155311.049435307</v>
      </c>
      <c r="BW120" s="13" t="n">
        <f aca="false">BW$60+BW$59-BW$67-BW$71-BW$72+BW$65-BW$66+BW$87-BW$75</f>
        <v>153072.876868053</v>
      </c>
      <c r="BX120" s="13" t="n">
        <f aca="false">BX$60+BX$59-BX$67-BX$71-BX$72+BX$65-BX$66+BX$87-BX$75</f>
        <v>152943.12773372</v>
      </c>
      <c r="BY120" s="13" t="n">
        <f aca="false">BY$60+BY$59-BY$67-BY$71-BY$72+BY$65-BY$66+BY$87-BY$75</f>
        <v>152943.12773372</v>
      </c>
      <c r="BZ120" s="13" t="n">
        <f aca="false">BZ$60+BZ$59-BZ$67-BZ$71-BZ$72+BZ$65-BZ$66+BZ$87-BZ$75</f>
        <v>152943.12773372</v>
      </c>
      <c r="CA120" s="13" t="n">
        <f aca="false">CA$60+CA$59-CA$67-CA$71-CA$72+CA$65-CA$66+CA$87-CA$75</f>
        <v>152930.875239547</v>
      </c>
      <c r="CB120" s="13" t="n">
        <f aca="false">CB$60+CB$59-CB$67-CB$71-CB$72+CB$65-CB$66+CB$87-CB$75</f>
        <v>152048.695659092</v>
      </c>
      <c r="CC120" s="13" t="n">
        <f aca="false">CC$60+CC$59-CC$67-CC$71-CC$72+CC$65-CC$66+CC$87-CC$75</f>
        <v>152048.695659092</v>
      </c>
      <c r="CD120" s="13" t="n">
        <f aca="false">CD$60+CD$59-CD$67-CD$71-CD$72+CD$65-CD$66+CD$87-CD$75</f>
        <v>152453.262541391</v>
      </c>
      <c r="CE120" s="13" t="n">
        <f aca="false">CE$60+CE$59-CE$67-CE$71-CE$72+CE$65-CE$66+CE$87-CE$75</f>
        <v>159432.041261044</v>
      </c>
      <c r="CF120" s="13" t="n">
        <f aca="false">CF$60+CF$59-CF$67-CF$71-CF$72+CF$65-CF$66+CF$87-CF$75</f>
        <v>159432.041261044</v>
      </c>
      <c r="CG120" s="13" t="n">
        <f aca="false">CG$60+CG$59-CG$67-CG$71-CG$72+CG$65-CG$66+CG$87-CG$75</f>
        <v>159432.041261044</v>
      </c>
      <c r="CH120" s="13" t="n">
        <f aca="false">CH$60+CH$59-CH$67-CH$71-CH$72+CH$65-CH$66+CH$87-CH$75</f>
        <v>159432.041261044</v>
      </c>
      <c r="CI120" s="13" t="n">
        <f aca="false">CI$60+CI$59-CI$67-CI$71-CI$72+CI$65-CI$66+CI$87-CI$75</f>
        <v>157171.486968118</v>
      </c>
      <c r="CJ120" s="13" t="n">
        <f aca="false">CJ$60+CJ$59-CJ$67-CJ$71-CJ$72+CJ$65-CJ$66+CJ$87-CJ$75</f>
        <v>157040.440342441</v>
      </c>
      <c r="CK120" s="13" t="n">
        <f aca="false">CK$60+CK$59-CK$67-CK$71-CK$72+CK$65-CK$66+CK$87-CK$75</f>
        <v>157040.440342441</v>
      </c>
      <c r="CL120" s="13" t="n">
        <f aca="false">CL$60+CL$59-CL$67-CL$71-CL$72+CL$65-CL$66+CL$87-CL$75</f>
        <v>157040.440342441</v>
      </c>
      <c r="CM120" s="13" t="n">
        <f aca="false">CM$60+CM$59-CM$67-CM$71-CM$72+CM$65-CM$66+CM$87-CM$75</f>
        <v>157027.903041816</v>
      </c>
      <c r="CN120" s="13" t="n">
        <f aca="false">CN$60+CN$59-CN$67-CN$71-CN$72+CN$65-CN$66+CN$87-CN$75</f>
        <v>156125.217396807</v>
      </c>
      <c r="CO120" s="13" t="n">
        <f aca="false">CO$60+CO$59-CO$67-CO$71-CO$72+CO$65-CO$66+CO$87-CO$75</f>
        <v>156125.217396807</v>
      </c>
      <c r="CP120" s="13" t="n">
        <f aca="false">CP$60+CP$59-CP$67-CP$71-CP$72+CP$65-CP$66+CP$87-CP$75</f>
        <v>156533.829947928</v>
      </c>
      <c r="CQ120" s="13" t="n">
        <f aca="false">CQ$60+CQ$59-CQ$67-CQ$71-CQ$72+CQ$65-CQ$66+CQ$87-CQ$75</f>
        <v>163582.396454778</v>
      </c>
      <c r="CR120" s="13" t="n">
        <f aca="false">CR$60+CR$59-CR$67-CR$71-CR$72+CR$65-CR$66+CR$87-CR$75</f>
        <v>163582.396454778</v>
      </c>
      <c r="CS120" s="13" t="n">
        <f aca="false">CS$60+CS$59-CS$67-CS$71-CS$72+CS$65-CS$66+CS$87-CS$75</f>
        <v>163582.396454778</v>
      </c>
      <c r="CT120" s="13" t="n">
        <f aca="false">CT$60+CT$59-CT$67-CT$71-CT$72+CT$65-CT$66+CT$87-CT$75</f>
        <v>163582.396454778</v>
      </c>
      <c r="CU120" s="13" t="n">
        <f aca="false">CU$60+CU$59-CU$67-CU$71-CU$72+CU$65-CU$66+CU$87-CU$75</f>
        <v>161299.236618923</v>
      </c>
      <c r="CV120" s="13" t="n">
        <f aca="false">CV$60+CV$59-CV$67-CV$71-CV$72+CV$65-CV$66+CV$87-CV$75</f>
        <v>161166.879526989</v>
      </c>
      <c r="CW120" s="13" t="n">
        <f aca="false">CW$60+CW$59-CW$67-CW$71-CW$72+CW$65-CW$66+CW$87-CW$75</f>
        <v>161166.879526989</v>
      </c>
      <c r="CX120" s="13" t="n">
        <f aca="false">CX$60+CX$59-CX$67-CX$71-CX$72+CX$65-CX$66+CX$87-CX$75</f>
        <v>161166.879526989</v>
      </c>
      <c r="CY120" s="13" t="n">
        <f aca="false">CY$60+CY$59-CY$67-CY$71-CY$72+CY$65-CY$66+CY$87-CY$75</f>
        <v>161154.049489748</v>
      </c>
      <c r="CZ120" s="13" t="n">
        <f aca="false">CZ$60+CZ$59-CZ$67-CZ$71-CZ$72+CZ$65-CZ$66+CZ$87-CZ$75</f>
        <v>160230.28680843</v>
      </c>
      <c r="DA120" s="13" t="n">
        <f aca="false">DA$60+DA$59-DA$67-DA$71-DA$72+DA$65-DA$66+DA$87-DA$75</f>
        <v>160230.28680843</v>
      </c>
      <c r="DB120" s="13" t="n">
        <f aca="false">DB$60+DB$59-DB$67-DB$71-DB$72+DB$65-DB$66+DB$87-DB$75</f>
        <v>160642.985485063</v>
      </c>
      <c r="DC120" s="13" t="n">
        <f aca="false">DC$60+DC$59-DC$67-DC$71-DC$72+DC$65-DC$66+DC$87-DC$75</f>
        <v>167762.037656982</v>
      </c>
      <c r="DD120" s="13" t="n">
        <f aca="false">DD$60+DD$59-DD$67-DD$71-DD$72+DD$65-DD$66+DD$87-DD$75</f>
        <v>167762.037656982</v>
      </c>
      <c r="DE120" s="13" t="n">
        <f aca="false">DE$60+DE$59-DE$67-DE$71-DE$72+DE$65-DE$66+DE$87-DE$75</f>
        <v>167762.037656982</v>
      </c>
      <c r="DF120" s="13" t="n">
        <f aca="false">DF$60+DF$59-DF$67-DF$71-DF$72+DF$65-DF$66+DF$87-DF$75</f>
        <v>167762.037656982</v>
      </c>
      <c r="DG120" s="13" t="n">
        <f aca="false">DG$60+DG$59-DG$67-DG$71-DG$72+DG$65-DG$66+DG$87-DG$75</f>
        <v>165456.046222767</v>
      </c>
      <c r="DH120" s="13" t="n">
        <f aca="false">DH$60+DH$59-DH$67-DH$71-DH$72+DH$65-DH$66+DH$87-DH$75</f>
        <v>165322.365559915</v>
      </c>
      <c r="DI120" s="13" t="n">
        <f aca="false">DI$60+DI$59-DI$67-DI$71-DI$72+DI$65-DI$66+DI$87-DI$75</f>
        <v>165322.365559915</v>
      </c>
      <c r="DJ120" s="13" t="n">
        <f aca="false">DJ$60+DJ$59-DJ$67-DJ$71-DJ$72+DJ$65-DJ$66+DJ$87-DJ$75</f>
        <v>165322.365559915</v>
      </c>
      <c r="DK120" s="13" t="n">
        <f aca="false">DK$60+DK$59-DK$67-DK$71-DK$72+DK$65-DK$66+DK$87-DK$75</f>
        <v>165309.234624131</v>
      </c>
      <c r="DL120" s="13" t="n">
        <f aca="false">DL$60+DL$59-DL$67-DL$71-DL$72+DL$65-DL$66+DL$87-DL$75</f>
        <v>164363.807247698</v>
      </c>
      <c r="DM120" s="13" t="n">
        <f aca="false">DM$60+DM$59-DM$67-DM$71-DM$72+DM$65-DM$66+DM$87-DM$75</f>
        <v>164363.807247698</v>
      </c>
      <c r="DN120" s="13" t="n">
        <f aca="false">DN$60+DN$59-DN$67-DN$71-DN$72+DN$65-DN$66+DN$87-DN$75</f>
        <v>164780.632911098</v>
      </c>
      <c r="DO120" s="13" t="n">
        <f aca="false">DO$60+DO$59-DO$67-DO$71-DO$72+DO$65-DO$66+DO$87-DO$75</f>
        <v>171970.875604736</v>
      </c>
      <c r="DP120" s="13" t="n">
        <f aca="false">DP$60+DP$59-DP$67-DP$71-DP$72+DP$65-DP$66+DP$87-DP$75</f>
        <v>171970.875604736</v>
      </c>
      <c r="DQ120" s="13" t="n">
        <f aca="false">DQ$60+DQ$59-DQ$67-DQ$71-DQ$72+DQ$65-DQ$66+DQ$87-DQ$75</f>
        <v>171970.875604736</v>
      </c>
      <c r="DR120" s="13" t="n">
        <f aca="false">DR$60+DR$59-DR$67-DR$71-DR$72+DR$65-DR$66+DR$87-DR$75</f>
        <v>312936.287702147</v>
      </c>
      <c r="DS120" s="13" t="n">
        <f aca="false">DS$60+DS$59-DS$67-DS$71-DS$72+DS$65-DS$66+DS$87-DS$75</f>
        <v>608912.57868204</v>
      </c>
      <c r="DT120" s="13" t="n">
        <f aca="false">DT$60+DT$59-DT$67-DT$71-DT$72+DT$65-DT$66+DT$87-DT$75</f>
        <v>625596.890741878</v>
      </c>
      <c r="DU120" s="13" t="n">
        <f aca="false">DU$60+DU$59-DU$67-DU$71-DU$72+DU$65-DU$66+DU$87-DU$75</f>
        <v>625596.890741878</v>
      </c>
      <c r="DV120" s="13" t="n">
        <f aca="false">DV$60+DV$59-DV$67-DV$71-DV$72+DV$65-DV$66+DV$87-DV$75</f>
        <v>625719.9709276</v>
      </c>
      <c r="DW120" s="13" t="n">
        <f aca="false">DW$60+DW$59-DW$67-DW$71-DW$72+DW$65-DW$66+DW$87-DW$75</f>
        <v>0</v>
      </c>
      <c r="DX120" s="13" t="n">
        <f aca="false">DX$60+DX$59-DX$67-DX$71-DX$72+DX$65-DX$66+DX$87-DX$75</f>
        <v>0</v>
      </c>
      <c r="DY120" s="13" t="n">
        <f aca="false">DY$60+DY$59-DY$67-DY$71-DY$72+DY$65-DY$66+DY$87-DY$75</f>
        <v>0</v>
      </c>
      <c r="DZ120" s="13" t="n">
        <f aca="false">DZ$60+DZ$59-DZ$67-DZ$71-DZ$72+DZ$65-DZ$66+DZ$87-DZ$75</f>
        <v>0</v>
      </c>
      <c r="EA120" s="13" t="n">
        <f aca="false">EA$60+EA$59-EA$67-EA$71-EA$72+EA$65-EA$66+EA$87-EA$75</f>
        <v>0</v>
      </c>
      <c r="EB120" s="13" t="n">
        <f aca="false">EB$60+EB$59-EB$67-EB$71-EB$72+EB$65-EB$66+EB$87-EB$75</f>
        <v>0</v>
      </c>
      <c r="EC120" s="13" t="n">
        <f aca="false">EC$60+EC$59-EC$67-EC$71-EC$72+EC$65-EC$66+EC$87-EC$75</f>
        <v>0</v>
      </c>
      <c r="ED120" s="13" t="n">
        <f aca="false">ED$60+ED$59-ED$67-ED$71-ED$72+ED$65-ED$66+ED$87-ED$75</f>
        <v>0</v>
      </c>
      <c r="EE120" s="13" t="n">
        <f aca="false">EE$60+EE$59-EE$67-EE$71-EE$72+EE$65-EE$66+EE$87-EE$75</f>
        <v>0</v>
      </c>
      <c r="EF120" s="13" t="n">
        <f aca="false">EF$60+EF$59-EF$67-EF$71-EF$72+EF$65-EF$66+EF$87-EF$75</f>
        <v>0</v>
      </c>
      <c r="EG120" s="13" t="n">
        <f aca="false">EG$60+EG$59-EG$67-EG$71-EG$72+EG$65-EG$66+EG$87-EG$75</f>
        <v>0</v>
      </c>
      <c r="EH120" s="13" t="n">
        <f aca="false">EH$60+EH$59-EH$67-EH$71-EH$72+EH$65-EH$66+EH$87-EH$75</f>
        <v>0</v>
      </c>
      <c r="EI120" s="13" t="n">
        <f aca="false">EI$60+EI$59-EI$67-EI$71-EI$72+EI$65-EI$66+EI$87-EI$75</f>
        <v>0</v>
      </c>
      <c r="EJ120" s="13" t="n">
        <f aca="false">EJ$60+EJ$59-EJ$67-EJ$71-EJ$72+EJ$65-EJ$66+EJ$87-EJ$75</f>
        <v>0</v>
      </c>
      <c r="EK120" s="13" t="n">
        <f aca="false">EK$60+EK$59-EK$67-EK$71-EK$72+EK$65-EK$66+EK$87-EK$75</f>
        <v>0</v>
      </c>
      <c r="EL120" s="13" t="n">
        <f aca="false">EL$60+EL$59-EL$67-EL$71-EL$72+EL$65-EL$66+EL$87-EL$75</f>
        <v>0</v>
      </c>
      <c r="EM120" s="13" t="n">
        <f aca="false">EM$60+EM$59-EM$67-EM$71-EM$72+EM$65-EM$66+EM$87-EM$75</f>
        <v>0</v>
      </c>
      <c r="EN120" s="13" t="n">
        <f aca="false">EN$60+EN$59-EN$67-EN$71-EN$72+EN$65-EN$66+EN$87-EN$75</f>
        <v>0</v>
      </c>
      <c r="EO120" s="13" t="n">
        <f aca="false">EO$60+EO$59-EO$67-EO$71-EO$72+EO$65-EO$66+EO$87-EO$75</f>
        <v>0</v>
      </c>
      <c r="EP120" s="13" t="n">
        <f aca="false">EP$60+EP$59-EP$67-EP$71-EP$72+EP$65-EP$66+EP$87-EP$75</f>
        <v>0</v>
      </c>
      <c r="EQ120" s="13" t="n">
        <f aca="false">EQ$60+EQ$59-EQ$67-EQ$71-EQ$72+EQ$65-EQ$66+EQ$87-EQ$75</f>
        <v>0</v>
      </c>
      <c r="ER120" s="13" t="n">
        <f aca="false">ER$60+ER$59-ER$67-ER$71-ER$72+ER$65-ER$66+ER$87-ER$75</f>
        <v>0</v>
      </c>
      <c r="ES120" s="13" t="n">
        <f aca="false">ES$60+ES$59-ES$67-ES$71-ES$72+ES$65-ES$66+ES$87-ES$75</f>
        <v>0</v>
      </c>
      <c r="ET120" s="13" t="n">
        <f aca="false">ET$60+ET$59-ET$67-ET$71-ET$72+ET$65-ET$66+ET$87-ET$75</f>
        <v>0</v>
      </c>
      <c r="EU120" s="13" t="n">
        <f aca="false">EU$60+EU$59-EU$67-EU$71-EU$72+EU$65-EU$66+EU$87-EU$75</f>
        <v>0</v>
      </c>
      <c r="EV120" s="13" t="n">
        <f aca="false">EV$60+EV$59-EV$67-EV$71-EV$72+EV$65-EV$66+EV$87-EV$75</f>
        <v>0</v>
      </c>
      <c r="EW120" s="13" t="n">
        <f aca="false">EW$60+EW$59-EW$67-EW$71-EW$72+EW$65-EW$66+EW$87-EW$75</f>
        <v>0</v>
      </c>
      <c r="EX120" s="13" t="n">
        <f aca="false">EX$60+EX$59-EX$67-EX$71-EX$72+EX$65-EX$66+EX$87-EX$75</f>
        <v>0</v>
      </c>
      <c r="EY120" s="13" t="n">
        <f aca="false">EY$60+EY$59-EY$67-EY$71-EY$72+EY$65-EY$66+EY$87-EY$75</f>
        <v>0</v>
      </c>
      <c r="EZ120" s="13" t="n">
        <f aca="false">EZ$60+EZ$59-EZ$67-EZ$71-EZ$72+EZ$65-EZ$66+EZ$87-EZ$75</f>
        <v>0</v>
      </c>
      <c r="FA120" s="13" t="n">
        <f aca="false">FA$60+FA$59-FA$67-FA$71-FA$72+FA$65-FA$66+FA$87-FA$75</f>
        <v>0</v>
      </c>
      <c r="FB120" s="13" t="n">
        <f aca="false">FB$60+FB$59-FB$67-FB$71-FB$72+FB$65-FB$66+FB$87-FB$75</f>
        <v>0</v>
      </c>
      <c r="FC120" s="13" t="n">
        <f aca="false">FC$60+FC$59-FC$67-FC$71-FC$72+FC$65-FC$66+FC$87-FC$75</f>
        <v>0</v>
      </c>
      <c r="FD120" s="13" t="n">
        <f aca="false">FD$60+FD$59-FD$67-FD$71-FD$72+FD$65-FD$66+FD$87-FD$75</f>
        <v>0</v>
      </c>
      <c r="FE120" s="13" t="n">
        <f aca="false">FE$60+FE$59-FE$67-FE$71-FE$72+FE$65-FE$66+FE$87-FE$75</f>
        <v>0</v>
      </c>
      <c r="FF120" s="13" t="n">
        <f aca="false">FF$60+FF$59-FF$67-FF$71-FF$72+FF$65-FF$66+FF$87-FF$75</f>
        <v>0</v>
      </c>
    </row>
    <row r="121" customFormat="false" ht="15" hidden="false" customHeight="false" outlineLevel="0" collapsed="false">
      <c r="A121" s="2" t="s">
        <v>1647</v>
      </c>
      <c r="B121" s="8" t="s">
        <v>1648</v>
      </c>
      <c r="C121" s="8" t="s">
        <v>255</v>
      </c>
      <c r="E121" s="65" t="n">
        <f aca="false">SUM($F121:$FF121)</f>
        <v>15573055.7594377</v>
      </c>
      <c r="F121" s="13" t="n">
        <f aca="false">IF(0&gt;p_MesRev,F$62,0)-IF(0=MAX(0,p_MesRev),N(p_ValorSalida),0)</f>
        <v>-1719186.38219178</v>
      </c>
      <c r="G121" s="13" t="n">
        <f aca="false">IF(1&gt;p_MesRev,G$62,0)-IF(1=MAX(0,p_MesRev),N(p_ValorSalida),0)</f>
        <v>-331363.799676447</v>
      </c>
      <c r="H121" s="13" t="n">
        <f aca="false">IF(2&gt;p_MesRev,H$62,0)-IF(2=MAX(0,p_MesRev),N(p_ValorSalida),0)</f>
        <v>-366533.336416692</v>
      </c>
      <c r="I121" s="13" t="n">
        <f aca="false">IF(3&gt;p_MesRev,I$62,0)-IF(3=MAX(0,p_MesRev),N(p_ValorSalida),0)</f>
        <v>-361669.166496632</v>
      </c>
      <c r="J121" s="13" t="n">
        <f aca="false">IF(4&gt;p_MesRev,J$62,0)-IF(4=MAX(0,p_MesRev),N(p_ValorSalida),0)</f>
        <v>-339523.04777517</v>
      </c>
      <c r="K121" s="13" t="n">
        <f aca="false">IF(5&gt;p_MesRev,K$62,0)-IF(5=MAX(0,p_MesRev),N(p_ValorSalida),0)</f>
        <v>42497.500170035</v>
      </c>
      <c r="L121" s="13" t="n">
        <f aca="false">IF(6&gt;p_MesRev,L$62,0)-IF(6=MAX(0,p_MesRev),N(p_ValorSalida),0)</f>
        <v>42497.500170035</v>
      </c>
      <c r="M121" s="13" t="n">
        <f aca="false">IF(7&gt;p_MesRev,M$62,0)-IF(7=MAX(0,p_MesRev),N(p_ValorSalida),0)</f>
        <v>42497.500170035</v>
      </c>
      <c r="N121" s="13" t="n">
        <f aca="false">IF(8&gt;p_MesRev,N$62,0)-IF(8=MAX(0,p_MesRev),N(p_ValorSalida),0)</f>
        <v>22160.2234201756</v>
      </c>
      <c r="O121" s="13" t="n">
        <f aca="false">IF(9&gt;p_MesRev,O$62,0)-IF(9=MAX(0,p_MesRev),N(p_ValorSalida),0)</f>
        <v>-22087.5569328455</v>
      </c>
      <c r="P121" s="13" t="n">
        <f aca="false">IF(10&gt;p_MesRev,P$62,0)-IF(10=MAX(0,p_MesRev),N(p_ValorSalida),0)</f>
        <v>-24584.2994132981</v>
      </c>
      <c r="Q121" s="13" t="n">
        <f aca="false">IF(11&gt;p_MesRev,Q$62,0)-IF(11=MAX(0,p_MesRev),N(p_ValorSalida),0)</f>
        <v>-24584.2994132986</v>
      </c>
      <c r="R121" s="13" t="n">
        <f aca="false">IF(12&gt;p_MesRev,R$62,0)-IF(12=MAX(0,p_MesRev),N(p_ValorSalida),0)</f>
        <v>-24602.0571104275</v>
      </c>
      <c r="S121" s="13" t="n">
        <f aca="false">IF(13&gt;p_MesRev,S$62,0)-IF(13=MAX(0,p_MesRev),N(p_ValorSalida),0)</f>
        <v>-125943.026637402</v>
      </c>
      <c r="T121" s="13" t="n">
        <f aca="false">IF(14&gt;p_MesRev,T$62,0)-IF(14=MAX(0,p_MesRev),N(p_ValorSalida),0)</f>
        <v>-30436.9306632983</v>
      </c>
      <c r="U121" s="13" t="n">
        <f aca="false">IF(15&gt;p_MesRev,U$62,0)-IF(15=MAX(0,p_MesRev),N(p_ValorSalida),0)</f>
        <v>-30436.9306632983</v>
      </c>
      <c r="V121" s="13" t="n">
        <f aca="false">IF(16&gt;p_MesRev,V$62,0)-IF(16=MAX(0,p_MesRev),N(p_ValorSalida),0)</f>
        <v>-24358.3918505129</v>
      </c>
      <c r="W121" s="13" t="n">
        <f aca="false">IF(17&gt;p_MesRev,W$62,0)-IF(17=MAX(0,p_MesRev),N(p_ValorSalida),0)</f>
        <v>80496.4026700351</v>
      </c>
      <c r="X121" s="13" t="n">
        <f aca="false">IF(18&gt;p_MesRev,X$62,0)-IF(18=MAX(0,p_MesRev),N(p_ValorSalida),0)</f>
        <v>80496.4026700351</v>
      </c>
      <c r="Y121" s="13" t="n">
        <f aca="false">IF(19&gt;p_MesRev,Y$62,0)-IF(19=MAX(0,p_MesRev),N(p_ValorSalida),0)</f>
        <v>80496.4026700351</v>
      </c>
      <c r="Z121" s="13" t="n">
        <f aca="false">IF(20&gt;p_MesRev,Z$62,0)-IF(20=MAX(0,p_MesRev),N(p_ValorSalida),0)</f>
        <v>60053.4611406675</v>
      </c>
      <c r="AA121" s="13" t="n">
        <f aca="false">IF(21&gt;p_MesRev,AA$62,0)-IF(21=MAX(0,p_MesRev),N(p_ValorSalida),0)</f>
        <v>15243.7433494028</v>
      </c>
      <c r="AB121" s="13" t="n">
        <f aca="false">IF(22&gt;p_MesRev,AB$62,0)-IF(22=MAX(0,p_MesRev),N(p_ValorSalida),0)</f>
        <v>12714.7798867018</v>
      </c>
      <c r="AC121" s="13" t="n">
        <f aca="false">IF(23&gt;p_MesRev,AC$62,0)-IF(23=MAX(0,p_MesRev),N(p_ValorSalida),0)</f>
        <v>12714.779886702</v>
      </c>
      <c r="AD121" s="13" t="n">
        <f aca="false">IF(24&gt;p_MesRev,AD$62,0)-IF(24=MAX(0,p_MesRev),N(p_ValorSalida),0)</f>
        <v>12696.9300098013</v>
      </c>
      <c r="AE121" s="13" t="n">
        <f aca="false">IF(25&gt;p_MesRev,AE$62,0)-IF(25=MAX(0,p_MesRev),N(p_ValorSalida),0)</f>
        <v>7870.53426131339</v>
      </c>
      <c r="AF121" s="13" t="n">
        <f aca="false">IF(26&gt;p_MesRev,AF$62,0)-IF(26=MAX(0,p_MesRev),N(p_ValorSalida),0)</f>
        <v>3974.4869708867</v>
      </c>
      <c r="AG121" s="13" t="n">
        <f aca="false">IF(27&gt;p_MesRev,AG$62,0)-IF(27=MAX(0,p_MesRev),N(p_ValorSalida),0)</f>
        <v>3974.4869708867</v>
      </c>
      <c r="AH121" s="13" t="n">
        <f aca="false">IF(28&gt;p_MesRev,AH$62,0)-IF(28=MAX(0,p_MesRev),N(p_ValorSalida),0)</f>
        <v>10172.3819480557</v>
      </c>
      <c r="AI121" s="13" t="n">
        <f aca="false">IF(29&gt;p_MesRev,AI$62,0)-IF(29=MAX(0,p_MesRev),N(p_ValorSalida),0)</f>
        <v>117086.07030422</v>
      </c>
      <c r="AJ121" s="13" t="n">
        <f aca="false">IF(30&gt;p_MesRev,AJ$62,0)-IF(30=MAX(0,p_MesRev),N(p_ValorSalida),0)</f>
        <v>117086.07030422</v>
      </c>
      <c r="AK121" s="13" t="n">
        <f aca="false">IF(31&gt;p_MesRev,AK$62,0)-IF(31=MAX(0,p_MesRev),N(p_ValorSalida),0)</f>
        <v>117086.07030422</v>
      </c>
      <c r="AL121" s="13" t="n">
        <f aca="false">IF(32&gt;p_MesRev,AL$62,0)-IF(32=MAX(0,p_MesRev),N(p_ValorSalida),0)</f>
        <v>100553.463106115</v>
      </c>
      <c r="AM121" s="13" t="n">
        <f aca="false">IF(33&gt;p_MesRev,AM$62,0)-IF(33=MAX(0,p_MesRev),N(p_ValorSalida),0)</f>
        <v>63668.6298220286</v>
      </c>
      <c r="AN121" s="13" t="n">
        <f aca="false">IF(34&gt;p_MesRev,AN$62,0)-IF(34=MAX(0,p_MesRev),N(p_ValorSalida),0)</f>
        <v>61585.9387337617</v>
      </c>
      <c r="AO121" s="13" t="n">
        <f aca="false">IF(35&gt;p_MesRev,AO$62,0)-IF(35=MAX(0,p_MesRev),N(p_ValorSalida),0)</f>
        <v>61585.9387337617</v>
      </c>
      <c r="AP121" s="13" t="n">
        <f aca="false">IF(36&gt;p_MesRev,AP$62,0)-IF(36=MAX(0,p_MesRev),N(p_ValorSalida),0)</f>
        <v>61571.5032851932</v>
      </c>
      <c r="AQ121" s="13" t="n">
        <f aca="false">IF(37&gt;p_MesRev,AQ$62,0)-IF(37=MAX(0,p_MesRev),N(p_ValorSalida),0)</f>
        <v>57709.2267901748</v>
      </c>
      <c r="AR121" s="13" t="n">
        <f aca="false">IF(38&gt;p_MesRev,AR$62,0)-IF(38=MAX(0,p_MesRev),N(p_ValorSalida),0)</f>
        <v>54321.8504923401</v>
      </c>
      <c r="AS121" s="13" t="n">
        <f aca="false">IF(39&gt;p_MesRev,AS$62,0)-IF(39=MAX(0,p_MesRev),N(p_ValorSalida),0)</f>
        <v>54321.8504923401</v>
      </c>
      <c r="AT121" s="13" t="n">
        <f aca="false">IF(40&gt;p_MesRev,AT$62,0)-IF(40=MAX(0,p_MesRev),N(p_ValorSalida),0)</f>
        <v>59558.8296247602</v>
      </c>
      <c r="AU121" s="13" t="n">
        <f aca="false">IF(41&gt;p_MesRev,AU$62,0)-IF(41=MAX(0,p_MesRev),N(p_ValorSalida),0)</f>
        <v>149896.719659007</v>
      </c>
      <c r="AV121" s="13" t="n">
        <f aca="false">IF(42&gt;p_MesRev,AV$62,0)-IF(42=MAX(0,p_MesRev),N(p_ValorSalida),0)</f>
        <v>149896.719659007</v>
      </c>
      <c r="AW121" s="13" t="n">
        <f aca="false">IF(43&gt;p_MesRev,AW$62,0)-IF(43=MAX(0,p_MesRev),N(p_ValorSalida),0)</f>
        <v>149896.719659007</v>
      </c>
      <c r="AX121" s="13" t="n">
        <f aca="false">IF(44&gt;p_MesRev,AX$62,0)-IF(44=MAX(0,p_MesRev),N(p_ValorSalida),0)</f>
        <v>149896.719659007</v>
      </c>
      <c r="AY121" s="13" t="n">
        <f aca="false">IF(45&gt;p_MesRev,AY$62,0)-IF(45=MAX(0,p_MesRev),N(p_ValorSalida),0)</f>
        <v>147702.647933437</v>
      </c>
      <c r="AZ121" s="13" t="n">
        <f aca="false">IF(46&gt;p_MesRev,AZ$62,0)-IF(46=MAX(0,p_MesRev),N(p_ValorSalida),0)</f>
        <v>147575.455369636</v>
      </c>
      <c r="BA121" s="13" t="n">
        <f aca="false">IF(47&gt;p_MesRev,BA$62,0)-IF(47=MAX(0,p_MesRev),N(p_ValorSalida),0)</f>
        <v>147575.455369636</v>
      </c>
      <c r="BB121" s="13" t="n">
        <f aca="false">IF(48&gt;p_MesRev,BB$62,0)-IF(48=MAX(0,p_MesRev),N(p_ValorSalida),0)</f>
        <v>147575.455369636</v>
      </c>
      <c r="BC121" s="13" t="n">
        <f aca="false">IF(49&gt;p_MesRev,BC$62,0)-IF(49=MAX(0,p_MesRev),N(p_ValorSalida),0)</f>
        <v>144169.92519086</v>
      </c>
      <c r="BD121" s="13" t="n">
        <f aca="false">IF(50&gt;p_MesRev,BD$62,0)-IF(50=MAX(0,p_MesRev),N(p_ValorSalida),0)</f>
        <v>143981.622347519</v>
      </c>
      <c r="BE121" s="13" t="n">
        <f aca="false">IF(51&gt;p_MesRev,BE$62,0)-IF(51=MAX(0,p_MesRev),N(p_ValorSalida),0)</f>
        <v>143981.622347519</v>
      </c>
      <c r="BF121" s="13" t="n">
        <f aca="false">IF(52&gt;p_MesRev,BF$62,0)-IF(52=MAX(0,p_MesRev),N(p_ValorSalida),0)</f>
        <v>144378.217663957</v>
      </c>
      <c r="BG121" s="13" t="n">
        <f aca="false">IF(53&gt;p_MesRev,BG$62,0)-IF(53=MAX(0,p_MesRev),N(p_ValorSalida),0)</f>
        <v>151219.486872519</v>
      </c>
      <c r="BH121" s="13" t="n">
        <f aca="false">IF(54&gt;p_MesRev,BH$62,0)-IF(54=MAX(0,p_MesRev),N(p_ValorSalida),0)</f>
        <v>151219.486872519</v>
      </c>
      <c r="BI121" s="13" t="n">
        <f aca="false">IF(55&gt;p_MesRev,BI$62,0)-IF(55=MAX(0,p_MesRev),N(p_ValorSalida),0)</f>
        <v>151219.486872519</v>
      </c>
      <c r="BJ121" s="13" t="n">
        <f aca="false">IF(56&gt;p_MesRev,BJ$62,0)-IF(56=MAX(0,p_MesRev),N(p_ValorSalida),0)</f>
        <v>151219.486872519</v>
      </c>
      <c r="BK121" s="13" t="n">
        <f aca="false">IF(57&gt;p_MesRev,BK$62,0)-IF(57=MAX(0,p_MesRev),N(p_ValorSalida),0)</f>
        <v>149003.474429693</v>
      </c>
      <c r="BL121" s="13" t="n">
        <f aca="false">IF(58&gt;p_MesRev,BL$62,0)-IF(58=MAX(0,p_MesRev),N(p_ValorSalida),0)</f>
        <v>148875.009940253</v>
      </c>
      <c r="BM121" s="13" t="n">
        <f aca="false">IF(59&gt;p_MesRev,BM$62,0)-IF(59=MAX(0,p_MesRev),N(p_ValorSalida),0)</f>
        <v>148875.009940254</v>
      </c>
      <c r="BN121" s="13" t="n">
        <f aca="false">IF(60&gt;p_MesRev,BN$62,0)-IF(60=MAX(0,p_MesRev),N(p_ValorSalida),0)</f>
        <v>148875.009940254</v>
      </c>
      <c r="BO121" s="13" t="n">
        <f aca="false">IF(61&gt;p_MesRev,BO$62,0)-IF(61=MAX(0,p_MesRev),N(p_ValorSalida),0)</f>
        <v>148863.034547443</v>
      </c>
      <c r="BP121" s="13" t="n">
        <f aca="false">IF(62&gt;p_MesRev,BP$62,0)-IF(62=MAX(0,p_MesRev),N(p_ValorSalida),0)</f>
        <v>148000.806265057</v>
      </c>
      <c r="BQ121" s="13" t="n">
        <f aca="false">IF(63&gt;p_MesRev,BQ$62,0)-IF(63=MAX(0,p_MesRev),N(p_ValorSalida),0)</f>
        <v>148000.806265057</v>
      </c>
      <c r="BR121" s="13" t="n">
        <f aca="false">IF(64&gt;p_MesRev,BR$62,0)-IF(64=MAX(0,p_MesRev),N(p_ValorSalida),0)</f>
        <v>148401.36753466</v>
      </c>
      <c r="BS121" s="13" t="n">
        <f aca="false">IF(65&gt;p_MesRev,BS$62,0)-IF(65=MAX(0,p_MesRev),N(p_ValorSalida),0)</f>
        <v>155311.049435307</v>
      </c>
      <c r="BT121" s="13" t="n">
        <f aca="false">IF(66&gt;p_MesRev,BT$62,0)-IF(66=MAX(0,p_MesRev),N(p_ValorSalida),0)</f>
        <v>155311.049435307</v>
      </c>
      <c r="BU121" s="13" t="n">
        <f aca="false">IF(67&gt;p_MesRev,BU$62,0)-IF(67=MAX(0,p_MesRev),N(p_ValorSalida),0)</f>
        <v>155311.049435307</v>
      </c>
      <c r="BV121" s="13" t="n">
        <f aca="false">IF(68&gt;p_MesRev,BV$62,0)-IF(68=MAX(0,p_MesRev),N(p_ValorSalida),0)</f>
        <v>155311.049435307</v>
      </c>
      <c r="BW121" s="13" t="n">
        <f aca="false">IF(69&gt;p_MesRev,BW$62,0)-IF(69=MAX(0,p_MesRev),N(p_ValorSalida),0)</f>
        <v>153072.876868053</v>
      </c>
      <c r="BX121" s="13" t="n">
        <f aca="false">IF(70&gt;p_MesRev,BX$62,0)-IF(70=MAX(0,p_MesRev),N(p_ValorSalida),0)</f>
        <v>152943.12773372</v>
      </c>
      <c r="BY121" s="13" t="n">
        <f aca="false">IF(71&gt;p_MesRev,BY$62,0)-IF(71=MAX(0,p_MesRev),N(p_ValorSalida),0)</f>
        <v>152943.12773372</v>
      </c>
      <c r="BZ121" s="13" t="n">
        <f aca="false">IF(72&gt;p_MesRev,BZ$62,0)-IF(72=MAX(0,p_MesRev),N(p_ValorSalida),0)</f>
        <v>152943.12773372</v>
      </c>
      <c r="CA121" s="13" t="n">
        <f aca="false">IF(73&gt;p_MesRev,CA$62,0)-IF(73=MAX(0,p_MesRev),N(p_ValorSalida),0)</f>
        <v>152930.875239547</v>
      </c>
      <c r="CB121" s="13" t="n">
        <f aca="false">IF(74&gt;p_MesRev,CB$62,0)-IF(74=MAX(0,p_MesRev),N(p_ValorSalida),0)</f>
        <v>152048.695659092</v>
      </c>
      <c r="CC121" s="13" t="n">
        <f aca="false">IF(75&gt;p_MesRev,CC$62,0)-IF(75=MAX(0,p_MesRev),N(p_ValorSalida),0)</f>
        <v>152048.695659092</v>
      </c>
      <c r="CD121" s="13" t="n">
        <f aca="false">IF(76&gt;p_MesRev,CD$62,0)-IF(76=MAX(0,p_MesRev),N(p_ValorSalida),0)</f>
        <v>152453.262541391</v>
      </c>
      <c r="CE121" s="13" t="n">
        <f aca="false">IF(77&gt;p_MesRev,CE$62,0)-IF(77=MAX(0,p_MesRev),N(p_ValorSalida),0)</f>
        <v>159432.041261044</v>
      </c>
      <c r="CF121" s="13" t="n">
        <f aca="false">IF(78&gt;p_MesRev,CF$62,0)-IF(78=MAX(0,p_MesRev),N(p_ValorSalida),0)</f>
        <v>159432.041261044</v>
      </c>
      <c r="CG121" s="13" t="n">
        <f aca="false">IF(79&gt;p_MesRev,CG$62,0)-IF(79=MAX(0,p_MesRev),N(p_ValorSalida),0)</f>
        <v>159432.041261044</v>
      </c>
      <c r="CH121" s="13" t="n">
        <f aca="false">IF(80&gt;p_MesRev,CH$62,0)-IF(80=MAX(0,p_MesRev),N(p_ValorSalida),0)</f>
        <v>159432.041261044</v>
      </c>
      <c r="CI121" s="13" t="n">
        <f aca="false">IF(81&gt;p_MesRev,CI$62,0)-IF(81=MAX(0,p_MesRev),N(p_ValorSalida),0)</f>
        <v>157171.486968118</v>
      </c>
      <c r="CJ121" s="13" t="n">
        <f aca="false">IF(82&gt;p_MesRev,CJ$62,0)-IF(82=MAX(0,p_MesRev),N(p_ValorSalida),0)</f>
        <v>157040.440342441</v>
      </c>
      <c r="CK121" s="13" t="n">
        <f aca="false">IF(83&gt;p_MesRev,CK$62,0)-IF(83=MAX(0,p_MesRev),N(p_ValorSalida),0)</f>
        <v>157040.440342441</v>
      </c>
      <c r="CL121" s="13" t="n">
        <f aca="false">IF(84&gt;p_MesRev,CL$62,0)-IF(84=MAX(0,p_MesRev),N(p_ValorSalida),0)</f>
        <v>157040.440342441</v>
      </c>
      <c r="CM121" s="13" t="n">
        <f aca="false">IF(85&gt;p_MesRev,CM$62,0)-IF(85=MAX(0,p_MesRev),N(p_ValorSalida),0)</f>
        <v>157027.903041816</v>
      </c>
      <c r="CN121" s="13" t="n">
        <f aca="false">IF(86&gt;p_MesRev,CN$62,0)-IF(86=MAX(0,p_MesRev),N(p_ValorSalida),0)</f>
        <v>156125.217396807</v>
      </c>
      <c r="CO121" s="13" t="n">
        <f aca="false">IF(87&gt;p_MesRev,CO$62,0)-IF(87=MAX(0,p_MesRev),N(p_ValorSalida),0)</f>
        <v>156125.217396807</v>
      </c>
      <c r="CP121" s="13" t="n">
        <f aca="false">IF(88&gt;p_MesRev,CP$62,0)-IF(88=MAX(0,p_MesRev),N(p_ValorSalida),0)</f>
        <v>156533.829947928</v>
      </c>
      <c r="CQ121" s="13" t="n">
        <f aca="false">IF(89&gt;p_MesRev,CQ$62,0)-IF(89=MAX(0,p_MesRev),N(p_ValorSalida),0)</f>
        <v>163582.396454778</v>
      </c>
      <c r="CR121" s="13" t="n">
        <f aca="false">IF(90&gt;p_MesRev,CR$62,0)-IF(90=MAX(0,p_MesRev),N(p_ValorSalida),0)</f>
        <v>163582.396454778</v>
      </c>
      <c r="CS121" s="13" t="n">
        <f aca="false">IF(91&gt;p_MesRev,CS$62,0)-IF(91=MAX(0,p_MesRev),N(p_ValorSalida),0)</f>
        <v>163582.396454778</v>
      </c>
      <c r="CT121" s="13" t="n">
        <f aca="false">IF(92&gt;p_MesRev,CT$62,0)-IF(92=MAX(0,p_MesRev),N(p_ValorSalida),0)</f>
        <v>163582.396454778</v>
      </c>
      <c r="CU121" s="13" t="n">
        <f aca="false">IF(93&gt;p_MesRev,CU$62,0)-IF(93=MAX(0,p_MesRev),N(p_ValorSalida),0)</f>
        <v>161299.236618923</v>
      </c>
      <c r="CV121" s="13" t="n">
        <f aca="false">IF(94&gt;p_MesRev,CV$62,0)-IF(94=MAX(0,p_MesRev),N(p_ValorSalida),0)</f>
        <v>161166.879526989</v>
      </c>
      <c r="CW121" s="13" t="n">
        <f aca="false">IF(95&gt;p_MesRev,CW$62,0)-IF(95=MAX(0,p_MesRev),N(p_ValorSalida),0)</f>
        <v>161166.879526989</v>
      </c>
      <c r="CX121" s="13" t="n">
        <f aca="false">IF(96&gt;p_MesRev,CX$62,0)-IF(96=MAX(0,p_MesRev),N(p_ValorSalida),0)</f>
        <v>161166.879526989</v>
      </c>
      <c r="CY121" s="13" t="n">
        <f aca="false">IF(97&gt;p_MesRev,CY$62,0)-IF(97=MAX(0,p_MesRev),N(p_ValorSalida),0)</f>
        <v>161154.049489748</v>
      </c>
      <c r="CZ121" s="13" t="n">
        <f aca="false">IF(98&gt;p_MesRev,CZ$62,0)-IF(98=MAX(0,p_MesRev),N(p_ValorSalida),0)</f>
        <v>160230.28680843</v>
      </c>
      <c r="DA121" s="13" t="n">
        <f aca="false">IF(99&gt;p_MesRev,DA$62,0)-IF(99=MAX(0,p_MesRev),N(p_ValorSalida),0)</f>
        <v>160230.28680843</v>
      </c>
      <c r="DB121" s="13" t="n">
        <f aca="false">IF(100&gt;p_MesRev,DB$62,0)-IF(100=MAX(0,p_MesRev),N(p_ValorSalida),0)</f>
        <v>160642.985485063</v>
      </c>
      <c r="DC121" s="13" t="n">
        <f aca="false">IF(101&gt;p_MesRev,DC$62,0)-IF(101=MAX(0,p_MesRev),N(p_ValorSalida),0)</f>
        <v>167762.037656982</v>
      </c>
      <c r="DD121" s="13" t="n">
        <f aca="false">IF(102&gt;p_MesRev,DD$62,0)-IF(102=MAX(0,p_MesRev),N(p_ValorSalida),0)</f>
        <v>167762.037656982</v>
      </c>
      <c r="DE121" s="13" t="n">
        <f aca="false">IF(103&gt;p_MesRev,DE$62,0)-IF(103=MAX(0,p_MesRev),N(p_ValorSalida),0)</f>
        <v>167762.037656982</v>
      </c>
      <c r="DF121" s="13" t="n">
        <f aca="false">IF(104&gt;p_MesRev,DF$62,0)-IF(104=MAX(0,p_MesRev),N(p_ValorSalida),0)</f>
        <v>167762.037656982</v>
      </c>
      <c r="DG121" s="13" t="n">
        <f aca="false">IF(105&gt;p_MesRev,DG$62,0)-IF(105=MAX(0,p_MesRev),N(p_ValorSalida),0)</f>
        <v>165456.046222767</v>
      </c>
      <c r="DH121" s="13" t="n">
        <f aca="false">IF(106&gt;p_MesRev,DH$62,0)-IF(106=MAX(0,p_MesRev),N(p_ValorSalida),0)</f>
        <v>165322.365559915</v>
      </c>
      <c r="DI121" s="13" t="n">
        <f aca="false">IF(107&gt;p_MesRev,DI$62,0)-IF(107=MAX(0,p_MesRev),N(p_ValorSalida),0)</f>
        <v>165322.365559915</v>
      </c>
      <c r="DJ121" s="13" t="n">
        <f aca="false">IF(108&gt;p_MesRev,DJ$62,0)-IF(108=MAX(0,p_MesRev),N(p_ValorSalida),0)</f>
        <v>165322.365559915</v>
      </c>
      <c r="DK121" s="13" t="n">
        <f aca="false">IF(109&gt;p_MesRev,DK$62,0)-IF(109=MAX(0,p_MesRev),N(p_ValorSalida),0)</f>
        <v>165309.234624131</v>
      </c>
      <c r="DL121" s="13" t="n">
        <f aca="false">IF(110&gt;p_MesRev,DL$62,0)-IF(110=MAX(0,p_MesRev),N(p_ValorSalida),0)</f>
        <v>164363.807247698</v>
      </c>
      <c r="DM121" s="13" t="n">
        <f aca="false">IF(111&gt;p_MesRev,DM$62,0)-IF(111=MAX(0,p_MesRev),N(p_ValorSalida),0)</f>
        <v>164363.807247698</v>
      </c>
      <c r="DN121" s="13" t="n">
        <f aca="false">IF(112&gt;p_MesRev,DN$62,0)-IF(112=MAX(0,p_MesRev),N(p_ValorSalida),0)</f>
        <v>164780.632911098</v>
      </c>
      <c r="DO121" s="13" t="n">
        <f aca="false">IF(113&gt;p_MesRev,DO$62,0)-IF(113=MAX(0,p_MesRev),N(p_ValorSalida),0)</f>
        <v>171970.875604736</v>
      </c>
      <c r="DP121" s="13" t="n">
        <f aca="false">IF(114&gt;p_MesRev,DP$62,0)-IF(114=MAX(0,p_MesRev),N(p_ValorSalida),0)</f>
        <v>171970.875604736</v>
      </c>
      <c r="DQ121" s="13" t="n">
        <f aca="false">IF(115&gt;p_MesRev,DQ$62,0)-IF(115=MAX(0,p_MesRev),N(p_ValorSalida),0)</f>
        <v>171970.875604736</v>
      </c>
      <c r="DR121" s="13" t="n">
        <f aca="false">IF(116&gt;p_MesRev,DR$62,0)-IF(116=MAX(0,p_MesRev),N(p_ValorSalida),0)</f>
        <v>312936.287702147</v>
      </c>
      <c r="DS121" s="13" t="n">
        <f aca="false">IF(117&gt;p_MesRev,DS$62,0)-IF(117=MAX(0,p_MesRev),N(p_ValorSalida),0)</f>
        <v>608912.57868204</v>
      </c>
      <c r="DT121" s="13" t="n">
        <f aca="false">IF(118&gt;p_MesRev,DT$62,0)-IF(118=MAX(0,p_MesRev),N(p_ValorSalida),0)</f>
        <v>625596.890741878</v>
      </c>
      <c r="DU121" s="13" t="n">
        <f aca="false">IF(119&gt;p_MesRev,DU$62,0)-IF(119=MAX(0,p_MesRev),N(p_ValorSalida),0)</f>
        <v>625596.890741878</v>
      </c>
      <c r="DV121" s="13" t="n">
        <f aca="false">IF(120&gt;p_MesRev,DV$62,0)-IF(120=MAX(0,p_MesRev),N(p_ValorSalida),0)</f>
        <v>3625280.03215348</v>
      </c>
      <c r="DW121" s="13" t="n">
        <f aca="false">IF(121&gt;p_MesRev,DW$62,0)-IF(121=MAX(0,p_MesRev),N(p_ValorSalida),0)</f>
        <v>0</v>
      </c>
      <c r="DX121" s="13" t="n">
        <f aca="false">IF(122&gt;p_MesRev,DX$62,0)-IF(122=MAX(0,p_MesRev),N(p_ValorSalida),0)</f>
        <v>0</v>
      </c>
      <c r="DY121" s="13" t="n">
        <f aca="false">IF(123&gt;p_MesRev,DY$62,0)-IF(123=MAX(0,p_MesRev),N(p_ValorSalida),0)</f>
        <v>0</v>
      </c>
      <c r="DZ121" s="13" t="n">
        <f aca="false">IF(124&gt;p_MesRev,DZ$62,0)-IF(124=MAX(0,p_MesRev),N(p_ValorSalida),0)</f>
        <v>0</v>
      </c>
      <c r="EA121" s="13" t="n">
        <f aca="false">IF(125&gt;p_MesRev,EA$62,0)-IF(125=MAX(0,p_MesRev),N(p_ValorSalida),0)</f>
        <v>0</v>
      </c>
      <c r="EB121" s="13" t="n">
        <f aca="false">IF(126&gt;p_MesRev,EB$62,0)-IF(126=MAX(0,p_MesRev),N(p_ValorSalida),0)</f>
        <v>0</v>
      </c>
      <c r="EC121" s="13" t="n">
        <f aca="false">IF(127&gt;p_MesRev,EC$62,0)-IF(127=MAX(0,p_MesRev),N(p_ValorSalida),0)</f>
        <v>0</v>
      </c>
      <c r="ED121" s="13" t="n">
        <f aca="false">IF(128&gt;p_MesRev,ED$62,0)-IF(128=MAX(0,p_MesRev),N(p_ValorSalida),0)</f>
        <v>0</v>
      </c>
      <c r="EE121" s="13" t="n">
        <f aca="false">IF(129&gt;p_MesRev,EE$62,0)-IF(129=MAX(0,p_MesRev),N(p_ValorSalida),0)</f>
        <v>0</v>
      </c>
      <c r="EF121" s="13" t="n">
        <f aca="false">IF(130&gt;p_MesRev,EF$62,0)-IF(130=MAX(0,p_MesRev),N(p_ValorSalida),0)</f>
        <v>0</v>
      </c>
      <c r="EG121" s="13" t="n">
        <f aca="false">IF(131&gt;p_MesRev,EG$62,0)-IF(131=MAX(0,p_MesRev),N(p_ValorSalida),0)</f>
        <v>0</v>
      </c>
      <c r="EH121" s="13" t="n">
        <f aca="false">IF(132&gt;p_MesRev,EH$62,0)-IF(132=MAX(0,p_MesRev),N(p_ValorSalida),0)</f>
        <v>0</v>
      </c>
      <c r="EI121" s="13" t="n">
        <f aca="false">IF(133&gt;p_MesRev,EI$62,0)-IF(133=MAX(0,p_MesRev),N(p_ValorSalida),0)</f>
        <v>0</v>
      </c>
      <c r="EJ121" s="13" t="n">
        <f aca="false">IF(134&gt;p_MesRev,EJ$62,0)-IF(134=MAX(0,p_MesRev),N(p_ValorSalida),0)</f>
        <v>0</v>
      </c>
      <c r="EK121" s="13" t="n">
        <f aca="false">IF(135&gt;p_MesRev,EK$62,0)-IF(135=MAX(0,p_MesRev),N(p_ValorSalida),0)</f>
        <v>0</v>
      </c>
      <c r="EL121" s="13" t="n">
        <f aca="false">IF(136&gt;p_MesRev,EL$62,0)-IF(136=MAX(0,p_MesRev),N(p_ValorSalida),0)</f>
        <v>0</v>
      </c>
      <c r="EM121" s="13" t="n">
        <f aca="false">IF(137&gt;p_MesRev,EM$62,0)-IF(137=MAX(0,p_MesRev),N(p_ValorSalida),0)</f>
        <v>0</v>
      </c>
      <c r="EN121" s="13" t="n">
        <f aca="false">IF(138&gt;p_MesRev,EN$62,0)-IF(138=MAX(0,p_MesRev),N(p_ValorSalida),0)</f>
        <v>0</v>
      </c>
      <c r="EO121" s="13" t="n">
        <f aca="false">IF(139&gt;p_MesRev,EO$62,0)-IF(139=MAX(0,p_MesRev),N(p_ValorSalida),0)</f>
        <v>0</v>
      </c>
      <c r="EP121" s="13" t="n">
        <f aca="false">IF(140&gt;p_MesRev,EP$62,0)-IF(140=MAX(0,p_MesRev),N(p_ValorSalida),0)</f>
        <v>0</v>
      </c>
      <c r="EQ121" s="13" t="n">
        <f aca="false">IF(141&gt;p_MesRev,EQ$62,0)-IF(141=MAX(0,p_MesRev),N(p_ValorSalida),0)</f>
        <v>0</v>
      </c>
      <c r="ER121" s="13" t="n">
        <f aca="false">IF(142&gt;p_MesRev,ER$62,0)-IF(142=MAX(0,p_MesRev),N(p_ValorSalida),0)</f>
        <v>0</v>
      </c>
      <c r="ES121" s="13" t="n">
        <f aca="false">IF(143&gt;p_MesRev,ES$62,0)-IF(143=MAX(0,p_MesRev),N(p_ValorSalida),0)</f>
        <v>0</v>
      </c>
      <c r="ET121" s="13" t="n">
        <f aca="false">IF(144&gt;p_MesRev,ET$62,0)-IF(144=MAX(0,p_MesRev),N(p_ValorSalida),0)</f>
        <v>0</v>
      </c>
      <c r="EU121" s="13" t="n">
        <f aca="false">IF(145&gt;p_MesRev,EU$62,0)-IF(145=MAX(0,p_MesRev),N(p_ValorSalida),0)</f>
        <v>0</v>
      </c>
      <c r="EV121" s="13" t="n">
        <f aca="false">IF(146&gt;p_MesRev,EV$62,0)-IF(146=MAX(0,p_MesRev),N(p_ValorSalida),0)</f>
        <v>0</v>
      </c>
      <c r="EW121" s="13" t="n">
        <f aca="false">IF(147&gt;p_MesRev,EW$62,0)-IF(147=MAX(0,p_MesRev),N(p_ValorSalida),0)</f>
        <v>0</v>
      </c>
      <c r="EX121" s="13" t="n">
        <f aca="false">IF(148&gt;p_MesRev,EX$62,0)-IF(148=MAX(0,p_MesRev),N(p_ValorSalida),0)</f>
        <v>0</v>
      </c>
      <c r="EY121" s="13" t="n">
        <f aca="false">IF(149&gt;p_MesRev,EY$62,0)-IF(149=MAX(0,p_MesRev),N(p_ValorSalida),0)</f>
        <v>0</v>
      </c>
      <c r="EZ121" s="13" t="n">
        <f aca="false">IF(150&gt;p_MesRev,EZ$62,0)-IF(150=MAX(0,p_MesRev),N(p_ValorSalida),0)</f>
        <v>0</v>
      </c>
      <c r="FA121" s="13" t="n">
        <f aca="false">IF(151&gt;p_MesRev,FA$62,0)-IF(151=MAX(0,p_MesRev),N(p_ValorSalida),0)</f>
        <v>0</v>
      </c>
      <c r="FB121" s="13" t="n">
        <f aca="false">IF(152&gt;p_MesRev,FB$62,0)-IF(152=MAX(0,p_MesRev),N(p_ValorSalida),0)</f>
        <v>0</v>
      </c>
      <c r="FC121" s="13" t="n">
        <f aca="false">IF(153&gt;p_MesRev,FC$62,0)-IF(153=MAX(0,p_MesRev),N(p_ValorSalida),0)</f>
        <v>0</v>
      </c>
      <c r="FD121" s="13" t="n">
        <f aca="false">IF(154&gt;p_MesRev,FD$62,0)-IF(154=MAX(0,p_MesRev),N(p_ValorSalida),0)</f>
        <v>0</v>
      </c>
      <c r="FE121" s="13" t="n">
        <f aca="false">IF(155&gt;p_MesRev,FE$62,0)-IF(155=MAX(0,p_MesRev),N(p_ValorSalida),0)</f>
        <v>0</v>
      </c>
      <c r="FF121" s="13" t="n">
        <f aca="false">IF(156&gt;p_MesRev,FF$62,0)-IF(156=MAX(0,p_MesRev),N(p_ValorSalida),0)</f>
        <v>0</v>
      </c>
    </row>
    <row r="122" customFormat="false" ht="15" hidden="false" customHeight="false" outlineLevel="0" collapsed="false">
      <c r="A122" s="2" t="s">
        <v>1649</v>
      </c>
      <c r="B122" s="8" t="s">
        <v>1650</v>
      </c>
      <c r="C122" s="8" t="s">
        <v>351</v>
      </c>
      <c r="E122" s="61" t="n">
        <f aca="false">SUM($F122:$FF122)</f>
        <v>1</v>
      </c>
      <c r="F122" s="31" t="n">
        <f aca="false">0</f>
        <v>0</v>
      </c>
      <c r="G122" s="31" t="n">
        <f aca="false">IF((F$114&lt;0)&lt;&gt;(G$114&lt;0),1,0)</f>
        <v>0</v>
      </c>
      <c r="H122" s="31" t="n">
        <f aca="false">IF((G$114&lt;0)&lt;&gt;(H$114&lt;0),1,0)</f>
        <v>0</v>
      </c>
      <c r="I122" s="31" t="n">
        <f aca="false">IF((H$114&lt;0)&lt;&gt;(I$114&lt;0),1,0)</f>
        <v>0</v>
      </c>
      <c r="J122" s="31" t="n">
        <f aca="false">IF((I$114&lt;0)&lt;&gt;(J$114&lt;0),1,0)</f>
        <v>0</v>
      </c>
      <c r="K122" s="31" t="n">
        <f aca="false">IF((J$114&lt;0)&lt;&gt;(K$114&lt;0),1,0)</f>
        <v>0</v>
      </c>
      <c r="L122" s="31" t="n">
        <f aca="false">IF((K$114&lt;0)&lt;&gt;(L$114&lt;0),1,0)</f>
        <v>0</v>
      </c>
      <c r="M122" s="31" t="n">
        <f aca="false">IF((L$114&lt;0)&lt;&gt;(M$114&lt;0),1,0)</f>
        <v>0</v>
      </c>
      <c r="N122" s="31" t="n">
        <f aca="false">IF((M$114&lt;0)&lt;&gt;(N$114&lt;0),1,0)</f>
        <v>0</v>
      </c>
      <c r="O122" s="31" t="n">
        <f aca="false">IF((N$114&lt;0)&lt;&gt;(O$114&lt;0),1,0)</f>
        <v>0</v>
      </c>
      <c r="P122" s="31" t="n">
        <f aca="false">IF((O$114&lt;0)&lt;&gt;(P$114&lt;0),1,0)</f>
        <v>0</v>
      </c>
      <c r="Q122" s="31" t="n">
        <f aca="false">IF((P$114&lt;0)&lt;&gt;(Q$114&lt;0),1,0)</f>
        <v>0</v>
      </c>
      <c r="R122" s="31" t="n">
        <f aca="false">IF((Q$114&lt;0)&lt;&gt;(R$114&lt;0),1,0)</f>
        <v>0</v>
      </c>
      <c r="S122" s="31" t="n">
        <f aca="false">IF((R$114&lt;0)&lt;&gt;(S$114&lt;0),1,0)</f>
        <v>0</v>
      </c>
      <c r="T122" s="31" t="n">
        <f aca="false">IF((S$114&lt;0)&lt;&gt;(T$114&lt;0),1,0)</f>
        <v>0</v>
      </c>
      <c r="U122" s="31" t="n">
        <f aca="false">IF((T$114&lt;0)&lt;&gt;(U$114&lt;0),1,0)</f>
        <v>0</v>
      </c>
      <c r="V122" s="31" t="n">
        <f aca="false">IF((U$114&lt;0)&lt;&gt;(V$114&lt;0),1,0)</f>
        <v>0</v>
      </c>
      <c r="W122" s="31" t="n">
        <f aca="false">IF((V$114&lt;0)&lt;&gt;(W$114&lt;0),1,0)</f>
        <v>0</v>
      </c>
      <c r="X122" s="31" t="n">
        <f aca="false">IF((W$114&lt;0)&lt;&gt;(X$114&lt;0),1,0)</f>
        <v>0</v>
      </c>
      <c r="Y122" s="31" t="n">
        <f aca="false">IF((X$114&lt;0)&lt;&gt;(Y$114&lt;0),1,0)</f>
        <v>0</v>
      </c>
      <c r="Z122" s="31" t="n">
        <f aca="false">IF((Y$114&lt;0)&lt;&gt;(Z$114&lt;0),1,0)</f>
        <v>0</v>
      </c>
      <c r="AA122" s="31" t="n">
        <f aca="false">IF((Z$114&lt;0)&lt;&gt;(AA$114&lt;0),1,0)</f>
        <v>0</v>
      </c>
      <c r="AB122" s="31" t="n">
        <f aca="false">IF((AA$114&lt;0)&lt;&gt;(AB$114&lt;0),1,0)</f>
        <v>0</v>
      </c>
      <c r="AC122" s="31" t="n">
        <f aca="false">IF((AB$114&lt;0)&lt;&gt;(AC$114&lt;0),1,0)</f>
        <v>0</v>
      </c>
      <c r="AD122" s="31" t="n">
        <f aca="false">IF((AC$114&lt;0)&lt;&gt;(AD$114&lt;0),1,0)</f>
        <v>0</v>
      </c>
      <c r="AE122" s="31" t="n">
        <f aca="false">IF((AD$114&lt;0)&lt;&gt;(AE$114&lt;0),1,0)</f>
        <v>0</v>
      </c>
      <c r="AF122" s="31" t="n">
        <f aca="false">IF((AE$114&lt;0)&lt;&gt;(AF$114&lt;0),1,0)</f>
        <v>0</v>
      </c>
      <c r="AG122" s="31" t="n">
        <f aca="false">IF((AF$114&lt;0)&lt;&gt;(AG$114&lt;0),1,0)</f>
        <v>0</v>
      </c>
      <c r="AH122" s="31" t="n">
        <f aca="false">IF((AG$114&lt;0)&lt;&gt;(AH$114&lt;0),1,0)</f>
        <v>0</v>
      </c>
      <c r="AI122" s="31" t="n">
        <f aca="false">IF((AH$114&lt;0)&lt;&gt;(AI$114&lt;0),1,0)</f>
        <v>0</v>
      </c>
      <c r="AJ122" s="31" t="n">
        <f aca="false">IF((AI$114&lt;0)&lt;&gt;(AJ$114&lt;0),1,0)</f>
        <v>0</v>
      </c>
      <c r="AK122" s="31" t="n">
        <f aca="false">IF((AJ$114&lt;0)&lt;&gt;(AK$114&lt;0),1,0)</f>
        <v>0</v>
      </c>
      <c r="AL122" s="31" t="n">
        <f aca="false">IF((AK$114&lt;0)&lt;&gt;(AL$114&lt;0),1,0)</f>
        <v>0</v>
      </c>
      <c r="AM122" s="31" t="n">
        <f aca="false">IF((AL$114&lt;0)&lt;&gt;(AM$114&lt;0),1,0)</f>
        <v>0</v>
      </c>
      <c r="AN122" s="31" t="n">
        <f aca="false">IF((AM$114&lt;0)&lt;&gt;(AN$114&lt;0),1,0)</f>
        <v>0</v>
      </c>
      <c r="AO122" s="31" t="n">
        <f aca="false">IF((AN$114&lt;0)&lt;&gt;(AO$114&lt;0),1,0)</f>
        <v>0</v>
      </c>
      <c r="AP122" s="31" t="n">
        <f aca="false">IF((AO$114&lt;0)&lt;&gt;(AP$114&lt;0),1,0)</f>
        <v>0</v>
      </c>
      <c r="AQ122" s="31" t="n">
        <f aca="false">IF((AP$114&lt;0)&lt;&gt;(AQ$114&lt;0),1,0)</f>
        <v>0</v>
      </c>
      <c r="AR122" s="31" t="n">
        <f aca="false">IF((AQ$114&lt;0)&lt;&gt;(AR$114&lt;0),1,0)</f>
        <v>0</v>
      </c>
      <c r="AS122" s="31" t="n">
        <f aca="false">IF((AR$114&lt;0)&lt;&gt;(AS$114&lt;0),1,0)</f>
        <v>0</v>
      </c>
      <c r="AT122" s="31" t="n">
        <f aca="false">IF((AS$114&lt;0)&lt;&gt;(AT$114&lt;0),1,0)</f>
        <v>0</v>
      </c>
      <c r="AU122" s="31" t="n">
        <f aca="false">IF((AT$114&lt;0)&lt;&gt;(AU$114&lt;0),1,0)</f>
        <v>0</v>
      </c>
      <c r="AV122" s="31" t="n">
        <f aca="false">IF((AU$114&lt;0)&lt;&gt;(AV$114&lt;0),1,0)</f>
        <v>0</v>
      </c>
      <c r="AW122" s="31" t="n">
        <f aca="false">IF((AV$114&lt;0)&lt;&gt;(AW$114&lt;0),1,0)</f>
        <v>0</v>
      </c>
      <c r="AX122" s="31" t="n">
        <f aca="false">IF((AW$114&lt;0)&lt;&gt;(AX$114&lt;0),1,0)</f>
        <v>0</v>
      </c>
      <c r="AY122" s="31" t="n">
        <f aca="false">IF((AX$114&lt;0)&lt;&gt;(AY$114&lt;0),1,0)</f>
        <v>0</v>
      </c>
      <c r="AZ122" s="31" t="n">
        <f aca="false">IF((AY$114&lt;0)&lt;&gt;(AZ$114&lt;0),1,0)</f>
        <v>0</v>
      </c>
      <c r="BA122" s="31" t="n">
        <f aca="false">IF((AZ$114&lt;0)&lt;&gt;(BA$114&lt;0),1,0)</f>
        <v>0</v>
      </c>
      <c r="BB122" s="31" t="n">
        <f aca="false">IF((BA$114&lt;0)&lt;&gt;(BB$114&lt;0),1,0)</f>
        <v>0</v>
      </c>
      <c r="BC122" s="31" t="n">
        <f aca="false">IF((BB$114&lt;0)&lt;&gt;(BC$114&lt;0),1,0)</f>
        <v>0</v>
      </c>
      <c r="BD122" s="31" t="n">
        <f aca="false">IF((BC$114&lt;0)&lt;&gt;(BD$114&lt;0),1,0)</f>
        <v>0</v>
      </c>
      <c r="BE122" s="31" t="n">
        <f aca="false">IF((BD$114&lt;0)&lt;&gt;(BE$114&lt;0),1,0)</f>
        <v>0</v>
      </c>
      <c r="BF122" s="31" t="n">
        <f aca="false">IF((BE$114&lt;0)&lt;&gt;(BF$114&lt;0),1,0)</f>
        <v>0</v>
      </c>
      <c r="BG122" s="31" t="n">
        <f aca="false">IF((BF$114&lt;0)&lt;&gt;(BG$114&lt;0),1,0)</f>
        <v>0</v>
      </c>
      <c r="BH122" s="31" t="n">
        <f aca="false">IF((BG$114&lt;0)&lt;&gt;(BH$114&lt;0),1,0)</f>
        <v>1</v>
      </c>
      <c r="BI122" s="31" t="n">
        <f aca="false">IF((BH$114&lt;0)&lt;&gt;(BI$114&lt;0),1,0)</f>
        <v>0</v>
      </c>
      <c r="BJ122" s="31" t="n">
        <f aca="false">IF((BI$114&lt;0)&lt;&gt;(BJ$114&lt;0),1,0)</f>
        <v>0</v>
      </c>
      <c r="BK122" s="31" t="n">
        <f aca="false">IF((BJ$114&lt;0)&lt;&gt;(BK$114&lt;0),1,0)</f>
        <v>0</v>
      </c>
      <c r="BL122" s="31" t="n">
        <f aca="false">IF((BK$114&lt;0)&lt;&gt;(BL$114&lt;0),1,0)</f>
        <v>0</v>
      </c>
      <c r="BM122" s="31" t="n">
        <f aca="false">IF((BL$114&lt;0)&lt;&gt;(BM$114&lt;0),1,0)</f>
        <v>0</v>
      </c>
      <c r="BN122" s="31" t="n">
        <f aca="false">IF((BM$114&lt;0)&lt;&gt;(BN$114&lt;0),1,0)</f>
        <v>0</v>
      </c>
      <c r="BO122" s="31" t="n">
        <f aca="false">IF((BN$114&lt;0)&lt;&gt;(BO$114&lt;0),1,0)</f>
        <v>0</v>
      </c>
      <c r="BP122" s="31" t="n">
        <f aca="false">IF((BO$114&lt;0)&lt;&gt;(BP$114&lt;0),1,0)</f>
        <v>0</v>
      </c>
      <c r="BQ122" s="31" t="n">
        <f aca="false">IF((BP$114&lt;0)&lt;&gt;(BQ$114&lt;0),1,0)</f>
        <v>0</v>
      </c>
      <c r="BR122" s="31" t="n">
        <f aca="false">IF((BQ$114&lt;0)&lt;&gt;(BR$114&lt;0),1,0)</f>
        <v>0</v>
      </c>
      <c r="BS122" s="31" t="n">
        <f aca="false">IF((BR$114&lt;0)&lt;&gt;(BS$114&lt;0),1,0)</f>
        <v>0</v>
      </c>
      <c r="BT122" s="31" t="n">
        <f aca="false">IF((BS$114&lt;0)&lt;&gt;(BT$114&lt;0),1,0)</f>
        <v>0</v>
      </c>
      <c r="BU122" s="31" t="n">
        <f aca="false">IF((BT$114&lt;0)&lt;&gt;(BU$114&lt;0),1,0)</f>
        <v>0</v>
      </c>
      <c r="BV122" s="31" t="n">
        <f aca="false">IF((BU$114&lt;0)&lt;&gt;(BV$114&lt;0),1,0)</f>
        <v>0</v>
      </c>
      <c r="BW122" s="31" t="n">
        <f aca="false">IF((BV$114&lt;0)&lt;&gt;(BW$114&lt;0),1,0)</f>
        <v>0</v>
      </c>
      <c r="BX122" s="31" t="n">
        <f aca="false">IF((BW$114&lt;0)&lt;&gt;(BX$114&lt;0),1,0)</f>
        <v>0</v>
      </c>
      <c r="BY122" s="31" t="n">
        <f aca="false">IF((BX$114&lt;0)&lt;&gt;(BY$114&lt;0),1,0)</f>
        <v>0</v>
      </c>
      <c r="BZ122" s="31" t="n">
        <f aca="false">IF((BY$114&lt;0)&lt;&gt;(BZ$114&lt;0),1,0)</f>
        <v>0</v>
      </c>
      <c r="CA122" s="31" t="n">
        <f aca="false">IF((BZ$114&lt;0)&lt;&gt;(CA$114&lt;0),1,0)</f>
        <v>0</v>
      </c>
      <c r="CB122" s="31" t="n">
        <f aca="false">IF((CA$114&lt;0)&lt;&gt;(CB$114&lt;0),1,0)</f>
        <v>0</v>
      </c>
      <c r="CC122" s="31" t="n">
        <f aca="false">IF((CB$114&lt;0)&lt;&gt;(CC$114&lt;0),1,0)</f>
        <v>0</v>
      </c>
      <c r="CD122" s="31" t="n">
        <f aca="false">IF((CC$114&lt;0)&lt;&gt;(CD$114&lt;0),1,0)</f>
        <v>0</v>
      </c>
      <c r="CE122" s="31" t="n">
        <f aca="false">IF((CD$114&lt;0)&lt;&gt;(CE$114&lt;0),1,0)</f>
        <v>0</v>
      </c>
      <c r="CF122" s="31" t="n">
        <f aca="false">IF((CE$114&lt;0)&lt;&gt;(CF$114&lt;0),1,0)</f>
        <v>0</v>
      </c>
      <c r="CG122" s="31" t="n">
        <f aca="false">IF((CF$114&lt;0)&lt;&gt;(CG$114&lt;0),1,0)</f>
        <v>0</v>
      </c>
      <c r="CH122" s="31" t="n">
        <f aca="false">IF((CG$114&lt;0)&lt;&gt;(CH$114&lt;0),1,0)</f>
        <v>0</v>
      </c>
      <c r="CI122" s="31" t="n">
        <f aca="false">IF((CH$114&lt;0)&lt;&gt;(CI$114&lt;0),1,0)</f>
        <v>0</v>
      </c>
      <c r="CJ122" s="31" t="n">
        <f aca="false">IF((CI$114&lt;0)&lt;&gt;(CJ$114&lt;0),1,0)</f>
        <v>0</v>
      </c>
      <c r="CK122" s="31" t="n">
        <f aca="false">IF((CJ$114&lt;0)&lt;&gt;(CK$114&lt;0),1,0)</f>
        <v>0</v>
      </c>
      <c r="CL122" s="31" t="n">
        <f aca="false">IF((CK$114&lt;0)&lt;&gt;(CL$114&lt;0),1,0)</f>
        <v>0</v>
      </c>
      <c r="CM122" s="31" t="n">
        <f aca="false">IF((CL$114&lt;0)&lt;&gt;(CM$114&lt;0),1,0)</f>
        <v>0</v>
      </c>
      <c r="CN122" s="31" t="n">
        <f aca="false">IF((CM$114&lt;0)&lt;&gt;(CN$114&lt;0),1,0)</f>
        <v>0</v>
      </c>
      <c r="CO122" s="31" t="n">
        <f aca="false">IF((CN$114&lt;0)&lt;&gt;(CO$114&lt;0),1,0)</f>
        <v>0</v>
      </c>
      <c r="CP122" s="31" t="n">
        <f aca="false">IF((CO$114&lt;0)&lt;&gt;(CP$114&lt;0),1,0)</f>
        <v>0</v>
      </c>
      <c r="CQ122" s="31" t="n">
        <f aca="false">IF((CP$114&lt;0)&lt;&gt;(CQ$114&lt;0),1,0)</f>
        <v>0</v>
      </c>
      <c r="CR122" s="31" t="n">
        <f aca="false">IF((CQ$114&lt;0)&lt;&gt;(CR$114&lt;0),1,0)</f>
        <v>0</v>
      </c>
      <c r="CS122" s="31" t="n">
        <f aca="false">IF((CR$114&lt;0)&lt;&gt;(CS$114&lt;0),1,0)</f>
        <v>0</v>
      </c>
      <c r="CT122" s="31" t="n">
        <f aca="false">IF((CS$114&lt;0)&lt;&gt;(CT$114&lt;0),1,0)</f>
        <v>0</v>
      </c>
      <c r="CU122" s="31" t="n">
        <f aca="false">IF((CT$114&lt;0)&lt;&gt;(CU$114&lt;0),1,0)</f>
        <v>0</v>
      </c>
      <c r="CV122" s="31" t="n">
        <f aca="false">IF((CU$114&lt;0)&lt;&gt;(CV$114&lt;0),1,0)</f>
        <v>0</v>
      </c>
      <c r="CW122" s="31" t="n">
        <f aca="false">IF((CV$114&lt;0)&lt;&gt;(CW$114&lt;0),1,0)</f>
        <v>0</v>
      </c>
      <c r="CX122" s="31" t="n">
        <f aca="false">IF((CW$114&lt;0)&lt;&gt;(CX$114&lt;0),1,0)</f>
        <v>0</v>
      </c>
      <c r="CY122" s="31" t="n">
        <f aca="false">IF((CX$114&lt;0)&lt;&gt;(CY$114&lt;0),1,0)</f>
        <v>0</v>
      </c>
      <c r="CZ122" s="31" t="n">
        <f aca="false">IF((CY$114&lt;0)&lt;&gt;(CZ$114&lt;0),1,0)</f>
        <v>0</v>
      </c>
      <c r="DA122" s="31" t="n">
        <f aca="false">IF((CZ$114&lt;0)&lt;&gt;(DA$114&lt;0),1,0)</f>
        <v>0</v>
      </c>
      <c r="DB122" s="31" t="n">
        <f aca="false">IF((DA$114&lt;0)&lt;&gt;(DB$114&lt;0),1,0)</f>
        <v>0</v>
      </c>
      <c r="DC122" s="31" t="n">
        <f aca="false">IF((DB$114&lt;0)&lt;&gt;(DC$114&lt;0),1,0)</f>
        <v>0</v>
      </c>
      <c r="DD122" s="31" t="n">
        <f aca="false">IF((DC$114&lt;0)&lt;&gt;(DD$114&lt;0),1,0)</f>
        <v>0</v>
      </c>
      <c r="DE122" s="31" t="n">
        <f aca="false">IF((DD$114&lt;0)&lt;&gt;(DE$114&lt;0),1,0)</f>
        <v>0</v>
      </c>
      <c r="DF122" s="31" t="n">
        <f aca="false">IF((DE$114&lt;0)&lt;&gt;(DF$114&lt;0),1,0)</f>
        <v>0</v>
      </c>
      <c r="DG122" s="31" t="n">
        <f aca="false">IF((DF$114&lt;0)&lt;&gt;(DG$114&lt;0),1,0)</f>
        <v>0</v>
      </c>
      <c r="DH122" s="31" t="n">
        <f aca="false">IF((DG$114&lt;0)&lt;&gt;(DH$114&lt;0),1,0)</f>
        <v>0</v>
      </c>
      <c r="DI122" s="31" t="n">
        <f aca="false">IF((DH$114&lt;0)&lt;&gt;(DI$114&lt;0),1,0)</f>
        <v>0</v>
      </c>
      <c r="DJ122" s="31" t="n">
        <f aca="false">IF((DI$114&lt;0)&lt;&gt;(DJ$114&lt;0),1,0)</f>
        <v>0</v>
      </c>
      <c r="DK122" s="31" t="n">
        <f aca="false">IF((DJ$114&lt;0)&lt;&gt;(DK$114&lt;0),1,0)</f>
        <v>0</v>
      </c>
      <c r="DL122" s="31" t="n">
        <f aca="false">IF((DK$114&lt;0)&lt;&gt;(DL$114&lt;0),1,0)</f>
        <v>0</v>
      </c>
      <c r="DM122" s="31" t="n">
        <f aca="false">IF((DL$114&lt;0)&lt;&gt;(DM$114&lt;0),1,0)</f>
        <v>0</v>
      </c>
      <c r="DN122" s="31" t="n">
        <f aca="false">IF((DM$114&lt;0)&lt;&gt;(DN$114&lt;0),1,0)</f>
        <v>0</v>
      </c>
      <c r="DO122" s="31" t="n">
        <f aca="false">IF((DN$114&lt;0)&lt;&gt;(DO$114&lt;0),1,0)</f>
        <v>0</v>
      </c>
      <c r="DP122" s="31" t="n">
        <f aca="false">IF((DO$114&lt;0)&lt;&gt;(DP$114&lt;0),1,0)</f>
        <v>0</v>
      </c>
      <c r="DQ122" s="31" t="n">
        <f aca="false">IF((DP$114&lt;0)&lt;&gt;(DQ$114&lt;0),1,0)</f>
        <v>0</v>
      </c>
      <c r="DR122" s="31" t="n">
        <f aca="false">IF((DQ$114&lt;0)&lt;&gt;(DR$114&lt;0),1,0)</f>
        <v>0</v>
      </c>
      <c r="DS122" s="31" t="n">
        <f aca="false">IF((DR$114&lt;0)&lt;&gt;(DS$114&lt;0),1,0)</f>
        <v>0</v>
      </c>
      <c r="DT122" s="31" t="n">
        <f aca="false">IF((DS$114&lt;0)&lt;&gt;(DT$114&lt;0),1,0)</f>
        <v>0</v>
      </c>
      <c r="DU122" s="31" t="n">
        <f aca="false">IF((DT$114&lt;0)&lt;&gt;(DU$114&lt;0),1,0)</f>
        <v>0</v>
      </c>
      <c r="DV122" s="31" t="n">
        <f aca="false">IF((DU$114&lt;0)&lt;&gt;(DV$114&lt;0),1,0)</f>
        <v>0</v>
      </c>
      <c r="DW122" s="31" t="n">
        <f aca="false">IF((DV$114&lt;0)&lt;&gt;(DW$114&lt;0),1,0)</f>
        <v>0</v>
      </c>
      <c r="DX122" s="31" t="n">
        <f aca="false">IF((DW$114&lt;0)&lt;&gt;(DX$114&lt;0),1,0)</f>
        <v>0</v>
      </c>
      <c r="DY122" s="31" t="n">
        <f aca="false">IF((DX$114&lt;0)&lt;&gt;(DY$114&lt;0),1,0)</f>
        <v>0</v>
      </c>
      <c r="DZ122" s="31" t="n">
        <f aca="false">IF((DY$114&lt;0)&lt;&gt;(DZ$114&lt;0),1,0)</f>
        <v>0</v>
      </c>
      <c r="EA122" s="31" t="n">
        <f aca="false">IF((DZ$114&lt;0)&lt;&gt;(EA$114&lt;0),1,0)</f>
        <v>0</v>
      </c>
      <c r="EB122" s="31" t="n">
        <f aca="false">IF((EA$114&lt;0)&lt;&gt;(EB$114&lt;0),1,0)</f>
        <v>0</v>
      </c>
      <c r="EC122" s="31" t="n">
        <f aca="false">IF((EB$114&lt;0)&lt;&gt;(EC$114&lt;0),1,0)</f>
        <v>0</v>
      </c>
      <c r="ED122" s="31" t="n">
        <f aca="false">IF((EC$114&lt;0)&lt;&gt;(ED$114&lt;0),1,0)</f>
        <v>0</v>
      </c>
      <c r="EE122" s="31" t="n">
        <f aca="false">IF((ED$114&lt;0)&lt;&gt;(EE$114&lt;0),1,0)</f>
        <v>0</v>
      </c>
      <c r="EF122" s="31" t="n">
        <f aca="false">IF((EE$114&lt;0)&lt;&gt;(EF$114&lt;0),1,0)</f>
        <v>0</v>
      </c>
      <c r="EG122" s="31" t="n">
        <f aca="false">IF((EF$114&lt;0)&lt;&gt;(EG$114&lt;0),1,0)</f>
        <v>0</v>
      </c>
      <c r="EH122" s="31" t="n">
        <f aca="false">IF((EG$114&lt;0)&lt;&gt;(EH$114&lt;0),1,0)</f>
        <v>0</v>
      </c>
      <c r="EI122" s="31" t="n">
        <f aca="false">IF((EH$114&lt;0)&lt;&gt;(EI$114&lt;0),1,0)</f>
        <v>0</v>
      </c>
      <c r="EJ122" s="31" t="n">
        <f aca="false">IF((EI$114&lt;0)&lt;&gt;(EJ$114&lt;0),1,0)</f>
        <v>0</v>
      </c>
      <c r="EK122" s="31" t="n">
        <f aca="false">IF((EJ$114&lt;0)&lt;&gt;(EK$114&lt;0),1,0)</f>
        <v>0</v>
      </c>
      <c r="EL122" s="31" t="n">
        <f aca="false">IF((EK$114&lt;0)&lt;&gt;(EL$114&lt;0),1,0)</f>
        <v>0</v>
      </c>
      <c r="EM122" s="31" t="n">
        <f aca="false">IF((EL$114&lt;0)&lt;&gt;(EM$114&lt;0),1,0)</f>
        <v>0</v>
      </c>
      <c r="EN122" s="31" t="n">
        <f aca="false">IF((EM$114&lt;0)&lt;&gt;(EN$114&lt;0),1,0)</f>
        <v>0</v>
      </c>
      <c r="EO122" s="31" t="n">
        <f aca="false">IF((EN$114&lt;0)&lt;&gt;(EO$114&lt;0),1,0)</f>
        <v>0</v>
      </c>
      <c r="EP122" s="31" t="n">
        <f aca="false">IF((EO$114&lt;0)&lt;&gt;(EP$114&lt;0),1,0)</f>
        <v>0</v>
      </c>
      <c r="EQ122" s="31" t="n">
        <f aca="false">IF((EP$114&lt;0)&lt;&gt;(EQ$114&lt;0),1,0)</f>
        <v>0</v>
      </c>
      <c r="ER122" s="31" t="n">
        <f aca="false">IF((EQ$114&lt;0)&lt;&gt;(ER$114&lt;0),1,0)</f>
        <v>0</v>
      </c>
      <c r="ES122" s="31" t="n">
        <f aca="false">IF((ER$114&lt;0)&lt;&gt;(ES$114&lt;0),1,0)</f>
        <v>0</v>
      </c>
      <c r="ET122" s="31" t="n">
        <f aca="false">IF((ES$114&lt;0)&lt;&gt;(ET$114&lt;0),1,0)</f>
        <v>0</v>
      </c>
      <c r="EU122" s="31" t="n">
        <f aca="false">IF((ET$114&lt;0)&lt;&gt;(EU$114&lt;0),1,0)</f>
        <v>0</v>
      </c>
      <c r="EV122" s="31" t="n">
        <f aca="false">IF((EU$114&lt;0)&lt;&gt;(EV$114&lt;0),1,0)</f>
        <v>0</v>
      </c>
      <c r="EW122" s="31" t="n">
        <f aca="false">IF((EV$114&lt;0)&lt;&gt;(EW$114&lt;0),1,0)</f>
        <v>0</v>
      </c>
      <c r="EX122" s="31" t="n">
        <f aca="false">IF((EW$114&lt;0)&lt;&gt;(EX$114&lt;0),1,0)</f>
        <v>0</v>
      </c>
      <c r="EY122" s="31" t="n">
        <f aca="false">IF((EX$114&lt;0)&lt;&gt;(EY$114&lt;0),1,0)</f>
        <v>0</v>
      </c>
      <c r="EZ122" s="31" t="n">
        <f aca="false">IF((EY$114&lt;0)&lt;&gt;(EZ$114&lt;0),1,0)</f>
        <v>0</v>
      </c>
      <c r="FA122" s="31" t="n">
        <f aca="false">IF((EZ$114&lt;0)&lt;&gt;(FA$114&lt;0),1,0)</f>
        <v>0</v>
      </c>
      <c r="FB122" s="31" t="n">
        <f aca="false">IF((FA$114&lt;0)&lt;&gt;(FB$114&lt;0),1,0)</f>
        <v>0</v>
      </c>
      <c r="FC122" s="31" t="n">
        <f aca="false">IF((FB$114&lt;0)&lt;&gt;(FC$114&lt;0),1,0)</f>
        <v>0</v>
      </c>
      <c r="FD122" s="31" t="n">
        <f aca="false">IF((FC$114&lt;0)&lt;&gt;(FD$114&lt;0),1,0)</f>
        <v>0</v>
      </c>
      <c r="FE122" s="31" t="n">
        <f aca="false">IF((FD$114&lt;0)&lt;&gt;(FE$114&lt;0),1,0)</f>
        <v>0</v>
      </c>
      <c r="FF122" s="31" t="n">
        <f aca="false">IF((FE$114&lt;0)&lt;&gt;(FF$114&lt;0),1,0)</f>
        <v>0</v>
      </c>
    </row>
    <row r="123" customFormat="false" ht="15" hidden="false" customHeight="false" outlineLevel="0" collapsed="false">
      <c r="A123" s="2" t="s">
        <v>1651</v>
      </c>
      <c r="B123" s="8" t="s">
        <v>1652</v>
      </c>
      <c r="C123" s="8" t="s">
        <v>351</v>
      </c>
      <c r="E123" s="61" t="n">
        <f aca="false">SUM($F123:$FF123)</f>
        <v>1</v>
      </c>
      <c r="F123" s="31" t="n">
        <f aca="false">0</f>
        <v>0</v>
      </c>
      <c r="G123" s="31" t="n">
        <f aca="false">IF((F$119&lt;0)&lt;&gt;(G$119&lt;0),1,0)</f>
        <v>0</v>
      </c>
      <c r="H123" s="31" t="n">
        <f aca="false">IF((G$119&lt;0)&lt;&gt;(H$119&lt;0),1,0)</f>
        <v>0</v>
      </c>
      <c r="I123" s="31" t="n">
        <f aca="false">IF((H$119&lt;0)&lt;&gt;(I$119&lt;0),1,0)</f>
        <v>0</v>
      </c>
      <c r="J123" s="31" t="n">
        <f aca="false">IF((I$119&lt;0)&lt;&gt;(J$119&lt;0),1,0)</f>
        <v>0</v>
      </c>
      <c r="K123" s="31" t="n">
        <f aca="false">IF((J$119&lt;0)&lt;&gt;(K$119&lt;0),1,0)</f>
        <v>0</v>
      </c>
      <c r="L123" s="31" t="n">
        <f aca="false">IF((K$119&lt;0)&lt;&gt;(L$119&lt;0),1,0)</f>
        <v>0</v>
      </c>
      <c r="M123" s="31" t="n">
        <f aca="false">IF((L$119&lt;0)&lt;&gt;(M$119&lt;0),1,0)</f>
        <v>0</v>
      </c>
      <c r="N123" s="31" t="n">
        <f aca="false">IF((M$119&lt;0)&lt;&gt;(N$119&lt;0),1,0)</f>
        <v>0</v>
      </c>
      <c r="O123" s="31" t="n">
        <f aca="false">IF((N$119&lt;0)&lt;&gt;(O$119&lt;0),1,0)</f>
        <v>0</v>
      </c>
      <c r="P123" s="31" t="n">
        <f aca="false">IF((O$119&lt;0)&lt;&gt;(P$119&lt;0),1,0)</f>
        <v>0</v>
      </c>
      <c r="Q123" s="31" t="n">
        <f aca="false">IF((P$119&lt;0)&lt;&gt;(Q$119&lt;0),1,0)</f>
        <v>0</v>
      </c>
      <c r="R123" s="31" t="n">
        <f aca="false">IF((Q$119&lt;0)&lt;&gt;(R$119&lt;0),1,0)</f>
        <v>0</v>
      </c>
      <c r="S123" s="31" t="n">
        <f aca="false">IF((R$119&lt;0)&lt;&gt;(S$119&lt;0),1,0)</f>
        <v>0</v>
      </c>
      <c r="T123" s="31" t="n">
        <f aca="false">IF((S$119&lt;0)&lt;&gt;(T$119&lt;0),1,0)</f>
        <v>0</v>
      </c>
      <c r="U123" s="31" t="n">
        <f aca="false">IF((T$119&lt;0)&lt;&gt;(U$119&lt;0),1,0)</f>
        <v>0</v>
      </c>
      <c r="V123" s="31" t="n">
        <f aca="false">IF((U$119&lt;0)&lt;&gt;(V$119&lt;0),1,0)</f>
        <v>0</v>
      </c>
      <c r="W123" s="31" t="n">
        <f aca="false">IF((V$119&lt;0)&lt;&gt;(W$119&lt;0),1,0)</f>
        <v>0</v>
      </c>
      <c r="X123" s="31" t="n">
        <f aca="false">IF((W$119&lt;0)&lt;&gt;(X$119&lt;0),1,0)</f>
        <v>0</v>
      </c>
      <c r="Y123" s="31" t="n">
        <f aca="false">IF((X$119&lt;0)&lt;&gt;(Y$119&lt;0),1,0)</f>
        <v>0</v>
      </c>
      <c r="Z123" s="31" t="n">
        <f aca="false">IF((Y$119&lt;0)&lt;&gt;(Z$119&lt;0),1,0)</f>
        <v>0</v>
      </c>
      <c r="AA123" s="31" t="n">
        <f aca="false">IF((Z$119&lt;0)&lt;&gt;(AA$119&lt;0),1,0)</f>
        <v>0</v>
      </c>
      <c r="AB123" s="31" t="n">
        <f aca="false">IF((AA$119&lt;0)&lt;&gt;(AB$119&lt;0),1,0)</f>
        <v>0</v>
      </c>
      <c r="AC123" s="31" t="n">
        <f aca="false">IF((AB$119&lt;0)&lt;&gt;(AC$119&lt;0),1,0)</f>
        <v>0</v>
      </c>
      <c r="AD123" s="31" t="n">
        <f aca="false">IF((AC$119&lt;0)&lt;&gt;(AD$119&lt;0),1,0)</f>
        <v>0</v>
      </c>
      <c r="AE123" s="31" t="n">
        <f aca="false">IF((AD$119&lt;0)&lt;&gt;(AE$119&lt;0),1,0)</f>
        <v>0</v>
      </c>
      <c r="AF123" s="31" t="n">
        <f aca="false">IF((AE$119&lt;0)&lt;&gt;(AF$119&lt;0),1,0)</f>
        <v>0</v>
      </c>
      <c r="AG123" s="31" t="n">
        <f aca="false">IF((AF$119&lt;0)&lt;&gt;(AG$119&lt;0),1,0)</f>
        <v>0</v>
      </c>
      <c r="AH123" s="31" t="n">
        <f aca="false">IF((AG$119&lt;0)&lt;&gt;(AH$119&lt;0),1,0)</f>
        <v>0</v>
      </c>
      <c r="AI123" s="31" t="n">
        <f aca="false">IF((AH$119&lt;0)&lt;&gt;(AI$119&lt;0),1,0)</f>
        <v>0</v>
      </c>
      <c r="AJ123" s="31" t="n">
        <f aca="false">IF((AI$119&lt;0)&lt;&gt;(AJ$119&lt;0),1,0)</f>
        <v>0</v>
      </c>
      <c r="AK123" s="31" t="n">
        <f aca="false">IF((AJ$119&lt;0)&lt;&gt;(AK$119&lt;0),1,0)</f>
        <v>0</v>
      </c>
      <c r="AL123" s="31" t="n">
        <f aca="false">IF((AK$119&lt;0)&lt;&gt;(AL$119&lt;0),1,0)</f>
        <v>0</v>
      </c>
      <c r="AM123" s="31" t="n">
        <f aca="false">IF((AL$119&lt;0)&lt;&gt;(AM$119&lt;0),1,0)</f>
        <v>0</v>
      </c>
      <c r="AN123" s="31" t="n">
        <f aca="false">IF((AM$119&lt;0)&lt;&gt;(AN$119&lt;0),1,0)</f>
        <v>0</v>
      </c>
      <c r="AO123" s="31" t="n">
        <f aca="false">IF((AN$119&lt;0)&lt;&gt;(AO$119&lt;0),1,0)</f>
        <v>0</v>
      </c>
      <c r="AP123" s="31" t="n">
        <f aca="false">IF((AO$119&lt;0)&lt;&gt;(AP$119&lt;0),1,0)</f>
        <v>0</v>
      </c>
      <c r="AQ123" s="31" t="n">
        <f aca="false">IF((AP$119&lt;0)&lt;&gt;(AQ$119&lt;0),1,0)</f>
        <v>0</v>
      </c>
      <c r="AR123" s="31" t="n">
        <f aca="false">IF((AQ$119&lt;0)&lt;&gt;(AR$119&lt;0),1,0)</f>
        <v>0</v>
      </c>
      <c r="AS123" s="31" t="n">
        <f aca="false">IF((AR$119&lt;0)&lt;&gt;(AS$119&lt;0),1,0)</f>
        <v>0</v>
      </c>
      <c r="AT123" s="31" t="n">
        <f aca="false">IF((AS$119&lt;0)&lt;&gt;(AT$119&lt;0),1,0)</f>
        <v>0</v>
      </c>
      <c r="AU123" s="31" t="n">
        <f aca="false">IF((AT$119&lt;0)&lt;&gt;(AU$119&lt;0),1,0)</f>
        <v>0</v>
      </c>
      <c r="AV123" s="31" t="n">
        <f aca="false">IF((AU$119&lt;0)&lt;&gt;(AV$119&lt;0),1,0)</f>
        <v>0</v>
      </c>
      <c r="AW123" s="31" t="n">
        <f aca="false">IF((AV$119&lt;0)&lt;&gt;(AW$119&lt;0),1,0)</f>
        <v>0</v>
      </c>
      <c r="AX123" s="31" t="n">
        <f aca="false">IF((AW$119&lt;0)&lt;&gt;(AX$119&lt;0),1,0)</f>
        <v>0</v>
      </c>
      <c r="AY123" s="31" t="n">
        <f aca="false">IF((AX$119&lt;0)&lt;&gt;(AY$119&lt;0),1,0)</f>
        <v>0</v>
      </c>
      <c r="AZ123" s="31" t="n">
        <f aca="false">IF((AY$119&lt;0)&lt;&gt;(AZ$119&lt;0),1,0)</f>
        <v>0</v>
      </c>
      <c r="BA123" s="31" t="n">
        <f aca="false">IF((AZ$119&lt;0)&lt;&gt;(BA$119&lt;0),1,0)</f>
        <v>0</v>
      </c>
      <c r="BB123" s="31" t="n">
        <f aca="false">IF((BA$119&lt;0)&lt;&gt;(BB$119&lt;0),1,0)</f>
        <v>0</v>
      </c>
      <c r="BC123" s="31" t="n">
        <f aca="false">IF((BB$119&lt;0)&lt;&gt;(BC$119&lt;0),1,0)</f>
        <v>0</v>
      </c>
      <c r="BD123" s="31" t="n">
        <f aca="false">IF((BC$119&lt;0)&lt;&gt;(BD$119&lt;0),1,0)</f>
        <v>0</v>
      </c>
      <c r="BE123" s="31" t="n">
        <f aca="false">IF((BD$119&lt;0)&lt;&gt;(BE$119&lt;0),1,0)</f>
        <v>0</v>
      </c>
      <c r="BF123" s="31" t="n">
        <f aca="false">IF((BE$119&lt;0)&lt;&gt;(BF$119&lt;0),1,0)</f>
        <v>0</v>
      </c>
      <c r="BG123" s="31" t="n">
        <f aca="false">IF((BF$119&lt;0)&lt;&gt;(BG$119&lt;0),1,0)</f>
        <v>0</v>
      </c>
      <c r="BH123" s="31" t="n">
        <f aca="false">IF((BG$119&lt;0)&lt;&gt;(BH$119&lt;0),1,0)</f>
        <v>0</v>
      </c>
      <c r="BI123" s="31" t="n">
        <f aca="false">IF((BH$119&lt;0)&lt;&gt;(BI$119&lt;0),1,0)</f>
        <v>0</v>
      </c>
      <c r="BJ123" s="31" t="n">
        <f aca="false">IF((BI$119&lt;0)&lt;&gt;(BJ$119&lt;0),1,0)</f>
        <v>0</v>
      </c>
      <c r="BK123" s="31" t="n">
        <f aca="false">IF((BJ$119&lt;0)&lt;&gt;(BK$119&lt;0),1,0)</f>
        <v>0</v>
      </c>
      <c r="BL123" s="31" t="n">
        <f aca="false">IF((BK$119&lt;0)&lt;&gt;(BL$119&lt;0),1,0)</f>
        <v>0</v>
      </c>
      <c r="BM123" s="31" t="n">
        <f aca="false">IF((BL$119&lt;0)&lt;&gt;(BM$119&lt;0),1,0)</f>
        <v>1</v>
      </c>
      <c r="BN123" s="31" t="n">
        <f aca="false">IF((BM$119&lt;0)&lt;&gt;(BN$119&lt;0),1,0)</f>
        <v>0</v>
      </c>
      <c r="BO123" s="31" t="n">
        <f aca="false">IF((BN$119&lt;0)&lt;&gt;(BO$119&lt;0),1,0)</f>
        <v>0</v>
      </c>
      <c r="BP123" s="31" t="n">
        <f aca="false">IF((BO$119&lt;0)&lt;&gt;(BP$119&lt;0),1,0)</f>
        <v>0</v>
      </c>
      <c r="BQ123" s="31" t="n">
        <f aca="false">IF((BP$119&lt;0)&lt;&gt;(BQ$119&lt;0),1,0)</f>
        <v>0</v>
      </c>
      <c r="BR123" s="31" t="n">
        <f aca="false">IF((BQ$119&lt;0)&lt;&gt;(BR$119&lt;0),1,0)</f>
        <v>0</v>
      </c>
      <c r="BS123" s="31" t="n">
        <f aca="false">IF((BR$119&lt;0)&lt;&gt;(BS$119&lt;0),1,0)</f>
        <v>0</v>
      </c>
      <c r="BT123" s="31" t="n">
        <f aca="false">IF((BS$119&lt;0)&lt;&gt;(BT$119&lt;0),1,0)</f>
        <v>0</v>
      </c>
      <c r="BU123" s="31" t="n">
        <f aca="false">IF((BT$119&lt;0)&lt;&gt;(BU$119&lt;0),1,0)</f>
        <v>0</v>
      </c>
      <c r="BV123" s="31" t="n">
        <f aca="false">IF((BU$119&lt;0)&lt;&gt;(BV$119&lt;0),1,0)</f>
        <v>0</v>
      </c>
      <c r="BW123" s="31" t="n">
        <f aca="false">IF((BV$119&lt;0)&lt;&gt;(BW$119&lt;0),1,0)</f>
        <v>0</v>
      </c>
      <c r="BX123" s="31" t="n">
        <f aca="false">IF((BW$119&lt;0)&lt;&gt;(BX$119&lt;0),1,0)</f>
        <v>0</v>
      </c>
      <c r="BY123" s="31" t="n">
        <f aca="false">IF((BX$119&lt;0)&lt;&gt;(BY$119&lt;0),1,0)</f>
        <v>0</v>
      </c>
      <c r="BZ123" s="31" t="n">
        <f aca="false">IF((BY$119&lt;0)&lt;&gt;(BZ$119&lt;0),1,0)</f>
        <v>0</v>
      </c>
      <c r="CA123" s="31" t="n">
        <f aca="false">IF((BZ$119&lt;0)&lt;&gt;(CA$119&lt;0),1,0)</f>
        <v>0</v>
      </c>
      <c r="CB123" s="31" t="n">
        <f aca="false">IF((CA$119&lt;0)&lt;&gt;(CB$119&lt;0),1,0)</f>
        <v>0</v>
      </c>
      <c r="CC123" s="31" t="n">
        <f aca="false">IF((CB$119&lt;0)&lt;&gt;(CC$119&lt;0),1,0)</f>
        <v>0</v>
      </c>
      <c r="CD123" s="31" t="n">
        <f aca="false">IF((CC$119&lt;0)&lt;&gt;(CD$119&lt;0),1,0)</f>
        <v>0</v>
      </c>
      <c r="CE123" s="31" t="n">
        <f aca="false">IF((CD$119&lt;0)&lt;&gt;(CE$119&lt;0),1,0)</f>
        <v>0</v>
      </c>
      <c r="CF123" s="31" t="n">
        <f aca="false">IF((CE$119&lt;0)&lt;&gt;(CF$119&lt;0),1,0)</f>
        <v>0</v>
      </c>
      <c r="CG123" s="31" t="n">
        <f aca="false">IF((CF$119&lt;0)&lt;&gt;(CG$119&lt;0),1,0)</f>
        <v>0</v>
      </c>
      <c r="CH123" s="31" t="n">
        <f aca="false">IF((CG$119&lt;0)&lt;&gt;(CH$119&lt;0),1,0)</f>
        <v>0</v>
      </c>
      <c r="CI123" s="31" t="n">
        <f aca="false">IF((CH$119&lt;0)&lt;&gt;(CI$119&lt;0),1,0)</f>
        <v>0</v>
      </c>
      <c r="CJ123" s="31" t="n">
        <f aca="false">IF((CI$119&lt;0)&lt;&gt;(CJ$119&lt;0),1,0)</f>
        <v>0</v>
      </c>
      <c r="CK123" s="31" t="n">
        <f aca="false">IF((CJ$119&lt;0)&lt;&gt;(CK$119&lt;0),1,0)</f>
        <v>0</v>
      </c>
      <c r="CL123" s="31" t="n">
        <f aca="false">IF((CK$119&lt;0)&lt;&gt;(CL$119&lt;0),1,0)</f>
        <v>0</v>
      </c>
      <c r="CM123" s="31" t="n">
        <f aca="false">IF((CL$119&lt;0)&lt;&gt;(CM$119&lt;0),1,0)</f>
        <v>0</v>
      </c>
      <c r="CN123" s="31" t="n">
        <f aca="false">IF((CM$119&lt;0)&lt;&gt;(CN$119&lt;0),1,0)</f>
        <v>0</v>
      </c>
      <c r="CO123" s="31" t="n">
        <f aca="false">IF((CN$119&lt;0)&lt;&gt;(CO$119&lt;0),1,0)</f>
        <v>0</v>
      </c>
      <c r="CP123" s="31" t="n">
        <f aca="false">IF((CO$119&lt;0)&lt;&gt;(CP$119&lt;0),1,0)</f>
        <v>0</v>
      </c>
      <c r="CQ123" s="31" t="n">
        <f aca="false">IF((CP$119&lt;0)&lt;&gt;(CQ$119&lt;0),1,0)</f>
        <v>0</v>
      </c>
      <c r="CR123" s="31" t="n">
        <f aca="false">IF((CQ$119&lt;0)&lt;&gt;(CR$119&lt;0),1,0)</f>
        <v>0</v>
      </c>
      <c r="CS123" s="31" t="n">
        <f aca="false">IF((CR$119&lt;0)&lt;&gt;(CS$119&lt;0),1,0)</f>
        <v>0</v>
      </c>
      <c r="CT123" s="31" t="n">
        <f aca="false">IF((CS$119&lt;0)&lt;&gt;(CT$119&lt;0),1,0)</f>
        <v>0</v>
      </c>
      <c r="CU123" s="31" t="n">
        <f aca="false">IF((CT$119&lt;0)&lt;&gt;(CU$119&lt;0),1,0)</f>
        <v>0</v>
      </c>
      <c r="CV123" s="31" t="n">
        <f aca="false">IF((CU$119&lt;0)&lt;&gt;(CV$119&lt;0),1,0)</f>
        <v>0</v>
      </c>
      <c r="CW123" s="31" t="n">
        <f aca="false">IF((CV$119&lt;0)&lt;&gt;(CW$119&lt;0),1,0)</f>
        <v>0</v>
      </c>
      <c r="CX123" s="31" t="n">
        <f aca="false">IF((CW$119&lt;0)&lt;&gt;(CX$119&lt;0),1,0)</f>
        <v>0</v>
      </c>
      <c r="CY123" s="31" t="n">
        <f aca="false">IF((CX$119&lt;0)&lt;&gt;(CY$119&lt;0),1,0)</f>
        <v>0</v>
      </c>
      <c r="CZ123" s="31" t="n">
        <f aca="false">IF((CY$119&lt;0)&lt;&gt;(CZ$119&lt;0),1,0)</f>
        <v>0</v>
      </c>
      <c r="DA123" s="31" t="n">
        <f aca="false">IF((CZ$119&lt;0)&lt;&gt;(DA$119&lt;0),1,0)</f>
        <v>0</v>
      </c>
      <c r="DB123" s="31" t="n">
        <f aca="false">IF((DA$119&lt;0)&lt;&gt;(DB$119&lt;0),1,0)</f>
        <v>0</v>
      </c>
      <c r="DC123" s="31" t="n">
        <f aca="false">IF((DB$119&lt;0)&lt;&gt;(DC$119&lt;0),1,0)</f>
        <v>0</v>
      </c>
      <c r="DD123" s="31" t="n">
        <f aca="false">IF((DC$119&lt;0)&lt;&gt;(DD$119&lt;0),1,0)</f>
        <v>0</v>
      </c>
      <c r="DE123" s="31" t="n">
        <f aca="false">IF((DD$119&lt;0)&lt;&gt;(DE$119&lt;0),1,0)</f>
        <v>0</v>
      </c>
      <c r="DF123" s="31" t="n">
        <f aca="false">IF((DE$119&lt;0)&lt;&gt;(DF$119&lt;0),1,0)</f>
        <v>0</v>
      </c>
      <c r="DG123" s="31" t="n">
        <f aca="false">IF((DF$119&lt;0)&lt;&gt;(DG$119&lt;0),1,0)</f>
        <v>0</v>
      </c>
      <c r="DH123" s="31" t="n">
        <f aca="false">IF((DG$119&lt;0)&lt;&gt;(DH$119&lt;0),1,0)</f>
        <v>0</v>
      </c>
      <c r="DI123" s="31" t="n">
        <f aca="false">IF((DH$119&lt;0)&lt;&gt;(DI$119&lt;0),1,0)</f>
        <v>0</v>
      </c>
      <c r="DJ123" s="31" t="n">
        <f aca="false">IF((DI$119&lt;0)&lt;&gt;(DJ$119&lt;0),1,0)</f>
        <v>0</v>
      </c>
      <c r="DK123" s="31" t="n">
        <f aca="false">IF((DJ$119&lt;0)&lt;&gt;(DK$119&lt;0),1,0)</f>
        <v>0</v>
      </c>
      <c r="DL123" s="31" t="n">
        <f aca="false">IF((DK$119&lt;0)&lt;&gt;(DL$119&lt;0),1,0)</f>
        <v>0</v>
      </c>
      <c r="DM123" s="31" t="n">
        <f aca="false">IF((DL$119&lt;0)&lt;&gt;(DM$119&lt;0),1,0)</f>
        <v>0</v>
      </c>
      <c r="DN123" s="31" t="n">
        <f aca="false">IF((DM$119&lt;0)&lt;&gt;(DN$119&lt;0),1,0)</f>
        <v>0</v>
      </c>
      <c r="DO123" s="31" t="n">
        <f aca="false">IF((DN$119&lt;0)&lt;&gt;(DO$119&lt;0),1,0)</f>
        <v>0</v>
      </c>
      <c r="DP123" s="31" t="n">
        <f aca="false">IF((DO$119&lt;0)&lt;&gt;(DP$119&lt;0),1,0)</f>
        <v>0</v>
      </c>
      <c r="DQ123" s="31" t="n">
        <f aca="false">IF((DP$119&lt;0)&lt;&gt;(DQ$119&lt;0),1,0)</f>
        <v>0</v>
      </c>
      <c r="DR123" s="31" t="n">
        <f aca="false">IF((DQ$119&lt;0)&lt;&gt;(DR$119&lt;0),1,0)</f>
        <v>0</v>
      </c>
      <c r="DS123" s="31" t="n">
        <f aca="false">IF((DR$119&lt;0)&lt;&gt;(DS$119&lt;0),1,0)</f>
        <v>0</v>
      </c>
      <c r="DT123" s="31" t="n">
        <f aca="false">IF((DS$119&lt;0)&lt;&gt;(DT$119&lt;0),1,0)</f>
        <v>0</v>
      </c>
      <c r="DU123" s="31" t="n">
        <f aca="false">IF((DT$119&lt;0)&lt;&gt;(DU$119&lt;0),1,0)</f>
        <v>0</v>
      </c>
      <c r="DV123" s="31" t="n">
        <f aca="false">IF((DU$119&lt;0)&lt;&gt;(DV$119&lt;0),1,0)</f>
        <v>0</v>
      </c>
      <c r="DW123" s="31" t="n">
        <f aca="false">IF((DV$119&lt;0)&lt;&gt;(DW$119&lt;0),1,0)</f>
        <v>0</v>
      </c>
      <c r="DX123" s="31" t="n">
        <f aca="false">IF((DW$119&lt;0)&lt;&gt;(DX$119&lt;0),1,0)</f>
        <v>0</v>
      </c>
      <c r="DY123" s="31" t="n">
        <f aca="false">IF((DX$119&lt;0)&lt;&gt;(DY$119&lt;0),1,0)</f>
        <v>0</v>
      </c>
      <c r="DZ123" s="31" t="n">
        <f aca="false">IF((DY$119&lt;0)&lt;&gt;(DZ$119&lt;0),1,0)</f>
        <v>0</v>
      </c>
      <c r="EA123" s="31" t="n">
        <f aca="false">IF((DZ$119&lt;0)&lt;&gt;(EA$119&lt;0),1,0)</f>
        <v>0</v>
      </c>
      <c r="EB123" s="31" t="n">
        <f aca="false">IF((EA$119&lt;0)&lt;&gt;(EB$119&lt;0),1,0)</f>
        <v>0</v>
      </c>
      <c r="EC123" s="31" t="n">
        <f aca="false">IF((EB$119&lt;0)&lt;&gt;(EC$119&lt;0),1,0)</f>
        <v>0</v>
      </c>
      <c r="ED123" s="31" t="n">
        <f aca="false">IF((EC$119&lt;0)&lt;&gt;(ED$119&lt;0),1,0)</f>
        <v>0</v>
      </c>
      <c r="EE123" s="31" t="n">
        <f aca="false">IF((ED$119&lt;0)&lt;&gt;(EE$119&lt;0),1,0)</f>
        <v>0</v>
      </c>
      <c r="EF123" s="31" t="n">
        <f aca="false">IF((EE$119&lt;0)&lt;&gt;(EF$119&lt;0),1,0)</f>
        <v>0</v>
      </c>
      <c r="EG123" s="31" t="n">
        <f aca="false">IF((EF$119&lt;0)&lt;&gt;(EG$119&lt;0),1,0)</f>
        <v>0</v>
      </c>
      <c r="EH123" s="31" t="n">
        <f aca="false">IF((EG$119&lt;0)&lt;&gt;(EH$119&lt;0),1,0)</f>
        <v>0</v>
      </c>
      <c r="EI123" s="31" t="n">
        <f aca="false">IF((EH$119&lt;0)&lt;&gt;(EI$119&lt;0),1,0)</f>
        <v>0</v>
      </c>
      <c r="EJ123" s="31" t="n">
        <f aca="false">IF((EI$119&lt;0)&lt;&gt;(EJ$119&lt;0),1,0)</f>
        <v>0</v>
      </c>
      <c r="EK123" s="31" t="n">
        <f aca="false">IF((EJ$119&lt;0)&lt;&gt;(EK$119&lt;0),1,0)</f>
        <v>0</v>
      </c>
      <c r="EL123" s="31" t="n">
        <f aca="false">IF((EK$119&lt;0)&lt;&gt;(EL$119&lt;0),1,0)</f>
        <v>0</v>
      </c>
      <c r="EM123" s="31" t="n">
        <f aca="false">IF((EL$119&lt;0)&lt;&gt;(EM$119&lt;0),1,0)</f>
        <v>0</v>
      </c>
      <c r="EN123" s="31" t="n">
        <f aca="false">IF((EM$119&lt;0)&lt;&gt;(EN$119&lt;0),1,0)</f>
        <v>0</v>
      </c>
      <c r="EO123" s="31" t="n">
        <f aca="false">IF((EN$119&lt;0)&lt;&gt;(EO$119&lt;0),1,0)</f>
        <v>0</v>
      </c>
      <c r="EP123" s="31" t="n">
        <f aca="false">IF((EO$119&lt;0)&lt;&gt;(EP$119&lt;0),1,0)</f>
        <v>0</v>
      </c>
      <c r="EQ123" s="31" t="n">
        <f aca="false">IF((EP$119&lt;0)&lt;&gt;(EQ$119&lt;0),1,0)</f>
        <v>0</v>
      </c>
      <c r="ER123" s="31" t="n">
        <f aca="false">IF((EQ$119&lt;0)&lt;&gt;(ER$119&lt;0),1,0)</f>
        <v>0</v>
      </c>
      <c r="ES123" s="31" t="n">
        <f aca="false">IF((ER$119&lt;0)&lt;&gt;(ES$119&lt;0),1,0)</f>
        <v>0</v>
      </c>
      <c r="ET123" s="31" t="n">
        <f aca="false">IF((ES$119&lt;0)&lt;&gt;(ET$119&lt;0),1,0)</f>
        <v>0</v>
      </c>
      <c r="EU123" s="31" t="n">
        <f aca="false">IF((ET$119&lt;0)&lt;&gt;(EU$119&lt;0),1,0)</f>
        <v>0</v>
      </c>
      <c r="EV123" s="31" t="n">
        <f aca="false">IF((EU$119&lt;0)&lt;&gt;(EV$119&lt;0),1,0)</f>
        <v>0</v>
      </c>
      <c r="EW123" s="31" t="n">
        <f aca="false">IF((EV$119&lt;0)&lt;&gt;(EW$119&lt;0),1,0)</f>
        <v>0</v>
      </c>
      <c r="EX123" s="31" t="n">
        <f aca="false">IF((EW$119&lt;0)&lt;&gt;(EX$119&lt;0),1,0)</f>
        <v>0</v>
      </c>
      <c r="EY123" s="31" t="n">
        <f aca="false">IF((EX$119&lt;0)&lt;&gt;(EY$119&lt;0),1,0)</f>
        <v>0</v>
      </c>
      <c r="EZ123" s="31" t="n">
        <f aca="false">IF((EY$119&lt;0)&lt;&gt;(EZ$119&lt;0),1,0)</f>
        <v>0</v>
      </c>
      <c r="FA123" s="31" t="n">
        <f aca="false">IF((EZ$119&lt;0)&lt;&gt;(FA$119&lt;0),1,0)</f>
        <v>0</v>
      </c>
      <c r="FB123" s="31" t="n">
        <f aca="false">IF((FA$119&lt;0)&lt;&gt;(FB$119&lt;0),1,0)</f>
        <v>0</v>
      </c>
      <c r="FC123" s="31" t="n">
        <f aca="false">IF((FB$119&lt;0)&lt;&gt;(FC$119&lt;0),1,0)</f>
        <v>0</v>
      </c>
      <c r="FD123" s="31" t="n">
        <f aca="false">IF((FC$119&lt;0)&lt;&gt;(FD$119&lt;0),1,0)</f>
        <v>0</v>
      </c>
      <c r="FE123" s="31" t="n">
        <f aca="false">IF((FD$119&lt;0)&lt;&gt;(FE$119&lt;0),1,0)</f>
        <v>0</v>
      </c>
      <c r="FF123" s="31" t="n">
        <f aca="false">IF((FE$119&lt;0)&lt;&gt;(FF$119&lt;0),1,0)</f>
        <v>0</v>
      </c>
    </row>
    <row r="124" customFormat="false" ht="15" hidden="false" customHeight="false" outlineLevel="0" collapsed="false">
      <c r="A124" s="2" t="s">
        <v>1653</v>
      </c>
      <c r="B124" s="8" t="s">
        <v>1654</v>
      </c>
      <c r="C124" s="8" t="s">
        <v>1655</v>
      </c>
      <c r="E124" s="70" t="n">
        <f aca="false">MAX($F124:$FF124)</f>
        <v>53.3363951355377</v>
      </c>
      <c r="F124" s="19" t="n">
        <f aca="false">0</f>
        <v>0</v>
      </c>
      <c r="G124" s="19" t="n">
        <f aca="false">IF(AND(F$114&lt;0,G$114&gt;=0),0+(-F$114)/G$62,0)</f>
        <v>0</v>
      </c>
      <c r="H124" s="19" t="n">
        <f aca="false">IF(AND(G$114&lt;0,H$114&gt;=0),1+(-G$114)/H$62,0)</f>
        <v>0</v>
      </c>
      <c r="I124" s="19" t="n">
        <f aca="false">IF(AND(H$114&lt;0,I$114&gt;=0),2+(-H$114)/I$62,0)</f>
        <v>0</v>
      </c>
      <c r="J124" s="19" t="n">
        <f aca="false">IF(AND(I$114&lt;0,J$114&gt;=0),3+(-I$114)/J$62,0)</f>
        <v>0</v>
      </c>
      <c r="K124" s="19" t="n">
        <f aca="false">IF(AND(J$114&lt;0,K$114&gt;=0),4+(-J$114)/K$62,0)</f>
        <v>0</v>
      </c>
      <c r="L124" s="19" t="n">
        <f aca="false">IF(AND(K$114&lt;0,L$114&gt;=0),5+(-K$114)/L$62,0)</f>
        <v>0</v>
      </c>
      <c r="M124" s="19" t="n">
        <f aca="false">IF(AND(L$114&lt;0,M$114&gt;=0),6+(-L$114)/M$62,0)</f>
        <v>0</v>
      </c>
      <c r="N124" s="19" t="n">
        <f aca="false">IF(AND(M$114&lt;0,N$114&gt;=0),7+(-M$114)/N$62,0)</f>
        <v>0</v>
      </c>
      <c r="O124" s="19" t="n">
        <f aca="false">IF(AND(N$114&lt;0,O$114&gt;=0),8+(-N$114)/O$62,0)</f>
        <v>0</v>
      </c>
      <c r="P124" s="19" t="n">
        <f aca="false">IF(AND(O$114&lt;0,P$114&gt;=0),9+(-O$114)/P$62,0)</f>
        <v>0</v>
      </c>
      <c r="Q124" s="19" t="n">
        <f aca="false">IF(AND(P$114&lt;0,Q$114&gt;=0),10+(-P$114)/Q$62,0)</f>
        <v>0</v>
      </c>
      <c r="R124" s="19" t="n">
        <f aca="false">IF(AND(Q$114&lt;0,R$114&gt;=0),11+(-Q$114)/R$62,0)</f>
        <v>0</v>
      </c>
      <c r="S124" s="19" t="n">
        <f aca="false">IF(AND(R$114&lt;0,S$114&gt;=0),12+(-R$114)/S$62,0)</f>
        <v>0</v>
      </c>
      <c r="T124" s="19" t="n">
        <f aca="false">IF(AND(S$114&lt;0,T$114&gt;=0),13+(-S$114)/T$62,0)</f>
        <v>0</v>
      </c>
      <c r="U124" s="19" t="n">
        <f aca="false">IF(AND(T$114&lt;0,U$114&gt;=0),14+(-T$114)/U$62,0)</f>
        <v>0</v>
      </c>
      <c r="V124" s="19" t="n">
        <f aca="false">IF(AND(U$114&lt;0,V$114&gt;=0),15+(-U$114)/V$62,0)</f>
        <v>0</v>
      </c>
      <c r="W124" s="19" t="n">
        <f aca="false">IF(AND(V$114&lt;0,W$114&gt;=0),16+(-V$114)/W$62,0)</f>
        <v>0</v>
      </c>
      <c r="X124" s="19" t="n">
        <f aca="false">IF(AND(W$114&lt;0,X$114&gt;=0),17+(-W$114)/X$62,0)</f>
        <v>0</v>
      </c>
      <c r="Y124" s="19" t="n">
        <f aca="false">IF(AND(X$114&lt;0,Y$114&gt;=0),18+(-X$114)/Y$62,0)</f>
        <v>0</v>
      </c>
      <c r="Z124" s="19" t="n">
        <f aca="false">IF(AND(Y$114&lt;0,Z$114&gt;=0),19+(-Y$114)/Z$62,0)</f>
        <v>0</v>
      </c>
      <c r="AA124" s="19" t="n">
        <f aca="false">IF(AND(Z$114&lt;0,AA$114&gt;=0),20+(-Z$114)/AA$62,0)</f>
        <v>0</v>
      </c>
      <c r="AB124" s="19" t="n">
        <f aca="false">IF(AND(AA$114&lt;0,AB$114&gt;=0),21+(-AA$114)/AB$62,0)</f>
        <v>0</v>
      </c>
      <c r="AC124" s="19" t="n">
        <f aca="false">IF(AND(AB$114&lt;0,AC$114&gt;=0),22+(-AB$114)/AC$62,0)</f>
        <v>0</v>
      </c>
      <c r="AD124" s="19" t="n">
        <f aca="false">IF(AND(AC$114&lt;0,AD$114&gt;=0),23+(-AC$114)/AD$62,0)</f>
        <v>0</v>
      </c>
      <c r="AE124" s="19" t="n">
        <f aca="false">IF(AND(AD$114&lt;0,AE$114&gt;=0),24+(-AD$114)/AE$62,0)</f>
        <v>0</v>
      </c>
      <c r="AF124" s="19" t="n">
        <f aca="false">IF(AND(AE$114&lt;0,AF$114&gt;=0),25+(-AE$114)/AF$62,0)</f>
        <v>0</v>
      </c>
      <c r="AG124" s="19" t="n">
        <f aca="false">IF(AND(AF$114&lt;0,AG$114&gt;=0),26+(-AF$114)/AG$62,0)</f>
        <v>0</v>
      </c>
      <c r="AH124" s="19" t="n">
        <f aca="false">IF(AND(AG$114&lt;0,AH$114&gt;=0),27+(-AG$114)/AH$62,0)</f>
        <v>0</v>
      </c>
      <c r="AI124" s="19" t="n">
        <f aca="false">IF(AND(AH$114&lt;0,AI$114&gt;=0),28+(-AH$114)/AI$62,0)</f>
        <v>0</v>
      </c>
      <c r="AJ124" s="19" t="n">
        <f aca="false">IF(AND(AI$114&lt;0,AJ$114&gt;=0),29+(-AI$114)/AJ$62,0)</f>
        <v>0</v>
      </c>
      <c r="AK124" s="19" t="n">
        <f aca="false">IF(AND(AJ$114&lt;0,AK$114&gt;=0),30+(-AJ$114)/AK$62,0)</f>
        <v>0</v>
      </c>
      <c r="AL124" s="19" t="n">
        <f aca="false">IF(AND(AK$114&lt;0,AL$114&gt;=0),31+(-AK$114)/AL$62,0)</f>
        <v>0</v>
      </c>
      <c r="AM124" s="19" t="n">
        <f aca="false">IF(AND(AL$114&lt;0,AM$114&gt;=0),32+(-AL$114)/AM$62,0)</f>
        <v>0</v>
      </c>
      <c r="AN124" s="19" t="n">
        <f aca="false">IF(AND(AM$114&lt;0,AN$114&gt;=0),33+(-AM$114)/AN$62,0)</f>
        <v>0</v>
      </c>
      <c r="AO124" s="19" t="n">
        <f aca="false">IF(AND(AN$114&lt;0,AO$114&gt;=0),34+(-AN$114)/AO$62,0)</f>
        <v>0</v>
      </c>
      <c r="AP124" s="19" t="n">
        <f aca="false">IF(AND(AO$114&lt;0,AP$114&gt;=0),35+(-AO$114)/AP$62,0)</f>
        <v>0</v>
      </c>
      <c r="AQ124" s="19" t="n">
        <f aca="false">IF(AND(AP$114&lt;0,AQ$114&gt;=0),36+(-AP$114)/AQ$62,0)</f>
        <v>0</v>
      </c>
      <c r="AR124" s="19" t="n">
        <f aca="false">IF(AND(AQ$114&lt;0,AR$114&gt;=0),37+(-AQ$114)/AR$62,0)</f>
        <v>0</v>
      </c>
      <c r="AS124" s="19" t="n">
        <f aca="false">IF(AND(AR$114&lt;0,AS$114&gt;=0),38+(-AR$114)/AS$62,0)</f>
        <v>0</v>
      </c>
      <c r="AT124" s="19" t="n">
        <f aca="false">IF(AND(AS$114&lt;0,AT$114&gt;=0),39+(-AS$114)/AT$62,0)</f>
        <v>0</v>
      </c>
      <c r="AU124" s="19" t="n">
        <f aca="false">IF(AND(AT$114&lt;0,AU$114&gt;=0),40+(-AT$114)/AU$62,0)</f>
        <v>0</v>
      </c>
      <c r="AV124" s="19" t="n">
        <f aca="false">IF(AND(AU$114&lt;0,AV$114&gt;=0),41+(-AU$114)/AV$62,0)</f>
        <v>0</v>
      </c>
      <c r="AW124" s="19" t="n">
        <f aca="false">IF(AND(AV$114&lt;0,AW$114&gt;=0),42+(-AV$114)/AW$62,0)</f>
        <v>0</v>
      </c>
      <c r="AX124" s="19" t="n">
        <f aca="false">IF(AND(AW$114&lt;0,AX$114&gt;=0),43+(-AW$114)/AX$62,0)</f>
        <v>0</v>
      </c>
      <c r="AY124" s="19" t="n">
        <f aca="false">IF(AND(AX$114&lt;0,AY$114&gt;=0),44+(-AX$114)/AY$62,0)</f>
        <v>0</v>
      </c>
      <c r="AZ124" s="19" t="n">
        <f aca="false">IF(AND(AY$114&lt;0,AZ$114&gt;=0),45+(-AY$114)/AZ$62,0)</f>
        <v>0</v>
      </c>
      <c r="BA124" s="19" t="n">
        <f aca="false">IF(AND(AZ$114&lt;0,BA$114&gt;=0),46+(-AZ$114)/BA$62,0)</f>
        <v>0</v>
      </c>
      <c r="BB124" s="19" t="n">
        <f aca="false">IF(AND(BA$114&lt;0,BB$114&gt;=0),47+(-BA$114)/BB$62,0)</f>
        <v>0</v>
      </c>
      <c r="BC124" s="19" t="n">
        <f aca="false">IF(AND(BB$114&lt;0,BC$114&gt;=0),48+(-BB$114)/BC$62,0)</f>
        <v>0</v>
      </c>
      <c r="BD124" s="19" t="n">
        <f aca="false">IF(AND(BC$114&lt;0,BD$114&gt;=0),49+(-BC$114)/BD$62,0)</f>
        <v>0</v>
      </c>
      <c r="BE124" s="19" t="n">
        <f aca="false">IF(AND(BD$114&lt;0,BE$114&gt;=0),50+(-BD$114)/BE$62,0)</f>
        <v>0</v>
      </c>
      <c r="BF124" s="19" t="n">
        <f aca="false">IF(AND(BE$114&lt;0,BF$114&gt;=0),51+(-BE$114)/BF$62,0)</f>
        <v>0</v>
      </c>
      <c r="BG124" s="19" t="n">
        <f aca="false">IF(AND(BF$114&lt;0,BG$114&gt;=0),52+(-BF$114)/BG$62,0)</f>
        <v>0</v>
      </c>
      <c r="BH124" s="19" t="n">
        <f aca="false">IF(AND(BG$114&lt;0,BH$114&gt;=0),53+(-BG$114)/BH$62,0)</f>
        <v>53.3363951355377</v>
      </c>
      <c r="BI124" s="19" t="n">
        <f aca="false">IF(AND(BH$114&lt;0,BI$114&gt;=0),54+(-BH$114)/BI$62,0)</f>
        <v>0</v>
      </c>
      <c r="BJ124" s="19" t="n">
        <f aca="false">IF(AND(BI$114&lt;0,BJ$114&gt;=0),55+(-BI$114)/BJ$62,0)</f>
        <v>0</v>
      </c>
      <c r="BK124" s="19" t="n">
        <f aca="false">IF(AND(BJ$114&lt;0,BK$114&gt;=0),56+(-BJ$114)/BK$62,0)</f>
        <v>0</v>
      </c>
      <c r="BL124" s="19" t="n">
        <f aca="false">IF(AND(BK$114&lt;0,BL$114&gt;=0),57+(-BK$114)/BL$62,0)</f>
        <v>0</v>
      </c>
      <c r="BM124" s="19" t="n">
        <f aca="false">IF(AND(BL$114&lt;0,BM$114&gt;=0),58+(-BL$114)/BM$62,0)</f>
        <v>0</v>
      </c>
      <c r="BN124" s="19" t="n">
        <f aca="false">IF(AND(BM$114&lt;0,BN$114&gt;=0),59+(-BM$114)/BN$62,0)</f>
        <v>0</v>
      </c>
      <c r="BO124" s="19" t="n">
        <f aca="false">IF(AND(BN$114&lt;0,BO$114&gt;=0),60+(-BN$114)/BO$62,0)</f>
        <v>0</v>
      </c>
      <c r="BP124" s="19" t="n">
        <f aca="false">IF(AND(BO$114&lt;0,BP$114&gt;=0),61+(-BO$114)/BP$62,0)</f>
        <v>0</v>
      </c>
      <c r="BQ124" s="19" t="n">
        <f aca="false">IF(AND(BP$114&lt;0,BQ$114&gt;=0),62+(-BP$114)/BQ$62,0)</f>
        <v>0</v>
      </c>
      <c r="BR124" s="19" t="n">
        <f aca="false">IF(AND(BQ$114&lt;0,BR$114&gt;=0),63+(-BQ$114)/BR$62,0)</f>
        <v>0</v>
      </c>
      <c r="BS124" s="19" t="n">
        <f aca="false">IF(AND(BR$114&lt;0,BS$114&gt;=0),64+(-BR$114)/BS$62,0)</f>
        <v>0</v>
      </c>
      <c r="BT124" s="19" t="n">
        <f aca="false">IF(AND(BS$114&lt;0,BT$114&gt;=0),65+(-BS$114)/BT$62,0)</f>
        <v>0</v>
      </c>
      <c r="BU124" s="19" t="n">
        <f aca="false">IF(AND(BT$114&lt;0,BU$114&gt;=0),66+(-BT$114)/BU$62,0)</f>
        <v>0</v>
      </c>
      <c r="BV124" s="19" t="n">
        <f aca="false">IF(AND(BU$114&lt;0,BV$114&gt;=0),67+(-BU$114)/BV$62,0)</f>
        <v>0</v>
      </c>
      <c r="BW124" s="19" t="n">
        <f aca="false">IF(AND(BV$114&lt;0,BW$114&gt;=0),68+(-BV$114)/BW$62,0)</f>
        <v>0</v>
      </c>
      <c r="BX124" s="19" t="n">
        <f aca="false">IF(AND(BW$114&lt;0,BX$114&gt;=0),69+(-BW$114)/BX$62,0)</f>
        <v>0</v>
      </c>
      <c r="BY124" s="19" t="n">
        <f aca="false">IF(AND(BX$114&lt;0,BY$114&gt;=0),70+(-BX$114)/BY$62,0)</f>
        <v>0</v>
      </c>
      <c r="BZ124" s="19" t="n">
        <f aca="false">IF(AND(BY$114&lt;0,BZ$114&gt;=0),71+(-BY$114)/BZ$62,0)</f>
        <v>0</v>
      </c>
      <c r="CA124" s="19" t="n">
        <f aca="false">IF(AND(BZ$114&lt;0,CA$114&gt;=0),72+(-BZ$114)/CA$62,0)</f>
        <v>0</v>
      </c>
      <c r="CB124" s="19" t="n">
        <f aca="false">IF(AND(CA$114&lt;0,CB$114&gt;=0),73+(-CA$114)/CB$62,0)</f>
        <v>0</v>
      </c>
      <c r="CC124" s="19" t="n">
        <f aca="false">IF(AND(CB$114&lt;0,CC$114&gt;=0),74+(-CB$114)/CC$62,0)</f>
        <v>0</v>
      </c>
      <c r="CD124" s="19" t="n">
        <f aca="false">IF(AND(CC$114&lt;0,CD$114&gt;=0),75+(-CC$114)/CD$62,0)</f>
        <v>0</v>
      </c>
      <c r="CE124" s="19" t="n">
        <f aca="false">IF(AND(CD$114&lt;0,CE$114&gt;=0),76+(-CD$114)/CE$62,0)</f>
        <v>0</v>
      </c>
      <c r="CF124" s="19" t="n">
        <f aca="false">IF(AND(CE$114&lt;0,CF$114&gt;=0),77+(-CE$114)/CF$62,0)</f>
        <v>0</v>
      </c>
      <c r="CG124" s="19" t="n">
        <f aca="false">IF(AND(CF$114&lt;0,CG$114&gt;=0),78+(-CF$114)/CG$62,0)</f>
        <v>0</v>
      </c>
      <c r="CH124" s="19" t="n">
        <f aca="false">IF(AND(CG$114&lt;0,CH$114&gt;=0),79+(-CG$114)/CH$62,0)</f>
        <v>0</v>
      </c>
      <c r="CI124" s="19" t="n">
        <f aca="false">IF(AND(CH$114&lt;0,CI$114&gt;=0),80+(-CH$114)/CI$62,0)</f>
        <v>0</v>
      </c>
      <c r="CJ124" s="19" t="n">
        <f aca="false">IF(AND(CI$114&lt;0,CJ$114&gt;=0),81+(-CI$114)/CJ$62,0)</f>
        <v>0</v>
      </c>
      <c r="CK124" s="19" t="n">
        <f aca="false">IF(AND(CJ$114&lt;0,CK$114&gt;=0),82+(-CJ$114)/CK$62,0)</f>
        <v>0</v>
      </c>
      <c r="CL124" s="19" t="n">
        <f aca="false">IF(AND(CK$114&lt;0,CL$114&gt;=0),83+(-CK$114)/CL$62,0)</f>
        <v>0</v>
      </c>
      <c r="CM124" s="19" t="n">
        <f aca="false">IF(AND(CL$114&lt;0,CM$114&gt;=0),84+(-CL$114)/CM$62,0)</f>
        <v>0</v>
      </c>
      <c r="CN124" s="19" t="n">
        <f aca="false">IF(AND(CM$114&lt;0,CN$114&gt;=0),85+(-CM$114)/CN$62,0)</f>
        <v>0</v>
      </c>
      <c r="CO124" s="19" t="n">
        <f aca="false">IF(AND(CN$114&lt;0,CO$114&gt;=0),86+(-CN$114)/CO$62,0)</f>
        <v>0</v>
      </c>
      <c r="CP124" s="19" t="n">
        <f aca="false">IF(AND(CO$114&lt;0,CP$114&gt;=0),87+(-CO$114)/CP$62,0)</f>
        <v>0</v>
      </c>
      <c r="CQ124" s="19" t="n">
        <f aca="false">IF(AND(CP$114&lt;0,CQ$114&gt;=0),88+(-CP$114)/CQ$62,0)</f>
        <v>0</v>
      </c>
      <c r="CR124" s="19" t="n">
        <f aca="false">IF(AND(CQ$114&lt;0,CR$114&gt;=0),89+(-CQ$114)/CR$62,0)</f>
        <v>0</v>
      </c>
      <c r="CS124" s="19" t="n">
        <f aca="false">IF(AND(CR$114&lt;0,CS$114&gt;=0),90+(-CR$114)/CS$62,0)</f>
        <v>0</v>
      </c>
      <c r="CT124" s="19" t="n">
        <f aca="false">IF(AND(CS$114&lt;0,CT$114&gt;=0),91+(-CS$114)/CT$62,0)</f>
        <v>0</v>
      </c>
      <c r="CU124" s="19" t="n">
        <f aca="false">IF(AND(CT$114&lt;0,CU$114&gt;=0),92+(-CT$114)/CU$62,0)</f>
        <v>0</v>
      </c>
      <c r="CV124" s="19" t="n">
        <f aca="false">IF(AND(CU$114&lt;0,CV$114&gt;=0),93+(-CU$114)/CV$62,0)</f>
        <v>0</v>
      </c>
      <c r="CW124" s="19" t="n">
        <f aca="false">IF(AND(CV$114&lt;0,CW$114&gt;=0),94+(-CV$114)/CW$62,0)</f>
        <v>0</v>
      </c>
      <c r="CX124" s="19" t="n">
        <f aca="false">IF(AND(CW$114&lt;0,CX$114&gt;=0),95+(-CW$114)/CX$62,0)</f>
        <v>0</v>
      </c>
      <c r="CY124" s="19" t="n">
        <f aca="false">IF(AND(CX$114&lt;0,CY$114&gt;=0),96+(-CX$114)/CY$62,0)</f>
        <v>0</v>
      </c>
      <c r="CZ124" s="19" t="n">
        <f aca="false">IF(AND(CY$114&lt;0,CZ$114&gt;=0),97+(-CY$114)/CZ$62,0)</f>
        <v>0</v>
      </c>
      <c r="DA124" s="19" t="n">
        <f aca="false">IF(AND(CZ$114&lt;0,DA$114&gt;=0),98+(-CZ$114)/DA$62,0)</f>
        <v>0</v>
      </c>
      <c r="DB124" s="19" t="n">
        <f aca="false">IF(AND(DA$114&lt;0,DB$114&gt;=0),99+(-DA$114)/DB$62,0)</f>
        <v>0</v>
      </c>
      <c r="DC124" s="19" t="n">
        <f aca="false">IF(AND(DB$114&lt;0,DC$114&gt;=0),100+(-DB$114)/DC$62,0)</f>
        <v>0</v>
      </c>
      <c r="DD124" s="19" t="n">
        <f aca="false">IF(AND(DC$114&lt;0,DD$114&gt;=0),101+(-DC$114)/DD$62,0)</f>
        <v>0</v>
      </c>
      <c r="DE124" s="19" t="n">
        <f aca="false">IF(AND(DD$114&lt;0,DE$114&gt;=0),102+(-DD$114)/DE$62,0)</f>
        <v>0</v>
      </c>
      <c r="DF124" s="19" t="n">
        <f aca="false">IF(AND(DE$114&lt;0,DF$114&gt;=0),103+(-DE$114)/DF$62,0)</f>
        <v>0</v>
      </c>
      <c r="DG124" s="19" t="n">
        <f aca="false">IF(AND(DF$114&lt;0,DG$114&gt;=0),104+(-DF$114)/DG$62,0)</f>
        <v>0</v>
      </c>
      <c r="DH124" s="19" t="n">
        <f aca="false">IF(AND(DG$114&lt;0,DH$114&gt;=0),105+(-DG$114)/DH$62,0)</f>
        <v>0</v>
      </c>
      <c r="DI124" s="19" t="n">
        <f aca="false">IF(AND(DH$114&lt;0,DI$114&gt;=0),106+(-DH$114)/DI$62,0)</f>
        <v>0</v>
      </c>
      <c r="DJ124" s="19" t="n">
        <f aca="false">IF(AND(DI$114&lt;0,DJ$114&gt;=0),107+(-DI$114)/DJ$62,0)</f>
        <v>0</v>
      </c>
      <c r="DK124" s="19" t="n">
        <f aca="false">IF(AND(DJ$114&lt;0,DK$114&gt;=0),108+(-DJ$114)/DK$62,0)</f>
        <v>0</v>
      </c>
      <c r="DL124" s="19" t="n">
        <f aca="false">IF(AND(DK$114&lt;0,DL$114&gt;=0),109+(-DK$114)/DL$62,0)</f>
        <v>0</v>
      </c>
      <c r="DM124" s="19" t="n">
        <f aca="false">IF(AND(DL$114&lt;0,DM$114&gt;=0),110+(-DL$114)/DM$62,0)</f>
        <v>0</v>
      </c>
      <c r="DN124" s="19" t="n">
        <f aca="false">IF(AND(DM$114&lt;0,DN$114&gt;=0),111+(-DM$114)/DN$62,0)</f>
        <v>0</v>
      </c>
      <c r="DO124" s="19" t="n">
        <f aca="false">IF(AND(DN$114&lt;0,DO$114&gt;=0),112+(-DN$114)/DO$62,0)</f>
        <v>0</v>
      </c>
      <c r="DP124" s="19" t="n">
        <f aca="false">IF(AND(DO$114&lt;0,DP$114&gt;=0),113+(-DO$114)/DP$62,0)</f>
        <v>0</v>
      </c>
      <c r="DQ124" s="19" t="n">
        <f aca="false">IF(AND(DP$114&lt;0,DQ$114&gt;=0),114+(-DP$114)/DQ$62,0)</f>
        <v>0</v>
      </c>
      <c r="DR124" s="19" t="n">
        <f aca="false">IF(AND(DQ$114&lt;0,DR$114&gt;=0),115+(-DQ$114)/DR$62,0)</f>
        <v>0</v>
      </c>
      <c r="DS124" s="19" t="n">
        <f aca="false">IF(AND(DR$114&lt;0,DS$114&gt;=0),116+(-DR$114)/DS$62,0)</f>
        <v>0</v>
      </c>
      <c r="DT124" s="19" t="n">
        <f aca="false">IF(AND(DS$114&lt;0,DT$114&gt;=0),117+(-DS$114)/DT$62,0)</f>
        <v>0</v>
      </c>
      <c r="DU124" s="19" t="n">
        <f aca="false">IF(AND(DT$114&lt;0,DU$114&gt;=0),118+(-DT$114)/DU$62,0)</f>
        <v>0</v>
      </c>
      <c r="DV124" s="19" t="n">
        <f aca="false">IF(AND(DU$114&lt;0,DV$114&gt;=0),119+(-DU$114)/DV$62,0)</f>
        <v>0</v>
      </c>
      <c r="DW124" s="19" t="n">
        <f aca="false">IF(AND(DV$114&lt;0,DW$114&gt;=0),120+(-DV$114)/DW$62,0)</f>
        <v>0</v>
      </c>
      <c r="DX124" s="19" t="n">
        <f aca="false">IF(AND(DW$114&lt;0,DX$114&gt;=0),121+(-DW$114)/DX$62,0)</f>
        <v>0</v>
      </c>
      <c r="DY124" s="19" t="n">
        <f aca="false">IF(AND(DX$114&lt;0,DY$114&gt;=0),122+(-DX$114)/DY$62,0)</f>
        <v>0</v>
      </c>
      <c r="DZ124" s="19" t="n">
        <f aca="false">IF(AND(DY$114&lt;0,DZ$114&gt;=0),123+(-DY$114)/DZ$62,0)</f>
        <v>0</v>
      </c>
      <c r="EA124" s="19" t="n">
        <f aca="false">IF(AND(DZ$114&lt;0,EA$114&gt;=0),124+(-DZ$114)/EA$62,0)</f>
        <v>0</v>
      </c>
      <c r="EB124" s="19" t="n">
        <f aca="false">IF(AND(EA$114&lt;0,EB$114&gt;=0),125+(-EA$114)/EB$62,0)</f>
        <v>0</v>
      </c>
      <c r="EC124" s="19" t="n">
        <f aca="false">IF(AND(EB$114&lt;0,EC$114&gt;=0),126+(-EB$114)/EC$62,0)</f>
        <v>0</v>
      </c>
      <c r="ED124" s="19" t="n">
        <f aca="false">IF(AND(EC$114&lt;0,ED$114&gt;=0),127+(-EC$114)/ED$62,0)</f>
        <v>0</v>
      </c>
      <c r="EE124" s="19" t="n">
        <f aca="false">IF(AND(ED$114&lt;0,EE$114&gt;=0),128+(-ED$114)/EE$62,0)</f>
        <v>0</v>
      </c>
      <c r="EF124" s="19" t="n">
        <f aca="false">IF(AND(EE$114&lt;0,EF$114&gt;=0),129+(-EE$114)/EF$62,0)</f>
        <v>0</v>
      </c>
      <c r="EG124" s="19" t="n">
        <f aca="false">IF(AND(EF$114&lt;0,EG$114&gt;=0),130+(-EF$114)/EG$62,0)</f>
        <v>0</v>
      </c>
      <c r="EH124" s="19" t="n">
        <f aca="false">IF(AND(EG$114&lt;0,EH$114&gt;=0),131+(-EG$114)/EH$62,0)</f>
        <v>0</v>
      </c>
      <c r="EI124" s="19" t="n">
        <f aca="false">IF(AND(EH$114&lt;0,EI$114&gt;=0),132+(-EH$114)/EI$62,0)</f>
        <v>0</v>
      </c>
      <c r="EJ124" s="19" t="n">
        <f aca="false">IF(AND(EI$114&lt;0,EJ$114&gt;=0),133+(-EI$114)/EJ$62,0)</f>
        <v>0</v>
      </c>
      <c r="EK124" s="19" t="n">
        <f aca="false">IF(AND(EJ$114&lt;0,EK$114&gt;=0),134+(-EJ$114)/EK$62,0)</f>
        <v>0</v>
      </c>
      <c r="EL124" s="19" t="n">
        <f aca="false">IF(AND(EK$114&lt;0,EL$114&gt;=0),135+(-EK$114)/EL$62,0)</f>
        <v>0</v>
      </c>
      <c r="EM124" s="19" t="n">
        <f aca="false">IF(AND(EL$114&lt;0,EM$114&gt;=0),136+(-EL$114)/EM$62,0)</f>
        <v>0</v>
      </c>
      <c r="EN124" s="19" t="n">
        <f aca="false">IF(AND(EM$114&lt;0,EN$114&gt;=0),137+(-EM$114)/EN$62,0)</f>
        <v>0</v>
      </c>
      <c r="EO124" s="19" t="n">
        <f aca="false">IF(AND(EN$114&lt;0,EO$114&gt;=0),138+(-EN$114)/EO$62,0)</f>
        <v>0</v>
      </c>
      <c r="EP124" s="19" t="n">
        <f aca="false">IF(AND(EO$114&lt;0,EP$114&gt;=0),139+(-EO$114)/EP$62,0)</f>
        <v>0</v>
      </c>
      <c r="EQ124" s="19" t="n">
        <f aca="false">IF(AND(EP$114&lt;0,EQ$114&gt;=0),140+(-EP$114)/EQ$62,0)</f>
        <v>0</v>
      </c>
      <c r="ER124" s="19" t="n">
        <f aca="false">IF(AND(EQ$114&lt;0,ER$114&gt;=0),141+(-EQ$114)/ER$62,0)</f>
        <v>0</v>
      </c>
      <c r="ES124" s="19" t="n">
        <f aca="false">IF(AND(ER$114&lt;0,ES$114&gt;=0),142+(-ER$114)/ES$62,0)</f>
        <v>0</v>
      </c>
      <c r="ET124" s="19" t="n">
        <f aca="false">IF(AND(ES$114&lt;0,ET$114&gt;=0),143+(-ES$114)/ET$62,0)</f>
        <v>0</v>
      </c>
      <c r="EU124" s="19" t="n">
        <f aca="false">IF(AND(ET$114&lt;0,EU$114&gt;=0),144+(-ET$114)/EU$62,0)</f>
        <v>0</v>
      </c>
      <c r="EV124" s="19" t="n">
        <f aca="false">IF(AND(EU$114&lt;0,EV$114&gt;=0),145+(-EU$114)/EV$62,0)</f>
        <v>0</v>
      </c>
      <c r="EW124" s="19" t="n">
        <f aca="false">IF(AND(EV$114&lt;0,EW$114&gt;=0),146+(-EV$114)/EW$62,0)</f>
        <v>0</v>
      </c>
      <c r="EX124" s="19" t="n">
        <f aca="false">IF(AND(EW$114&lt;0,EX$114&gt;=0),147+(-EW$114)/EX$62,0)</f>
        <v>0</v>
      </c>
      <c r="EY124" s="19" t="n">
        <f aca="false">IF(AND(EX$114&lt;0,EY$114&gt;=0),148+(-EX$114)/EY$62,0)</f>
        <v>0</v>
      </c>
      <c r="EZ124" s="19" t="n">
        <f aca="false">IF(AND(EY$114&lt;0,EZ$114&gt;=0),149+(-EY$114)/EZ$62,0)</f>
        <v>0</v>
      </c>
      <c r="FA124" s="19" t="n">
        <f aca="false">IF(AND(EZ$114&lt;0,FA$114&gt;=0),150+(-EZ$114)/FA$62,0)</f>
        <v>0</v>
      </c>
      <c r="FB124" s="19" t="n">
        <f aca="false">IF(AND(FA$114&lt;0,FB$114&gt;=0),151+(-FA$114)/FB$62,0)</f>
        <v>0</v>
      </c>
      <c r="FC124" s="19" t="n">
        <f aca="false">IF(AND(FB$114&lt;0,FC$114&gt;=0),152+(-FB$114)/FC$62,0)</f>
        <v>0</v>
      </c>
      <c r="FD124" s="19" t="n">
        <f aca="false">IF(AND(FC$114&lt;0,FD$114&gt;=0),153+(-FC$114)/FD$62,0)</f>
        <v>0</v>
      </c>
      <c r="FE124" s="19" t="n">
        <f aca="false">IF(AND(FD$114&lt;0,FE$114&gt;=0),154+(-FD$114)/FE$62,0)</f>
        <v>0</v>
      </c>
      <c r="FF124" s="19" t="n">
        <f aca="false">IF(AND(FE$114&lt;0,FF$114&gt;=0),155+(-FE$114)/FF$62,0)</f>
        <v>0</v>
      </c>
    </row>
    <row r="125" customFormat="false" ht="15" hidden="false" customHeight="false" outlineLevel="0" collapsed="false">
      <c r="A125" s="2" t="s">
        <v>1656</v>
      </c>
      <c r="B125" s="8" t="s">
        <v>1657</v>
      </c>
      <c r="C125" s="8" t="s">
        <v>1655</v>
      </c>
      <c r="E125" s="70" t="n">
        <f aca="false">MAX($F125:$FF125)</f>
        <v>61.6312735305532</v>
      </c>
      <c r="F125" s="19" t="n">
        <f aca="false">0</f>
        <v>0</v>
      </c>
      <c r="G125" s="19" t="n">
        <f aca="false">IF(AND(F$115&lt;0,G$115&gt;=0),0+(-F$115)/G$113,0)</f>
        <v>0</v>
      </c>
      <c r="H125" s="19" t="n">
        <f aca="false">IF(AND(G$115&lt;0,H$115&gt;=0),1+(-G$115)/H$113,0)</f>
        <v>0</v>
      </c>
      <c r="I125" s="19" t="n">
        <f aca="false">IF(AND(H$115&lt;0,I$115&gt;=0),2+(-H$115)/I$113,0)</f>
        <v>0</v>
      </c>
      <c r="J125" s="19" t="n">
        <f aca="false">IF(AND(I$115&lt;0,J$115&gt;=0),3+(-I$115)/J$113,0)</f>
        <v>0</v>
      </c>
      <c r="K125" s="19" t="n">
        <f aca="false">IF(AND(J$115&lt;0,K$115&gt;=0),4+(-J$115)/K$113,0)</f>
        <v>0</v>
      </c>
      <c r="L125" s="19" t="n">
        <f aca="false">IF(AND(K$115&lt;0,L$115&gt;=0),5+(-K$115)/L$113,0)</f>
        <v>0</v>
      </c>
      <c r="M125" s="19" t="n">
        <f aca="false">IF(AND(L$115&lt;0,M$115&gt;=0),6+(-L$115)/M$113,0)</f>
        <v>0</v>
      </c>
      <c r="N125" s="19" t="n">
        <f aca="false">IF(AND(M$115&lt;0,N$115&gt;=0),7+(-M$115)/N$113,0)</f>
        <v>0</v>
      </c>
      <c r="O125" s="19" t="n">
        <f aca="false">IF(AND(N$115&lt;0,O$115&gt;=0),8+(-N$115)/O$113,0)</f>
        <v>0</v>
      </c>
      <c r="P125" s="19" t="n">
        <f aca="false">IF(AND(O$115&lt;0,P$115&gt;=0),9+(-O$115)/P$113,0)</f>
        <v>0</v>
      </c>
      <c r="Q125" s="19" t="n">
        <f aca="false">IF(AND(P$115&lt;0,Q$115&gt;=0),10+(-P$115)/Q$113,0)</f>
        <v>0</v>
      </c>
      <c r="R125" s="19" t="n">
        <f aca="false">IF(AND(Q$115&lt;0,R$115&gt;=0),11+(-Q$115)/R$113,0)</f>
        <v>0</v>
      </c>
      <c r="S125" s="19" t="n">
        <f aca="false">IF(AND(R$115&lt;0,S$115&gt;=0),12+(-R$115)/S$113,0)</f>
        <v>0</v>
      </c>
      <c r="T125" s="19" t="n">
        <f aca="false">IF(AND(S$115&lt;0,T$115&gt;=0),13+(-S$115)/T$113,0)</f>
        <v>0</v>
      </c>
      <c r="U125" s="19" t="n">
        <f aca="false">IF(AND(T$115&lt;0,U$115&gt;=0),14+(-T$115)/U$113,0)</f>
        <v>0</v>
      </c>
      <c r="V125" s="19" t="n">
        <f aca="false">IF(AND(U$115&lt;0,V$115&gt;=0),15+(-U$115)/V$113,0)</f>
        <v>0</v>
      </c>
      <c r="W125" s="19" t="n">
        <f aca="false">IF(AND(V$115&lt;0,W$115&gt;=0),16+(-V$115)/W$113,0)</f>
        <v>0</v>
      </c>
      <c r="X125" s="19" t="n">
        <f aca="false">IF(AND(W$115&lt;0,X$115&gt;=0),17+(-W$115)/X$113,0)</f>
        <v>0</v>
      </c>
      <c r="Y125" s="19" t="n">
        <f aca="false">IF(AND(X$115&lt;0,Y$115&gt;=0),18+(-X$115)/Y$113,0)</f>
        <v>0</v>
      </c>
      <c r="Z125" s="19" t="n">
        <f aca="false">IF(AND(Y$115&lt;0,Z$115&gt;=0),19+(-Y$115)/Z$113,0)</f>
        <v>0</v>
      </c>
      <c r="AA125" s="19" t="n">
        <f aca="false">IF(AND(Z$115&lt;0,AA$115&gt;=0),20+(-Z$115)/AA$113,0)</f>
        <v>0</v>
      </c>
      <c r="AB125" s="19" t="n">
        <f aca="false">IF(AND(AA$115&lt;0,AB$115&gt;=0),21+(-AA$115)/AB$113,0)</f>
        <v>0</v>
      </c>
      <c r="AC125" s="19" t="n">
        <f aca="false">IF(AND(AB$115&lt;0,AC$115&gt;=0),22+(-AB$115)/AC$113,0)</f>
        <v>0</v>
      </c>
      <c r="AD125" s="19" t="n">
        <f aca="false">IF(AND(AC$115&lt;0,AD$115&gt;=0),23+(-AC$115)/AD$113,0)</f>
        <v>0</v>
      </c>
      <c r="AE125" s="19" t="n">
        <f aca="false">IF(AND(AD$115&lt;0,AE$115&gt;=0),24+(-AD$115)/AE$113,0)</f>
        <v>0</v>
      </c>
      <c r="AF125" s="19" t="n">
        <f aca="false">IF(AND(AE$115&lt;0,AF$115&gt;=0),25+(-AE$115)/AF$113,0)</f>
        <v>0</v>
      </c>
      <c r="AG125" s="19" t="n">
        <f aca="false">IF(AND(AF$115&lt;0,AG$115&gt;=0),26+(-AF$115)/AG$113,0)</f>
        <v>0</v>
      </c>
      <c r="AH125" s="19" t="n">
        <f aca="false">IF(AND(AG$115&lt;0,AH$115&gt;=0),27+(-AG$115)/AH$113,0)</f>
        <v>0</v>
      </c>
      <c r="AI125" s="19" t="n">
        <f aca="false">IF(AND(AH$115&lt;0,AI$115&gt;=0),28+(-AH$115)/AI$113,0)</f>
        <v>0</v>
      </c>
      <c r="AJ125" s="19" t="n">
        <f aca="false">IF(AND(AI$115&lt;0,AJ$115&gt;=0),29+(-AI$115)/AJ$113,0)</f>
        <v>0</v>
      </c>
      <c r="AK125" s="19" t="n">
        <f aca="false">IF(AND(AJ$115&lt;0,AK$115&gt;=0),30+(-AJ$115)/AK$113,0)</f>
        <v>0</v>
      </c>
      <c r="AL125" s="19" t="n">
        <f aca="false">IF(AND(AK$115&lt;0,AL$115&gt;=0),31+(-AK$115)/AL$113,0)</f>
        <v>0</v>
      </c>
      <c r="AM125" s="19" t="n">
        <f aca="false">IF(AND(AL$115&lt;0,AM$115&gt;=0),32+(-AL$115)/AM$113,0)</f>
        <v>0</v>
      </c>
      <c r="AN125" s="19" t="n">
        <f aca="false">IF(AND(AM$115&lt;0,AN$115&gt;=0),33+(-AM$115)/AN$113,0)</f>
        <v>0</v>
      </c>
      <c r="AO125" s="19" t="n">
        <f aca="false">IF(AND(AN$115&lt;0,AO$115&gt;=0),34+(-AN$115)/AO$113,0)</f>
        <v>0</v>
      </c>
      <c r="AP125" s="19" t="n">
        <f aca="false">IF(AND(AO$115&lt;0,AP$115&gt;=0),35+(-AO$115)/AP$113,0)</f>
        <v>0</v>
      </c>
      <c r="AQ125" s="19" t="n">
        <f aca="false">IF(AND(AP$115&lt;0,AQ$115&gt;=0),36+(-AP$115)/AQ$113,0)</f>
        <v>0</v>
      </c>
      <c r="AR125" s="19" t="n">
        <f aca="false">IF(AND(AQ$115&lt;0,AR$115&gt;=0),37+(-AQ$115)/AR$113,0)</f>
        <v>0</v>
      </c>
      <c r="AS125" s="19" t="n">
        <f aca="false">IF(AND(AR$115&lt;0,AS$115&gt;=0),38+(-AR$115)/AS$113,0)</f>
        <v>0</v>
      </c>
      <c r="AT125" s="19" t="n">
        <f aca="false">IF(AND(AS$115&lt;0,AT$115&gt;=0),39+(-AS$115)/AT$113,0)</f>
        <v>0</v>
      </c>
      <c r="AU125" s="19" t="n">
        <f aca="false">IF(AND(AT$115&lt;0,AU$115&gt;=0),40+(-AT$115)/AU$113,0)</f>
        <v>0</v>
      </c>
      <c r="AV125" s="19" t="n">
        <f aca="false">IF(AND(AU$115&lt;0,AV$115&gt;=0),41+(-AU$115)/AV$113,0)</f>
        <v>0</v>
      </c>
      <c r="AW125" s="19" t="n">
        <f aca="false">IF(AND(AV$115&lt;0,AW$115&gt;=0),42+(-AV$115)/AW$113,0)</f>
        <v>0</v>
      </c>
      <c r="AX125" s="19" t="n">
        <f aca="false">IF(AND(AW$115&lt;0,AX$115&gt;=0),43+(-AW$115)/AX$113,0)</f>
        <v>0</v>
      </c>
      <c r="AY125" s="19" t="n">
        <f aca="false">IF(AND(AX$115&lt;0,AY$115&gt;=0),44+(-AX$115)/AY$113,0)</f>
        <v>0</v>
      </c>
      <c r="AZ125" s="19" t="n">
        <f aca="false">IF(AND(AY$115&lt;0,AZ$115&gt;=0),45+(-AY$115)/AZ$113,0)</f>
        <v>0</v>
      </c>
      <c r="BA125" s="19" t="n">
        <f aca="false">IF(AND(AZ$115&lt;0,BA$115&gt;=0),46+(-AZ$115)/BA$113,0)</f>
        <v>0</v>
      </c>
      <c r="BB125" s="19" t="n">
        <f aca="false">IF(AND(BA$115&lt;0,BB$115&gt;=0),47+(-BA$115)/BB$113,0)</f>
        <v>0</v>
      </c>
      <c r="BC125" s="19" t="n">
        <f aca="false">IF(AND(BB$115&lt;0,BC$115&gt;=0),48+(-BB$115)/BC$113,0)</f>
        <v>0</v>
      </c>
      <c r="BD125" s="19" t="n">
        <f aca="false">IF(AND(BC$115&lt;0,BD$115&gt;=0),49+(-BC$115)/BD$113,0)</f>
        <v>0</v>
      </c>
      <c r="BE125" s="19" t="n">
        <f aca="false">IF(AND(BD$115&lt;0,BE$115&gt;=0),50+(-BD$115)/BE$113,0)</f>
        <v>0</v>
      </c>
      <c r="BF125" s="19" t="n">
        <f aca="false">IF(AND(BE$115&lt;0,BF$115&gt;=0),51+(-BE$115)/BF$113,0)</f>
        <v>0</v>
      </c>
      <c r="BG125" s="19" t="n">
        <f aca="false">IF(AND(BF$115&lt;0,BG$115&gt;=0),52+(-BF$115)/BG$113,0)</f>
        <v>0</v>
      </c>
      <c r="BH125" s="19" t="n">
        <f aca="false">IF(AND(BG$115&lt;0,BH$115&gt;=0),53+(-BG$115)/BH$113,0)</f>
        <v>0</v>
      </c>
      <c r="BI125" s="19" t="n">
        <f aca="false">IF(AND(BH$115&lt;0,BI$115&gt;=0),54+(-BH$115)/BI$113,0)</f>
        <v>0</v>
      </c>
      <c r="BJ125" s="19" t="n">
        <f aca="false">IF(AND(BI$115&lt;0,BJ$115&gt;=0),55+(-BI$115)/BJ$113,0)</f>
        <v>0</v>
      </c>
      <c r="BK125" s="19" t="n">
        <f aca="false">IF(AND(BJ$115&lt;0,BK$115&gt;=0),56+(-BJ$115)/BK$113,0)</f>
        <v>0</v>
      </c>
      <c r="BL125" s="19" t="n">
        <f aca="false">IF(AND(BK$115&lt;0,BL$115&gt;=0),57+(-BK$115)/BL$113,0)</f>
        <v>0</v>
      </c>
      <c r="BM125" s="19" t="n">
        <f aca="false">IF(AND(BL$115&lt;0,BM$115&gt;=0),58+(-BL$115)/BM$113,0)</f>
        <v>0</v>
      </c>
      <c r="BN125" s="19" t="n">
        <f aca="false">IF(AND(BM$115&lt;0,BN$115&gt;=0),59+(-BM$115)/BN$113,0)</f>
        <v>0</v>
      </c>
      <c r="BO125" s="19" t="n">
        <f aca="false">IF(AND(BN$115&lt;0,BO$115&gt;=0),60+(-BN$115)/BO$113,0)</f>
        <v>0</v>
      </c>
      <c r="BP125" s="19" t="n">
        <f aca="false">IF(AND(BO$115&lt;0,BP$115&gt;=0),61+(-BO$115)/BP$113,0)</f>
        <v>61.6312735305532</v>
      </c>
      <c r="BQ125" s="19" t="n">
        <f aca="false">IF(AND(BP$115&lt;0,BQ$115&gt;=0),62+(-BP$115)/BQ$113,0)</f>
        <v>0</v>
      </c>
      <c r="BR125" s="19" t="n">
        <f aca="false">IF(AND(BQ$115&lt;0,BR$115&gt;=0),63+(-BQ$115)/BR$113,0)</f>
        <v>0</v>
      </c>
      <c r="BS125" s="19" t="n">
        <f aca="false">IF(AND(BR$115&lt;0,BS$115&gt;=0),64+(-BR$115)/BS$113,0)</f>
        <v>0</v>
      </c>
      <c r="BT125" s="19" t="n">
        <f aca="false">IF(AND(BS$115&lt;0,BT$115&gt;=0),65+(-BS$115)/BT$113,0)</f>
        <v>0</v>
      </c>
      <c r="BU125" s="19" t="n">
        <f aca="false">IF(AND(BT$115&lt;0,BU$115&gt;=0),66+(-BT$115)/BU$113,0)</f>
        <v>0</v>
      </c>
      <c r="BV125" s="19" t="n">
        <f aca="false">IF(AND(BU$115&lt;0,BV$115&gt;=0),67+(-BU$115)/BV$113,0)</f>
        <v>0</v>
      </c>
      <c r="BW125" s="19" t="n">
        <f aca="false">IF(AND(BV$115&lt;0,BW$115&gt;=0),68+(-BV$115)/BW$113,0)</f>
        <v>0</v>
      </c>
      <c r="BX125" s="19" t="n">
        <f aca="false">IF(AND(BW$115&lt;0,BX$115&gt;=0),69+(-BW$115)/BX$113,0)</f>
        <v>0</v>
      </c>
      <c r="BY125" s="19" t="n">
        <f aca="false">IF(AND(BX$115&lt;0,BY$115&gt;=0),70+(-BX$115)/BY$113,0)</f>
        <v>0</v>
      </c>
      <c r="BZ125" s="19" t="n">
        <f aca="false">IF(AND(BY$115&lt;0,BZ$115&gt;=0),71+(-BY$115)/BZ$113,0)</f>
        <v>0</v>
      </c>
      <c r="CA125" s="19" t="n">
        <f aca="false">IF(AND(BZ$115&lt;0,CA$115&gt;=0),72+(-BZ$115)/CA$113,0)</f>
        <v>0</v>
      </c>
      <c r="CB125" s="19" t="n">
        <f aca="false">IF(AND(CA$115&lt;0,CB$115&gt;=0),73+(-CA$115)/CB$113,0)</f>
        <v>0</v>
      </c>
      <c r="CC125" s="19" t="n">
        <f aca="false">IF(AND(CB$115&lt;0,CC$115&gt;=0),74+(-CB$115)/CC$113,0)</f>
        <v>0</v>
      </c>
      <c r="CD125" s="19" t="n">
        <f aca="false">IF(AND(CC$115&lt;0,CD$115&gt;=0),75+(-CC$115)/CD$113,0)</f>
        <v>0</v>
      </c>
      <c r="CE125" s="19" t="n">
        <f aca="false">IF(AND(CD$115&lt;0,CE$115&gt;=0),76+(-CD$115)/CE$113,0)</f>
        <v>0</v>
      </c>
      <c r="CF125" s="19" t="n">
        <f aca="false">IF(AND(CE$115&lt;0,CF$115&gt;=0),77+(-CE$115)/CF$113,0)</f>
        <v>0</v>
      </c>
      <c r="CG125" s="19" t="n">
        <f aca="false">IF(AND(CF$115&lt;0,CG$115&gt;=0),78+(-CF$115)/CG$113,0)</f>
        <v>0</v>
      </c>
      <c r="CH125" s="19" t="n">
        <f aca="false">IF(AND(CG$115&lt;0,CH$115&gt;=0),79+(-CG$115)/CH$113,0)</f>
        <v>0</v>
      </c>
      <c r="CI125" s="19" t="n">
        <f aca="false">IF(AND(CH$115&lt;0,CI$115&gt;=0),80+(-CH$115)/CI$113,0)</f>
        <v>0</v>
      </c>
      <c r="CJ125" s="19" t="n">
        <f aca="false">IF(AND(CI$115&lt;0,CJ$115&gt;=0),81+(-CI$115)/CJ$113,0)</f>
        <v>0</v>
      </c>
      <c r="CK125" s="19" t="n">
        <f aca="false">IF(AND(CJ$115&lt;0,CK$115&gt;=0),82+(-CJ$115)/CK$113,0)</f>
        <v>0</v>
      </c>
      <c r="CL125" s="19" t="n">
        <f aca="false">IF(AND(CK$115&lt;0,CL$115&gt;=0),83+(-CK$115)/CL$113,0)</f>
        <v>0</v>
      </c>
      <c r="CM125" s="19" t="n">
        <f aca="false">IF(AND(CL$115&lt;0,CM$115&gt;=0),84+(-CL$115)/CM$113,0)</f>
        <v>0</v>
      </c>
      <c r="CN125" s="19" t="n">
        <f aca="false">IF(AND(CM$115&lt;0,CN$115&gt;=0),85+(-CM$115)/CN$113,0)</f>
        <v>0</v>
      </c>
      <c r="CO125" s="19" t="n">
        <f aca="false">IF(AND(CN$115&lt;0,CO$115&gt;=0),86+(-CN$115)/CO$113,0)</f>
        <v>0</v>
      </c>
      <c r="CP125" s="19" t="n">
        <f aca="false">IF(AND(CO$115&lt;0,CP$115&gt;=0),87+(-CO$115)/CP$113,0)</f>
        <v>0</v>
      </c>
      <c r="CQ125" s="19" t="n">
        <f aca="false">IF(AND(CP$115&lt;0,CQ$115&gt;=0),88+(-CP$115)/CQ$113,0)</f>
        <v>0</v>
      </c>
      <c r="CR125" s="19" t="n">
        <f aca="false">IF(AND(CQ$115&lt;0,CR$115&gt;=0),89+(-CQ$115)/CR$113,0)</f>
        <v>0</v>
      </c>
      <c r="CS125" s="19" t="n">
        <f aca="false">IF(AND(CR$115&lt;0,CS$115&gt;=0),90+(-CR$115)/CS$113,0)</f>
        <v>0</v>
      </c>
      <c r="CT125" s="19" t="n">
        <f aca="false">IF(AND(CS$115&lt;0,CT$115&gt;=0),91+(-CS$115)/CT$113,0)</f>
        <v>0</v>
      </c>
      <c r="CU125" s="19" t="n">
        <f aca="false">IF(AND(CT$115&lt;0,CU$115&gt;=0),92+(-CT$115)/CU$113,0)</f>
        <v>0</v>
      </c>
      <c r="CV125" s="19" t="n">
        <f aca="false">IF(AND(CU$115&lt;0,CV$115&gt;=0),93+(-CU$115)/CV$113,0)</f>
        <v>0</v>
      </c>
      <c r="CW125" s="19" t="n">
        <f aca="false">IF(AND(CV$115&lt;0,CW$115&gt;=0),94+(-CV$115)/CW$113,0)</f>
        <v>0</v>
      </c>
      <c r="CX125" s="19" t="n">
        <f aca="false">IF(AND(CW$115&lt;0,CX$115&gt;=0),95+(-CW$115)/CX$113,0)</f>
        <v>0</v>
      </c>
      <c r="CY125" s="19" t="n">
        <f aca="false">IF(AND(CX$115&lt;0,CY$115&gt;=0),96+(-CX$115)/CY$113,0)</f>
        <v>0</v>
      </c>
      <c r="CZ125" s="19" t="n">
        <f aca="false">IF(AND(CY$115&lt;0,CZ$115&gt;=0),97+(-CY$115)/CZ$113,0)</f>
        <v>0</v>
      </c>
      <c r="DA125" s="19" t="n">
        <f aca="false">IF(AND(CZ$115&lt;0,DA$115&gt;=0),98+(-CZ$115)/DA$113,0)</f>
        <v>0</v>
      </c>
      <c r="DB125" s="19" t="n">
        <f aca="false">IF(AND(DA$115&lt;0,DB$115&gt;=0),99+(-DA$115)/DB$113,0)</f>
        <v>0</v>
      </c>
      <c r="DC125" s="19" t="n">
        <f aca="false">IF(AND(DB$115&lt;0,DC$115&gt;=0),100+(-DB$115)/DC$113,0)</f>
        <v>0</v>
      </c>
      <c r="DD125" s="19" t="n">
        <f aca="false">IF(AND(DC$115&lt;0,DD$115&gt;=0),101+(-DC$115)/DD$113,0)</f>
        <v>0</v>
      </c>
      <c r="DE125" s="19" t="n">
        <f aca="false">IF(AND(DD$115&lt;0,DE$115&gt;=0),102+(-DD$115)/DE$113,0)</f>
        <v>0</v>
      </c>
      <c r="DF125" s="19" t="n">
        <f aca="false">IF(AND(DE$115&lt;0,DF$115&gt;=0),103+(-DE$115)/DF$113,0)</f>
        <v>0</v>
      </c>
      <c r="DG125" s="19" t="n">
        <f aca="false">IF(AND(DF$115&lt;0,DG$115&gt;=0),104+(-DF$115)/DG$113,0)</f>
        <v>0</v>
      </c>
      <c r="DH125" s="19" t="n">
        <f aca="false">IF(AND(DG$115&lt;0,DH$115&gt;=0),105+(-DG$115)/DH$113,0)</f>
        <v>0</v>
      </c>
      <c r="DI125" s="19" t="n">
        <f aca="false">IF(AND(DH$115&lt;0,DI$115&gt;=0),106+(-DH$115)/DI$113,0)</f>
        <v>0</v>
      </c>
      <c r="DJ125" s="19" t="n">
        <f aca="false">IF(AND(DI$115&lt;0,DJ$115&gt;=0),107+(-DI$115)/DJ$113,0)</f>
        <v>0</v>
      </c>
      <c r="DK125" s="19" t="n">
        <f aca="false">IF(AND(DJ$115&lt;0,DK$115&gt;=0),108+(-DJ$115)/DK$113,0)</f>
        <v>0</v>
      </c>
      <c r="DL125" s="19" t="n">
        <f aca="false">IF(AND(DK$115&lt;0,DL$115&gt;=0),109+(-DK$115)/DL$113,0)</f>
        <v>0</v>
      </c>
      <c r="DM125" s="19" t="n">
        <f aca="false">IF(AND(DL$115&lt;0,DM$115&gt;=0),110+(-DL$115)/DM$113,0)</f>
        <v>0</v>
      </c>
      <c r="DN125" s="19" t="n">
        <f aca="false">IF(AND(DM$115&lt;0,DN$115&gt;=0),111+(-DM$115)/DN$113,0)</f>
        <v>0</v>
      </c>
      <c r="DO125" s="19" t="n">
        <f aca="false">IF(AND(DN$115&lt;0,DO$115&gt;=0),112+(-DN$115)/DO$113,0)</f>
        <v>0</v>
      </c>
      <c r="DP125" s="19" t="n">
        <f aca="false">IF(AND(DO$115&lt;0,DP$115&gt;=0),113+(-DO$115)/DP$113,0)</f>
        <v>0</v>
      </c>
      <c r="DQ125" s="19" t="n">
        <f aca="false">IF(AND(DP$115&lt;0,DQ$115&gt;=0),114+(-DP$115)/DQ$113,0)</f>
        <v>0</v>
      </c>
      <c r="DR125" s="19" t="n">
        <f aca="false">IF(AND(DQ$115&lt;0,DR$115&gt;=0),115+(-DQ$115)/DR$113,0)</f>
        <v>0</v>
      </c>
      <c r="DS125" s="19" t="n">
        <f aca="false">IF(AND(DR$115&lt;0,DS$115&gt;=0),116+(-DR$115)/DS$113,0)</f>
        <v>0</v>
      </c>
      <c r="DT125" s="19" t="n">
        <f aca="false">IF(AND(DS$115&lt;0,DT$115&gt;=0),117+(-DS$115)/DT$113,0)</f>
        <v>0</v>
      </c>
      <c r="DU125" s="19" t="n">
        <f aca="false">IF(AND(DT$115&lt;0,DU$115&gt;=0),118+(-DT$115)/DU$113,0)</f>
        <v>0</v>
      </c>
      <c r="DV125" s="19" t="n">
        <f aca="false">IF(AND(DU$115&lt;0,DV$115&gt;=0),119+(-DU$115)/DV$113,0)</f>
        <v>0</v>
      </c>
      <c r="DW125" s="19" t="n">
        <f aca="false">IF(AND(DV$115&lt;0,DW$115&gt;=0),120+(-DV$115)/DW$113,0)</f>
        <v>0</v>
      </c>
      <c r="DX125" s="19" t="n">
        <f aca="false">IF(AND(DW$115&lt;0,DX$115&gt;=0),121+(-DW$115)/DX$113,0)</f>
        <v>0</v>
      </c>
      <c r="DY125" s="19" t="n">
        <f aca="false">IF(AND(DX$115&lt;0,DY$115&gt;=0),122+(-DX$115)/DY$113,0)</f>
        <v>0</v>
      </c>
      <c r="DZ125" s="19" t="n">
        <f aca="false">IF(AND(DY$115&lt;0,DZ$115&gt;=0),123+(-DY$115)/DZ$113,0)</f>
        <v>0</v>
      </c>
      <c r="EA125" s="19" t="n">
        <f aca="false">IF(AND(DZ$115&lt;0,EA$115&gt;=0),124+(-DZ$115)/EA$113,0)</f>
        <v>0</v>
      </c>
      <c r="EB125" s="19" t="n">
        <f aca="false">IF(AND(EA$115&lt;0,EB$115&gt;=0),125+(-EA$115)/EB$113,0)</f>
        <v>0</v>
      </c>
      <c r="EC125" s="19" t="n">
        <f aca="false">IF(AND(EB$115&lt;0,EC$115&gt;=0),126+(-EB$115)/EC$113,0)</f>
        <v>0</v>
      </c>
      <c r="ED125" s="19" t="n">
        <f aca="false">IF(AND(EC$115&lt;0,ED$115&gt;=0),127+(-EC$115)/ED$113,0)</f>
        <v>0</v>
      </c>
      <c r="EE125" s="19" t="n">
        <f aca="false">IF(AND(ED$115&lt;0,EE$115&gt;=0),128+(-ED$115)/EE$113,0)</f>
        <v>0</v>
      </c>
      <c r="EF125" s="19" t="n">
        <f aca="false">IF(AND(EE$115&lt;0,EF$115&gt;=0),129+(-EE$115)/EF$113,0)</f>
        <v>0</v>
      </c>
      <c r="EG125" s="19" t="n">
        <f aca="false">IF(AND(EF$115&lt;0,EG$115&gt;=0),130+(-EF$115)/EG$113,0)</f>
        <v>0</v>
      </c>
      <c r="EH125" s="19" t="n">
        <f aca="false">IF(AND(EG$115&lt;0,EH$115&gt;=0),131+(-EG$115)/EH$113,0)</f>
        <v>0</v>
      </c>
      <c r="EI125" s="19" t="n">
        <f aca="false">IF(AND(EH$115&lt;0,EI$115&gt;=0),132+(-EH$115)/EI$113,0)</f>
        <v>0</v>
      </c>
      <c r="EJ125" s="19" t="n">
        <f aca="false">IF(AND(EI$115&lt;0,EJ$115&gt;=0),133+(-EI$115)/EJ$113,0)</f>
        <v>0</v>
      </c>
      <c r="EK125" s="19" t="n">
        <f aca="false">IF(AND(EJ$115&lt;0,EK$115&gt;=0),134+(-EJ$115)/EK$113,0)</f>
        <v>0</v>
      </c>
      <c r="EL125" s="19" t="n">
        <f aca="false">IF(AND(EK$115&lt;0,EL$115&gt;=0),135+(-EK$115)/EL$113,0)</f>
        <v>0</v>
      </c>
      <c r="EM125" s="19" t="n">
        <f aca="false">IF(AND(EL$115&lt;0,EM$115&gt;=0),136+(-EL$115)/EM$113,0)</f>
        <v>0</v>
      </c>
      <c r="EN125" s="19" t="n">
        <f aca="false">IF(AND(EM$115&lt;0,EN$115&gt;=0),137+(-EM$115)/EN$113,0)</f>
        <v>0</v>
      </c>
      <c r="EO125" s="19" t="n">
        <f aca="false">IF(AND(EN$115&lt;0,EO$115&gt;=0),138+(-EN$115)/EO$113,0)</f>
        <v>0</v>
      </c>
      <c r="EP125" s="19" t="n">
        <f aca="false">IF(AND(EO$115&lt;0,EP$115&gt;=0),139+(-EO$115)/EP$113,0)</f>
        <v>0</v>
      </c>
      <c r="EQ125" s="19" t="n">
        <f aca="false">IF(AND(EP$115&lt;0,EQ$115&gt;=0),140+(-EP$115)/EQ$113,0)</f>
        <v>0</v>
      </c>
      <c r="ER125" s="19" t="n">
        <f aca="false">IF(AND(EQ$115&lt;0,ER$115&gt;=0),141+(-EQ$115)/ER$113,0)</f>
        <v>0</v>
      </c>
      <c r="ES125" s="19" t="n">
        <f aca="false">IF(AND(ER$115&lt;0,ES$115&gt;=0),142+(-ER$115)/ES$113,0)</f>
        <v>0</v>
      </c>
      <c r="ET125" s="19" t="n">
        <f aca="false">IF(AND(ES$115&lt;0,ET$115&gt;=0),143+(-ES$115)/ET$113,0)</f>
        <v>0</v>
      </c>
      <c r="EU125" s="19" t="n">
        <f aca="false">IF(AND(ET$115&lt;0,EU$115&gt;=0),144+(-ET$115)/EU$113,0)</f>
        <v>0</v>
      </c>
      <c r="EV125" s="19" t="n">
        <f aca="false">IF(AND(EU$115&lt;0,EV$115&gt;=0),145+(-EU$115)/EV$113,0)</f>
        <v>0</v>
      </c>
      <c r="EW125" s="19" t="n">
        <f aca="false">IF(AND(EV$115&lt;0,EW$115&gt;=0),146+(-EV$115)/EW$113,0)</f>
        <v>0</v>
      </c>
      <c r="EX125" s="19" t="n">
        <f aca="false">IF(AND(EW$115&lt;0,EX$115&gt;=0),147+(-EW$115)/EX$113,0)</f>
        <v>0</v>
      </c>
      <c r="EY125" s="19" t="n">
        <f aca="false">IF(AND(EX$115&lt;0,EY$115&gt;=0),148+(-EX$115)/EY$113,0)</f>
        <v>0</v>
      </c>
      <c r="EZ125" s="19" t="n">
        <f aca="false">IF(AND(EY$115&lt;0,EZ$115&gt;=0),149+(-EY$115)/EZ$113,0)</f>
        <v>0</v>
      </c>
      <c r="FA125" s="19" t="n">
        <f aca="false">IF(AND(EZ$115&lt;0,FA$115&gt;=0),150+(-EZ$115)/FA$113,0)</f>
        <v>0</v>
      </c>
      <c r="FB125" s="19" t="n">
        <f aca="false">IF(AND(FA$115&lt;0,FB$115&gt;=0),151+(-FA$115)/FB$113,0)</f>
        <v>0</v>
      </c>
      <c r="FC125" s="19" t="n">
        <f aca="false">IF(AND(FB$115&lt;0,FC$115&gt;=0),152+(-FB$115)/FC$113,0)</f>
        <v>0</v>
      </c>
      <c r="FD125" s="19" t="n">
        <f aca="false">IF(AND(FC$115&lt;0,FD$115&gt;=0),153+(-FC$115)/FD$113,0)</f>
        <v>0</v>
      </c>
      <c r="FE125" s="19" t="n">
        <f aca="false">IF(AND(FD$115&lt;0,FE$115&gt;=0),154+(-FD$115)/FE$113,0)</f>
        <v>0</v>
      </c>
      <c r="FF125" s="19" t="n">
        <f aca="false">IF(AND(FE$115&lt;0,FF$115&gt;=0),155+(-FE$115)/FF$113,0)</f>
        <v>0</v>
      </c>
    </row>
    <row r="126" customFormat="false" ht="15" hidden="false" customHeight="false" outlineLevel="0" collapsed="false">
      <c r="A126" s="2" t="s">
        <v>1658</v>
      </c>
      <c r="B126" s="8" t="s">
        <v>1659</v>
      </c>
      <c r="C126" s="8" t="s">
        <v>1655</v>
      </c>
      <c r="E126" s="70" t="n">
        <f aca="false">MAX($F126:$FF126)</f>
        <v>58.837727714731</v>
      </c>
      <c r="F126" s="19" t="n">
        <f aca="false">0</f>
        <v>0</v>
      </c>
      <c r="G126" s="19" t="n">
        <f aca="false">IF(AND(F$119&lt;0,G$119&gt;=0),0+(-F$119)/G$117,0)</f>
        <v>0</v>
      </c>
      <c r="H126" s="19" t="n">
        <f aca="false">IF(AND(G$119&lt;0,H$119&gt;=0),1+(-G$119)/H$117,0)</f>
        <v>0</v>
      </c>
      <c r="I126" s="19" t="n">
        <f aca="false">IF(AND(H$119&lt;0,I$119&gt;=0),2+(-H$119)/I$117,0)</f>
        <v>0</v>
      </c>
      <c r="J126" s="19" t="n">
        <f aca="false">IF(AND(I$119&lt;0,J$119&gt;=0),3+(-I$119)/J$117,0)</f>
        <v>0</v>
      </c>
      <c r="K126" s="19" t="n">
        <f aca="false">IF(AND(J$119&lt;0,K$119&gt;=0),4+(-J$119)/K$117,0)</f>
        <v>0</v>
      </c>
      <c r="L126" s="19" t="n">
        <f aca="false">IF(AND(K$119&lt;0,L$119&gt;=0),5+(-K$119)/L$117,0)</f>
        <v>0</v>
      </c>
      <c r="M126" s="19" t="n">
        <f aca="false">IF(AND(L$119&lt;0,M$119&gt;=0),6+(-L$119)/M$117,0)</f>
        <v>0</v>
      </c>
      <c r="N126" s="19" t="n">
        <f aca="false">IF(AND(M$119&lt;0,N$119&gt;=0),7+(-M$119)/N$117,0)</f>
        <v>0</v>
      </c>
      <c r="O126" s="19" t="n">
        <f aca="false">IF(AND(N$119&lt;0,O$119&gt;=0),8+(-N$119)/O$117,0)</f>
        <v>0</v>
      </c>
      <c r="P126" s="19" t="n">
        <f aca="false">IF(AND(O$119&lt;0,P$119&gt;=0),9+(-O$119)/P$117,0)</f>
        <v>0</v>
      </c>
      <c r="Q126" s="19" t="n">
        <f aca="false">IF(AND(P$119&lt;0,Q$119&gt;=0),10+(-P$119)/Q$117,0)</f>
        <v>0</v>
      </c>
      <c r="R126" s="19" t="n">
        <f aca="false">IF(AND(Q$119&lt;0,R$119&gt;=0),11+(-Q$119)/R$117,0)</f>
        <v>0</v>
      </c>
      <c r="S126" s="19" t="n">
        <f aca="false">IF(AND(R$119&lt;0,S$119&gt;=0),12+(-R$119)/S$117,0)</f>
        <v>0</v>
      </c>
      <c r="T126" s="19" t="n">
        <f aca="false">IF(AND(S$119&lt;0,T$119&gt;=0),13+(-S$119)/T$117,0)</f>
        <v>0</v>
      </c>
      <c r="U126" s="19" t="n">
        <f aca="false">IF(AND(T$119&lt;0,U$119&gt;=0),14+(-T$119)/U$117,0)</f>
        <v>0</v>
      </c>
      <c r="V126" s="19" t="n">
        <f aca="false">IF(AND(U$119&lt;0,V$119&gt;=0),15+(-U$119)/V$117,0)</f>
        <v>0</v>
      </c>
      <c r="W126" s="19" t="n">
        <f aca="false">IF(AND(V$119&lt;0,W$119&gt;=0),16+(-V$119)/W$117,0)</f>
        <v>0</v>
      </c>
      <c r="X126" s="19" t="n">
        <f aca="false">IF(AND(W$119&lt;0,X$119&gt;=0),17+(-W$119)/X$117,0)</f>
        <v>0</v>
      </c>
      <c r="Y126" s="19" t="n">
        <f aca="false">IF(AND(X$119&lt;0,Y$119&gt;=0),18+(-X$119)/Y$117,0)</f>
        <v>0</v>
      </c>
      <c r="Z126" s="19" t="n">
        <f aca="false">IF(AND(Y$119&lt;0,Z$119&gt;=0),19+(-Y$119)/Z$117,0)</f>
        <v>0</v>
      </c>
      <c r="AA126" s="19" t="n">
        <f aca="false">IF(AND(Z$119&lt;0,AA$119&gt;=0),20+(-Z$119)/AA$117,0)</f>
        <v>0</v>
      </c>
      <c r="AB126" s="19" t="n">
        <f aca="false">IF(AND(AA$119&lt;0,AB$119&gt;=0),21+(-AA$119)/AB$117,0)</f>
        <v>0</v>
      </c>
      <c r="AC126" s="19" t="n">
        <f aca="false">IF(AND(AB$119&lt;0,AC$119&gt;=0),22+(-AB$119)/AC$117,0)</f>
        <v>0</v>
      </c>
      <c r="AD126" s="19" t="n">
        <f aca="false">IF(AND(AC$119&lt;0,AD$119&gt;=0),23+(-AC$119)/AD$117,0)</f>
        <v>0</v>
      </c>
      <c r="AE126" s="19" t="n">
        <f aca="false">IF(AND(AD$119&lt;0,AE$119&gt;=0),24+(-AD$119)/AE$117,0)</f>
        <v>0</v>
      </c>
      <c r="AF126" s="19" t="n">
        <f aca="false">IF(AND(AE$119&lt;0,AF$119&gt;=0),25+(-AE$119)/AF$117,0)</f>
        <v>0</v>
      </c>
      <c r="AG126" s="19" t="n">
        <f aca="false">IF(AND(AF$119&lt;0,AG$119&gt;=0),26+(-AF$119)/AG$117,0)</f>
        <v>0</v>
      </c>
      <c r="AH126" s="19" t="n">
        <f aca="false">IF(AND(AG$119&lt;0,AH$119&gt;=0),27+(-AG$119)/AH$117,0)</f>
        <v>0</v>
      </c>
      <c r="AI126" s="19" t="n">
        <f aca="false">IF(AND(AH$119&lt;0,AI$119&gt;=0),28+(-AH$119)/AI$117,0)</f>
        <v>0</v>
      </c>
      <c r="AJ126" s="19" t="n">
        <f aca="false">IF(AND(AI$119&lt;0,AJ$119&gt;=0),29+(-AI$119)/AJ$117,0)</f>
        <v>0</v>
      </c>
      <c r="AK126" s="19" t="n">
        <f aca="false">IF(AND(AJ$119&lt;0,AK$119&gt;=0),30+(-AJ$119)/AK$117,0)</f>
        <v>0</v>
      </c>
      <c r="AL126" s="19" t="n">
        <f aca="false">IF(AND(AK$119&lt;0,AL$119&gt;=0),31+(-AK$119)/AL$117,0)</f>
        <v>0</v>
      </c>
      <c r="AM126" s="19" t="n">
        <f aca="false">IF(AND(AL$119&lt;0,AM$119&gt;=0),32+(-AL$119)/AM$117,0)</f>
        <v>0</v>
      </c>
      <c r="AN126" s="19" t="n">
        <f aca="false">IF(AND(AM$119&lt;0,AN$119&gt;=0),33+(-AM$119)/AN$117,0)</f>
        <v>0</v>
      </c>
      <c r="AO126" s="19" t="n">
        <f aca="false">IF(AND(AN$119&lt;0,AO$119&gt;=0),34+(-AN$119)/AO$117,0)</f>
        <v>0</v>
      </c>
      <c r="AP126" s="19" t="n">
        <f aca="false">IF(AND(AO$119&lt;0,AP$119&gt;=0),35+(-AO$119)/AP$117,0)</f>
        <v>0</v>
      </c>
      <c r="AQ126" s="19" t="n">
        <f aca="false">IF(AND(AP$119&lt;0,AQ$119&gt;=0),36+(-AP$119)/AQ$117,0)</f>
        <v>0</v>
      </c>
      <c r="AR126" s="19" t="n">
        <f aca="false">IF(AND(AQ$119&lt;0,AR$119&gt;=0),37+(-AQ$119)/AR$117,0)</f>
        <v>0</v>
      </c>
      <c r="AS126" s="19" t="n">
        <f aca="false">IF(AND(AR$119&lt;0,AS$119&gt;=0),38+(-AR$119)/AS$117,0)</f>
        <v>0</v>
      </c>
      <c r="AT126" s="19" t="n">
        <f aca="false">IF(AND(AS$119&lt;0,AT$119&gt;=0),39+(-AS$119)/AT$117,0)</f>
        <v>0</v>
      </c>
      <c r="AU126" s="19" t="n">
        <f aca="false">IF(AND(AT$119&lt;0,AU$119&gt;=0),40+(-AT$119)/AU$117,0)</f>
        <v>0</v>
      </c>
      <c r="AV126" s="19" t="n">
        <f aca="false">IF(AND(AU$119&lt;0,AV$119&gt;=0),41+(-AU$119)/AV$117,0)</f>
        <v>0</v>
      </c>
      <c r="AW126" s="19" t="n">
        <f aca="false">IF(AND(AV$119&lt;0,AW$119&gt;=0),42+(-AV$119)/AW$117,0)</f>
        <v>0</v>
      </c>
      <c r="AX126" s="19" t="n">
        <f aca="false">IF(AND(AW$119&lt;0,AX$119&gt;=0),43+(-AW$119)/AX$117,0)</f>
        <v>0</v>
      </c>
      <c r="AY126" s="19" t="n">
        <f aca="false">IF(AND(AX$119&lt;0,AY$119&gt;=0),44+(-AX$119)/AY$117,0)</f>
        <v>0</v>
      </c>
      <c r="AZ126" s="19" t="n">
        <f aca="false">IF(AND(AY$119&lt;0,AZ$119&gt;=0),45+(-AY$119)/AZ$117,0)</f>
        <v>0</v>
      </c>
      <c r="BA126" s="19" t="n">
        <f aca="false">IF(AND(AZ$119&lt;0,BA$119&gt;=0),46+(-AZ$119)/BA$117,0)</f>
        <v>0</v>
      </c>
      <c r="BB126" s="19" t="n">
        <f aca="false">IF(AND(BA$119&lt;0,BB$119&gt;=0),47+(-BA$119)/BB$117,0)</f>
        <v>0</v>
      </c>
      <c r="BC126" s="19" t="n">
        <f aca="false">IF(AND(BB$119&lt;0,BC$119&gt;=0),48+(-BB$119)/BC$117,0)</f>
        <v>0</v>
      </c>
      <c r="BD126" s="19" t="n">
        <f aca="false">IF(AND(BC$119&lt;0,BD$119&gt;=0),49+(-BC$119)/BD$117,0)</f>
        <v>0</v>
      </c>
      <c r="BE126" s="19" t="n">
        <f aca="false">IF(AND(BD$119&lt;0,BE$119&gt;=0),50+(-BD$119)/BE$117,0)</f>
        <v>0</v>
      </c>
      <c r="BF126" s="19" t="n">
        <f aca="false">IF(AND(BE$119&lt;0,BF$119&gt;=0),51+(-BE$119)/BF$117,0)</f>
        <v>0</v>
      </c>
      <c r="BG126" s="19" t="n">
        <f aca="false">IF(AND(BF$119&lt;0,BG$119&gt;=0),52+(-BF$119)/BG$117,0)</f>
        <v>0</v>
      </c>
      <c r="BH126" s="19" t="n">
        <f aca="false">IF(AND(BG$119&lt;0,BH$119&gt;=0),53+(-BG$119)/BH$117,0)</f>
        <v>0</v>
      </c>
      <c r="BI126" s="19" t="n">
        <f aca="false">IF(AND(BH$119&lt;0,BI$119&gt;=0),54+(-BH$119)/BI$117,0)</f>
        <v>0</v>
      </c>
      <c r="BJ126" s="19" t="n">
        <f aca="false">IF(AND(BI$119&lt;0,BJ$119&gt;=0),55+(-BI$119)/BJ$117,0)</f>
        <v>0</v>
      </c>
      <c r="BK126" s="19" t="n">
        <f aca="false">IF(AND(BJ$119&lt;0,BK$119&gt;=0),56+(-BJ$119)/BK$117,0)</f>
        <v>0</v>
      </c>
      <c r="BL126" s="19" t="n">
        <f aca="false">IF(AND(BK$119&lt;0,BL$119&gt;=0),57+(-BK$119)/BL$117,0)</f>
        <v>0</v>
      </c>
      <c r="BM126" s="19" t="n">
        <f aca="false">IF(AND(BL$119&lt;0,BM$119&gt;=0),58+(-BL$119)/BM$117,0)</f>
        <v>58.837727714731</v>
      </c>
      <c r="BN126" s="19" t="n">
        <f aca="false">IF(AND(BM$119&lt;0,BN$119&gt;=0),59+(-BM$119)/BN$117,0)</f>
        <v>0</v>
      </c>
      <c r="BO126" s="19" t="n">
        <f aca="false">IF(AND(BN$119&lt;0,BO$119&gt;=0),60+(-BN$119)/BO$117,0)</f>
        <v>0</v>
      </c>
      <c r="BP126" s="19" t="n">
        <f aca="false">IF(AND(BO$119&lt;0,BP$119&gt;=0),61+(-BO$119)/BP$117,0)</f>
        <v>0</v>
      </c>
      <c r="BQ126" s="19" t="n">
        <f aca="false">IF(AND(BP$119&lt;0,BQ$119&gt;=0),62+(-BP$119)/BQ$117,0)</f>
        <v>0</v>
      </c>
      <c r="BR126" s="19" t="n">
        <f aca="false">IF(AND(BQ$119&lt;0,BR$119&gt;=0),63+(-BQ$119)/BR$117,0)</f>
        <v>0</v>
      </c>
      <c r="BS126" s="19" t="n">
        <f aca="false">IF(AND(BR$119&lt;0,BS$119&gt;=0),64+(-BR$119)/BS$117,0)</f>
        <v>0</v>
      </c>
      <c r="BT126" s="19" t="n">
        <f aca="false">IF(AND(BS$119&lt;0,BT$119&gt;=0),65+(-BS$119)/BT$117,0)</f>
        <v>0</v>
      </c>
      <c r="BU126" s="19" t="n">
        <f aca="false">IF(AND(BT$119&lt;0,BU$119&gt;=0),66+(-BT$119)/BU$117,0)</f>
        <v>0</v>
      </c>
      <c r="BV126" s="19" t="n">
        <f aca="false">IF(AND(BU$119&lt;0,BV$119&gt;=0),67+(-BU$119)/BV$117,0)</f>
        <v>0</v>
      </c>
      <c r="BW126" s="19" t="n">
        <f aca="false">IF(AND(BV$119&lt;0,BW$119&gt;=0),68+(-BV$119)/BW$117,0)</f>
        <v>0</v>
      </c>
      <c r="BX126" s="19" t="n">
        <f aca="false">IF(AND(BW$119&lt;0,BX$119&gt;=0),69+(-BW$119)/BX$117,0)</f>
        <v>0</v>
      </c>
      <c r="BY126" s="19" t="n">
        <f aca="false">IF(AND(BX$119&lt;0,BY$119&gt;=0),70+(-BX$119)/BY$117,0)</f>
        <v>0</v>
      </c>
      <c r="BZ126" s="19" t="n">
        <f aca="false">IF(AND(BY$119&lt;0,BZ$119&gt;=0),71+(-BY$119)/BZ$117,0)</f>
        <v>0</v>
      </c>
      <c r="CA126" s="19" t="n">
        <f aca="false">IF(AND(BZ$119&lt;0,CA$119&gt;=0),72+(-BZ$119)/CA$117,0)</f>
        <v>0</v>
      </c>
      <c r="CB126" s="19" t="n">
        <f aca="false">IF(AND(CA$119&lt;0,CB$119&gt;=0),73+(-CA$119)/CB$117,0)</f>
        <v>0</v>
      </c>
      <c r="CC126" s="19" t="n">
        <f aca="false">IF(AND(CB$119&lt;0,CC$119&gt;=0),74+(-CB$119)/CC$117,0)</f>
        <v>0</v>
      </c>
      <c r="CD126" s="19" t="n">
        <f aca="false">IF(AND(CC$119&lt;0,CD$119&gt;=0),75+(-CC$119)/CD$117,0)</f>
        <v>0</v>
      </c>
      <c r="CE126" s="19" t="n">
        <f aca="false">IF(AND(CD$119&lt;0,CE$119&gt;=0),76+(-CD$119)/CE$117,0)</f>
        <v>0</v>
      </c>
      <c r="CF126" s="19" t="n">
        <f aca="false">IF(AND(CE$119&lt;0,CF$119&gt;=0),77+(-CE$119)/CF$117,0)</f>
        <v>0</v>
      </c>
      <c r="CG126" s="19" t="n">
        <f aca="false">IF(AND(CF$119&lt;0,CG$119&gt;=0),78+(-CF$119)/CG$117,0)</f>
        <v>0</v>
      </c>
      <c r="CH126" s="19" t="n">
        <f aca="false">IF(AND(CG$119&lt;0,CH$119&gt;=0),79+(-CG$119)/CH$117,0)</f>
        <v>0</v>
      </c>
      <c r="CI126" s="19" t="n">
        <f aca="false">IF(AND(CH$119&lt;0,CI$119&gt;=0),80+(-CH$119)/CI$117,0)</f>
        <v>0</v>
      </c>
      <c r="CJ126" s="19" t="n">
        <f aca="false">IF(AND(CI$119&lt;0,CJ$119&gt;=0),81+(-CI$119)/CJ$117,0)</f>
        <v>0</v>
      </c>
      <c r="CK126" s="19" t="n">
        <f aca="false">IF(AND(CJ$119&lt;0,CK$119&gt;=0),82+(-CJ$119)/CK$117,0)</f>
        <v>0</v>
      </c>
      <c r="CL126" s="19" t="n">
        <f aca="false">IF(AND(CK$119&lt;0,CL$119&gt;=0),83+(-CK$119)/CL$117,0)</f>
        <v>0</v>
      </c>
      <c r="CM126" s="19" t="n">
        <f aca="false">IF(AND(CL$119&lt;0,CM$119&gt;=0),84+(-CL$119)/CM$117,0)</f>
        <v>0</v>
      </c>
      <c r="CN126" s="19" t="n">
        <f aca="false">IF(AND(CM$119&lt;0,CN$119&gt;=0),85+(-CM$119)/CN$117,0)</f>
        <v>0</v>
      </c>
      <c r="CO126" s="19" t="n">
        <f aca="false">IF(AND(CN$119&lt;0,CO$119&gt;=0),86+(-CN$119)/CO$117,0)</f>
        <v>0</v>
      </c>
      <c r="CP126" s="19" t="n">
        <f aca="false">IF(AND(CO$119&lt;0,CP$119&gt;=0),87+(-CO$119)/CP$117,0)</f>
        <v>0</v>
      </c>
      <c r="CQ126" s="19" t="n">
        <f aca="false">IF(AND(CP$119&lt;0,CQ$119&gt;=0),88+(-CP$119)/CQ$117,0)</f>
        <v>0</v>
      </c>
      <c r="CR126" s="19" t="n">
        <f aca="false">IF(AND(CQ$119&lt;0,CR$119&gt;=0),89+(-CQ$119)/CR$117,0)</f>
        <v>0</v>
      </c>
      <c r="CS126" s="19" t="n">
        <f aca="false">IF(AND(CR$119&lt;0,CS$119&gt;=0),90+(-CR$119)/CS$117,0)</f>
        <v>0</v>
      </c>
      <c r="CT126" s="19" t="n">
        <f aca="false">IF(AND(CS$119&lt;0,CT$119&gt;=0),91+(-CS$119)/CT$117,0)</f>
        <v>0</v>
      </c>
      <c r="CU126" s="19" t="n">
        <f aca="false">IF(AND(CT$119&lt;0,CU$119&gt;=0),92+(-CT$119)/CU$117,0)</f>
        <v>0</v>
      </c>
      <c r="CV126" s="19" t="n">
        <f aca="false">IF(AND(CU$119&lt;0,CV$119&gt;=0),93+(-CU$119)/CV$117,0)</f>
        <v>0</v>
      </c>
      <c r="CW126" s="19" t="n">
        <f aca="false">IF(AND(CV$119&lt;0,CW$119&gt;=0),94+(-CV$119)/CW$117,0)</f>
        <v>0</v>
      </c>
      <c r="CX126" s="19" t="n">
        <f aca="false">IF(AND(CW$119&lt;0,CX$119&gt;=0),95+(-CW$119)/CX$117,0)</f>
        <v>0</v>
      </c>
      <c r="CY126" s="19" t="n">
        <f aca="false">IF(AND(CX$119&lt;0,CY$119&gt;=0),96+(-CX$119)/CY$117,0)</f>
        <v>0</v>
      </c>
      <c r="CZ126" s="19" t="n">
        <f aca="false">IF(AND(CY$119&lt;0,CZ$119&gt;=0),97+(-CY$119)/CZ$117,0)</f>
        <v>0</v>
      </c>
      <c r="DA126" s="19" t="n">
        <f aca="false">IF(AND(CZ$119&lt;0,DA$119&gt;=0),98+(-CZ$119)/DA$117,0)</f>
        <v>0</v>
      </c>
      <c r="DB126" s="19" t="n">
        <f aca="false">IF(AND(DA$119&lt;0,DB$119&gt;=0),99+(-DA$119)/DB$117,0)</f>
        <v>0</v>
      </c>
      <c r="DC126" s="19" t="n">
        <f aca="false">IF(AND(DB$119&lt;0,DC$119&gt;=0),100+(-DB$119)/DC$117,0)</f>
        <v>0</v>
      </c>
      <c r="DD126" s="19" t="n">
        <f aca="false">IF(AND(DC$119&lt;0,DD$119&gt;=0),101+(-DC$119)/DD$117,0)</f>
        <v>0</v>
      </c>
      <c r="DE126" s="19" t="n">
        <f aca="false">IF(AND(DD$119&lt;0,DE$119&gt;=0),102+(-DD$119)/DE$117,0)</f>
        <v>0</v>
      </c>
      <c r="DF126" s="19" t="n">
        <f aca="false">IF(AND(DE$119&lt;0,DF$119&gt;=0),103+(-DE$119)/DF$117,0)</f>
        <v>0</v>
      </c>
      <c r="DG126" s="19" t="n">
        <f aca="false">IF(AND(DF$119&lt;0,DG$119&gt;=0),104+(-DF$119)/DG$117,0)</f>
        <v>0</v>
      </c>
      <c r="DH126" s="19" t="n">
        <f aca="false">IF(AND(DG$119&lt;0,DH$119&gt;=0),105+(-DG$119)/DH$117,0)</f>
        <v>0</v>
      </c>
      <c r="DI126" s="19" t="n">
        <f aca="false">IF(AND(DH$119&lt;0,DI$119&gt;=0),106+(-DH$119)/DI$117,0)</f>
        <v>0</v>
      </c>
      <c r="DJ126" s="19" t="n">
        <f aca="false">IF(AND(DI$119&lt;0,DJ$119&gt;=0),107+(-DI$119)/DJ$117,0)</f>
        <v>0</v>
      </c>
      <c r="DK126" s="19" t="n">
        <f aca="false">IF(AND(DJ$119&lt;0,DK$119&gt;=0),108+(-DJ$119)/DK$117,0)</f>
        <v>0</v>
      </c>
      <c r="DL126" s="19" t="n">
        <f aca="false">IF(AND(DK$119&lt;0,DL$119&gt;=0),109+(-DK$119)/DL$117,0)</f>
        <v>0</v>
      </c>
      <c r="DM126" s="19" t="n">
        <f aca="false">IF(AND(DL$119&lt;0,DM$119&gt;=0),110+(-DL$119)/DM$117,0)</f>
        <v>0</v>
      </c>
      <c r="DN126" s="19" t="n">
        <f aca="false">IF(AND(DM$119&lt;0,DN$119&gt;=0),111+(-DM$119)/DN$117,0)</f>
        <v>0</v>
      </c>
      <c r="DO126" s="19" t="n">
        <f aca="false">IF(AND(DN$119&lt;0,DO$119&gt;=0),112+(-DN$119)/DO$117,0)</f>
        <v>0</v>
      </c>
      <c r="DP126" s="19" t="n">
        <f aca="false">IF(AND(DO$119&lt;0,DP$119&gt;=0),113+(-DO$119)/DP$117,0)</f>
        <v>0</v>
      </c>
      <c r="DQ126" s="19" t="n">
        <f aca="false">IF(AND(DP$119&lt;0,DQ$119&gt;=0),114+(-DP$119)/DQ$117,0)</f>
        <v>0</v>
      </c>
      <c r="DR126" s="19" t="n">
        <f aca="false">IF(AND(DQ$119&lt;0,DR$119&gt;=0),115+(-DQ$119)/DR$117,0)</f>
        <v>0</v>
      </c>
      <c r="DS126" s="19" t="n">
        <f aca="false">IF(AND(DR$119&lt;0,DS$119&gt;=0),116+(-DR$119)/DS$117,0)</f>
        <v>0</v>
      </c>
      <c r="DT126" s="19" t="n">
        <f aca="false">IF(AND(DS$119&lt;0,DT$119&gt;=0),117+(-DS$119)/DT$117,0)</f>
        <v>0</v>
      </c>
      <c r="DU126" s="19" t="n">
        <f aca="false">IF(AND(DT$119&lt;0,DU$119&gt;=0),118+(-DT$119)/DU$117,0)</f>
        <v>0</v>
      </c>
      <c r="DV126" s="19" t="n">
        <f aca="false">IF(AND(DU$119&lt;0,DV$119&gt;=0),119+(-DU$119)/DV$117,0)</f>
        <v>0</v>
      </c>
      <c r="DW126" s="19" t="n">
        <f aca="false">IF(AND(DV$119&lt;0,DW$119&gt;=0),120+(-DV$119)/DW$117,0)</f>
        <v>0</v>
      </c>
      <c r="DX126" s="19" t="n">
        <f aca="false">IF(AND(DW$119&lt;0,DX$119&gt;=0),121+(-DW$119)/DX$117,0)</f>
        <v>0</v>
      </c>
      <c r="DY126" s="19" t="n">
        <f aca="false">IF(AND(DX$119&lt;0,DY$119&gt;=0),122+(-DX$119)/DY$117,0)</f>
        <v>0</v>
      </c>
      <c r="DZ126" s="19" t="n">
        <f aca="false">IF(AND(DY$119&lt;0,DZ$119&gt;=0),123+(-DY$119)/DZ$117,0)</f>
        <v>0</v>
      </c>
      <c r="EA126" s="19" t="n">
        <f aca="false">IF(AND(DZ$119&lt;0,EA$119&gt;=0),124+(-DZ$119)/EA$117,0)</f>
        <v>0</v>
      </c>
      <c r="EB126" s="19" t="n">
        <f aca="false">IF(AND(EA$119&lt;0,EB$119&gt;=0),125+(-EA$119)/EB$117,0)</f>
        <v>0</v>
      </c>
      <c r="EC126" s="19" t="n">
        <f aca="false">IF(AND(EB$119&lt;0,EC$119&gt;=0),126+(-EB$119)/EC$117,0)</f>
        <v>0</v>
      </c>
      <c r="ED126" s="19" t="n">
        <f aca="false">IF(AND(EC$119&lt;0,ED$119&gt;=0),127+(-EC$119)/ED$117,0)</f>
        <v>0</v>
      </c>
      <c r="EE126" s="19" t="n">
        <f aca="false">IF(AND(ED$119&lt;0,EE$119&gt;=0),128+(-ED$119)/EE$117,0)</f>
        <v>0</v>
      </c>
      <c r="EF126" s="19" t="n">
        <f aca="false">IF(AND(EE$119&lt;0,EF$119&gt;=0),129+(-EE$119)/EF$117,0)</f>
        <v>0</v>
      </c>
      <c r="EG126" s="19" t="n">
        <f aca="false">IF(AND(EF$119&lt;0,EG$119&gt;=0),130+(-EF$119)/EG$117,0)</f>
        <v>0</v>
      </c>
      <c r="EH126" s="19" t="n">
        <f aca="false">IF(AND(EG$119&lt;0,EH$119&gt;=0),131+(-EG$119)/EH$117,0)</f>
        <v>0</v>
      </c>
      <c r="EI126" s="19" t="n">
        <f aca="false">IF(AND(EH$119&lt;0,EI$119&gt;=0),132+(-EH$119)/EI$117,0)</f>
        <v>0</v>
      </c>
      <c r="EJ126" s="19" t="n">
        <f aca="false">IF(AND(EI$119&lt;0,EJ$119&gt;=0),133+(-EI$119)/EJ$117,0)</f>
        <v>0</v>
      </c>
      <c r="EK126" s="19" t="n">
        <f aca="false">IF(AND(EJ$119&lt;0,EK$119&gt;=0),134+(-EJ$119)/EK$117,0)</f>
        <v>0</v>
      </c>
      <c r="EL126" s="19" t="n">
        <f aca="false">IF(AND(EK$119&lt;0,EL$119&gt;=0),135+(-EK$119)/EL$117,0)</f>
        <v>0</v>
      </c>
      <c r="EM126" s="19" t="n">
        <f aca="false">IF(AND(EL$119&lt;0,EM$119&gt;=0),136+(-EL$119)/EM$117,0)</f>
        <v>0</v>
      </c>
      <c r="EN126" s="19" t="n">
        <f aca="false">IF(AND(EM$119&lt;0,EN$119&gt;=0),137+(-EM$119)/EN$117,0)</f>
        <v>0</v>
      </c>
      <c r="EO126" s="19" t="n">
        <f aca="false">IF(AND(EN$119&lt;0,EO$119&gt;=0),138+(-EN$119)/EO$117,0)</f>
        <v>0</v>
      </c>
      <c r="EP126" s="19" t="n">
        <f aca="false">IF(AND(EO$119&lt;0,EP$119&gt;=0),139+(-EO$119)/EP$117,0)</f>
        <v>0</v>
      </c>
      <c r="EQ126" s="19" t="n">
        <f aca="false">IF(AND(EP$119&lt;0,EQ$119&gt;=0),140+(-EP$119)/EQ$117,0)</f>
        <v>0</v>
      </c>
      <c r="ER126" s="19" t="n">
        <f aca="false">IF(AND(EQ$119&lt;0,ER$119&gt;=0),141+(-EQ$119)/ER$117,0)</f>
        <v>0</v>
      </c>
      <c r="ES126" s="19" t="n">
        <f aca="false">IF(AND(ER$119&lt;0,ES$119&gt;=0),142+(-ER$119)/ES$117,0)</f>
        <v>0</v>
      </c>
      <c r="ET126" s="19" t="n">
        <f aca="false">IF(AND(ES$119&lt;0,ET$119&gt;=0),143+(-ES$119)/ET$117,0)</f>
        <v>0</v>
      </c>
      <c r="EU126" s="19" t="n">
        <f aca="false">IF(AND(ET$119&lt;0,EU$119&gt;=0),144+(-ET$119)/EU$117,0)</f>
        <v>0</v>
      </c>
      <c r="EV126" s="19" t="n">
        <f aca="false">IF(AND(EU$119&lt;0,EV$119&gt;=0),145+(-EU$119)/EV$117,0)</f>
        <v>0</v>
      </c>
      <c r="EW126" s="19" t="n">
        <f aca="false">IF(AND(EV$119&lt;0,EW$119&gt;=0),146+(-EV$119)/EW$117,0)</f>
        <v>0</v>
      </c>
      <c r="EX126" s="19" t="n">
        <f aca="false">IF(AND(EW$119&lt;0,EX$119&gt;=0),147+(-EW$119)/EX$117,0)</f>
        <v>0</v>
      </c>
      <c r="EY126" s="19" t="n">
        <f aca="false">IF(AND(EX$119&lt;0,EY$119&gt;=0),148+(-EX$119)/EY$117,0)</f>
        <v>0</v>
      </c>
      <c r="EZ126" s="19" t="n">
        <f aca="false">IF(AND(EY$119&lt;0,EZ$119&gt;=0),149+(-EY$119)/EZ$117,0)</f>
        <v>0</v>
      </c>
      <c r="FA126" s="19" t="n">
        <f aca="false">IF(AND(EZ$119&lt;0,FA$119&gt;=0),150+(-EZ$119)/FA$117,0)</f>
        <v>0</v>
      </c>
      <c r="FB126" s="19" t="n">
        <f aca="false">IF(AND(FA$119&lt;0,FB$119&gt;=0),151+(-FA$119)/FB$117,0)</f>
        <v>0</v>
      </c>
      <c r="FC126" s="19" t="n">
        <f aca="false">IF(AND(FB$119&lt;0,FC$119&gt;=0),152+(-FB$119)/FC$117,0)</f>
        <v>0</v>
      </c>
      <c r="FD126" s="19" t="n">
        <f aca="false">IF(AND(FC$119&lt;0,FD$119&gt;=0),153+(-FC$119)/FD$117,0)</f>
        <v>0</v>
      </c>
      <c r="FE126" s="19" t="n">
        <f aca="false">IF(AND(FD$119&lt;0,FE$119&gt;=0),154+(-FD$119)/FE$117,0)</f>
        <v>0</v>
      </c>
      <c r="FF126" s="19" t="n">
        <f aca="false">IF(AND(FE$119&lt;0,FF$119&gt;=0),155+(-FE$119)/FF$117,0)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R2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18" min="5" style="0" width="13"/>
  </cols>
  <sheetData>
    <row r="1" customFormat="false" ht="16.15" hidden="false" customHeight="false" outlineLevel="0" collapsed="false">
      <c r="A1" s="1" t="s">
        <v>1660</v>
      </c>
    </row>
    <row r="2" customFormat="false" ht="15" hidden="false" customHeight="false" outlineLevel="0" collapsed="false">
      <c r="A2" s="2" t="s">
        <v>1661</v>
      </c>
    </row>
    <row r="4" customFormat="false" ht="15" hidden="false" customHeight="false" outlineLevel="0" collapsed="false">
      <c r="A4" s="3" t="s">
        <v>1662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15" hidden="false" customHeight="false" outlineLevel="0" collapsed="false">
      <c r="A5" s="10" t="s">
        <v>147</v>
      </c>
      <c r="B5" s="10" t="s">
        <v>89</v>
      </c>
      <c r="C5" s="10" t="s">
        <v>435</v>
      </c>
      <c r="D5" s="10" t="s">
        <v>150</v>
      </c>
      <c r="E5" s="10" t="s">
        <v>93</v>
      </c>
    </row>
    <row r="6" customFormat="false" ht="15" hidden="false" customHeight="false" outlineLevel="0" collapsed="false">
      <c r="A6" s="2" t="s">
        <v>1663</v>
      </c>
      <c r="B6" s="5" t="s">
        <v>1664</v>
      </c>
      <c r="C6" s="8" t="s">
        <v>255</v>
      </c>
      <c r="D6" s="67" t="n">
        <f aca="false">SUMPRODUCT(Resultados_Caja!$F$62:$FF$62,Resultados_Caja!$F$108:$FF$108)</f>
        <v>6732540.92587864</v>
      </c>
      <c r="E6" s="2" t="s">
        <v>1665</v>
      </c>
    </row>
    <row r="7" customFormat="false" ht="15" hidden="false" customHeight="false" outlineLevel="0" collapsed="false">
      <c r="A7" s="2" t="s">
        <v>1666</v>
      </c>
      <c r="B7" s="5" t="s">
        <v>1667</v>
      </c>
      <c r="C7" s="8" t="s">
        <v>201</v>
      </c>
      <c r="D7" s="73" t="n">
        <f aca="false">IF(COUNTIF(Resultados_Caja!$F$62:$FF$62,"&lt;0")=0,"No existe: sin flujos negativos",IF(COUNTIF(Resultados_Caja!$F$62:$FF$62,"&gt;0")=0,"No existe: sin flujos positivos",IFERROR((1+IRR(Resultados_Caja!$F$62:$FF$62,0.01))^12-1,"No converge")))</f>
        <v>0.323128170462237</v>
      </c>
    </row>
    <row r="8" customFormat="false" ht="15" hidden="false" customHeight="false" outlineLevel="0" collapsed="false">
      <c r="A8" s="2" t="s">
        <v>1668</v>
      </c>
      <c r="B8" s="8" t="s">
        <v>1669</v>
      </c>
      <c r="C8" s="8" t="s">
        <v>232</v>
      </c>
      <c r="D8" s="74" t="str">
        <f aca="false">IF(SUM(Resultados_Caja!$F$122:$FF$122)=1,"Única: el flujo acumulado cambia de signo una vez","Revisar: el acumulado cambia de signo "&amp;SUM(Resultados_Caja!$F$122:$FF$122)&amp;" veces; priorizar VAN")</f>
        <v>Única: el flujo acumulado cambia de signo una vez</v>
      </c>
    </row>
    <row r="9" customFormat="false" ht="15" hidden="false" customHeight="false" outlineLevel="0" collapsed="false">
      <c r="A9" s="2" t="s">
        <v>1670</v>
      </c>
      <c r="B9" s="8" t="s">
        <v>1671</v>
      </c>
      <c r="C9" s="8" t="s">
        <v>255</v>
      </c>
      <c r="D9" s="65" t="n">
        <f aca="false">E135+NPV(p_TasaProy,F135:R135)</f>
        <v>6516174.33582463</v>
      </c>
      <c r="E9" s="2" t="s">
        <v>1672</v>
      </c>
    </row>
    <row r="10" customFormat="false" ht="15" hidden="false" customHeight="false" outlineLevel="0" collapsed="false">
      <c r="A10" s="2" t="s">
        <v>1673</v>
      </c>
      <c r="B10" s="8" t="s">
        <v>1674</v>
      </c>
      <c r="C10" s="8" t="s">
        <v>201</v>
      </c>
      <c r="D10" s="75" t="n">
        <f aca="false">IFERROR(IRR(E135:R135,0.1),"No converge")</f>
        <v>0.319065338787618</v>
      </c>
    </row>
    <row r="11" customFormat="false" ht="15" hidden="false" customHeight="false" outlineLevel="0" collapsed="false">
      <c r="A11" s="2" t="s">
        <v>1675</v>
      </c>
      <c r="B11" s="5" t="s">
        <v>1676</v>
      </c>
      <c r="C11" s="8" t="s">
        <v>255</v>
      </c>
      <c r="D11" s="67" t="n">
        <f aca="false">SUMPRODUCT(Resultados_Caja!$F$117:$FF$117,Resultados_Caja!$F$109:$FF$109)</f>
        <v>3748260.0338038</v>
      </c>
      <c r="E11" s="2" t="s">
        <v>1677</v>
      </c>
    </row>
    <row r="12" customFormat="false" ht="15" hidden="false" customHeight="false" outlineLevel="0" collapsed="false">
      <c r="A12" s="2" t="s">
        <v>1678</v>
      </c>
      <c r="B12" s="5" t="s">
        <v>1679</v>
      </c>
      <c r="C12" s="8" t="s">
        <v>201</v>
      </c>
      <c r="D12" s="73" t="n">
        <f aca="false">IF(COUNTIF(Resultados_Caja!$F$117:$FF$117,"&lt;0")=0,"No existe: sin flujos negativos",IF(COUNTIF(Resultados_Caja!$F$117:$FF$117,"&gt;0")=0,"No existe: sin flujos positivos",IFERROR((1+IRR(Resultados_Caja!$F$117:$FF$117,0.01))^12-1,"No converge")))</f>
        <v>0.449829142883043</v>
      </c>
    </row>
    <row r="13" customFormat="false" ht="15" hidden="false" customHeight="false" outlineLevel="0" collapsed="false">
      <c r="A13" s="2" t="s">
        <v>1680</v>
      </c>
      <c r="B13" s="8" t="s">
        <v>1681</v>
      </c>
      <c r="C13" s="8" t="s">
        <v>232</v>
      </c>
      <c r="D13" s="74" t="str">
        <f aca="false">IF(SUM(Resultados_Caja!$F$123:$FF$123)=1,"Única","Revisar: el acumulado cambia de signo "&amp;SUM(Resultados_Caja!$F$123:$FF$123)&amp;" veces; priorizar VAN")</f>
        <v>Única</v>
      </c>
    </row>
    <row r="14" customFormat="false" ht="15" hidden="false" customHeight="false" outlineLevel="0" collapsed="false">
      <c r="A14" s="2" t="s">
        <v>1682</v>
      </c>
      <c r="B14" s="8" t="s">
        <v>1683</v>
      </c>
      <c r="C14" s="8" t="s">
        <v>188</v>
      </c>
      <c r="D14" s="70" t="n">
        <f aca="false">IF(MAX(Resultados_Caja!$F$124:$FF$124)=0,"No recupera en el horizonte",MAX(Resultados_Caja!$F$124:$FF$124)/12)</f>
        <v>4.44469959462814</v>
      </c>
    </row>
    <row r="15" customFormat="false" ht="15" hidden="false" customHeight="false" outlineLevel="0" collapsed="false">
      <c r="A15" s="2" t="s">
        <v>1684</v>
      </c>
      <c r="B15" s="8" t="s">
        <v>1685</v>
      </c>
      <c r="C15" s="8" t="s">
        <v>188</v>
      </c>
      <c r="D15" s="70" t="n">
        <f aca="false">IF(MAX(Resultados_Caja!$F$125:$FF$125)=0,"No recupera en el horizonte",MAX(Resultados_Caja!$F$125:$FF$125)/12)</f>
        <v>5.13593946087943</v>
      </c>
    </row>
    <row r="16" customFormat="false" ht="15" hidden="false" customHeight="false" outlineLevel="0" collapsed="false">
      <c r="A16" s="2" t="s">
        <v>1658</v>
      </c>
      <c r="B16" s="8" t="s">
        <v>1686</v>
      </c>
      <c r="C16" s="8" t="s">
        <v>188</v>
      </c>
      <c r="D16" s="70" t="n">
        <f aca="false">IF(MAX(Resultados_Caja!$F$126:$FF$126)=0,"No recupera en el horizonte",MAX(Resultados_Caja!$F$126:$FF$126)/12)</f>
        <v>4.90314397622759</v>
      </c>
    </row>
    <row r="17" customFormat="false" ht="15" hidden="false" customHeight="false" outlineLevel="0" collapsed="false">
      <c r="A17" s="2" t="s">
        <v>1687</v>
      </c>
      <c r="B17" s="8" t="s">
        <v>1688</v>
      </c>
      <c r="C17" s="8" t="s">
        <v>201</v>
      </c>
      <c r="D17" s="76" t="n">
        <f aca="false">p_TasaProy</f>
        <v>0.0948937236323062</v>
      </c>
      <c r="E17" s="2" t="str">
        <f aca="false">p_TasaEstado</f>
        <v>Ponderada inicial PDF (histórica)</v>
      </c>
    </row>
    <row r="18" customFormat="false" ht="15" hidden="false" customHeight="false" outlineLevel="0" collapsed="false">
      <c r="A18" s="2" t="s">
        <v>1689</v>
      </c>
      <c r="B18" s="8" t="s">
        <v>1690</v>
      </c>
      <c r="C18" s="8" t="s">
        <v>255</v>
      </c>
      <c r="D18" s="65" t="n">
        <f aca="false">SUMPRODUCT(Resultados_Caja!$F$121:$FF$121,Resultados_Caja!$F$108:$FF$108)/INDEX(Resultados_Caja!$F$108:$FF$108,1,MAX(1,p_MesRev+1))</f>
        <v>6732540.92587864</v>
      </c>
      <c r="E18" s="2" t="str">
        <f aca="false">IF(p_ValorSalida="","PENDIENTE: falta valor de la alternativa de salida (Supuestos G62); el valor mostrado es el VAN de continuar","Continuar - salir, al mes de revisión "&amp;p_MesRev)</f>
        <v>PENDIENTE: falta valor de la alternativa de salida (Supuestos G62); el valor mostrado es el VAN de continuar</v>
      </c>
    </row>
    <row r="20" customFormat="false" ht="15" hidden="false" customHeight="false" outlineLevel="0" collapsed="false">
      <c r="A20" s="2" t="s">
        <v>1691</v>
      </c>
      <c r="B20" s="8" t="s">
        <v>1692</v>
      </c>
      <c r="C20" s="8" t="s">
        <v>255</v>
      </c>
      <c r="D20" s="65" t="n">
        <f aca="false">Inversion_Activos!$H$23</f>
        <v>755044.1</v>
      </c>
    </row>
    <row r="21" customFormat="false" ht="15" hidden="false" customHeight="false" outlineLevel="0" collapsed="false">
      <c r="A21" s="2" t="s">
        <v>1693</v>
      </c>
      <c r="B21" s="5" t="s">
        <v>133</v>
      </c>
      <c r="C21" s="8" t="s">
        <v>255</v>
      </c>
      <c r="D21" s="67" t="n">
        <f aca="false">Inversion_Activos!$O$23</f>
        <v>755044.1</v>
      </c>
    </row>
    <row r="22" customFormat="false" ht="15" hidden="false" customHeight="false" outlineLevel="0" collapsed="false">
      <c r="A22" s="2" t="s">
        <v>1694</v>
      </c>
      <c r="B22" s="8" t="s">
        <v>1695</v>
      </c>
      <c r="C22" s="8" t="s">
        <v>255</v>
      </c>
      <c r="D22" s="65" t="n">
        <f aca="false">Inversion_Activos!$P$23</f>
        <v>0</v>
      </c>
    </row>
    <row r="23" customFormat="false" ht="15" hidden="false" customHeight="false" outlineLevel="0" collapsed="false">
      <c r="A23" s="2" t="s">
        <v>1696</v>
      </c>
      <c r="B23" s="8" t="s">
        <v>1697</v>
      </c>
      <c r="C23" s="8" t="s">
        <v>255</v>
      </c>
      <c r="D23" s="65" t="n">
        <f aca="false">Inversion_Activos!$J$23</f>
        <v>0</v>
      </c>
    </row>
    <row r="24" customFormat="false" ht="15" hidden="false" customHeight="false" outlineLevel="0" collapsed="false">
      <c r="A24" s="2" t="s">
        <v>1698</v>
      </c>
      <c r="B24" s="8" t="s">
        <v>1699</v>
      </c>
      <c r="C24" s="8" t="s">
        <v>255</v>
      </c>
      <c r="D24" s="65" t="n">
        <f aca="false">Inversion_Activos!$X$23</f>
        <v>755044.1</v>
      </c>
    </row>
    <row r="25" customFormat="false" ht="15" hidden="false" customHeight="false" outlineLevel="0" collapsed="false">
      <c r="A25" s="2" t="s">
        <v>1700</v>
      </c>
      <c r="B25" s="8" t="s">
        <v>1701</v>
      </c>
      <c r="C25" s="8" t="s">
        <v>255</v>
      </c>
      <c r="D25" s="65" t="n">
        <f aca="false">F86</f>
        <v>4850000</v>
      </c>
    </row>
    <row r="26" customFormat="false" ht="15" hidden="false" customHeight="false" outlineLevel="0" collapsed="false">
      <c r="A26" s="2" t="s">
        <v>1702</v>
      </c>
      <c r="B26" s="8" t="s">
        <v>1703</v>
      </c>
      <c r="C26" s="8" t="s">
        <v>255</v>
      </c>
      <c r="D26" s="65" t="n">
        <f aca="false">F96</f>
        <v>526818.423288897</v>
      </c>
    </row>
    <row r="27" customFormat="false" ht="15" hidden="false" customHeight="false" outlineLevel="0" collapsed="false">
      <c r="A27" s="2" t="s">
        <v>1704</v>
      </c>
      <c r="B27" s="8" t="s">
        <v>1705</v>
      </c>
      <c r="C27" s="8" t="s">
        <v>201</v>
      </c>
      <c r="D27" s="77" t="n">
        <f aca="false">F97</f>
        <v>0.108622355317298</v>
      </c>
    </row>
    <row r="28" customFormat="false" ht="15" hidden="false" customHeight="false" outlineLevel="0" collapsed="false">
      <c r="A28" s="2" t="s">
        <v>1533</v>
      </c>
      <c r="B28" s="8" t="s">
        <v>1706</v>
      </c>
      <c r="C28" s="8" t="s">
        <v>255</v>
      </c>
      <c r="D28" s="65" t="n">
        <f aca="false">D86</f>
        <v>81222447.7216454</v>
      </c>
    </row>
    <row r="29" customFormat="false" ht="15" hidden="false" customHeight="false" outlineLevel="0" collapsed="false">
      <c r="A29" s="2" t="s">
        <v>1707</v>
      </c>
      <c r="B29" s="8" t="s">
        <v>1708</v>
      </c>
      <c r="C29" s="8" t="s">
        <v>255</v>
      </c>
      <c r="D29" s="65" t="n">
        <f aca="false">D96</f>
        <v>16318099.8594377</v>
      </c>
    </row>
    <row r="30" customFormat="false" ht="15" hidden="false" customHeight="false" outlineLevel="0" collapsed="false">
      <c r="A30" s="2" t="s">
        <v>1709</v>
      </c>
      <c r="B30" s="8" t="s">
        <v>1710</v>
      </c>
      <c r="C30" s="8" t="s">
        <v>255</v>
      </c>
      <c r="D30" s="65" t="n">
        <f aca="false">D102</f>
        <v>14759841.6312133</v>
      </c>
    </row>
    <row r="31" customFormat="false" ht="15" hidden="false" customHeight="false" outlineLevel="0" collapsed="false">
      <c r="A31" s="2" t="s">
        <v>1711</v>
      </c>
      <c r="B31" s="5" t="s">
        <v>114</v>
      </c>
      <c r="C31" s="8" t="s">
        <v>255</v>
      </c>
      <c r="D31" s="67" t="n">
        <f aca="false">D142</f>
        <v>1139710</v>
      </c>
    </row>
    <row r="32" customFormat="false" ht="15" hidden="false" customHeight="false" outlineLevel="0" collapsed="false">
      <c r="A32" s="2" t="s">
        <v>1587</v>
      </c>
      <c r="B32" s="8" t="s">
        <v>1712</v>
      </c>
      <c r="C32" s="8" t="s">
        <v>255</v>
      </c>
      <c r="D32" s="65" t="n">
        <f aca="false">D143</f>
        <v>0</v>
      </c>
    </row>
    <row r="33" customFormat="false" ht="15" hidden="false" customHeight="false" outlineLevel="0" collapsed="false">
      <c r="A33" s="2" t="s">
        <v>1713</v>
      </c>
      <c r="B33" s="8" t="s">
        <v>1714</v>
      </c>
      <c r="C33" s="8" t="s">
        <v>255</v>
      </c>
      <c r="D33" s="65" t="n">
        <f aca="false">D144</f>
        <v>0</v>
      </c>
    </row>
    <row r="34" customFormat="false" ht="15" hidden="false" customHeight="false" outlineLevel="0" collapsed="false">
      <c r="A34" s="2" t="s">
        <v>1715</v>
      </c>
      <c r="B34" s="8" t="s">
        <v>1716</v>
      </c>
      <c r="C34" s="8" t="s">
        <v>255</v>
      </c>
      <c r="D34" s="65" t="n">
        <f aca="false">D145</f>
        <v>10325117.1054693</v>
      </c>
    </row>
    <row r="35" customFormat="false" ht="15" hidden="false" customHeight="false" outlineLevel="0" collapsed="false">
      <c r="A35" s="2" t="s">
        <v>1717</v>
      </c>
      <c r="B35" s="5" t="s">
        <v>1718</v>
      </c>
      <c r="C35" s="8" t="s">
        <v>255</v>
      </c>
      <c r="D35" s="67" t="n">
        <f aca="false">MAX(Resultados_Caja!$F$95:$FF$95)</f>
        <v>1529018.47703678</v>
      </c>
      <c r="E35" s="2" t="s">
        <v>1719</v>
      </c>
    </row>
    <row r="36" customFormat="false" ht="15" hidden="false" customHeight="false" outlineLevel="0" collapsed="false">
      <c r="A36" s="2" t="s">
        <v>1720</v>
      </c>
      <c r="B36" s="8" t="s">
        <v>1721</v>
      </c>
      <c r="C36" s="8" t="s">
        <v>1655</v>
      </c>
      <c r="D36" s="61" t="n">
        <f aca="false">MATCH(MAX(Resultados_Caja!$F$95:$FF$95),Resultados_Caja!$F$95:$FF$95,0)-1</f>
        <v>28</v>
      </c>
    </row>
    <row r="37" customFormat="false" ht="15" hidden="false" customHeight="false" outlineLevel="0" collapsed="false">
      <c r="A37" s="2" t="s">
        <v>1581</v>
      </c>
      <c r="B37" s="8" t="s">
        <v>1722</v>
      </c>
      <c r="C37" s="8" t="s">
        <v>255</v>
      </c>
      <c r="D37" s="65" t="n">
        <f aca="false">MAX(Resultados_Caja!$F$86:$FF$86)</f>
        <v>589308.477036784</v>
      </c>
    </row>
    <row r="38" customFormat="false" ht="15" hidden="false" customHeight="false" outlineLevel="0" collapsed="false">
      <c r="A38" s="2" t="s">
        <v>1723</v>
      </c>
      <c r="B38" s="8" t="s">
        <v>1724</v>
      </c>
      <c r="C38" s="8" t="s">
        <v>1655</v>
      </c>
      <c r="D38" s="61" t="n">
        <f aca="false">MATCH(MAX(Resultados_Caja!$F$86:$FF$86),Resultados_Caja!$F$86:$FF$86,0)-1</f>
        <v>28</v>
      </c>
    </row>
    <row r="39" customFormat="false" ht="15" hidden="false" customHeight="false" outlineLevel="0" collapsed="false">
      <c r="A39" s="2" t="s">
        <v>1595</v>
      </c>
      <c r="B39" s="5" t="s">
        <v>1725</v>
      </c>
      <c r="C39" s="8" t="s">
        <v>255</v>
      </c>
      <c r="D39" s="67" t="n">
        <f aca="false">MAX(Resultados_Caja!$F$93:$FF$93)</f>
        <v>589308.477036784</v>
      </c>
    </row>
    <row r="40" customFormat="false" ht="15" hidden="false" customHeight="false" outlineLevel="0" collapsed="false">
      <c r="A40" s="2" t="s">
        <v>1726</v>
      </c>
      <c r="B40" s="8" t="s">
        <v>1727</v>
      </c>
      <c r="C40" s="8" t="s">
        <v>168</v>
      </c>
      <c r="D40" s="61" t="n">
        <f aca="false">COUNTIF(Resultados_Caja!$F$93:$FF$93,"&gt;0.5")</f>
        <v>32</v>
      </c>
    </row>
    <row r="41" customFormat="false" ht="15" hidden="false" customHeight="false" outlineLevel="0" collapsed="false">
      <c r="A41" s="2" t="s">
        <v>1728</v>
      </c>
      <c r="B41" s="8" t="s">
        <v>1729</v>
      </c>
      <c r="C41" s="8" t="s">
        <v>255</v>
      </c>
      <c r="D41" s="65" t="n">
        <f aca="false">MIN(Resultados_Caja!$F$91:$FF$91)</f>
        <v>-527347.882516236</v>
      </c>
    </row>
    <row r="42" customFormat="false" ht="15" hidden="false" customHeight="false" outlineLevel="0" collapsed="false">
      <c r="A42" s="2" t="s">
        <v>1730</v>
      </c>
      <c r="B42" s="8" t="s">
        <v>119</v>
      </c>
      <c r="C42" s="8" t="s">
        <v>255</v>
      </c>
      <c r="D42" s="65" t="n">
        <f aca="false">MAX(Resultados_Caja!$F$96:$FF$96)</f>
        <v>2791587</v>
      </c>
    </row>
    <row r="43" customFormat="false" ht="15" hidden="false" customHeight="false" outlineLevel="0" collapsed="false">
      <c r="A43" s="2" t="s">
        <v>1731</v>
      </c>
      <c r="B43" s="8" t="s">
        <v>1732</v>
      </c>
      <c r="C43" s="8" t="s">
        <v>1733</v>
      </c>
      <c r="D43" s="78" t="n">
        <f aca="false">IFERROR(_xlfn.MINIFS(F169:R169,F167:R167,"&gt;0"),"Sin servicio de deuda")</f>
        <v>-2.54487865673168</v>
      </c>
    </row>
    <row r="44" customFormat="false" ht="15" hidden="false" customHeight="false" outlineLevel="0" collapsed="false">
      <c r="A44" s="2" t="s">
        <v>1734</v>
      </c>
      <c r="B44" s="8" t="s">
        <v>1735</v>
      </c>
      <c r="C44" s="8" t="s">
        <v>255</v>
      </c>
      <c r="D44" s="65" t="n">
        <f aca="false">F175</f>
        <v>3538366.4146523</v>
      </c>
    </row>
    <row r="45" customFormat="false" ht="15" hidden="false" customHeight="false" outlineLevel="0" collapsed="false">
      <c r="A45" s="2" t="s">
        <v>1736</v>
      </c>
      <c r="B45" s="8" t="s">
        <v>1737</v>
      </c>
      <c r="C45" s="8" t="s">
        <v>825</v>
      </c>
      <c r="D45" s="65" t="n">
        <f aca="false">F178</f>
        <v>8754.72102594385</v>
      </c>
    </row>
    <row r="46" customFormat="false" ht="15" hidden="false" customHeight="false" outlineLevel="0" collapsed="false">
      <c r="A46" s="2" t="s">
        <v>1738</v>
      </c>
      <c r="B46" s="8" t="s">
        <v>1739</v>
      </c>
      <c r="C46" s="8" t="s">
        <v>825</v>
      </c>
      <c r="D46" s="65" t="n">
        <f aca="false">F179</f>
        <v>51069.2059846724</v>
      </c>
    </row>
    <row r="47" customFormat="false" ht="15" hidden="false" customHeight="false" outlineLevel="0" collapsed="false">
      <c r="A47" s="2" t="s">
        <v>1740</v>
      </c>
      <c r="B47" s="8" t="s">
        <v>1741</v>
      </c>
      <c r="C47" s="8" t="s">
        <v>255</v>
      </c>
      <c r="D47" s="65" t="n">
        <f aca="false">MAX(Capital_Trabajo!$F$62:$FF$62)</f>
        <v>4942519.05732891</v>
      </c>
    </row>
    <row r="49" customFormat="false" ht="15" hidden="false" customHeight="false" outlineLevel="0" collapsed="false">
      <c r="A49" s="2" t="s">
        <v>1742</v>
      </c>
      <c r="B49" s="8" t="s">
        <v>1743</v>
      </c>
      <c r="C49" s="8" t="s">
        <v>255</v>
      </c>
      <c r="D49" s="70" t="n">
        <f aca="false">MAX(ABS(MAX(Resultados_Caja!$F$105:$FF$105)),ABS(MIN(Resultados_Caja!$F$105:$FF$105)))</f>
        <v>0</v>
      </c>
    </row>
    <row r="50" customFormat="false" ht="15" hidden="false" customHeight="false" outlineLevel="0" collapsed="false">
      <c r="A50" s="2" t="s">
        <v>1744</v>
      </c>
      <c r="B50" s="8" t="s">
        <v>1745</v>
      </c>
      <c r="C50" s="8" t="s">
        <v>255</v>
      </c>
      <c r="D50" s="70" t="n">
        <f aca="false">MAX(ABS(MAX(Resultados_Caja!$F$63:$FF$63)),ABS(MIN(Resultados_Caja!$F$63:$FF$63)))</f>
        <v>0</v>
      </c>
    </row>
    <row r="51" customFormat="false" ht="15" hidden="false" customHeight="false" outlineLevel="0" collapsed="false">
      <c r="A51" s="2" t="s">
        <v>1746</v>
      </c>
      <c r="B51" s="8" t="s">
        <v>1747</v>
      </c>
      <c r="C51" s="8" t="s">
        <v>168</v>
      </c>
      <c r="D51" s="61" t="n">
        <f aca="false">SUM(Produccion_Ventas!$F$60:$FF$60)</f>
        <v>2</v>
      </c>
    </row>
    <row r="52" customFormat="false" ht="15" hidden="false" customHeight="false" outlineLevel="0" collapsed="false">
      <c r="A52" s="2" t="s">
        <v>1748</v>
      </c>
      <c r="B52" s="8" t="s">
        <v>1749</v>
      </c>
      <c r="C52" s="8" t="s">
        <v>168</v>
      </c>
      <c r="D52" s="61" t="n">
        <f aca="false">IF(p_MesCorte&lt;0,0,SUMPRODUCT((Calendario!$F$5:$FF$5&lt;=p_MesCorte)*(COUNTIF(dr_Mes,Calendario!$F$5:$FF$5)=0)))</f>
        <v>0</v>
      </c>
    </row>
    <row r="53" customFormat="false" ht="15" hidden="false" customHeight="false" outlineLevel="0" collapsed="false">
      <c r="A53" s="2" t="s">
        <v>1750</v>
      </c>
      <c r="B53" s="8" t="s">
        <v>1751</v>
      </c>
      <c r="C53" s="8" t="s">
        <v>351</v>
      </c>
      <c r="D53" s="61" t="n">
        <f aca="false">IF(p_MesFinTeor&lt;=156,1,0)</f>
        <v>1</v>
      </c>
    </row>
    <row r="68" customFormat="false" ht="15" hidden="false" customHeight="false" outlineLevel="0" collapsed="false">
      <c r="A68" s="3" t="s">
        <v>1752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customFormat="false" ht="15" hidden="false" customHeight="false" outlineLevel="0" collapsed="false">
      <c r="A69" s="10" t="s">
        <v>147</v>
      </c>
      <c r="B69" s="10" t="s">
        <v>958</v>
      </c>
      <c r="C69" s="10" t="s">
        <v>435</v>
      </c>
      <c r="D69" s="10" t="s">
        <v>809</v>
      </c>
      <c r="E69" s="10" t="s">
        <v>575</v>
      </c>
      <c r="F69" s="10" t="s">
        <v>264</v>
      </c>
      <c r="G69" s="10" t="s">
        <v>581</v>
      </c>
      <c r="H69" s="10" t="s">
        <v>584</v>
      </c>
      <c r="I69" s="10" t="s">
        <v>587</v>
      </c>
      <c r="J69" s="10" t="s">
        <v>590</v>
      </c>
      <c r="K69" s="10" t="s">
        <v>593</v>
      </c>
      <c r="L69" s="10" t="s">
        <v>596</v>
      </c>
      <c r="M69" s="10" t="s">
        <v>599</v>
      </c>
      <c r="N69" s="10" t="s">
        <v>602</v>
      </c>
      <c r="O69" s="10" t="s">
        <v>605</v>
      </c>
      <c r="P69" s="10" t="s">
        <v>608</v>
      </c>
      <c r="Q69" s="10" t="s">
        <v>611</v>
      </c>
      <c r="R69" s="10" t="s">
        <v>614</v>
      </c>
    </row>
    <row r="70" customFormat="false" ht="15" hidden="false" customHeight="false" outlineLevel="0" collapsed="false">
      <c r="A70" s="3" t="s">
        <v>1753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customFormat="false" ht="15" hidden="false" customHeight="false" outlineLevel="0" collapsed="false">
      <c r="A71" s="2" t="s">
        <v>1754</v>
      </c>
      <c r="B71" s="8" t="s">
        <v>1755</v>
      </c>
      <c r="C71" s="8" t="s">
        <v>825</v>
      </c>
      <c r="D71" s="67" t="n">
        <f aca="false">SUM(E71:R71)</f>
        <v>192000</v>
      </c>
      <c r="E71" s="13" t="n">
        <f aca="false">SUMIFS(Produccion_Ventas!$F$24:$FF$24,Calendario!$F$7:$FF$7,0)</f>
        <v>0</v>
      </c>
      <c r="F71" s="13" t="n">
        <f aca="false">SUMIFS(Produccion_Ventas!$F$24:$FF$24,Calendario!$F$7:$FF$7,1)</f>
        <v>12000</v>
      </c>
      <c r="G71" s="13" t="n">
        <f aca="false">SUMIFS(Produccion_Ventas!$F$24:$FF$24,Calendario!$F$7:$FF$7,2)</f>
        <v>15000</v>
      </c>
      <c r="H71" s="13" t="n">
        <f aca="false">SUMIFS(Produccion_Ventas!$F$24:$FF$24,Calendario!$F$7:$FF$7,3)</f>
        <v>18000</v>
      </c>
      <c r="I71" s="13" t="n">
        <f aca="false">SUMIFS(Produccion_Ventas!$F$24:$FF$24,Calendario!$F$7:$FF$7,4)</f>
        <v>21000</v>
      </c>
      <c r="J71" s="13" t="n">
        <f aca="false">SUMIFS(Produccion_Ventas!$F$24:$FF$24,Calendario!$F$7:$FF$7,5)</f>
        <v>21000</v>
      </c>
      <c r="K71" s="13" t="n">
        <f aca="false">SUMIFS(Produccion_Ventas!$F$24:$FF$24,Calendario!$F$7:$FF$7,6)</f>
        <v>21000</v>
      </c>
      <c r="L71" s="13" t="n">
        <f aca="false">SUMIFS(Produccion_Ventas!$F$24:$FF$24,Calendario!$F$7:$FF$7,7)</f>
        <v>21000</v>
      </c>
      <c r="M71" s="13" t="n">
        <f aca="false">SUMIFS(Produccion_Ventas!$F$24:$FF$24,Calendario!$F$7:$FF$7,8)</f>
        <v>21000</v>
      </c>
      <c r="N71" s="13" t="n">
        <f aca="false">SUMIFS(Produccion_Ventas!$F$24:$FF$24,Calendario!$F$7:$FF$7,9)</f>
        <v>21000</v>
      </c>
      <c r="O71" s="13" t="n">
        <f aca="false">SUMIFS(Produccion_Ventas!$F$24:$FF$24,Calendario!$F$7:$FF$7,10)</f>
        <v>21000</v>
      </c>
      <c r="P71" s="13" t="n">
        <f aca="false">SUMIFS(Produccion_Ventas!$F$24:$FF$24,Calendario!$F$7:$FF$7,11)</f>
        <v>0</v>
      </c>
      <c r="Q71" s="13" t="n">
        <f aca="false">SUMIFS(Produccion_Ventas!$F$24:$FF$24,Calendario!$F$7:$FF$7,12)</f>
        <v>0</v>
      </c>
      <c r="R71" s="13" t="n">
        <f aca="false">SUMIFS(Produccion_Ventas!$F$24:$FF$24,Calendario!$F$7:$FF$7,13)</f>
        <v>0</v>
      </c>
    </row>
    <row r="72" customFormat="false" ht="15" hidden="false" customHeight="false" outlineLevel="0" collapsed="false">
      <c r="A72" s="2" t="s">
        <v>1756</v>
      </c>
      <c r="B72" s="79" t="s">
        <v>1757</v>
      </c>
      <c r="C72" s="8" t="s">
        <v>825</v>
      </c>
      <c r="D72" s="67" t="n">
        <f aca="false">SUM(E72:R72)</f>
        <v>192000</v>
      </c>
      <c r="F72" s="28" t="n">
        <f aca="false">Base_PDF!F$88</f>
        <v>12000</v>
      </c>
      <c r="G72" s="28" t="n">
        <f aca="false">Base_PDF!G$88</f>
        <v>15000</v>
      </c>
      <c r="H72" s="28" t="n">
        <f aca="false">Base_PDF!H$88</f>
        <v>18000</v>
      </c>
      <c r="I72" s="28" t="n">
        <f aca="false">Base_PDF!I$88</f>
        <v>21000</v>
      </c>
      <c r="J72" s="28" t="n">
        <f aca="false">Base_PDF!J$88</f>
        <v>21000</v>
      </c>
      <c r="K72" s="28" t="n">
        <f aca="false">Base_PDF!K$88</f>
        <v>21000</v>
      </c>
      <c r="L72" s="28" t="n">
        <f aca="false">Base_PDF!L$88</f>
        <v>21000</v>
      </c>
      <c r="M72" s="28" t="n">
        <f aca="false">Base_PDF!M$88</f>
        <v>21000</v>
      </c>
      <c r="N72" s="28" t="n">
        <f aca="false">Base_PDF!N$88</f>
        <v>21000</v>
      </c>
      <c r="O72" s="28" t="n">
        <f aca="false">Base_PDF!O$88</f>
        <v>21000</v>
      </c>
    </row>
    <row r="73" customFormat="false" ht="15" hidden="false" customHeight="false" outlineLevel="0" collapsed="false">
      <c r="A73" s="2" t="s">
        <v>1758</v>
      </c>
      <c r="B73" s="8" t="s">
        <v>1759</v>
      </c>
      <c r="C73" s="8" t="s">
        <v>825</v>
      </c>
      <c r="D73" s="67" t="n">
        <f aca="false">SUM(E73:R73)</f>
        <v>1110000</v>
      </c>
      <c r="E73" s="13" t="n">
        <f aca="false">SUMIFS(Produccion_Ventas!$F$45:$FF$45,Calendario!$F$7:$FF$7,0)</f>
        <v>0</v>
      </c>
      <c r="F73" s="13" t="n">
        <f aca="false">SUMIFS(Produccion_Ventas!$F$45:$FF$45,Calendario!$F$7:$FF$7,1)</f>
        <v>70000</v>
      </c>
      <c r="G73" s="13" t="n">
        <f aca="false">SUMIFS(Produccion_Ventas!$F$45:$FF$45,Calendario!$F$7:$FF$7,2)</f>
        <v>90000</v>
      </c>
      <c r="H73" s="13" t="n">
        <f aca="false">SUMIFS(Produccion_Ventas!$F$45:$FF$45,Calendario!$F$7:$FF$7,3)</f>
        <v>110000</v>
      </c>
      <c r="I73" s="13" t="n">
        <f aca="false">SUMIFS(Produccion_Ventas!$F$45:$FF$45,Calendario!$F$7:$FF$7,4)</f>
        <v>120000</v>
      </c>
      <c r="J73" s="13" t="n">
        <f aca="false">SUMIFS(Produccion_Ventas!$F$45:$FF$45,Calendario!$F$7:$FF$7,5)</f>
        <v>120000</v>
      </c>
      <c r="K73" s="13" t="n">
        <f aca="false">SUMIFS(Produccion_Ventas!$F$45:$FF$45,Calendario!$F$7:$FF$7,6)</f>
        <v>120000</v>
      </c>
      <c r="L73" s="13" t="n">
        <f aca="false">SUMIFS(Produccion_Ventas!$F$45:$FF$45,Calendario!$F$7:$FF$7,7)</f>
        <v>120000</v>
      </c>
      <c r="M73" s="13" t="n">
        <f aca="false">SUMIFS(Produccion_Ventas!$F$45:$FF$45,Calendario!$F$7:$FF$7,8)</f>
        <v>120000</v>
      </c>
      <c r="N73" s="13" t="n">
        <f aca="false">SUMIFS(Produccion_Ventas!$F$45:$FF$45,Calendario!$F$7:$FF$7,9)</f>
        <v>120000</v>
      </c>
      <c r="O73" s="13" t="n">
        <f aca="false">SUMIFS(Produccion_Ventas!$F$45:$FF$45,Calendario!$F$7:$FF$7,10)</f>
        <v>120000</v>
      </c>
      <c r="P73" s="13" t="n">
        <f aca="false">SUMIFS(Produccion_Ventas!$F$45:$FF$45,Calendario!$F$7:$FF$7,11)</f>
        <v>0</v>
      </c>
      <c r="Q73" s="13" t="n">
        <f aca="false">SUMIFS(Produccion_Ventas!$F$45:$FF$45,Calendario!$F$7:$FF$7,12)</f>
        <v>0</v>
      </c>
      <c r="R73" s="13" t="n">
        <f aca="false">SUMIFS(Produccion_Ventas!$F$45:$FF$45,Calendario!$F$7:$FF$7,13)</f>
        <v>0</v>
      </c>
    </row>
    <row r="74" customFormat="false" ht="15" hidden="false" customHeight="false" outlineLevel="0" collapsed="false">
      <c r="A74" s="2" t="s">
        <v>1760</v>
      </c>
      <c r="B74" s="79" t="s">
        <v>1761</v>
      </c>
      <c r="C74" s="8" t="s">
        <v>825</v>
      </c>
      <c r="D74" s="67" t="n">
        <f aca="false">SUM(E74:R74)</f>
        <v>1110000</v>
      </c>
      <c r="F74" s="28" t="n">
        <f aca="false">Base_PDF!F$91</f>
        <v>70000</v>
      </c>
      <c r="G74" s="28" t="n">
        <f aca="false">Base_PDF!G$91</f>
        <v>90000</v>
      </c>
      <c r="H74" s="28" t="n">
        <f aca="false">Base_PDF!H$91</f>
        <v>110000</v>
      </c>
      <c r="I74" s="28" t="n">
        <f aca="false">Base_PDF!I$91</f>
        <v>120000</v>
      </c>
      <c r="J74" s="28" t="n">
        <f aca="false">Base_PDF!J$91</f>
        <v>120000</v>
      </c>
      <c r="K74" s="28" t="n">
        <f aca="false">Base_PDF!K$91</f>
        <v>120000</v>
      </c>
      <c r="L74" s="28" t="n">
        <f aca="false">Base_PDF!L$91</f>
        <v>120000</v>
      </c>
      <c r="M74" s="28" t="n">
        <f aca="false">Base_PDF!M$91</f>
        <v>120000</v>
      </c>
      <c r="N74" s="28" t="n">
        <f aca="false">Base_PDF!N$91</f>
        <v>120000</v>
      </c>
      <c r="O74" s="28" t="n">
        <f aca="false">Base_PDF!O$91</f>
        <v>120000</v>
      </c>
    </row>
    <row r="75" customFormat="false" ht="15" hidden="false" customHeight="false" outlineLevel="0" collapsed="false">
      <c r="A75" s="2" t="s">
        <v>1762</v>
      </c>
      <c r="B75" s="8" t="s">
        <v>1763</v>
      </c>
      <c r="C75" s="8" t="s">
        <v>825</v>
      </c>
      <c r="D75" s="67" t="n">
        <f aca="false">SUM(E75:R75)</f>
        <v>192000</v>
      </c>
      <c r="E75" s="13" t="n">
        <f aca="false">SUMIFS(Produccion_Ventas!$F$26:$FF$26,Calendario!$F$7:$FF$7,0)</f>
        <v>0</v>
      </c>
      <c r="F75" s="13" t="n">
        <f aca="false">SUMIFS(Produccion_Ventas!$F$26:$FF$26,Calendario!$F$7:$FF$7,1)</f>
        <v>12410.9589041096</v>
      </c>
      <c r="G75" s="13" t="n">
        <f aca="false">SUMIFS(Produccion_Ventas!$F$26:$FF$26,Calendario!$F$7:$FF$7,2)</f>
        <v>15082.1917808219</v>
      </c>
      <c r="H75" s="13" t="n">
        <f aca="false">SUMIFS(Produccion_Ventas!$F$26:$FF$26,Calendario!$F$7:$FF$7,3)</f>
        <v>18082.1917808219</v>
      </c>
      <c r="I75" s="13" t="n">
        <f aca="false">SUMIFS(Produccion_Ventas!$F$26:$FF$26,Calendario!$F$7:$FF$7,4)</f>
        <v>21000</v>
      </c>
      <c r="J75" s="13" t="n">
        <f aca="false">SUMIFS(Produccion_Ventas!$F$26:$FF$26,Calendario!$F$7:$FF$7,5)</f>
        <v>21000</v>
      </c>
      <c r="K75" s="13" t="n">
        <f aca="false">SUMIFS(Produccion_Ventas!$F$26:$FF$26,Calendario!$F$7:$FF$7,6)</f>
        <v>21000</v>
      </c>
      <c r="L75" s="13" t="n">
        <f aca="false">SUMIFS(Produccion_Ventas!$F$26:$FF$26,Calendario!$F$7:$FF$7,7)</f>
        <v>21000</v>
      </c>
      <c r="M75" s="13" t="n">
        <f aca="false">SUMIFS(Produccion_Ventas!$F$26:$FF$26,Calendario!$F$7:$FF$7,8)</f>
        <v>21000</v>
      </c>
      <c r="N75" s="13" t="n">
        <f aca="false">SUMIFS(Produccion_Ventas!$F$26:$FF$26,Calendario!$F$7:$FF$7,9)</f>
        <v>21000</v>
      </c>
      <c r="O75" s="13" t="n">
        <f aca="false">SUMIFS(Produccion_Ventas!$F$26:$FF$26,Calendario!$F$7:$FF$7,10)</f>
        <v>20424.6575342466</v>
      </c>
      <c r="P75" s="13" t="n">
        <f aca="false">SUMIFS(Produccion_Ventas!$F$26:$FF$26,Calendario!$F$7:$FF$7,11)</f>
        <v>0</v>
      </c>
      <c r="Q75" s="13" t="n">
        <f aca="false">SUMIFS(Produccion_Ventas!$F$26:$FF$26,Calendario!$F$7:$FF$7,12)</f>
        <v>0</v>
      </c>
      <c r="R75" s="13" t="n">
        <f aca="false">SUMIFS(Produccion_Ventas!$F$26:$FF$26,Calendario!$F$7:$FF$7,13)</f>
        <v>0</v>
      </c>
    </row>
    <row r="76" customFormat="false" ht="15" hidden="false" customHeight="false" outlineLevel="0" collapsed="false">
      <c r="A76" s="2" t="s">
        <v>1764</v>
      </c>
      <c r="B76" s="8" t="s">
        <v>1765</v>
      </c>
      <c r="C76" s="8" t="s">
        <v>825</v>
      </c>
      <c r="D76" s="67" t="n">
        <f aca="false">SUM(E76:R76)</f>
        <v>1110000</v>
      </c>
      <c r="E76" s="13" t="n">
        <f aca="false">SUMIFS(Produccion_Ventas!$F$47:$FF$47,Calendario!$F$7:$FF$7,0)</f>
        <v>0</v>
      </c>
      <c r="F76" s="13" t="n">
        <f aca="false">SUMIFS(Produccion_Ventas!$F$47:$FF$47,Calendario!$F$7:$FF$7,1)</f>
        <v>72465.7534246575</v>
      </c>
      <c r="G76" s="13" t="n">
        <f aca="false">SUMIFS(Produccion_Ventas!$F$47:$FF$47,Calendario!$F$7:$FF$7,2)</f>
        <v>90547.9452054795</v>
      </c>
      <c r="H76" s="13" t="n">
        <f aca="false">SUMIFS(Produccion_Ventas!$F$47:$FF$47,Calendario!$F$7:$FF$7,3)</f>
        <v>110273.97260274</v>
      </c>
      <c r="I76" s="13" t="n">
        <f aca="false">SUMIFS(Produccion_Ventas!$F$47:$FF$47,Calendario!$F$7:$FF$7,4)</f>
        <v>120000</v>
      </c>
      <c r="J76" s="13" t="n">
        <f aca="false">SUMIFS(Produccion_Ventas!$F$47:$FF$47,Calendario!$F$7:$FF$7,5)</f>
        <v>120000</v>
      </c>
      <c r="K76" s="13" t="n">
        <f aca="false">SUMIFS(Produccion_Ventas!$F$47:$FF$47,Calendario!$F$7:$FF$7,6)</f>
        <v>120000</v>
      </c>
      <c r="L76" s="13" t="n">
        <f aca="false">SUMIFS(Produccion_Ventas!$F$47:$FF$47,Calendario!$F$7:$FF$7,7)</f>
        <v>120000</v>
      </c>
      <c r="M76" s="13" t="n">
        <f aca="false">SUMIFS(Produccion_Ventas!$F$47:$FF$47,Calendario!$F$7:$FF$7,8)</f>
        <v>120000</v>
      </c>
      <c r="N76" s="13" t="n">
        <f aca="false">SUMIFS(Produccion_Ventas!$F$47:$FF$47,Calendario!$F$7:$FF$7,9)</f>
        <v>120000</v>
      </c>
      <c r="O76" s="13" t="n">
        <f aca="false">SUMIFS(Produccion_Ventas!$F$47:$FF$47,Calendario!$F$7:$FF$7,10)</f>
        <v>116712.328767123</v>
      </c>
      <c r="P76" s="13" t="n">
        <f aca="false">SUMIFS(Produccion_Ventas!$F$47:$FF$47,Calendario!$F$7:$FF$7,11)</f>
        <v>0</v>
      </c>
      <c r="Q76" s="13" t="n">
        <f aca="false">SUMIFS(Produccion_Ventas!$F$47:$FF$47,Calendario!$F$7:$FF$7,12)</f>
        <v>0</v>
      </c>
      <c r="R76" s="13" t="n">
        <f aca="false">SUMIFS(Produccion_Ventas!$F$47:$FF$47,Calendario!$F$7:$FF$7,13)</f>
        <v>0</v>
      </c>
    </row>
    <row r="77" customFormat="false" ht="15" hidden="false" customHeight="false" outlineLevel="0" collapsed="false">
      <c r="A77" s="2" t="s">
        <v>1766</v>
      </c>
      <c r="B77" s="8" t="s">
        <v>1767</v>
      </c>
      <c r="C77" s="8" t="s">
        <v>825</v>
      </c>
      <c r="D77" s="67" t="n">
        <f aca="false">SUM(E77:R77)</f>
        <v>192000</v>
      </c>
      <c r="E77" s="13" t="n">
        <f aca="false">SUMIFS(Produccion_Ventas!$F$28:$FF$28,Calendario!$F$7:$FF$7,0)</f>
        <v>0</v>
      </c>
      <c r="F77" s="13" t="n">
        <f aca="false">SUMIFS(Produccion_Ventas!$F$28:$FF$28,Calendario!$F$7:$FF$7,1)</f>
        <v>12410.9589041096</v>
      </c>
      <c r="G77" s="13" t="n">
        <f aca="false">SUMIFS(Produccion_Ventas!$F$28:$FF$28,Calendario!$F$7:$FF$7,2)</f>
        <v>15082.1917808219</v>
      </c>
      <c r="H77" s="13" t="n">
        <f aca="false">SUMIFS(Produccion_Ventas!$F$28:$FF$28,Calendario!$F$7:$FF$7,3)</f>
        <v>18082.1917808219</v>
      </c>
      <c r="I77" s="13" t="n">
        <f aca="false">SUMIFS(Produccion_Ventas!$F$28:$FF$28,Calendario!$F$7:$FF$7,4)</f>
        <v>21000</v>
      </c>
      <c r="J77" s="13" t="n">
        <f aca="false">SUMIFS(Produccion_Ventas!$F$28:$FF$28,Calendario!$F$7:$FF$7,5)</f>
        <v>21000</v>
      </c>
      <c r="K77" s="13" t="n">
        <f aca="false">SUMIFS(Produccion_Ventas!$F$28:$FF$28,Calendario!$F$7:$FF$7,6)</f>
        <v>21000</v>
      </c>
      <c r="L77" s="13" t="n">
        <f aca="false">SUMIFS(Produccion_Ventas!$F$28:$FF$28,Calendario!$F$7:$FF$7,7)</f>
        <v>21000</v>
      </c>
      <c r="M77" s="13" t="n">
        <f aca="false">SUMIFS(Produccion_Ventas!$F$28:$FF$28,Calendario!$F$7:$FF$7,8)</f>
        <v>21000</v>
      </c>
      <c r="N77" s="13" t="n">
        <f aca="false">SUMIFS(Produccion_Ventas!$F$28:$FF$28,Calendario!$F$7:$FF$7,9)</f>
        <v>21000</v>
      </c>
      <c r="O77" s="13" t="n">
        <f aca="false">SUMIFS(Produccion_Ventas!$F$28:$FF$28,Calendario!$F$7:$FF$7,10)</f>
        <v>20424.6575342466</v>
      </c>
      <c r="P77" s="13" t="n">
        <f aca="false">SUMIFS(Produccion_Ventas!$F$28:$FF$28,Calendario!$F$7:$FF$7,11)</f>
        <v>0</v>
      </c>
      <c r="Q77" s="13" t="n">
        <f aca="false">SUMIFS(Produccion_Ventas!$F$28:$FF$28,Calendario!$F$7:$FF$7,12)</f>
        <v>0</v>
      </c>
      <c r="R77" s="13" t="n">
        <f aca="false">SUMIFS(Produccion_Ventas!$F$28:$FF$28,Calendario!$F$7:$FF$7,13)</f>
        <v>0</v>
      </c>
    </row>
    <row r="78" customFormat="false" ht="15" hidden="false" customHeight="false" outlineLevel="0" collapsed="false">
      <c r="A78" s="2" t="s">
        <v>1768</v>
      </c>
      <c r="B78" s="8" t="s">
        <v>1769</v>
      </c>
      <c r="C78" s="8" t="s">
        <v>825</v>
      </c>
      <c r="D78" s="67" t="n">
        <f aca="false">SUM(E78:R78)</f>
        <v>1110000</v>
      </c>
      <c r="E78" s="13" t="n">
        <f aca="false">SUMIFS(Produccion_Ventas!$F$49:$FF$49,Calendario!$F$7:$FF$7,0)</f>
        <v>0</v>
      </c>
      <c r="F78" s="13" t="n">
        <f aca="false">SUMIFS(Produccion_Ventas!$F$49:$FF$49,Calendario!$F$7:$FF$7,1)</f>
        <v>72465.7534246575</v>
      </c>
      <c r="G78" s="13" t="n">
        <f aca="false">SUMIFS(Produccion_Ventas!$F$49:$FF$49,Calendario!$F$7:$FF$7,2)</f>
        <v>90547.9452054795</v>
      </c>
      <c r="H78" s="13" t="n">
        <f aca="false">SUMIFS(Produccion_Ventas!$F$49:$FF$49,Calendario!$F$7:$FF$7,3)</f>
        <v>110273.97260274</v>
      </c>
      <c r="I78" s="13" t="n">
        <f aca="false">SUMIFS(Produccion_Ventas!$F$49:$FF$49,Calendario!$F$7:$FF$7,4)</f>
        <v>120000</v>
      </c>
      <c r="J78" s="13" t="n">
        <f aca="false">SUMIFS(Produccion_Ventas!$F$49:$FF$49,Calendario!$F$7:$FF$7,5)</f>
        <v>120000</v>
      </c>
      <c r="K78" s="13" t="n">
        <f aca="false">SUMIFS(Produccion_Ventas!$F$49:$FF$49,Calendario!$F$7:$FF$7,6)</f>
        <v>120000</v>
      </c>
      <c r="L78" s="13" t="n">
        <f aca="false">SUMIFS(Produccion_Ventas!$F$49:$FF$49,Calendario!$F$7:$FF$7,7)</f>
        <v>120000</v>
      </c>
      <c r="M78" s="13" t="n">
        <f aca="false">SUMIFS(Produccion_Ventas!$F$49:$FF$49,Calendario!$F$7:$FF$7,8)</f>
        <v>120000</v>
      </c>
      <c r="N78" s="13" t="n">
        <f aca="false">SUMIFS(Produccion_Ventas!$F$49:$FF$49,Calendario!$F$7:$FF$7,9)</f>
        <v>120000</v>
      </c>
      <c r="O78" s="13" t="n">
        <f aca="false">SUMIFS(Produccion_Ventas!$F$49:$FF$49,Calendario!$F$7:$FF$7,10)</f>
        <v>116712.328767123</v>
      </c>
      <c r="P78" s="13" t="n">
        <f aca="false">SUMIFS(Produccion_Ventas!$F$49:$FF$49,Calendario!$F$7:$FF$7,11)</f>
        <v>0</v>
      </c>
      <c r="Q78" s="13" t="n">
        <f aca="false">SUMIFS(Produccion_Ventas!$F$49:$FF$49,Calendario!$F$7:$FF$7,12)</f>
        <v>0</v>
      </c>
      <c r="R78" s="13" t="n">
        <f aca="false">SUMIFS(Produccion_Ventas!$F$49:$FF$49,Calendario!$F$7:$FF$7,13)</f>
        <v>0</v>
      </c>
    </row>
    <row r="79" customFormat="false" ht="15" hidden="false" customHeight="false" outlineLevel="0" collapsed="false">
      <c r="A79" s="2" t="s">
        <v>823</v>
      </c>
      <c r="B79" s="8" t="s">
        <v>1770</v>
      </c>
      <c r="C79" s="8" t="s">
        <v>825</v>
      </c>
      <c r="D79" s="67" t="n">
        <f aca="false">SUM(E79:R79)</f>
        <v>206000</v>
      </c>
      <c r="E79" s="13" t="n">
        <f aca="false">SUMIFS(Produccion_Ventas!$F$13:$FF$13,Calendario!$F$7:$FF$7,0)</f>
        <v>0</v>
      </c>
      <c r="F79" s="13" t="n">
        <f aca="false">SUMIFS(Produccion_Ventas!$F$13:$FF$13,Calendario!$F$7:$FF$7,1)</f>
        <v>15000</v>
      </c>
      <c r="G79" s="13" t="n">
        <f aca="false">SUMIFS(Produccion_Ventas!$F$13:$FF$13,Calendario!$F$7:$FF$7,2)</f>
        <v>15000</v>
      </c>
      <c r="H79" s="13" t="n">
        <f aca="false">SUMIFS(Produccion_Ventas!$F$13:$FF$13,Calendario!$F$7:$FF$7,3)</f>
        <v>22000</v>
      </c>
      <c r="I79" s="13" t="n">
        <f aca="false">SUMIFS(Produccion_Ventas!$F$13:$FF$13,Calendario!$F$7:$FF$7,4)</f>
        <v>22000</v>
      </c>
      <c r="J79" s="13" t="n">
        <f aca="false">SUMIFS(Produccion_Ventas!$F$13:$FF$13,Calendario!$F$7:$FF$7,5)</f>
        <v>22000</v>
      </c>
      <c r="K79" s="13" t="n">
        <f aca="false">SUMIFS(Produccion_Ventas!$F$13:$FF$13,Calendario!$F$7:$FF$7,6)</f>
        <v>22000</v>
      </c>
      <c r="L79" s="13" t="n">
        <f aca="false">SUMIFS(Produccion_Ventas!$F$13:$FF$13,Calendario!$F$7:$FF$7,7)</f>
        <v>22000</v>
      </c>
      <c r="M79" s="13" t="n">
        <f aca="false">SUMIFS(Produccion_Ventas!$F$13:$FF$13,Calendario!$F$7:$FF$7,8)</f>
        <v>22000</v>
      </c>
      <c r="N79" s="13" t="n">
        <f aca="false">SUMIFS(Produccion_Ventas!$F$13:$FF$13,Calendario!$F$7:$FF$7,9)</f>
        <v>22000</v>
      </c>
      <c r="O79" s="13" t="n">
        <f aca="false">SUMIFS(Produccion_Ventas!$F$13:$FF$13,Calendario!$F$7:$FF$7,10)</f>
        <v>22000</v>
      </c>
      <c r="P79" s="13" t="n">
        <f aca="false">SUMIFS(Produccion_Ventas!$F$13:$FF$13,Calendario!$F$7:$FF$7,11)</f>
        <v>0</v>
      </c>
      <c r="Q79" s="13" t="n">
        <f aca="false">SUMIFS(Produccion_Ventas!$F$13:$FF$13,Calendario!$F$7:$FF$7,12)</f>
        <v>0</v>
      </c>
      <c r="R79" s="13" t="n">
        <f aca="false">SUMIFS(Produccion_Ventas!$F$13:$FF$13,Calendario!$F$7:$FF$7,13)</f>
        <v>0</v>
      </c>
    </row>
    <row r="80" customFormat="false" ht="15" hidden="false" customHeight="false" outlineLevel="0" collapsed="false">
      <c r="A80" s="2" t="s">
        <v>865</v>
      </c>
      <c r="B80" s="8" t="s">
        <v>1771</v>
      </c>
      <c r="C80" s="8" t="s">
        <v>825</v>
      </c>
      <c r="D80" s="67" t="n">
        <f aca="false">SUM(E80:R80)</f>
        <v>1148000</v>
      </c>
      <c r="E80" s="13" t="n">
        <f aca="false">SUMIFS(Produccion_Ventas!$F$34:$FF$34,Calendario!$F$7:$FF$7,0)</f>
        <v>0</v>
      </c>
      <c r="F80" s="13" t="n">
        <f aca="false">SUMIFS(Produccion_Ventas!$F$34:$FF$34,Calendario!$F$7:$FF$7,1)</f>
        <v>90000</v>
      </c>
      <c r="G80" s="13" t="n">
        <f aca="false">SUMIFS(Produccion_Ventas!$F$34:$FF$34,Calendario!$F$7:$FF$7,2)</f>
        <v>90000</v>
      </c>
      <c r="H80" s="13" t="n">
        <f aca="false">SUMIFS(Produccion_Ventas!$F$34:$FF$34,Calendario!$F$7:$FF$7,3)</f>
        <v>121000</v>
      </c>
      <c r="I80" s="13" t="n">
        <f aca="false">SUMIFS(Produccion_Ventas!$F$34:$FF$34,Calendario!$F$7:$FF$7,4)</f>
        <v>121000</v>
      </c>
      <c r="J80" s="13" t="n">
        <f aca="false">SUMIFS(Produccion_Ventas!$F$34:$FF$34,Calendario!$F$7:$FF$7,5)</f>
        <v>121000</v>
      </c>
      <c r="K80" s="13" t="n">
        <f aca="false">SUMIFS(Produccion_Ventas!$F$34:$FF$34,Calendario!$F$7:$FF$7,6)</f>
        <v>121000</v>
      </c>
      <c r="L80" s="13" t="n">
        <f aca="false">SUMIFS(Produccion_Ventas!$F$34:$FF$34,Calendario!$F$7:$FF$7,7)</f>
        <v>121000</v>
      </c>
      <c r="M80" s="13" t="n">
        <f aca="false">SUMIFS(Produccion_Ventas!$F$34:$FF$34,Calendario!$F$7:$FF$7,8)</f>
        <v>121000</v>
      </c>
      <c r="N80" s="13" t="n">
        <f aca="false">SUMIFS(Produccion_Ventas!$F$34:$FF$34,Calendario!$F$7:$FF$7,9)</f>
        <v>121000</v>
      </c>
      <c r="O80" s="13" t="n">
        <f aca="false">SUMIFS(Produccion_Ventas!$F$34:$FF$34,Calendario!$F$7:$FF$7,10)</f>
        <v>121000</v>
      </c>
      <c r="P80" s="13" t="n">
        <f aca="false">SUMIFS(Produccion_Ventas!$F$34:$FF$34,Calendario!$F$7:$FF$7,11)</f>
        <v>0</v>
      </c>
      <c r="Q80" s="13" t="n">
        <f aca="false">SUMIFS(Produccion_Ventas!$F$34:$FF$34,Calendario!$F$7:$FF$7,12)</f>
        <v>0</v>
      </c>
      <c r="R80" s="13" t="n">
        <f aca="false">SUMIFS(Produccion_Ventas!$F$34:$FF$34,Calendario!$F$7:$FF$7,13)</f>
        <v>0</v>
      </c>
    </row>
    <row r="81" customFormat="false" ht="15" hidden="false" customHeight="false" outlineLevel="0" collapsed="false">
      <c r="A81" s="2" t="s">
        <v>1772</v>
      </c>
      <c r="B81" s="8" t="s">
        <v>1773</v>
      </c>
      <c r="C81" s="8" t="s">
        <v>201</v>
      </c>
      <c r="E81" s="48" t="str">
        <f aca="false">IF(E79&gt;0,E77/E79,"")</f>
        <v/>
      </c>
      <c r="F81" s="48" t="n">
        <f aca="false">IF(F79&gt;0,F77/F79,"")</f>
        <v>0.827397260273973</v>
      </c>
      <c r="G81" s="48" t="n">
        <f aca="false">IF(G79&gt;0,G77/G79,"")</f>
        <v>1.00547945205479</v>
      </c>
      <c r="H81" s="48" t="n">
        <f aca="false">IF(H79&gt;0,H77/H79,"")</f>
        <v>0.821917808219178</v>
      </c>
      <c r="I81" s="48" t="n">
        <f aca="false">IF(I79&gt;0,I77/I79,"")</f>
        <v>0.954545454545455</v>
      </c>
      <c r="J81" s="48" t="n">
        <f aca="false">IF(J79&gt;0,J77/J79,"")</f>
        <v>0.954545454545455</v>
      </c>
      <c r="K81" s="48" t="n">
        <f aca="false">IF(K79&gt;0,K77/K79,"")</f>
        <v>0.954545454545455</v>
      </c>
      <c r="L81" s="48" t="n">
        <f aca="false">IF(L79&gt;0,L77/L79,"")</f>
        <v>0.954545454545455</v>
      </c>
      <c r="M81" s="48" t="n">
        <f aca="false">IF(M79&gt;0,M77/M79,"")</f>
        <v>0.954545454545455</v>
      </c>
      <c r="N81" s="48" t="n">
        <f aca="false">IF(N79&gt;0,N77/N79,"")</f>
        <v>0.954545454545455</v>
      </c>
      <c r="O81" s="48" t="n">
        <f aca="false">IF(O79&gt;0,O77/O79,"")</f>
        <v>0.928393524283935</v>
      </c>
      <c r="P81" s="48" t="str">
        <f aca="false">IF(P79&gt;0,P77/P79,"")</f>
        <v/>
      </c>
      <c r="Q81" s="48" t="str">
        <f aca="false">IF(Q79&gt;0,Q77/Q79,"")</f>
        <v/>
      </c>
      <c r="R81" s="48" t="str">
        <f aca="false">IF(R79&gt;0,R77/R79,"")</f>
        <v/>
      </c>
    </row>
    <row r="82" customFormat="false" ht="15" hidden="false" customHeight="false" outlineLevel="0" collapsed="false">
      <c r="A82" s="2" t="s">
        <v>1774</v>
      </c>
      <c r="B82" s="8" t="s">
        <v>1775</v>
      </c>
      <c r="C82" s="8" t="s">
        <v>201</v>
      </c>
      <c r="E82" s="48" t="str">
        <f aca="false">IF(E80&gt;0,E78/E80,"")</f>
        <v/>
      </c>
      <c r="F82" s="48" t="n">
        <f aca="false">IF(F80&gt;0,F78/F80,"")</f>
        <v>0.80517503805175</v>
      </c>
      <c r="G82" s="48" t="n">
        <f aca="false">IF(G80&gt;0,G78/G80,"")</f>
        <v>1.00608828006088</v>
      </c>
      <c r="H82" s="48" t="n">
        <f aca="false">IF(H80&gt;0,H78/H80,"")</f>
        <v>0.911355145477188</v>
      </c>
      <c r="I82" s="48" t="n">
        <f aca="false">IF(I80&gt;0,I78/I80,"")</f>
        <v>0.991735537190083</v>
      </c>
      <c r="J82" s="48" t="n">
        <f aca="false">IF(J80&gt;0,J78/J80,"")</f>
        <v>0.991735537190083</v>
      </c>
      <c r="K82" s="48" t="n">
        <f aca="false">IF(K80&gt;0,K78/K80,"")</f>
        <v>0.991735537190083</v>
      </c>
      <c r="L82" s="48" t="n">
        <f aca="false">IF(L80&gt;0,L78/L80,"")</f>
        <v>0.991735537190083</v>
      </c>
      <c r="M82" s="48" t="n">
        <f aca="false">IF(M80&gt;0,M78/M80,"")</f>
        <v>0.991735537190083</v>
      </c>
      <c r="N82" s="48" t="n">
        <f aca="false">IF(N80&gt;0,N78/N80,"")</f>
        <v>0.991735537190083</v>
      </c>
      <c r="O82" s="48" t="n">
        <f aca="false">IF(O80&gt;0,O78/O80,"")</f>
        <v>0.964564700554738</v>
      </c>
      <c r="P82" s="48" t="str">
        <f aca="false">IF(P80&gt;0,P78/P80,"")</f>
        <v/>
      </c>
      <c r="Q82" s="48" t="str">
        <f aca="false">IF(Q80&gt;0,Q78/Q80,"")</f>
        <v/>
      </c>
      <c r="R82" s="48" t="str">
        <f aca="false">IF(R80&gt;0,R78/R80,"")</f>
        <v/>
      </c>
    </row>
    <row r="83" customFormat="false" ht="15" hidden="false" customHeight="false" outlineLevel="0" collapsed="false">
      <c r="A83" s="2" t="s">
        <v>1776</v>
      </c>
      <c r="B83" s="8" t="s">
        <v>1777</v>
      </c>
      <c r="C83" s="8" t="s">
        <v>825</v>
      </c>
      <c r="E83" s="13" t="n">
        <f aca="false">SUMIFS(Produccion_Ventas!$F$23:$FF$23,Calendario!$F$7:$FF$7,0)+SUMIFS(Produccion_Ventas!$F$44:$FF$44,Calendario!$F$7:$FF$7,0)</f>
        <v>0</v>
      </c>
      <c r="F83" s="13" t="n">
        <f aca="false">SUMIFS(Produccion_Ventas!$F$23:$FF$23,Calendario!$F$7:$FF$7,1)+SUMIFS(Produccion_Ventas!$F$44:$FF$44,Calendario!$F$7:$FF$7,1)</f>
        <v>0</v>
      </c>
      <c r="G83" s="13" t="n">
        <f aca="false">SUMIFS(Produccion_Ventas!$F$23:$FF$23,Calendario!$F$7:$FF$7,2)+SUMIFS(Produccion_Ventas!$F$44:$FF$44,Calendario!$F$7:$FF$7,2)</f>
        <v>0</v>
      </c>
      <c r="H83" s="13" t="n">
        <f aca="false">SUMIFS(Produccion_Ventas!$F$23:$FF$23,Calendario!$F$7:$FF$7,3)+SUMIFS(Produccion_Ventas!$F$44:$FF$44,Calendario!$F$7:$FF$7,3)</f>
        <v>0</v>
      </c>
      <c r="I83" s="13" t="n">
        <f aca="false">SUMIFS(Produccion_Ventas!$F$23:$FF$23,Calendario!$F$7:$FF$7,4)+SUMIFS(Produccion_Ventas!$F$44:$FF$44,Calendario!$F$7:$FF$7,4)</f>
        <v>0</v>
      </c>
      <c r="J83" s="13" t="n">
        <f aca="false">SUMIFS(Produccion_Ventas!$F$23:$FF$23,Calendario!$F$7:$FF$7,5)+SUMIFS(Produccion_Ventas!$F$44:$FF$44,Calendario!$F$7:$FF$7,5)</f>
        <v>0</v>
      </c>
      <c r="K83" s="13" t="n">
        <f aca="false">SUMIFS(Produccion_Ventas!$F$23:$FF$23,Calendario!$F$7:$FF$7,6)+SUMIFS(Produccion_Ventas!$F$44:$FF$44,Calendario!$F$7:$FF$7,6)</f>
        <v>0</v>
      </c>
      <c r="L83" s="13" t="n">
        <f aca="false">SUMIFS(Produccion_Ventas!$F$23:$FF$23,Calendario!$F$7:$FF$7,7)+SUMIFS(Produccion_Ventas!$F$44:$FF$44,Calendario!$F$7:$FF$7,7)</f>
        <v>0</v>
      </c>
      <c r="M83" s="13" t="n">
        <f aca="false">SUMIFS(Produccion_Ventas!$F$23:$FF$23,Calendario!$F$7:$FF$7,8)+SUMIFS(Produccion_Ventas!$F$44:$FF$44,Calendario!$F$7:$FF$7,8)</f>
        <v>0</v>
      </c>
      <c r="N83" s="13" t="n">
        <f aca="false">SUMIFS(Produccion_Ventas!$F$23:$FF$23,Calendario!$F$7:$FF$7,9)+SUMIFS(Produccion_Ventas!$F$44:$FF$44,Calendario!$F$7:$FF$7,9)</f>
        <v>0</v>
      </c>
      <c r="O83" s="13" t="n">
        <f aca="false">SUMIFS(Produccion_Ventas!$F$23:$FF$23,Calendario!$F$7:$FF$7,10)+SUMIFS(Produccion_Ventas!$F$44:$FF$44,Calendario!$F$7:$FF$7,10)</f>
        <v>0</v>
      </c>
      <c r="P83" s="13" t="n">
        <f aca="false">SUMIFS(Produccion_Ventas!$F$23:$FF$23,Calendario!$F$7:$FF$7,11)+SUMIFS(Produccion_Ventas!$F$44:$FF$44,Calendario!$F$7:$FF$7,11)</f>
        <v>0</v>
      </c>
      <c r="Q83" s="13" t="n">
        <f aca="false">SUMIFS(Produccion_Ventas!$F$23:$FF$23,Calendario!$F$7:$FF$7,12)+SUMIFS(Produccion_Ventas!$F$44:$FF$44,Calendario!$F$7:$FF$7,12)</f>
        <v>0</v>
      </c>
      <c r="R83" s="13" t="n">
        <f aca="false">SUMIFS(Produccion_Ventas!$F$23:$FF$23,Calendario!$F$7:$FF$7,13)+SUMIFS(Produccion_Ventas!$F$44:$FF$44,Calendario!$F$7:$FF$7,13)</f>
        <v>0</v>
      </c>
    </row>
    <row r="84" customFormat="false" ht="15" hidden="false" customHeight="false" outlineLevel="0" collapsed="false">
      <c r="A84" s="2" t="s">
        <v>1778</v>
      </c>
      <c r="B84" s="8" t="s">
        <v>1779</v>
      </c>
      <c r="C84" s="8" t="s">
        <v>168</v>
      </c>
      <c r="D84" s="80" t="n">
        <f aca="false">SUM(E84:R84)</f>
        <v>2</v>
      </c>
      <c r="E84" s="31" t="n">
        <f aca="false">SUMIFS(Produccion_Ventas!$F$60:$FF$60,Calendario!$F$7:$FF$7,0)</f>
        <v>0</v>
      </c>
      <c r="F84" s="31" t="n">
        <f aca="false">SUMIFS(Produccion_Ventas!$F$60:$FF$60,Calendario!$F$7:$FF$7,1)</f>
        <v>1</v>
      </c>
      <c r="G84" s="31" t="n">
        <f aca="false">SUMIFS(Produccion_Ventas!$F$60:$FF$60,Calendario!$F$7:$FF$7,2)</f>
        <v>1</v>
      </c>
      <c r="H84" s="31" t="n">
        <f aca="false">SUMIFS(Produccion_Ventas!$F$60:$FF$60,Calendario!$F$7:$FF$7,3)</f>
        <v>0</v>
      </c>
      <c r="I84" s="31" t="n">
        <f aca="false">SUMIFS(Produccion_Ventas!$F$60:$FF$60,Calendario!$F$7:$FF$7,4)</f>
        <v>0</v>
      </c>
      <c r="J84" s="31" t="n">
        <f aca="false">SUMIFS(Produccion_Ventas!$F$60:$FF$60,Calendario!$F$7:$FF$7,5)</f>
        <v>0</v>
      </c>
      <c r="K84" s="31" t="n">
        <f aca="false">SUMIFS(Produccion_Ventas!$F$60:$FF$60,Calendario!$F$7:$FF$7,6)</f>
        <v>0</v>
      </c>
      <c r="L84" s="31" t="n">
        <f aca="false">SUMIFS(Produccion_Ventas!$F$60:$FF$60,Calendario!$F$7:$FF$7,7)</f>
        <v>0</v>
      </c>
      <c r="M84" s="31" t="n">
        <f aca="false">SUMIFS(Produccion_Ventas!$F$60:$FF$60,Calendario!$F$7:$FF$7,8)</f>
        <v>0</v>
      </c>
      <c r="N84" s="31" t="n">
        <f aca="false">SUMIFS(Produccion_Ventas!$F$60:$FF$60,Calendario!$F$7:$FF$7,9)</f>
        <v>0</v>
      </c>
      <c r="O84" s="31" t="n">
        <f aca="false">SUMIFS(Produccion_Ventas!$F$60:$FF$60,Calendario!$F$7:$FF$7,10)</f>
        <v>0</v>
      </c>
      <c r="P84" s="31" t="n">
        <f aca="false">SUMIFS(Produccion_Ventas!$F$60:$FF$60,Calendario!$F$7:$FF$7,11)</f>
        <v>0</v>
      </c>
      <c r="Q84" s="31" t="n">
        <f aca="false">SUMIFS(Produccion_Ventas!$F$60:$FF$60,Calendario!$F$7:$FF$7,12)</f>
        <v>0</v>
      </c>
      <c r="R84" s="31" t="n">
        <f aca="false">SUMIFS(Produccion_Ventas!$F$60:$FF$60,Calendario!$F$7:$FF$7,13)</f>
        <v>0</v>
      </c>
    </row>
    <row r="85" customFormat="false" ht="15" hidden="false" customHeight="false" outlineLevel="0" collapsed="false">
      <c r="A85" s="3" t="s">
        <v>1447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customFormat="false" ht="15" hidden="false" customHeight="false" outlineLevel="0" collapsed="false">
      <c r="A86" s="2" t="s">
        <v>1454</v>
      </c>
      <c r="B86" s="66" t="s">
        <v>1780</v>
      </c>
      <c r="C86" s="8" t="s">
        <v>255</v>
      </c>
      <c r="D86" s="67" t="n">
        <f aca="false">SUM(E86:R86)</f>
        <v>81222447.7216454</v>
      </c>
      <c r="E86" s="12" t="n">
        <f aca="false">SUMIFS(Resultados_Caja!$F$14:$FF$14,Calendario!$F$7:$FF$7,0)</f>
        <v>0</v>
      </c>
      <c r="F86" s="12" t="n">
        <f aca="false">SUMIFS(Resultados_Caja!$F$14:$FF$14,Calendario!$F$7:$FF$7,1)</f>
        <v>4850000</v>
      </c>
      <c r="G86" s="12" t="n">
        <f aca="false">SUMIFS(Resultados_Caja!$F$14:$FF$14,Calendario!$F$7:$FF$7,2)</f>
        <v>6181200</v>
      </c>
      <c r="H86" s="12" t="n">
        <f aca="false">SUMIFS(Resultados_Caja!$F$14:$FF$14,Calendario!$F$7:$FF$7,3)</f>
        <v>7538539</v>
      </c>
      <c r="I86" s="12" t="n">
        <f aca="false">SUMIFS(Resultados_Caja!$F$14:$FF$14,Calendario!$F$7:$FF$7,4)</f>
        <v>8685437.43</v>
      </c>
      <c r="J86" s="12" t="n">
        <f aca="false">SUMIFS(Resultados_Caja!$F$14:$FF$14,Calendario!$F$7:$FF$7,5)</f>
        <v>8772291.8043</v>
      </c>
      <c r="K86" s="12" t="n">
        <f aca="false">SUMIFS(Resultados_Caja!$F$14:$FF$14,Calendario!$F$7:$FF$7,6)</f>
        <v>8860014.722343</v>
      </c>
      <c r="L86" s="12" t="n">
        <f aca="false">SUMIFS(Resultados_Caja!$F$14:$FF$14,Calendario!$F$7:$FF$7,7)</f>
        <v>8948614.86956643</v>
      </c>
      <c r="M86" s="12" t="n">
        <f aca="false">SUMIFS(Resultados_Caja!$F$14:$FF$14,Calendario!$F$7:$FF$7,8)</f>
        <v>9038101.01826209</v>
      </c>
      <c r="N86" s="12" t="n">
        <f aca="false">SUMIFS(Resultados_Caja!$F$14:$FF$14,Calendario!$F$7:$FF$7,9)</f>
        <v>9128482.02844472</v>
      </c>
      <c r="O86" s="12" t="n">
        <f aca="false">SUMIFS(Resultados_Caja!$F$14:$FF$14,Calendario!$F$7:$FF$7,10)</f>
        <v>9219766.84872916</v>
      </c>
      <c r="P86" s="12" t="n">
        <f aca="false">SUMIFS(Resultados_Caja!$F$14:$FF$14,Calendario!$F$7:$FF$7,11)</f>
        <v>0</v>
      </c>
      <c r="Q86" s="12" t="n">
        <f aca="false">SUMIFS(Resultados_Caja!$F$14:$FF$14,Calendario!$F$7:$FF$7,12)</f>
        <v>0</v>
      </c>
      <c r="R86" s="12" t="n">
        <f aca="false">SUMIFS(Resultados_Caja!$F$14:$FF$14,Calendario!$F$7:$FF$7,13)</f>
        <v>0</v>
      </c>
    </row>
    <row r="87" customFormat="false" ht="15" hidden="false" customHeight="false" outlineLevel="0" collapsed="false">
      <c r="A87" s="2" t="s">
        <v>1448</v>
      </c>
      <c r="B87" s="8" t="s">
        <v>1781</v>
      </c>
      <c r="C87" s="8" t="s">
        <v>255</v>
      </c>
      <c r="D87" s="67" t="n">
        <f aca="false">SUM(E87:R87)</f>
        <v>54428264.108153</v>
      </c>
      <c r="E87" s="13" t="n">
        <f aca="false">SUMIFS(Resultados_Caja!$F$11:$FF$11,Calendario!$F$7:$FF$7,0)</f>
        <v>0</v>
      </c>
      <c r="F87" s="13" t="n">
        <f aca="false">SUMIFS(Resultados_Caja!$F$11:$FF$11,Calendario!$F$7:$FF$7,1)</f>
        <v>3240000</v>
      </c>
      <c r="G87" s="13" t="n">
        <f aca="false">SUMIFS(Resultados_Caja!$F$11:$FF$11,Calendario!$F$7:$FF$7,2)</f>
        <v>4090500</v>
      </c>
      <c r="H87" s="13" t="n">
        <f aca="false">SUMIFS(Resultados_Caja!$F$11:$FF$11,Calendario!$F$7:$FF$7,3)</f>
        <v>4957686</v>
      </c>
      <c r="I87" s="13" t="n">
        <f aca="false">SUMIFS(Resultados_Caja!$F$11:$FF$11,Calendario!$F$7:$FF$7,4)</f>
        <v>5841806.67</v>
      </c>
      <c r="J87" s="13" t="n">
        <f aca="false">SUMIFS(Resultados_Caja!$F$11:$FF$11,Calendario!$F$7:$FF$7,5)</f>
        <v>5900224.7367</v>
      </c>
      <c r="K87" s="13" t="n">
        <f aca="false">SUMIFS(Resultados_Caja!$F$11:$FF$11,Calendario!$F$7:$FF$7,6)</f>
        <v>5959226.984067</v>
      </c>
      <c r="L87" s="13" t="n">
        <f aca="false">SUMIFS(Resultados_Caja!$F$11:$FF$11,Calendario!$F$7:$FF$7,7)</f>
        <v>6018819.25390767</v>
      </c>
      <c r="M87" s="13" t="n">
        <f aca="false">SUMIFS(Resultados_Caja!$F$11:$FF$11,Calendario!$F$7:$FF$7,8)</f>
        <v>6079007.44644675</v>
      </c>
      <c r="N87" s="13" t="n">
        <f aca="false">SUMIFS(Resultados_Caja!$F$11:$FF$11,Calendario!$F$7:$FF$7,9)</f>
        <v>6139797.52091121</v>
      </c>
      <c r="O87" s="13" t="n">
        <f aca="false">SUMIFS(Resultados_Caja!$F$11:$FF$11,Calendario!$F$7:$FF$7,10)</f>
        <v>6201195.49612033</v>
      </c>
      <c r="P87" s="13" t="n">
        <f aca="false">SUMIFS(Resultados_Caja!$F$11:$FF$11,Calendario!$F$7:$FF$7,11)</f>
        <v>0</v>
      </c>
      <c r="Q87" s="13" t="n">
        <f aca="false">SUMIFS(Resultados_Caja!$F$11:$FF$11,Calendario!$F$7:$FF$7,12)</f>
        <v>0</v>
      </c>
      <c r="R87" s="13" t="n">
        <f aca="false">SUMIFS(Resultados_Caja!$F$11:$FF$11,Calendario!$F$7:$FF$7,13)</f>
        <v>0</v>
      </c>
    </row>
    <row r="88" customFormat="false" ht="15" hidden="false" customHeight="false" outlineLevel="0" collapsed="false">
      <c r="A88" s="2" t="s">
        <v>1450</v>
      </c>
      <c r="B88" s="8" t="s">
        <v>1782</v>
      </c>
      <c r="C88" s="8" t="s">
        <v>255</v>
      </c>
      <c r="D88" s="67" t="n">
        <f aca="false">SUM(E88:R88)</f>
        <v>26794183.6134924</v>
      </c>
      <c r="E88" s="13" t="n">
        <f aca="false">SUMIFS(Resultados_Caja!$F$12:$FF$12,Calendario!$F$7:$FF$7,0)</f>
        <v>0</v>
      </c>
      <c r="F88" s="13" t="n">
        <f aca="false">SUMIFS(Resultados_Caja!$F$12:$FF$12,Calendario!$F$7:$FF$7,1)</f>
        <v>1610000</v>
      </c>
      <c r="G88" s="13" t="n">
        <f aca="false">SUMIFS(Resultados_Caja!$F$12:$FF$12,Calendario!$F$7:$FF$7,2)</f>
        <v>2090700</v>
      </c>
      <c r="H88" s="13" t="n">
        <f aca="false">SUMIFS(Resultados_Caja!$F$12:$FF$12,Calendario!$F$7:$FF$7,3)</f>
        <v>2580853</v>
      </c>
      <c r="I88" s="13" t="n">
        <f aca="false">SUMIFS(Resultados_Caja!$F$12:$FF$12,Calendario!$F$7:$FF$7,4)</f>
        <v>2843630.76</v>
      </c>
      <c r="J88" s="13" t="n">
        <f aca="false">SUMIFS(Resultados_Caja!$F$12:$FF$12,Calendario!$F$7:$FF$7,5)</f>
        <v>2872067.0676</v>
      </c>
      <c r="K88" s="13" t="n">
        <f aca="false">SUMIFS(Resultados_Caja!$F$12:$FF$12,Calendario!$F$7:$FF$7,6)</f>
        <v>2900787.738276</v>
      </c>
      <c r="L88" s="13" t="n">
        <f aca="false">SUMIFS(Resultados_Caja!$F$12:$FF$12,Calendario!$F$7:$FF$7,7)</f>
        <v>2929795.61565876</v>
      </c>
      <c r="M88" s="13" t="n">
        <f aca="false">SUMIFS(Resultados_Caja!$F$12:$FF$12,Calendario!$F$7:$FF$7,8)</f>
        <v>2959093.57181535</v>
      </c>
      <c r="N88" s="13" t="n">
        <f aca="false">SUMIFS(Resultados_Caja!$F$12:$FF$12,Calendario!$F$7:$FF$7,9)</f>
        <v>2988684.5075335</v>
      </c>
      <c r="O88" s="13" t="n">
        <f aca="false">SUMIFS(Resultados_Caja!$F$12:$FF$12,Calendario!$F$7:$FF$7,10)</f>
        <v>3018571.35260884</v>
      </c>
      <c r="P88" s="13" t="n">
        <f aca="false">SUMIFS(Resultados_Caja!$F$12:$FF$12,Calendario!$F$7:$FF$7,11)</f>
        <v>0</v>
      </c>
      <c r="Q88" s="13" t="n">
        <f aca="false">SUMIFS(Resultados_Caja!$F$12:$FF$12,Calendario!$F$7:$FF$7,12)</f>
        <v>0</v>
      </c>
      <c r="R88" s="13" t="n">
        <f aca="false">SUMIFS(Resultados_Caja!$F$12:$FF$12,Calendario!$F$7:$FF$7,13)</f>
        <v>0</v>
      </c>
    </row>
    <row r="89" customFormat="false" ht="15" hidden="false" customHeight="false" outlineLevel="0" collapsed="false">
      <c r="A89" s="2" t="s">
        <v>1475</v>
      </c>
      <c r="B89" s="8" t="s">
        <v>1783</v>
      </c>
      <c r="C89" s="8" t="s">
        <v>255</v>
      </c>
      <c r="D89" s="67" t="n">
        <f aca="false">SUM(E89:R89)</f>
        <v>59791708.5421642</v>
      </c>
      <c r="E89" s="13" t="n">
        <f aca="false">SUMIFS(Resultados_Caja!$F$26:$FF$26,Calendario!$F$7:$FF$7,0)</f>
        <v>0</v>
      </c>
      <c r="F89" s="13" t="n">
        <f aca="false">SUMIFS(Resultados_Caja!$F$26:$FF$26,Calendario!$F$7:$FF$7,1)</f>
        <v>3879143.90953493</v>
      </c>
      <c r="G89" s="13" t="n">
        <f aca="false">SUMIFS(Resultados_Caja!$F$26:$FF$26,Calendario!$F$7:$FF$7,2)</f>
        <v>4751289.12777737</v>
      </c>
      <c r="H89" s="13" t="n">
        <f aca="false">SUMIFS(Resultados_Caja!$F$26:$FF$26,Calendario!$F$7:$FF$7,3)</f>
        <v>5646906.28473002</v>
      </c>
      <c r="I89" s="13" t="n">
        <f aca="false">SUMIFS(Resultados_Caja!$F$26:$FF$26,Calendario!$F$7:$FF$7,4)</f>
        <v>6380982.983477</v>
      </c>
      <c r="J89" s="13" t="n">
        <f aca="false">SUMIFS(Resultados_Caja!$F$26:$FF$26,Calendario!$F$7:$FF$7,5)</f>
        <v>6442053.47822146</v>
      </c>
      <c r="K89" s="13" t="n">
        <f aca="false">SUMIFS(Resultados_Caja!$F$26:$FF$26,Calendario!$F$7:$FF$7,6)</f>
        <v>6473358.9461325</v>
      </c>
      <c r="L89" s="13" t="n">
        <f aca="false">SUMIFS(Resultados_Caja!$F$26:$FF$26,Calendario!$F$7:$FF$7,7)</f>
        <v>6504104.94296846</v>
      </c>
      <c r="M89" s="13" t="n">
        <f aca="false">SUMIFS(Resultados_Caja!$F$26:$FF$26,Calendario!$F$7:$FF$7,8)</f>
        <v>6535152.16109279</v>
      </c>
      <c r="N89" s="13" t="n">
        <f aca="false">SUMIFS(Resultados_Caja!$F$26:$FF$26,Calendario!$F$7:$FF$7,9)</f>
        <v>6566503.61271836</v>
      </c>
      <c r="O89" s="13" t="n">
        <f aca="false">SUMIFS(Resultados_Caja!$F$26:$FF$26,Calendario!$F$7:$FF$7,10)</f>
        <v>6612213.09551135</v>
      </c>
      <c r="P89" s="13" t="n">
        <f aca="false">SUMIFS(Resultados_Caja!$F$26:$FF$26,Calendario!$F$7:$FF$7,11)</f>
        <v>0</v>
      </c>
      <c r="Q89" s="13" t="n">
        <f aca="false">SUMIFS(Resultados_Caja!$F$26:$FF$26,Calendario!$F$7:$FF$7,12)</f>
        <v>0</v>
      </c>
      <c r="R89" s="13" t="n">
        <f aca="false">SUMIFS(Resultados_Caja!$F$26:$FF$26,Calendario!$F$7:$FF$7,13)</f>
        <v>0</v>
      </c>
    </row>
    <row r="90" customFormat="false" ht="15" hidden="false" customHeight="false" outlineLevel="0" collapsed="false">
      <c r="A90" s="2" t="s">
        <v>1477</v>
      </c>
      <c r="B90" s="66" t="s">
        <v>1784</v>
      </c>
      <c r="C90" s="8" t="s">
        <v>255</v>
      </c>
      <c r="D90" s="67" t="n">
        <f aca="false">SUM(E90:R90)</f>
        <v>21430739.1794812</v>
      </c>
      <c r="E90" s="12" t="n">
        <f aca="false">SUMIFS(Resultados_Caja!$F$27:$FF$27,Calendario!$F$7:$FF$7,0)</f>
        <v>0</v>
      </c>
      <c r="F90" s="12" t="n">
        <f aca="false">SUMIFS(Resultados_Caja!$F$27:$FF$27,Calendario!$F$7:$FF$7,1)</f>
        <v>970856.09046507</v>
      </c>
      <c r="G90" s="12" t="n">
        <f aca="false">SUMIFS(Resultados_Caja!$F$27:$FF$27,Calendario!$F$7:$FF$7,2)</f>
        <v>1429910.87222264</v>
      </c>
      <c r="H90" s="12" t="n">
        <f aca="false">SUMIFS(Resultados_Caja!$F$27:$FF$27,Calendario!$F$7:$FF$7,3)</f>
        <v>1891632.71526998</v>
      </c>
      <c r="I90" s="12" t="n">
        <f aca="false">SUMIFS(Resultados_Caja!$F$27:$FF$27,Calendario!$F$7:$FF$7,4)</f>
        <v>2304454.44652301</v>
      </c>
      <c r="J90" s="12" t="n">
        <f aca="false">SUMIFS(Resultados_Caja!$F$27:$FF$27,Calendario!$F$7:$FF$7,5)</f>
        <v>2330238.32607854</v>
      </c>
      <c r="K90" s="12" t="n">
        <f aca="false">SUMIFS(Resultados_Caja!$F$27:$FF$27,Calendario!$F$7:$FF$7,6)</f>
        <v>2386655.77621051</v>
      </c>
      <c r="L90" s="12" t="n">
        <f aca="false">SUMIFS(Resultados_Caja!$F$27:$FF$27,Calendario!$F$7:$FF$7,7)</f>
        <v>2444509.92659797</v>
      </c>
      <c r="M90" s="12" t="n">
        <f aca="false">SUMIFS(Resultados_Caja!$F$27:$FF$27,Calendario!$F$7:$FF$7,8)</f>
        <v>2502948.85716931</v>
      </c>
      <c r="N90" s="12" t="n">
        <f aca="false">SUMIFS(Resultados_Caja!$F$27:$FF$27,Calendario!$F$7:$FF$7,9)</f>
        <v>2561978.41572636</v>
      </c>
      <c r="O90" s="12" t="n">
        <f aca="false">SUMIFS(Resultados_Caja!$F$27:$FF$27,Calendario!$F$7:$FF$7,10)</f>
        <v>2607553.75321782</v>
      </c>
      <c r="P90" s="12" t="n">
        <f aca="false">SUMIFS(Resultados_Caja!$F$27:$FF$27,Calendario!$F$7:$FF$7,11)</f>
        <v>0</v>
      </c>
      <c r="Q90" s="12" t="n">
        <f aca="false">SUMIFS(Resultados_Caja!$F$27:$FF$27,Calendario!$F$7:$FF$7,12)</f>
        <v>0</v>
      </c>
      <c r="R90" s="12" t="n">
        <f aca="false">SUMIFS(Resultados_Caja!$F$27:$FF$27,Calendario!$F$7:$FF$7,13)</f>
        <v>0</v>
      </c>
    </row>
    <row r="91" customFormat="false" ht="15" hidden="false" customHeight="false" outlineLevel="0" collapsed="false">
      <c r="A91" s="2" t="s">
        <v>1785</v>
      </c>
      <c r="B91" s="8" t="s">
        <v>1786</v>
      </c>
      <c r="C91" s="8" t="s">
        <v>201</v>
      </c>
      <c r="E91" s="48" t="str">
        <f aca="false">IF(E86&lt;&gt;0,E90/E86,"")</f>
        <v/>
      </c>
      <c r="F91" s="48" t="n">
        <f aca="false">IF(F86&lt;&gt;0,F90/F86,"")</f>
        <v>0.200176513497953</v>
      </c>
      <c r="G91" s="48" t="n">
        <f aca="false">IF(G86&lt;&gt;0,G90/G86,"")</f>
        <v>0.231332244907564</v>
      </c>
      <c r="H91" s="48" t="n">
        <f aca="false">IF(H86&lt;&gt;0,H90/H86,"")</f>
        <v>0.250928291976732</v>
      </c>
      <c r="I91" s="48" t="n">
        <f aca="false">IF(I86&lt;&gt;0,I90/I86,"")</f>
        <v>0.265323936197305</v>
      </c>
      <c r="J91" s="48" t="n">
        <f aca="false">IF(J86&lt;&gt;0,J90/J86,"")</f>
        <v>0.265636207511508</v>
      </c>
      <c r="K91" s="48" t="n">
        <f aca="false">IF(K86&lt;&gt;0,K90/K86,"")</f>
        <v>0.269373793498547</v>
      </c>
      <c r="L91" s="48" t="n">
        <f aca="false">IF(L86&lt;&gt;0,L90/L86,"")</f>
        <v>0.273171877684843</v>
      </c>
      <c r="M91" s="48" t="n">
        <f aca="false">IF(M86&lt;&gt;0,M90/M86,"")</f>
        <v>0.276933047341685</v>
      </c>
      <c r="N91" s="48" t="n">
        <f aca="false">IF(N86&lt;&gt;0,N90/N86,"")</f>
        <v>0.280657661125161</v>
      </c>
      <c r="O91" s="48" t="n">
        <f aca="false">IF(O86&lt;&gt;0,O90/O86,"")</f>
        <v>0.282822092575718</v>
      </c>
      <c r="P91" s="48" t="str">
        <f aca="false">IF(P86&lt;&gt;0,P90/P86,"")</f>
        <v/>
      </c>
      <c r="Q91" s="48" t="str">
        <f aca="false">IF(Q86&lt;&gt;0,Q90/Q86,"")</f>
        <v/>
      </c>
      <c r="R91" s="48" t="str">
        <f aca="false">IF(R86&lt;&gt;0,R90/R86,"")</f>
        <v/>
      </c>
    </row>
    <row r="92" customFormat="false" ht="15" hidden="false" customHeight="false" outlineLevel="0" collapsed="false">
      <c r="A92" s="2" t="s">
        <v>1484</v>
      </c>
      <c r="B92" s="8" t="s">
        <v>1787</v>
      </c>
      <c r="C92" s="8" t="s">
        <v>255</v>
      </c>
      <c r="D92" s="67" t="n">
        <f aca="false">SUM(E92:R92)</f>
        <v>893446.9249381</v>
      </c>
      <c r="E92" s="13" t="n">
        <f aca="false">SUMIFS(Resultados_Caja!$F$32:$FF$32,Calendario!$F$7:$FF$7,0)</f>
        <v>0</v>
      </c>
      <c r="F92" s="13" t="n">
        <f aca="false">SUMIFS(Resultados_Caja!$F$32:$FF$32,Calendario!$F$7:$FF$7,1)</f>
        <v>53350</v>
      </c>
      <c r="G92" s="13" t="n">
        <f aca="false">SUMIFS(Resultados_Caja!$F$32:$FF$32,Calendario!$F$7:$FF$7,2)</f>
        <v>67993.2</v>
      </c>
      <c r="H92" s="13" t="n">
        <f aca="false">SUMIFS(Resultados_Caja!$F$32:$FF$32,Calendario!$F$7:$FF$7,3)</f>
        <v>82923.929</v>
      </c>
      <c r="I92" s="13" t="n">
        <f aca="false">SUMIFS(Resultados_Caja!$F$32:$FF$32,Calendario!$F$7:$FF$7,4)</f>
        <v>95539.81173</v>
      </c>
      <c r="J92" s="13" t="n">
        <f aca="false">SUMIFS(Resultados_Caja!$F$32:$FF$32,Calendario!$F$7:$FF$7,5)</f>
        <v>96495.2098473</v>
      </c>
      <c r="K92" s="13" t="n">
        <f aca="false">SUMIFS(Resultados_Caja!$F$32:$FF$32,Calendario!$F$7:$FF$7,6)</f>
        <v>97460.161945773</v>
      </c>
      <c r="L92" s="13" t="n">
        <f aca="false">SUMIFS(Resultados_Caja!$F$32:$FF$32,Calendario!$F$7:$FF$7,7)</f>
        <v>98434.7635652308</v>
      </c>
      <c r="M92" s="13" t="n">
        <f aca="false">SUMIFS(Resultados_Caja!$F$32:$FF$32,Calendario!$F$7:$FF$7,8)</f>
        <v>99419.111200883</v>
      </c>
      <c r="N92" s="13" t="n">
        <f aca="false">SUMIFS(Resultados_Caja!$F$32:$FF$32,Calendario!$F$7:$FF$7,9)</f>
        <v>100413.302312892</v>
      </c>
      <c r="O92" s="13" t="n">
        <f aca="false">SUMIFS(Resultados_Caja!$F$32:$FF$32,Calendario!$F$7:$FF$7,10)</f>
        <v>101417.435336021</v>
      </c>
      <c r="P92" s="13" t="n">
        <f aca="false">SUMIFS(Resultados_Caja!$F$32:$FF$32,Calendario!$F$7:$FF$7,11)</f>
        <v>0</v>
      </c>
      <c r="Q92" s="13" t="n">
        <f aca="false">SUMIFS(Resultados_Caja!$F$32:$FF$32,Calendario!$F$7:$FF$7,12)</f>
        <v>0</v>
      </c>
      <c r="R92" s="13" t="n">
        <f aca="false">SUMIFS(Resultados_Caja!$F$32:$FF$32,Calendario!$F$7:$FF$7,13)</f>
        <v>0</v>
      </c>
    </row>
    <row r="93" customFormat="false" ht="15" hidden="false" customHeight="false" outlineLevel="0" collapsed="false">
      <c r="A93" s="2" t="s">
        <v>1485</v>
      </c>
      <c r="B93" s="8" t="s">
        <v>1788</v>
      </c>
      <c r="C93" s="8" t="s">
        <v>255</v>
      </c>
      <c r="D93" s="67" t="n">
        <f aca="false">SUM(E93:R93)</f>
        <v>4219192.39510538</v>
      </c>
      <c r="E93" s="13" t="n">
        <f aca="false">SUMIFS(Resultados_Caja!$F$33:$FF$33,Calendario!$F$7:$FF$7,0)</f>
        <v>0</v>
      </c>
      <c r="F93" s="13" t="n">
        <f aca="false">SUMIFS(Resultados_Caja!$F$33:$FF$33,Calendario!$F$7:$FF$7,1)</f>
        <v>390687.667176173</v>
      </c>
      <c r="G93" s="13" t="n">
        <f aca="false">SUMIFS(Resultados_Caja!$F$33:$FF$33,Calendario!$F$7:$FF$7,2)</f>
        <v>397088.107176173</v>
      </c>
      <c r="H93" s="13" t="n">
        <f aca="false">SUMIFS(Resultados_Caja!$F$33:$FF$33,Calendario!$F$7:$FF$7,3)</f>
        <v>403680.560376173</v>
      </c>
      <c r="I93" s="13" t="n">
        <f aca="false">SUMIFS(Resultados_Caja!$F$33:$FF$33,Calendario!$F$7:$FF$7,4)</f>
        <v>410470.787172173</v>
      </c>
      <c r="J93" s="13" t="n">
        <f aca="false">SUMIFS(Resultados_Caja!$F$33:$FF$33,Calendario!$F$7:$FF$7,5)</f>
        <v>417464.720772053</v>
      </c>
      <c r="K93" s="13" t="n">
        <f aca="false">SUMIFS(Resultados_Caja!$F$33:$FF$33,Calendario!$F$7:$FF$7,6)</f>
        <v>424668.472379929</v>
      </c>
      <c r="L93" s="13" t="n">
        <f aca="false">SUMIFS(Resultados_Caja!$F$33:$FF$33,Calendario!$F$7:$FF$7,7)</f>
        <v>432088.336536042</v>
      </c>
      <c r="M93" s="13" t="n">
        <f aca="false">SUMIFS(Resultados_Caja!$F$33:$FF$33,Calendario!$F$7:$FF$7,8)</f>
        <v>439730.796616838</v>
      </c>
      <c r="N93" s="13" t="n">
        <f aca="false">SUMIFS(Resultados_Caja!$F$33:$FF$33,Calendario!$F$7:$FF$7,9)</f>
        <v>447602.530500058</v>
      </c>
      <c r="O93" s="13" t="n">
        <f aca="false">SUMIFS(Resultados_Caja!$F$33:$FF$33,Calendario!$F$7:$FF$7,10)</f>
        <v>455710.416399774</v>
      </c>
      <c r="P93" s="13" t="n">
        <f aca="false">SUMIFS(Resultados_Caja!$F$33:$FF$33,Calendario!$F$7:$FF$7,11)</f>
        <v>0</v>
      </c>
      <c r="Q93" s="13" t="n">
        <f aca="false">SUMIFS(Resultados_Caja!$F$33:$FF$33,Calendario!$F$7:$FF$7,12)</f>
        <v>0</v>
      </c>
      <c r="R93" s="13" t="n">
        <f aca="false">SUMIFS(Resultados_Caja!$F$33:$FF$33,Calendario!$F$7:$FF$7,13)</f>
        <v>0</v>
      </c>
    </row>
    <row r="94" customFormat="false" ht="15" hidden="false" customHeight="false" outlineLevel="0" collapsed="false">
      <c r="A94" s="2" t="s">
        <v>1789</v>
      </c>
      <c r="B94" s="8" t="s">
        <v>1119</v>
      </c>
      <c r="C94" s="8" t="s">
        <v>255</v>
      </c>
      <c r="D94" s="67" t="n">
        <f aca="false">SUM(E94:R94)</f>
        <v>0</v>
      </c>
      <c r="E94" s="13" t="n">
        <f aca="false">SUMIFS(Resultados_Caja!$F$35:$FF$35,Calendario!$F$7:$FF$7,0)</f>
        <v>0</v>
      </c>
      <c r="F94" s="13" t="n">
        <f aca="false">SUMIFS(Resultados_Caja!$F$35:$FF$35,Calendario!$F$7:$FF$7,1)</f>
        <v>0</v>
      </c>
      <c r="G94" s="13" t="n">
        <f aca="false">SUMIFS(Resultados_Caja!$F$35:$FF$35,Calendario!$F$7:$FF$7,2)</f>
        <v>0</v>
      </c>
      <c r="H94" s="13" t="n">
        <f aca="false">SUMIFS(Resultados_Caja!$F$35:$FF$35,Calendario!$F$7:$FF$7,3)</f>
        <v>0</v>
      </c>
      <c r="I94" s="13" t="n">
        <f aca="false">SUMIFS(Resultados_Caja!$F$35:$FF$35,Calendario!$F$7:$FF$7,4)</f>
        <v>0</v>
      </c>
      <c r="J94" s="13" t="n">
        <f aca="false">SUMIFS(Resultados_Caja!$F$35:$FF$35,Calendario!$F$7:$FF$7,5)</f>
        <v>0</v>
      </c>
      <c r="K94" s="13" t="n">
        <f aca="false">SUMIFS(Resultados_Caja!$F$35:$FF$35,Calendario!$F$7:$FF$7,6)</f>
        <v>0</v>
      </c>
      <c r="L94" s="13" t="n">
        <f aca="false">SUMIFS(Resultados_Caja!$F$35:$FF$35,Calendario!$F$7:$FF$7,7)</f>
        <v>0</v>
      </c>
      <c r="M94" s="13" t="n">
        <f aca="false">SUMIFS(Resultados_Caja!$F$35:$FF$35,Calendario!$F$7:$FF$7,8)</f>
        <v>0</v>
      </c>
      <c r="N94" s="13" t="n">
        <f aca="false">SUMIFS(Resultados_Caja!$F$35:$FF$35,Calendario!$F$7:$FF$7,9)</f>
        <v>0</v>
      </c>
      <c r="O94" s="13" t="n">
        <f aca="false">SUMIFS(Resultados_Caja!$F$35:$FF$35,Calendario!$F$7:$FF$7,10)</f>
        <v>0</v>
      </c>
      <c r="P94" s="13" t="n">
        <f aca="false">SUMIFS(Resultados_Caja!$F$35:$FF$35,Calendario!$F$7:$FF$7,11)</f>
        <v>0</v>
      </c>
      <c r="Q94" s="13" t="n">
        <f aca="false">SUMIFS(Resultados_Caja!$F$35:$FF$35,Calendario!$F$7:$FF$7,12)</f>
        <v>0</v>
      </c>
      <c r="R94" s="13" t="n">
        <f aca="false">SUMIFS(Resultados_Caja!$F$35:$FF$35,Calendario!$F$7:$FF$7,13)</f>
        <v>0</v>
      </c>
    </row>
    <row r="95" customFormat="false" ht="15" hidden="false" customHeight="false" outlineLevel="0" collapsed="false">
      <c r="A95" s="2" t="s">
        <v>1790</v>
      </c>
      <c r="B95" s="8" t="s">
        <v>1791</v>
      </c>
      <c r="C95" s="8" t="s">
        <v>255</v>
      </c>
      <c r="D95" s="67" t="n">
        <f aca="false">SUM(E95:R95)</f>
        <v>0</v>
      </c>
      <c r="E95" s="13" t="n">
        <f aca="false">SUMIFS(Resultados_Caja!$F$36:$FF$36,Calendario!$F$7:$FF$7,0)</f>
        <v>0</v>
      </c>
      <c r="F95" s="13" t="n">
        <f aca="false">SUMIFS(Resultados_Caja!$F$36:$FF$36,Calendario!$F$7:$FF$7,1)</f>
        <v>0</v>
      </c>
      <c r="G95" s="13" t="n">
        <f aca="false">SUMIFS(Resultados_Caja!$F$36:$FF$36,Calendario!$F$7:$FF$7,2)</f>
        <v>0</v>
      </c>
      <c r="H95" s="13" t="n">
        <f aca="false">SUMIFS(Resultados_Caja!$F$36:$FF$36,Calendario!$F$7:$FF$7,3)</f>
        <v>0</v>
      </c>
      <c r="I95" s="13" t="n">
        <f aca="false">SUMIFS(Resultados_Caja!$F$36:$FF$36,Calendario!$F$7:$FF$7,4)</f>
        <v>0</v>
      </c>
      <c r="J95" s="13" t="n">
        <f aca="false">SUMIFS(Resultados_Caja!$F$36:$FF$36,Calendario!$F$7:$FF$7,5)</f>
        <v>0</v>
      </c>
      <c r="K95" s="13" t="n">
        <f aca="false">SUMIFS(Resultados_Caja!$F$36:$FF$36,Calendario!$F$7:$FF$7,6)</f>
        <v>0</v>
      </c>
      <c r="L95" s="13" t="n">
        <f aca="false">SUMIFS(Resultados_Caja!$F$36:$FF$36,Calendario!$F$7:$FF$7,7)</f>
        <v>0</v>
      </c>
      <c r="M95" s="13" t="n">
        <f aca="false">SUMIFS(Resultados_Caja!$F$36:$FF$36,Calendario!$F$7:$FF$7,8)</f>
        <v>0</v>
      </c>
      <c r="N95" s="13" t="n">
        <f aca="false">SUMIFS(Resultados_Caja!$F$36:$FF$36,Calendario!$F$7:$FF$7,9)</f>
        <v>0</v>
      </c>
      <c r="O95" s="13" t="n">
        <f aca="false">SUMIFS(Resultados_Caja!$F$36:$FF$36,Calendario!$F$7:$FF$7,10)</f>
        <v>0</v>
      </c>
      <c r="P95" s="13" t="n">
        <f aca="false">SUMIFS(Resultados_Caja!$F$36:$FF$36,Calendario!$F$7:$FF$7,11)</f>
        <v>0</v>
      </c>
      <c r="Q95" s="13" t="n">
        <f aca="false">SUMIFS(Resultados_Caja!$F$36:$FF$36,Calendario!$F$7:$FF$7,12)</f>
        <v>0</v>
      </c>
      <c r="R95" s="13" t="n">
        <f aca="false">SUMIFS(Resultados_Caja!$F$36:$FF$36,Calendario!$F$7:$FF$7,13)</f>
        <v>0</v>
      </c>
    </row>
    <row r="96" customFormat="false" ht="15" hidden="false" customHeight="false" outlineLevel="0" collapsed="false">
      <c r="A96" s="2" t="s">
        <v>1492</v>
      </c>
      <c r="B96" s="66" t="s">
        <v>1493</v>
      </c>
      <c r="C96" s="8" t="s">
        <v>255</v>
      </c>
      <c r="D96" s="67" t="n">
        <f aca="false">SUM(E96:R96)</f>
        <v>16318099.8594377</v>
      </c>
      <c r="E96" s="12" t="n">
        <f aca="false">SUMIFS(Resultados_Caja!$F$37:$FF$37,Calendario!$F$7:$FF$7,0)</f>
        <v>0</v>
      </c>
      <c r="F96" s="12" t="n">
        <f aca="false">SUMIFS(Resultados_Caja!$F$37:$FF$37,Calendario!$F$7:$FF$7,1)</f>
        <v>526818.423288897</v>
      </c>
      <c r="G96" s="12" t="n">
        <f aca="false">SUMIFS(Resultados_Caja!$F$37:$FF$37,Calendario!$F$7:$FF$7,2)</f>
        <v>964829.565046463</v>
      </c>
      <c r="H96" s="12" t="n">
        <f aca="false">SUMIFS(Resultados_Caja!$F$37:$FF$37,Calendario!$F$7:$FF$7,3)</f>
        <v>1405028.22589381</v>
      </c>
      <c r="I96" s="12" t="n">
        <f aca="false">SUMIFS(Resultados_Caja!$F$37:$FF$37,Calendario!$F$7:$FF$7,4)</f>
        <v>1798443.84762083</v>
      </c>
      <c r="J96" s="12" t="n">
        <f aca="false">SUMIFS(Resultados_Caja!$F$37:$FF$37,Calendario!$F$7:$FF$7,5)</f>
        <v>1816278.39545918</v>
      </c>
      <c r="K96" s="12" t="n">
        <f aca="false">SUMIFS(Resultados_Caja!$F$37:$FF$37,Calendario!$F$7:$FF$7,6)</f>
        <v>1864527.14188481</v>
      </c>
      <c r="L96" s="12" t="n">
        <f aca="false">SUMIFS(Resultados_Caja!$F$37:$FF$37,Calendario!$F$7:$FF$7,7)</f>
        <v>1913986.8264967</v>
      </c>
      <c r="M96" s="12" t="n">
        <f aca="false">SUMIFS(Resultados_Caja!$F$37:$FF$37,Calendario!$F$7:$FF$7,8)</f>
        <v>1963798.94935159</v>
      </c>
      <c r="N96" s="12" t="n">
        <f aca="false">SUMIFS(Resultados_Caja!$F$37:$FF$37,Calendario!$F$7:$FF$7,9)</f>
        <v>2013962.58291341</v>
      </c>
      <c r="O96" s="12" t="n">
        <f aca="false">SUMIFS(Resultados_Caja!$F$37:$FF$37,Calendario!$F$7:$FF$7,10)</f>
        <v>2050425.90148202</v>
      </c>
      <c r="P96" s="12" t="n">
        <f aca="false">SUMIFS(Resultados_Caja!$F$37:$FF$37,Calendario!$F$7:$FF$7,11)</f>
        <v>0</v>
      </c>
      <c r="Q96" s="12" t="n">
        <f aca="false">SUMIFS(Resultados_Caja!$F$37:$FF$37,Calendario!$F$7:$FF$7,12)</f>
        <v>0</v>
      </c>
      <c r="R96" s="12" t="n">
        <f aca="false">SUMIFS(Resultados_Caja!$F$37:$FF$37,Calendario!$F$7:$FF$7,13)</f>
        <v>0</v>
      </c>
    </row>
    <row r="97" customFormat="false" ht="15" hidden="false" customHeight="false" outlineLevel="0" collapsed="false">
      <c r="A97" s="2" t="s">
        <v>1792</v>
      </c>
      <c r="B97" s="8" t="s">
        <v>1793</v>
      </c>
      <c r="C97" s="8" t="s">
        <v>201</v>
      </c>
      <c r="E97" s="48" t="str">
        <f aca="false">IF(E86&lt;&gt;0,E96/E86,"")</f>
        <v/>
      </c>
      <c r="F97" s="48" t="n">
        <f aca="false">IF(F86&lt;&gt;0,F96/F86,"")</f>
        <v>0.108622355317298</v>
      </c>
      <c r="G97" s="48" t="n">
        <f aca="false">IF(G86&lt;&gt;0,G96/G86,"")</f>
        <v>0.156090979914331</v>
      </c>
      <c r="H97" s="48" t="n">
        <f aca="false">IF(H86&lt;&gt;0,H96/H86,"")</f>
        <v>0.186379380128406</v>
      </c>
      <c r="I97" s="48" t="n">
        <f aca="false">IF(I86&lt;&gt;0,I96/I86,"")</f>
        <v>0.207064279964634</v>
      </c>
      <c r="J97" s="48" t="n">
        <f aca="false">IF(J86&lt;&gt;0,J96/J86,"")</f>
        <v>0.207047193137018</v>
      </c>
      <c r="K97" s="48" t="n">
        <f aca="false">IF(K86&lt;&gt;0,K96/K86,"")</f>
        <v>0.210442894319676</v>
      </c>
      <c r="L97" s="48" t="n">
        <f aca="false">IF(L86&lt;&gt;0,L96/L86,"")</f>
        <v>0.213886378438972</v>
      </c>
      <c r="M97" s="48" t="n">
        <f aca="false">IF(M86&lt;&gt;0,M96/M86,"")</f>
        <v>0.217280039842839</v>
      </c>
      <c r="N97" s="48" t="n">
        <f aca="false">IF(N86&lt;&gt;0,N96/N86,"")</f>
        <v>0.220624039860934</v>
      </c>
      <c r="O97" s="48" t="n">
        <f aca="false">IF(O86&lt;&gt;0,O96/O86,"")</f>
        <v>0.22239455022278</v>
      </c>
      <c r="P97" s="48" t="str">
        <f aca="false">IF(P86&lt;&gt;0,P96/P86,"")</f>
        <v/>
      </c>
      <c r="Q97" s="48" t="str">
        <f aca="false">IF(Q86&lt;&gt;0,Q96/Q86,"")</f>
        <v/>
      </c>
      <c r="R97" s="48" t="str">
        <f aca="false">IF(R86&lt;&gt;0,R96/R86,"")</f>
        <v/>
      </c>
    </row>
    <row r="98" customFormat="false" ht="15" hidden="false" customHeight="false" outlineLevel="0" collapsed="false">
      <c r="A98" s="2" t="s">
        <v>1273</v>
      </c>
      <c r="B98" s="8" t="s">
        <v>1494</v>
      </c>
      <c r="C98" s="8" t="s">
        <v>255</v>
      </c>
      <c r="D98" s="67" t="n">
        <f aca="false">SUM(E98:R98)</f>
        <v>745044.1</v>
      </c>
      <c r="E98" s="13" t="n">
        <f aca="false">SUMIFS(Resultados_Caja!$F$38:$FF$38,Calendario!$F$7:$FF$7,0)</f>
        <v>0</v>
      </c>
      <c r="F98" s="13" t="n">
        <f aca="false">SUMIFS(Resultados_Caja!$F$38:$FF$38,Calendario!$F$7:$FF$7,1)</f>
        <v>71592.21</v>
      </c>
      <c r="G98" s="13" t="n">
        <f aca="false">SUMIFS(Resultados_Caja!$F$38:$FF$38,Calendario!$F$7:$FF$7,2)</f>
        <v>81592.21</v>
      </c>
      <c r="H98" s="13" t="n">
        <f aca="false">SUMIFS(Resultados_Caja!$F$38:$FF$38,Calendario!$F$7:$FF$7,3)</f>
        <v>81592.21</v>
      </c>
      <c r="I98" s="13" t="n">
        <f aca="false">SUMIFS(Resultados_Caja!$F$38:$FF$38,Calendario!$F$7:$FF$7,4)</f>
        <v>81592.21</v>
      </c>
      <c r="J98" s="13" t="n">
        <f aca="false">SUMIFS(Resultados_Caja!$F$38:$FF$38,Calendario!$F$7:$FF$7,5)</f>
        <v>81592.21</v>
      </c>
      <c r="K98" s="13" t="n">
        <f aca="false">SUMIFS(Resultados_Caja!$F$38:$FF$38,Calendario!$F$7:$FF$7,6)</f>
        <v>69416.61</v>
      </c>
      <c r="L98" s="13" t="n">
        <f aca="false">SUMIFS(Resultados_Caja!$F$38:$FF$38,Calendario!$F$7:$FF$7,7)</f>
        <v>69416.61</v>
      </c>
      <c r="M98" s="13" t="n">
        <f aca="false">SUMIFS(Resultados_Caja!$F$38:$FF$38,Calendario!$F$7:$FF$7,8)</f>
        <v>69416.61</v>
      </c>
      <c r="N98" s="13" t="n">
        <f aca="false">SUMIFS(Resultados_Caja!$F$38:$FF$38,Calendario!$F$7:$FF$7,9)</f>
        <v>69416.61</v>
      </c>
      <c r="O98" s="13" t="n">
        <f aca="false">SUMIFS(Resultados_Caja!$F$38:$FF$38,Calendario!$F$7:$FF$7,10)</f>
        <v>69416.61</v>
      </c>
      <c r="P98" s="13" t="n">
        <f aca="false">SUMIFS(Resultados_Caja!$F$38:$FF$38,Calendario!$F$7:$FF$7,11)</f>
        <v>0</v>
      </c>
      <c r="Q98" s="13" t="n">
        <f aca="false">SUMIFS(Resultados_Caja!$F$38:$FF$38,Calendario!$F$7:$FF$7,12)</f>
        <v>0</v>
      </c>
      <c r="R98" s="13" t="n">
        <f aca="false">SUMIFS(Resultados_Caja!$F$38:$FF$38,Calendario!$F$7:$FF$7,13)</f>
        <v>0</v>
      </c>
    </row>
    <row r="99" customFormat="false" ht="15" hidden="false" customHeight="false" outlineLevel="0" collapsed="false">
      <c r="A99" s="2" t="s">
        <v>1495</v>
      </c>
      <c r="B99" s="8" t="s">
        <v>1794</v>
      </c>
      <c r="C99" s="8" t="s">
        <v>255</v>
      </c>
      <c r="D99" s="67" t="n">
        <f aca="false">SUM(E99:R99)</f>
        <v>15573055.7594377</v>
      </c>
      <c r="E99" s="13" t="n">
        <f aca="false">SUMIFS(Resultados_Caja!$F$39:$FF$39,Calendario!$F$7:$FF$7,0)</f>
        <v>0</v>
      </c>
      <c r="F99" s="13" t="n">
        <f aca="false">SUMIFS(Resultados_Caja!$F$39:$FF$39,Calendario!$F$7:$FF$7,1)</f>
        <v>455226.213288897</v>
      </c>
      <c r="G99" s="13" t="n">
        <f aca="false">SUMIFS(Resultados_Caja!$F$39:$FF$39,Calendario!$F$7:$FF$7,2)</f>
        <v>883237.355046463</v>
      </c>
      <c r="H99" s="13" t="n">
        <f aca="false">SUMIFS(Resultados_Caja!$F$39:$FF$39,Calendario!$F$7:$FF$7,3)</f>
        <v>1323436.01589381</v>
      </c>
      <c r="I99" s="13" t="n">
        <f aca="false">SUMIFS(Resultados_Caja!$F$39:$FF$39,Calendario!$F$7:$FF$7,4)</f>
        <v>1716851.63762083</v>
      </c>
      <c r="J99" s="13" t="n">
        <f aca="false">SUMIFS(Resultados_Caja!$F$39:$FF$39,Calendario!$F$7:$FF$7,5)</f>
        <v>1734686.18545918</v>
      </c>
      <c r="K99" s="13" t="n">
        <f aca="false">SUMIFS(Resultados_Caja!$F$39:$FF$39,Calendario!$F$7:$FF$7,6)</f>
        <v>1795110.53188481</v>
      </c>
      <c r="L99" s="13" t="n">
        <f aca="false">SUMIFS(Resultados_Caja!$F$39:$FF$39,Calendario!$F$7:$FF$7,7)</f>
        <v>1844570.2164967</v>
      </c>
      <c r="M99" s="13" t="n">
        <f aca="false">SUMIFS(Resultados_Caja!$F$39:$FF$39,Calendario!$F$7:$FF$7,8)</f>
        <v>1894382.33935159</v>
      </c>
      <c r="N99" s="13" t="n">
        <f aca="false">SUMIFS(Resultados_Caja!$F$39:$FF$39,Calendario!$F$7:$FF$7,9)</f>
        <v>1944545.97291341</v>
      </c>
      <c r="O99" s="13" t="n">
        <f aca="false">SUMIFS(Resultados_Caja!$F$39:$FF$39,Calendario!$F$7:$FF$7,10)</f>
        <v>1981009.29148202</v>
      </c>
      <c r="P99" s="13" t="n">
        <f aca="false">SUMIFS(Resultados_Caja!$F$39:$FF$39,Calendario!$F$7:$FF$7,11)</f>
        <v>0</v>
      </c>
      <c r="Q99" s="13" t="n">
        <f aca="false">SUMIFS(Resultados_Caja!$F$39:$FF$39,Calendario!$F$7:$FF$7,12)</f>
        <v>0</v>
      </c>
      <c r="R99" s="13" t="n">
        <f aca="false">SUMIFS(Resultados_Caja!$F$39:$FF$39,Calendario!$F$7:$FF$7,13)</f>
        <v>0</v>
      </c>
    </row>
    <row r="100" customFormat="false" ht="15" hidden="false" customHeight="false" outlineLevel="0" collapsed="false">
      <c r="A100" s="2" t="s">
        <v>1505</v>
      </c>
      <c r="B100" s="8" t="s">
        <v>1795</v>
      </c>
      <c r="C100" s="8" t="s">
        <v>255</v>
      </c>
      <c r="D100" s="67" t="n">
        <f aca="false">SUM(E100:R100)</f>
        <v>813214.128224453</v>
      </c>
      <c r="E100" s="13" t="n">
        <f aca="false">SUMIFS(Resultados_Caja!$F$44:$FF$44,Calendario!$F$7:$FF$7,0)</f>
        <v>0</v>
      </c>
      <c r="F100" s="13" t="n">
        <f aca="false">SUMIFS(Resultados_Caja!$F$44:$FF$44,Calendario!$F$7:$FF$7,1)</f>
        <v>271101.932431026</v>
      </c>
      <c r="G100" s="13" t="n">
        <f aca="false">SUMIFS(Resultados_Caja!$F$44:$FF$44,Calendario!$F$7:$FF$7,2)</f>
        <v>226274.254121452</v>
      </c>
      <c r="H100" s="13" t="n">
        <f aca="false">SUMIFS(Resultados_Caja!$F$44:$FF$44,Calendario!$F$7:$FF$7,3)</f>
        <v>169415.972941167</v>
      </c>
      <c r="I100" s="13" t="n">
        <f aca="false">SUMIFS(Resultados_Caja!$F$44:$FF$44,Calendario!$F$7:$FF$7,4)</f>
        <v>107223.992796456</v>
      </c>
      <c r="J100" s="13" t="n">
        <f aca="false">SUMIFS(Resultados_Caja!$F$44:$FF$44,Calendario!$F$7:$FF$7,5)</f>
        <v>39197.9759343531</v>
      </c>
      <c r="K100" s="13" t="n">
        <f aca="false">SUMIFS(Resultados_Caja!$F$44:$FF$44,Calendario!$F$7:$FF$7,6)</f>
        <v>0</v>
      </c>
      <c r="L100" s="13" t="n">
        <f aca="false">SUMIFS(Resultados_Caja!$F$44:$FF$44,Calendario!$F$7:$FF$7,7)</f>
        <v>0</v>
      </c>
      <c r="M100" s="13" t="n">
        <f aca="false">SUMIFS(Resultados_Caja!$F$44:$FF$44,Calendario!$F$7:$FF$7,8)</f>
        <v>0</v>
      </c>
      <c r="N100" s="13" t="n">
        <f aca="false">SUMIFS(Resultados_Caja!$F$44:$FF$44,Calendario!$F$7:$FF$7,9)</f>
        <v>0</v>
      </c>
      <c r="O100" s="13" t="n">
        <f aca="false">SUMIFS(Resultados_Caja!$F$44:$FF$44,Calendario!$F$7:$FF$7,10)</f>
        <v>0</v>
      </c>
      <c r="P100" s="13" t="n">
        <f aca="false">SUMIFS(Resultados_Caja!$F$44:$FF$44,Calendario!$F$7:$FF$7,11)</f>
        <v>0</v>
      </c>
      <c r="Q100" s="13" t="n">
        <f aca="false">SUMIFS(Resultados_Caja!$F$44:$FF$44,Calendario!$F$7:$FF$7,12)</f>
        <v>0</v>
      </c>
      <c r="R100" s="13" t="n">
        <f aca="false">SUMIFS(Resultados_Caja!$F$44:$FF$44,Calendario!$F$7:$FF$7,13)</f>
        <v>0</v>
      </c>
    </row>
    <row r="101" customFormat="false" ht="15" hidden="false" customHeight="false" outlineLevel="0" collapsed="false">
      <c r="A101" s="2" t="s">
        <v>1509</v>
      </c>
      <c r="B101" s="8" t="s">
        <v>1796</v>
      </c>
      <c r="C101" s="8" t="s">
        <v>255</v>
      </c>
      <c r="D101" s="67" t="n">
        <f aca="false">SUM(E101:R101)</f>
        <v>0</v>
      </c>
      <c r="E101" s="13" t="n">
        <f aca="false">SUMIFS(Resultados_Caja!$F$46:$FF$46,Calendario!$F$7:$FF$7,0)</f>
        <v>0</v>
      </c>
      <c r="F101" s="13" t="n">
        <f aca="false">SUMIFS(Resultados_Caja!$F$46:$FF$46,Calendario!$F$7:$FF$7,1)</f>
        <v>0</v>
      </c>
      <c r="G101" s="13" t="n">
        <f aca="false">SUMIFS(Resultados_Caja!$F$46:$FF$46,Calendario!$F$7:$FF$7,2)</f>
        <v>0</v>
      </c>
      <c r="H101" s="13" t="n">
        <f aca="false">SUMIFS(Resultados_Caja!$F$46:$FF$46,Calendario!$F$7:$FF$7,3)</f>
        <v>0</v>
      </c>
      <c r="I101" s="13" t="n">
        <f aca="false">SUMIFS(Resultados_Caja!$F$46:$FF$46,Calendario!$F$7:$FF$7,4)</f>
        <v>0</v>
      </c>
      <c r="J101" s="13" t="n">
        <f aca="false">SUMIFS(Resultados_Caja!$F$46:$FF$46,Calendario!$F$7:$FF$7,5)</f>
        <v>0</v>
      </c>
      <c r="K101" s="13" t="n">
        <f aca="false">SUMIFS(Resultados_Caja!$F$46:$FF$46,Calendario!$F$7:$FF$7,6)</f>
        <v>0</v>
      </c>
      <c r="L101" s="13" t="n">
        <f aca="false">SUMIFS(Resultados_Caja!$F$46:$FF$46,Calendario!$F$7:$FF$7,7)</f>
        <v>0</v>
      </c>
      <c r="M101" s="13" t="n">
        <f aca="false">SUMIFS(Resultados_Caja!$F$46:$FF$46,Calendario!$F$7:$FF$7,8)</f>
        <v>0</v>
      </c>
      <c r="N101" s="13" t="n">
        <f aca="false">SUMIFS(Resultados_Caja!$F$46:$FF$46,Calendario!$F$7:$FF$7,9)</f>
        <v>0</v>
      </c>
      <c r="O101" s="13" t="n">
        <f aca="false">SUMIFS(Resultados_Caja!$F$46:$FF$46,Calendario!$F$7:$FF$7,10)</f>
        <v>0</v>
      </c>
      <c r="P101" s="13" t="n">
        <f aca="false">SUMIFS(Resultados_Caja!$F$46:$FF$46,Calendario!$F$7:$FF$7,11)</f>
        <v>0</v>
      </c>
      <c r="Q101" s="13" t="n">
        <f aca="false">SUMIFS(Resultados_Caja!$F$46:$FF$46,Calendario!$F$7:$FF$7,12)</f>
        <v>0</v>
      </c>
      <c r="R101" s="13" t="n">
        <f aca="false">SUMIFS(Resultados_Caja!$F$46:$FF$46,Calendario!$F$7:$FF$7,13)</f>
        <v>0</v>
      </c>
    </row>
    <row r="102" customFormat="false" ht="15" hidden="false" customHeight="false" outlineLevel="0" collapsed="false">
      <c r="A102" s="2" t="s">
        <v>1511</v>
      </c>
      <c r="B102" s="66" t="s">
        <v>1797</v>
      </c>
      <c r="C102" s="8" t="s">
        <v>255</v>
      </c>
      <c r="D102" s="67" t="n">
        <f aca="false">SUM(E102:R102)</f>
        <v>14759841.6312133</v>
      </c>
      <c r="E102" s="12" t="n">
        <f aca="false">SUMIFS(Resultados_Caja!$F$47:$FF$47,Calendario!$F$7:$FF$7,0)</f>
        <v>0</v>
      </c>
      <c r="F102" s="12" t="n">
        <f aca="false">SUMIFS(Resultados_Caja!$F$47:$FF$47,Calendario!$F$7:$FF$7,1)</f>
        <v>184124.280857872</v>
      </c>
      <c r="G102" s="12" t="n">
        <f aca="false">SUMIFS(Resultados_Caja!$F$47:$FF$47,Calendario!$F$7:$FF$7,2)</f>
        <v>656963.100925011</v>
      </c>
      <c r="H102" s="12" t="n">
        <f aca="false">SUMIFS(Resultados_Caja!$F$47:$FF$47,Calendario!$F$7:$FF$7,3)</f>
        <v>1154020.04295264</v>
      </c>
      <c r="I102" s="12" t="n">
        <f aca="false">SUMIFS(Resultados_Caja!$F$47:$FF$47,Calendario!$F$7:$FF$7,4)</f>
        <v>1609627.64482438</v>
      </c>
      <c r="J102" s="12" t="n">
        <f aca="false">SUMIFS(Resultados_Caja!$F$47:$FF$47,Calendario!$F$7:$FF$7,5)</f>
        <v>1695488.20952483</v>
      </c>
      <c r="K102" s="12" t="n">
        <f aca="false">SUMIFS(Resultados_Caja!$F$47:$FF$47,Calendario!$F$7:$FF$7,6)</f>
        <v>1795110.53188481</v>
      </c>
      <c r="L102" s="12" t="n">
        <f aca="false">SUMIFS(Resultados_Caja!$F$47:$FF$47,Calendario!$F$7:$FF$7,7)</f>
        <v>1844570.2164967</v>
      </c>
      <c r="M102" s="12" t="n">
        <f aca="false">SUMIFS(Resultados_Caja!$F$47:$FF$47,Calendario!$F$7:$FF$7,8)</f>
        <v>1894382.33935159</v>
      </c>
      <c r="N102" s="12" t="n">
        <f aca="false">SUMIFS(Resultados_Caja!$F$47:$FF$47,Calendario!$F$7:$FF$7,9)</f>
        <v>1944545.97291341</v>
      </c>
      <c r="O102" s="12" t="n">
        <f aca="false">SUMIFS(Resultados_Caja!$F$47:$FF$47,Calendario!$F$7:$FF$7,10)</f>
        <v>1981009.29148202</v>
      </c>
      <c r="P102" s="12" t="n">
        <f aca="false">SUMIFS(Resultados_Caja!$F$47:$FF$47,Calendario!$F$7:$FF$7,11)</f>
        <v>0</v>
      </c>
      <c r="Q102" s="12" t="n">
        <f aca="false">SUMIFS(Resultados_Caja!$F$47:$FF$47,Calendario!$F$7:$FF$7,12)</f>
        <v>0</v>
      </c>
      <c r="R102" s="12" t="n">
        <f aca="false">SUMIFS(Resultados_Caja!$F$47:$FF$47,Calendario!$F$7:$FF$7,13)</f>
        <v>0</v>
      </c>
    </row>
    <row r="103" customFormat="false" ht="15" hidden="false" customHeight="false" outlineLevel="0" collapsed="false">
      <c r="A103" s="2" t="s">
        <v>1798</v>
      </c>
      <c r="B103" s="8" t="s">
        <v>1799</v>
      </c>
      <c r="C103" s="8" t="s">
        <v>201</v>
      </c>
      <c r="E103" s="48" t="str">
        <f aca="false">IF(E86&lt;&gt;0,E102/E86,"")</f>
        <v/>
      </c>
      <c r="F103" s="48" t="n">
        <f aca="false">IF(F86&lt;&gt;0,F102/F86,"")</f>
        <v>0.0379637692490457</v>
      </c>
      <c r="G103" s="48" t="n">
        <f aca="false">IF(G86&lt;&gt;0,G102/G86,"")</f>
        <v>0.106284071203813</v>
      </c>
      <c r="H103" s="48" t="n">
        <f aca="false">IF(H86&lt;&gt;0,H102/H86,"")</f>
        <v>0.15308271840905</v>
      </c>
      <c r="I103" s="48" t="n">
        <f aca="false">IF(I86&lt;&gt;0,I102/I86,"")</f>
        <v>0.185324879466016</v>
      </c>
      <c r="J103" s="48" t="n">
        <f aca="false">IF(J86&lt;&gt;0,J102/J86,"")</f>
        <v>0.193277680148959</v>
      </c>
      <c r="K103" s="48" t="n">
        <f aca="false">IF(K86&lt;&gt;0,K102/K86,"")</f>
        <v>0.20260807551007</v>
      </c>
      <c r="L103" s="48" t="n">
        <f aca="false">IF(L86&lt;&gt;0,L102/L86,"")</f>
        <v>0.206129132092828</v>
      </c>
      <c r="M103" s="48" t="n">
        <f aca="false">IF(M86&lt;&gt;0,M102/M86,"")</f>
        <v>0.209599597915963</v>
      </c>
      <c r="N103" s="48" t="n">
        <f aca="false">IF(N86&lt;&gt;0,N102/N86,"")</f>
        <v>0.213019641913533</v>
      </c>
      <c r="O103" s="48" t="n">
        <f aca="false">IF(O86&lt;&gt;0,O102/O86,"")</f>
        <v>0.214865443344165</v>
      </c>
      <c r="P103" s="48" t="str">
        <f aca="false">IF(P86&lt;&gt;0,P102/P86,"")</f>
        <v/>
      </c>
      <c r="Q103" s="48" t="str">
        <f aca="false">IF(Q86&lt;&gt;0,Q102/Q86,"")</f>
        <v/>
      </c>
      <c r="R103" s="48" t="str">
        <f aca="false">IF(R86&lt;&gt;0,R102/R86,"")</f>
        <v/>
      </c>
    </row>
    <row r="104" customFormat="false" ht="15" hidden="false" customHeight="false" outlineLevel="0" collapsed="false">
      <c r="A104" s="2" t="s">
        <v>1135</v>
      </c>
      <c r="B104" s="8" t="s">
        <v>1800</v>
      </c>
      <c r="C104" s="8" t="s">
        <v>255</v>
      </c>
      <c r="D104" s="67" t="n">
        <f aca="false">SUM(E104:R104)</f>
        <v>0</v>
      </c>
      <c r="E104" s="13" t="n">
        <f aca="false">SUMIFS(Resultados_Caja!$F$48:$FF$48,Calendario!$F$7:$FF$7,0)</f>
        <v>0</v>
      </c>
      <c r="F104" s="13" t="n">
        <f aca="false">SUMIFS(Resultados_Caja!$F$48:$FF$48,Calendario!$F$7:$FF$7,1)</f>
        <v>0</v>
      </c>
      <c r="G104" s="13" t="n">
        <f aca="false">SUMIFS(Resultados_Caja!$F$48:$FF$48,Calendario!$F$7:$FF$7,2)</f>
        <v>0</v>
      </c>
      <c r="H104" s="13" t="n">
        <f aca="false">SUMIFS(Resultados_Caja!$F$48:$FF$48,Calendario!$F$7:$FF$7,3)</f>
        <v>0</v>
      </c>
      <c r="I104" s="13" t="n">
        <f aca="false">SUMIFS(Resultados_Caja!$F$48:$FF$48,Calendario!$F$7:$FF$7,4)</f>
        <v>0</v>
      </c>
      <c r="J104" s="13" t="n">
        <f aca="false">SUMIFS(Resultados_Caja!$F$48:$FF$48,Calendario!$F$7:$FF$7,5)</f>
        <v>0</v>
      </c>
      <c r="K104" s="13" t="n">
        <f aca="false">SUMIFS(Resultados_Caja!$F$48:$FF$48,Calendario!$F$7:$FF$7,6)</f>
        <v>0</v>
      </c>
      <c r="L104" s="13" t="n">
        <f aca="false">SUMIFS(Resultados_Caja!$F$48:$FF$48,Calendario!$F$7:$FF$7,7)</f>
        <v>0</v>
      </c>
      <c r="M104" s="13" t="n">
        <f aca="false">SUMIFS(Resultados_Caja!$F$48:$FF$48,Calendario!$F$7:$FF$7,8)</f>
        <v>0</v>
      </c>
      <c r="N104" s="13" t="n">
        <f aca="false">SUMIFS(Resultados_Caja!$F$48:$FF$48,Calendario!$F$7:$FF$7,9)</f>
        <v>0</v>
      </c>
      <c r="O104" s="13" t="n">
        <f aca="false">SUMIFS(Resultados_Caja!$F$48:$FF$48,Calendario!$F$7:$FF$7,10)</f>
        <v>0</v>
      </c>
      <c r="P104" s="13" t="n">
        <f aca="false">SUMIFS(Resultados_Caja!$F$48:$FF$48,Calendario!$F$7:$FF$7,11)</f>
        <v>0</v>
      </c>
      <c r="Q104" s="13" t="n">
        <f aca="false">SUMIFS(Resultados_Caja!$F$48:$FF$48,Calendario!$F$7:$FF$7,12)</f>
        <v>0</v>
      </c>
      <c r="R104" s="13" t="n">
        <f aca="false">SUMIFS(Resultados_Caja!$F$48:$FF$48,Calendario!$F$7:$FF$7,13)</f>
        <v>0</v>
      </c>
    </row>
    <row r="105" customFormat="false" ht="15" hidden="false" customHeight="false" outlineLevel="0" collapsed="false">
      <c r="A105" s="3" t="s">
        <v>1801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customFormat="false" ht="15" hidden="false" customHeight="false" outlineLevel="0" collapsed="false">
      <c r="A106" s="2" t="s">
        <v>1802</v>
      </c>
      <c r="B106" s="79" t="s">
        <v>1803</v>
      </c>
      <c r="C106" s="8" t="s">
        <v>255</v>
      </c>
      <c r="D106" s="67" t="n">
        <f aca="false">SUM(E106:R106)</f>
        <v>81222448</v>
      </c>
      <c r="F106" s="28" t="n">
        <f aca="false">Base_PDF!F$102</f>
        <v>4850000</v>
      </c>
      <c r="G106" s="28" t="n">
        <f aca="false">Base_PDF!G$102</f>
        <v>6181200</v>
      </c>
      <c r="H106" s="28" t="n">
        <f aca="false">Base_PDF!H$102</f>
        <v>7538539</v>
      </c>
      <c r="I106" s="28" t="n">
        <f aca="false">Base_PDF!I$102</f>
        <v>8685437</v>
      </c>
      <c r="J106" s="28" t="n">
        <f aca="false">Base_PDF!J$102</f>
        <v>8772292</v>
      </c>
      <c r="K106" s="28" t="n">
        <f aca="false">Base_PDF!K$102</f>
        <v>8860015</v>
      </c>
      <c r="L106" s="28" t="n">
        <f aca="false">Base_PDF!L$102</f>
        <v>8948615</v>
      </c>
      <c r="M106" s="28" t="n">
        <f aca="false">Base_PDF!M$102</f>
        <v>9038101</v>
      </c>
      <c r="N106" s="28" t="n">
        <f aca="false">Base_PDF!N$102</f>
        <v>9128482</v>
      </c>
      <c r="O106" s="28" t="n">
        <f aca="false">Base_PDF!O$102</f>
        <v>9219767</v>
      </c>
    </row>
    <row r="107" customFormat="false" ht="15" hidden="false" customHeight="false" outlineLevel="0" collapsed="false">
      <c r="A107" s="2" t="s">
        <v>1804</v>
      </c>
      <c r="B107" s="79" t="s">
        <v>1805</v>
      </c>
      <c r="C107" s="8" t="s">
        <v>255</v>
      </c>
      <c r="D107" s="67" t="n">
        <f aca="false">SUM(E107:R107)</f>
        <v>17354010</v>
      </c>
      <c r="F107" s="28" t="n">
        <f aca="false">Base_PDF!F$358</f>
        <v>573024</v>
      </c>
      <c r="G107" s="28" t="n">
        <f aca="false">Base_PDF!G$358</f>
        <v>1029011</v>
      </c>
      <c r="H107" s="28" t="n">
        <f aca="false">Base_PDF!H$358</f>
        <v>1479759</v>
      </c>
      <c r="I107" s="28" t="n">
        <f aca="false">Base_PDF!I$358</f>
        <v>1886306</v>
      </c>
      <c r="J107" s="28" t="n">
        <f aca="false">Base_PDF!J$358</f>
        <v>1914796</v>
      </c>
      <c r="K107" s="28" t="n">
        <f aca="false">Base_PDF!K$358</f>
        <v>1973999</v>
      </c>
      <c r="L107" s="28" t="n">
        <f aca="false">Base_PDF!L$358</f>
        <v>2033657</v>
      </c>
      <c r="M107" s="28" t="n">
        <f aca="false">Base_PDF!M$358</f>
        <v>2093768</v>
      </c>
      <c r="N107" s="28" t="n">
        <f aca="false">Base_PDF!N$358</f>
        <v>2154335</v>
      </c>
      <c r="O107" s="28" t="n">
        <f aca="false">Base_PDF!O$358</f>
        <v>2215355</v>
      </c>
    </row>
    <row r="108" customFormat="false" ht="15" hidden="false" customHeight="false" outlineLevel="0" collapsed="false">
      <c r="A108" s="2" t="s">
        <v>1806</v>
      </c>
      <c r="B108" s="79" t="s">
        <v>1807</v>
      </c>
      <c r="C108" s="8" t="s">
        <v>255</v>
      </c>
      <c r="D108" s="67" t="n">
        <f aca="false">SUM(E108:R108)</f>
        <v>15945168</v>
      </c>
      <c r="F108" s="28" t="n">
        <f aca="false">Base_PDF!F$359</f>
        <v>301922</v>
      </c>
      <c r="G108" s="28" t="n">
        <f aca="false">Base_PDF!G$359</f>
        <v>731144</v>
      </c>
      <c r="H108" s="28" t="n">
        <f aca="false">Base_PDF!H$359</f>
        <v>1238751</v>
      </c>
      <c r="I108" s="28" t="n">
        <f aca="false">Base_PDF!I$359</f>
        <v>1707489</v>
      </c>
      <c r="J108" s="28" t="n">
        <f aca="false">Base_PDF!J$359</f>
        <v>1804006</v>
      </c>
      <c r="K108" s="28" t="n">
        <f aca="false">Base_PDF!K$359</f>
        <v>1902407</v>
      </c>
      <c r="L108" s="28" t="n">
        <f aca="false">Base_PDF!L$359</f>
        <v>1974240</v>
      </c>
      <c r="M108" s="28" t="n">
        <f aca="false">Base_PDF!M$359</f>
        <v>2034352</v>
      </c>
      <c r="N108" s="28" t="n">
        <f aca="false">Base_PDF!N$359</f>
        <v>2094918</v>
      </c>
      <c r="O108" s="28" t="n">
        <f aca="false">Base_PDF!O$359</f>
        <v>2155939</v>
      </c>
    </row>
    <row r="109" customFormat="false" ht="15" hidden="false" customHeight="false" outlineLevel="0" collapsed="false">
      <c r="A109" s="2" t="s">
        <v>1808</v>
      </c>
      <c r="B109" s="8" t="s">
        <v>1809</v>
      </c>
      <c r="C109" s="8" t="s">
        <v>255</v>
      </c>
      <c r="D109" s="81" t="n">
        <f aca="false">SUM(F109:O109)</f>
        <v>-0.278354592621326</v>
      </c>
      <c r="F109" s="13" t="n">
        <f aca="false">F86-F106</f>
        <v>0</v>
      </c>
      <c r="G109" s="13" t="n">
        <f aca="false">G86-G106</f>
        <v>0</v>
      </c>
      <c r="H109" s="13" t="n">
        <f aca="false">H86-H106</f>
        <v>0</v>
      </c>
      <c r="I109" s="13" t="n">
        <f aca="false">I86-I106</f>
        <v>0.430000001564622</v>
      </c>
      <c r="J109" s="13" t="n">
        <f aca="false">J86-J106</f>
        <v>-0.195699999108911</v>
      </c>
      <c r="K109" s="13" t="n">
        <f aca="false">K86-K106</f>
        <v>-0.277656998485327</v>
      </c>
      <c r="L109" s="13" t="n">
        <f aca="false">L86-L106</f>
        <v>-0.13043356873095</v>
      </c>
      <c r="M109" s="13" t="n">
        <f aca="false">M86-M106</f>
        <v>0.0182620938867331</v>
      </c>
      <c r="N109" s="13" t="n">
        <f aca="false">N86-N106</f>
        <v>0.0284447148442268</v>
      </c>
      <c r="O109" s="13" t="n">
        <f aca="false">O86-O106</f>
        <v>-0.151270836591721</v>
      </c>
    </row>
    <row r="110" customFormat="false" ht="15" hidden="false" customHeight="false" outlineLevel="0" collapsed="false">
      <c r="A110" s="2" t="s">
        <v>1810</v>
      </c>
      <c r="B110" s="8" t="s">
        <v>1811</v>
      </c>
      <c r="C110" s="8" t="s">
        <v>255</v>
      </c>
      <c r="D110" s="81" t="n">
        <f aca="false">SUM(F110:O110)</f>
        <v>-1035910.14056229</v>
      </c>
      <c r="F110" s="13" t="n">
        <f aca="false">F96-F107</f>
        <v>-46205.5767111029</v>
      </c>
      <c r="G110" s="13" t="n">
        <f aca="false">G96-G107</f>
        <v>-64181.4349535373</v>
      </c>
      <c r="H110" s="13" t="n">
        <f aca="false">H96-H107</f>
        <v>-74730.7741061894</v>
      </c>
      <c r="I110" s="13" t="n">
        <f aca="false">I96-I107</f>
        <v>-87862.1523791666</v>
      </c>
      <c r="J110" s="13" t="n">
        <f aca="false">J96-J107</f>
        <v>-98517.6045408158</v>
      </c>
      <c r="K110" s="13" t="n">
        <f aca="false">K96-K107</f>
        <v>-109471.858115195</v>
      </c>
      <c r="L110" s="13" t="n">
        <f aca="false">L96-L107</f>
        <v>-119670.173503301</v>
      </c>
      <c r="M110" s="13" t="n">
        <f aca="false">M96-M107</f>
        <v>-129969.050648413</v>
      </c>
      <c r="N110" s="13" t="n">
        <f aca="false">N96-N107</f>
        <v>-140372.41708659</v>
      </c>
      <c r="O110" s="13" t="n">
        <f aca="false">O96-O107</f>
        <v>-164929.098517978</v>
      </c>
    </row>
    <row r="111" customFormat="false" ht="15" hidden="false" customHeight="false" outlineLevel="0" collapsed="false">
      <c r="A111" s="2" t="s">
        <v>1812</v>
      </c>
      <c r="B111" s="8" t="s">
        <v>1813</v>
      </c>
      <c r="C111" s="8" t="s">
        <v>255</v>
      </c>
      <c r="D111" s="81" t="n">
        <f aca="false">SUM(F111:O111)</f>
        <v>-1185326.36878674</v>
      </c>
      <c r="F111" s="13" t="n">
        <f aca="false">F102-F108</f>
        <v>-117797.719142128</v>
      </c>
      <c r="G111" s="13" t="n">
        <f aca="false">G102-G108</f>
        <v>-74180.8990749894</v>
      </c>
      <c r="H111" s="13" t="n">
        <f aca="false">H102-H108</f>
        <v>-84730.9570473565</v>
      </c>
      <c r="I111" s="13" t="n">
        <f aca="false">I102-I108</f>
        <v>-97861.355175622</v>
      </c>
      <c r="J111" s="13" t="n">
        <f aca="false">J102-J108</f>
        <v>-108517.790475169</v>
      </c>
      <c r="K111" s="13" t="n">
        <f aca="false">K102-K108</f>
        <v>-107296.468115195</v>
      </c>
      <c r="L111" s="13" t="n">
        <f aca="false">L102-L108</f>
        <v>-129669.783503301</v>
      </c>
      <c r="M111" s="13" t="n">
        <f aca="false">M102-M108</f>
        <v>-139969.660648413</v>
      </c>
      <c r="N111" s="13" t="n">
        <f aca="false">N102-N108</f>
        <v>-150372.027086589</v>
      </c>
      <c r="O111" s="13" t="n">
        <f aca="false">O102-O108</f>
        <v>-174929.708517978</v>
      </c>
    </row>
    <row r="112" customFormat="false" ht="15" hidden="false" customHeight="false" outlineLevel="0" collapsed="false">
      <c r="A112" s="3" t="s">
        <v>1814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customFormat="false" ht="15" hidden="false" customHeight="false" outlineLevel="0" collapsed="false">
      <c r="A113" s="2" t="s">
        <v>1456</v>
      </c>
      <c r="B113" s="8" t="s">
        <v>1457</v>
      </c>
      <c r="C113" s="8" t="s">
        <v>255</v>
      </c>
      <c r="D113" s="67" t="n">
        <f aca="false">SUM(E113:R113)</f>
        <v>40937334.0114229</v>
      </c>
      <c r="E113" s="13" t="n">
        <f aca="false">SUMIFS(Resultados_Caja!$F$15:$FF$15,Calendario!$F$7:$FF$7,0)</f>
        <v>0</v>
      </c>
      <c r="F113" s="13" t="n">
        <f aca="false">SUMIFS(Resultados_Caja!$F$15:$FF$15,Calendario!$F$7:$FF$7,1)</f>
        <v>2578311.5890411</v>
      </c>
      <c r="G113" s="13" t="n">
        <f aca="false">SUMIFS(Resultados_Caja!$F$15:$FF$15,Calendario!$F$7:$FF$7,2)</f>
        <v>3184508.40410959</v>
      </c>
      <c r="H113" s="13" t="n">
        <f aca="false">SUMIFS(Resultados_Caja!$F$15:$FF$15,Calendario!$F$7:$FF$7,3)</f>
        <v>3863557.73767123</v>
      </c>
      <c r="I113" s="13" t="n">
        <f aca="false">SUMIFS(Resultados_Caja!$F$15:$FF$15,Calendario!$F$7:$FF$7,4)</f>
        <v>4408401.57985</v>
      </c>
      <c r="J113" s="13" t="n">
        <f aca="false">SUMIFS(Resultados_Caja!$F$15:$FF$15,Calendario!$F$7:$FF$7,5)</f>
        <v>4435445.4356485</v>
      </c>
      <c r="K113" s="13" t="n">
        <f aca="false">SUMIFS(Resultados_Caja!$F$15:$FF$15,Calendario!$F$7:$FF$7,6)</f>
        <v>4462759.73000499</v>
      </c>
      <c r="L113" s="13" t="n">
        <f aca="false">SUMIFS(Resultados_Caja!$F$15:$FF$15,Calendario!$F$7:$FF$7,7)</f>
        <v>4490347.16730504</v>
      </c>
      <c r="M113" s="13" t="n">
        <f aca="false">SUMIFS(Resultados_Caja!$F$15:$FF$15,Calendario!$F$7:$FF$7,8)</f>
        <v>4518210.47897809</v>
      </c>
      <c r="N113" s="13" t="n">
        <f aca="false">SUMIFS(Resultados_Caja!$F$15:$FF$15,Calendario!$F$7:$FF$7,9)</f>
        <v>4546352.42376787</v>
      </c>
      <c r="O113" s="13" t="n">
        <f aca="false">SUMIFS(Resultados_Caja!$F$15:$FF$15,Calendario!$F$7:$FF$7,10)</f>
        <v>4449439.46504649</v>
      </c>
      <c r="P113" s="13" t="n">
        <f aca="false">SUMIFS(Resultados_Caja!$F$15:$FF$15,Calendario!$F$7:$FF$7,11)</f>
        <v>0</v>
      </c>
      <c r="Q113" s="13" t="n">
        <f aca="false">SUMIFS(Resultados_Caja!$F$15:$FF$15,Calendario!$F$7:$FF$7,12)</f>
        <v>0</v>
      </c>
      <c r="R113" s="13" t="n">
        <f aca="false">SUMIFS(Resultados_Caja!$F$15:$FF$15,Calendario!$F$7:$FF$7,13)</f>
        <v>0</v>
      </c>
    </row>
    <row r="114" customFormat="false" ht="15" hidden="false" customHeight="false" outlineLevel="0" collapsed="false">
      <c r="A114" s="2" t="s">
        <v>1458</v>
      </c>
      <c r="B114" s="8" t="s">
        <v>1815</v>
      </c>
      <c r="C114" s="8" t="s">
        <v>255</v>
      </c>
      <c r="D114" s="67" t="n">
        <f aca="false">SUM(E114:R114)</f>
        <v>6763200</v>
      </c>
      <c r="E114" s="13" t="n">
        <f aca="false">SUMIFS(Resultados_Caja!$F$16:$FF$16,Calendario!$F$7:$FF$7,0)</f>
        <v>0</v>
      </c>
      <c r="F114" s="13" t="n">
        <f aca="false">SUMIFS(Resultados_Caja!$F$16:$FF$16,Calendario!$F$7:$FF$7,1)</f>
        <v>438663.01369863</v>
      </c>
      <c r="G114" s="13" t="n">
        <f aca="false">SUMIFS(Resultados_Caja!$F$16:$FF$16,Calendario!$F$7:$FF$7,2)</f>
        <v>538246.575342466</v>
      </c>
      <c r="H114" s="13" t="n">
        <f aca="false">SUMIFS(Resultados_Caja!$F$16:$FF$16,Calendario!$F$7:$FF$7,3)</f>
        <v>648876.712328767</v>
      </c>
      <c r="I114" s="13" t="n">
        <f aca="false">SUMIFS(Resultados_Caja!$F$16:$FF$16,Calendario!$F$7:$FF$7,4)</f>
        <v>736800</v>
      </c>
      <c r="J114" s="13" t="n">
        <f aca="false">SUMIFS(Resultados_Caja!$F$16:$FF$16,Calendario!$F$7:$FF$7,5)</f>
        <v>736800</v>
      </c>
      <c r="K114" s="13" t="n">
        <f aca="false">SUMIFS(Resultados_Caja!$F$16:$FF$16,Calendario!$F$7:$FF$7,6)</f>
        <v>736800</v>
      </c>
      <c r="L114" s="13" t="n">
        <f aca="false">SUMIFS(Resultados_Caja!$F$16:$FF$16,Calendario!$F$7:$FF$7,7)</f>
        <v>736800</v>
      </c>
      <c r="M114" s="13" t="n">
        <f aca="false">SUMIFS(Resultados_Caja!$F$16:$FF$16,Calendario!$F$7:$FF$7,8)</f>
        <v>736800</v>
      </c>
      <c r="N114" s="13" t="n">
        <f aca="false">SUMIFS(Resultados_Caja!$F$16:$FF$16,Calendario!$F$7:$FF$7,9)</f>
        <v>736800</v>
      </c>
      <c r="O114" s="13" t="n">
        <f aca="false">SUMIFS(Resultados_Caja!$F$16:$FF$16,Calendario!$F$7:$FF$7,10)</f>
        <v>716613.698630137</v>
      </c>
      <c r="P114" s="13" t="n">
        <f aca="false">SUMIFS(Resultados_Caja!$F$16:$FF$16,Calendario!$F$7:$FF$7,11)</f>
        <v>0</v>
      </c>
      <c r="Q114" s="13" t="n">
        <f aca="false">SUMIFS(Resultados_Caja!$F$16:$FF$16,Calendario!$F$7:$FF$7,12)</f>
        <v>0</v>
      </c>
      <c r="R114" s="13" t="n">
        <f aca="false">SUMIFS(Resultados_Caja!$F$16:$FF$16,Calendario!$F$7:$FF$7,13)</f>
        <v>0</v>
      </c>
    </row>
    <row r="115" customFormat="false" ht="15" hidden="false" customHeight="false" outlineLevel="0" collapsed="false">
      <c r="A115" s="2" t="s">
        <v>1460</v>
      </c>
      <c r="B115" s="8" t="s">
        <v>1461</v>
      </c>
      <c r="C115" s="8" t="s">
        <v>255</v>
      </c>
      <c r="D115" s="67" t="n">
        <f aca="false">SUM(E115:R115)</f>
        <v>1179349.26034269</v>
      </c>
      <c r="E115" s="13" t="n">
        <f aca="false">SUMIFS(Resultados_Caja!$F$17:$FF$17,Calendario!$F$7:$FF$7,0)</f>
        <v>0</v>
      </c>
      <c r="F115" s="13" t="n">
        <f aca="false">SUMIFS(Resultados_Caja!$F$17:$FF$17,Calendario!$F$7:$FF$7,1)</f>
        <v>74182.8452054795</v>
      </c>
      <c r="G115" s="13" t="n">
        <f aca="false">SUMIFS(Resultados_Caja!$F$17:$FF$17,Calendario!$F$7:$FF$7,2)</f>
        <v>91638.7551369863</v>
      </c>
      <c r="H115" s="13" t="n">
        <f aca="false">SUMIFS(Resultados_Caja!$F$17:$FF$17,Calendario!$F$7:$FF$7,3)</f>
        <v>111201.737609589</v>
      </c>
      <c r="I115" s="13" t="n">
        <f aca="false">SUMIFS(Resultados_Caja!$F$17:$FF$17,Calendario!$F$7:$FF$7,4)</f>
        <v>126945.1673955</v>
      </c>
      <c r="J115" s="13" t="n">
        <f aca="false">SUMIFS(Resultados_Caja!$F$17:$FF$17,Calendario!$F$7:$FF$7,5)</f>
        <v>127756.483069455</v>
      </c>
      <c r="K115" s="13" t="n">
        <f aca="false">SUMIFS(Resultados_Caja!$F$17:$FF$17,Calendario!$F$7:$FF$7,6)</f>
        <v>128575.91190015</v>
      </c>
      <c r="L115" s="13" t="n">
        <f aca="false">SUMIFS(Resultados_Caja!$F$17:$FF$17,Calendario!$F$7:$FF$7,7)</f>
        <v>129403.535019151</v>
      </c>
      <c r="M115" s="13" t="n">
        <f aca="false">SUMIFS(Resultados_Caja!$F$17:$FF$17,Calendario!$F$7:$FF$7,8)</f>
        <v>130239.434369343</v>
      </c>
      <c r="N115" s="13" t="n">
        <f aca="false">SUMIFS(Resultados_Caja!$F$17:$FF$17,Calendario!$F$7:$FF$7,9)</f>
        <v>131083.692713036</v>
      </c>
      <c r="O115" s="13" t="n">
        <f aca="false">SUMIFS(Resultados_Caja!$F$17:$FF$17,Calendario!$F$7:$FF$7,10)</f>
        <v>128321.697923997</v>
      </c>
      <c r="P115" s="13" t="n">
        <f aca="false">SUMIFS(Resultados_Caja!$F$17:$FF$17,Calendario!$F$7:$FF$7,11)</f>
        <v>0</v>
      </c>
      <c r="Q115" s="13" t="n">
        <f aca="false">SUMIFS(Resultados_Caja!$F$17:$FF$17,Calendario!$F$7:$FF$7,12)</f>
        <v>0</v>
      </c>
      <c r="R115" s="13" t="n">
        <f aca="false">SUMIFS(Resultados_Caja!$F$17:$FF$17,Calendario!$F$7:$FF$7,13)</f>
        <v>0</v>
      </c>
    </row>
    <row r="116" customFormat="false" ht="15" hidden="false" customHeight="false" outlineLevel="0" collapsed="false">
      <c r="A116" s="2" t="s">
        <v>1462</v>
      </c>
      <c r="B116" s="8" t="s">
        <v>1001</v>
      </c>
      <c r="C116" s="8" t="s">
        <v>255</v>
      </c>
      <c r="D116" s="67" t="n">
        <f aca="false">SUM(E116:R116)</f>
        <v>522330.829264744</v>
      </c>
      <c r="E116" s="13" t="n">
        <f aca="false">SUMIFS(Resultados_Caja!$F$18:$FF$18,Calendario!$F$7:$FF$7,0)</f>
        <v>0</v>
      </c>
      <c r="F116" s="13" t="n">
        <f aca="false">SUMIFS(Resultados_Caja!$F$18:$FF$18,Calendario!$F$7:$FF$7,1)</f>
        <v>34084.4131230521</v>
      </c>
      <c r="G116" s="13" t="n">
        <f aca="false">SUMIFS(Resultados_Caja!$F$18:$FF$18,Calendario!$F$7:$FF$7,2)</f>
        <v>41142.2168901754</v>
      </c>
      <c r="H116" s="13" t="n">
        <f aca="false">SUMIFS(Resultados_Caja!$F$18:$FF$18,Calendario!$F$7:$FF$7,3)</f>
        <v>49356.4617369068</v>
      </c>
      <c r="I116" s="13" t="n">
        <f aca="false">SUMIFS(Resultados_Caja!$F$18:$FF$18,Calendario!$F$7:$FF$7,4)</f>
        <v>55938.3373339345</v>
      </c>
      <c r="J116" s="13" t="n">
        <f aca="false">SUMIFS(Resultados_Caja!$F$18:$FF$18,Calendario!$F$7:$FF$7,5)</f>
        <v>56518.7403876291</v>
      </c>
      <c r="K116" s="13" t="n">
        <f aca="false">SUMIFS(Resultados_Caja!$F$18:$FF$18,Calendario!$F$7:$FF$7,6)</f>
        <v>56791.883331194</v>
      </c>
      <c r="L116" s="13" t="n">
        <f aca="false">SUMIFS(Resultados_Caja!$F$18:$FF$18,Calendario!$F$7:$FF$7,7)</f>
        <v>57067.7577041945</v>
      </c>
      <c r="M116" s="13" t="n">
        <f aca="false">SUMIFS(Resultados_Caja!$F$18:$FF$18,Calendario!$F$7:$FF$7,8)</f>
        <v>57346.390820925</v>
      </c>
      <c r="N116" s="13" t="n">
        <f aca="false">SUMIFS(Resultados_Caja!$F$18:$FF$18,Calendario!$F$7:$FF$7,9)</f>
        <v>57627.8102688228</v>
      </c>
      <c r="O116" s="13" t="n">
        <f aca="false">SUMIFS(Resultados_Caja!$F$18:$FF$18,Calendario!$F$7:$FF$7,10)</f>
        <v>56456.8176679104</v>
      </c>
      <c r="P116" s="13" t="n">
        <f aca="false">SUMIFS(Resultados_Caja!$F$18:$FF$18,Calendario!$F$7:$FF$7,11)</f>
        <v>0</v>
      </c>
      <c r="Q116" s="13" t="n">
        <f aca="false">SUMIFS(Resultados_Caja!$F$18:$FF$18,Calendario!$F$7:$FF$7,12)</f>
        <v>0</v>
      </c>
      <c r="R116" s="13" t="n">
        <f aca="false">SUMIFS(Resultados_Caja!$F$18:$FF$18,Calendario!$F$7:$FF$7,13)</f>
        <v>0</v>
      </c>
    </row>
    <row r="117" customFormat="false" ht="15" hidden="false" customHeight="false" outlineLevel="0" collapsed="false">
      <c r="A117" s="2" t="s">
        <v>1463</v>
      </c>
      <c r="B117" s="8" t="s">
        <v>1816</v>
      </c>
      <c r="C117" s="8" t="s">
        <v>255</v>
      </c>
      <c r="D117" s="67" t="n">
        <f aca="false">SUM(E117:R117)</f>
        <v>4532548.91505156</v>
      </c>
      <c r="E117" s="13" t="n">
        <f aca="false">SUMIFS(Resultados_Caja!$F$19:$FF$19,Calendario!$F$7:$FF$7,0)</f>
        <v>0</v>
      </c>
      <c r="F117" s="13" t="n">
        <f aca="false">SUMIFS(Resultados_Caja!$F$19:$FF$19,Calendario!$F$7:$FF$7,1)</f>
        <v>391466.70956548</v>
      </c>
      <c r="G117" s="13" t="n">
        <f aca="false">SUMIFS(Resultados_Caja!$F$19:$FF$19,Calendario!$F$7:$FF$7,2)</f>
        <v>391466.70956548</v>
      </c>
      <c r="H117" s="13" t="n">
        <f aca="false">SUMIFS(Resultados_Caja!$F$19:$FF$19,Calendario!$F$7:$FF$7,3)</f>
        <v>423211.723690685</v>
      </c>
      <c r="I117" s="13" t="n">
        <f aca="false">SUMIFS(Resultados_Caja!$F$19:$FF$19,Calendario!$F$7:$FF$7,4)</f>
        <v>448632.153543452</v>
      </c>
      <c r="J117" s="13" t="n">
        <f aca="false">SUMIFS(Resultados_Caja!$F$19:$FF$19,Calendario!$F$7:$FF$7,5)</f>
        <v>479628.603114411</v>
      </c>
      <c r="K117" s="13" t="n">
        <f aca="false">SUMIFS(Resultados_Caja!$F$19:$FF$19,Calendario!$F$7:$FF$7,6)</f>
        <v>479628.603114411</v>
      </c>
      <c r="L117" s="13" t="n">
        <f aca="false">SUMIFS(Resultados_Caja!$F$19:$FF$19,Calendario!$F$7:$FF$7,7)</f>
        <v>479628.603114411</v>
      </c>
      <c r="M117" s="13" t="n">
        <f aca="false">SUMIFS(Resultados_Caja!$F$19:$FF$19,Calendario!$F$7:$FF$7,8)</f>
        <v>479628.603114411</v>
      </c>
      <c r="N117" s="13" t="n">
        <f aca="false">SUMIFS(Resultados_Caja!$F$19:$FF$19,Calendario!$F$7:$FF$7,9)</f>
        <v>479628.603114411</v>
      </c>
      <c r="O117" s="13" t="n">
        <f aca="false">SUMIFS(Resultados_Caja!$F$19:$FF$19,Calendario!$F$7:$FF$7,10)</f>
        <v>479628.603114411</v>
      </c>
      <c r="P117" s="13" t="n">
        <f aca="false">SUMIFS(Resultados_Caja!$F$19:$FF$19,Calendario!$F$7:$FF$7,11)</f>
        <v>0</v>
      </c>
      <c r="Q117" s="13" t="n">
        <f aca="false">SUMIFS(Resultados_Caja!$F$19:$FF$19,Calendario!$F$7:$FF$7,12)</f>
        <v>0</v>
      </c>
      <c r="R117" s="13" t="n">
        <f aca="false">SUMIFS(Resultados_Caja!$F$19:$FF$19,Calendario!$F$7:$FF$7,13)</f>
        <v>0</v>
      </c>
    </row>
    <row r="118" customFormat="false" ht="15" hidden="false" customHeight="false" outlineLevel="0" collapsed="false">
      <c r="A118" s="2" t="s">
        <v>1465</v>
      </c>
      <c r="B118" s="8" t="s">
        <v>1466</v>
      </c>
      <c r="C118" s="8" t="s">
        <v>255</v>
      </c>
      <c r="D118" s="67" t="n">
        <f aca="false">SUM(E118:R118)</f>
        <v>2451899.38788164</v>
      </c>
      <c r="E118" s="13" t="n">
        <f aca="false">SUMIFS(Resultados_Caja!$F$20:$FF$20,Calendario!$F$7:$FF$7,0)</f>
        <v>0</v>
      </c>
      <c r="F118" s="13" t="n">
        <f aca="false">SUMIFS(Resultados_Caja!$F$20:$FF$20,Calendario!$F$7:$FF$7,1)</f>
        <v>245189.938788164</v>
      </c>
      <c r="G118" s="13" t="n">
        <f aca="false">SUMIFS(Resultados_Caja!$F$20:$FF$20,Calendario!$F$7:$FF$7,2)</f>
        <v>245189.938788164</v>
      </c>
      <c r="H118" s="13" t="n">
        <f aca="false">SUMIFS(Resultados_Caja!$F$20:$FF$20,Calendario!$F$7:$FF$7,3)</f>
        <v>245189.938788164</v>
      </c>
      <c r="I118" s="13" t="n">
        <f aca="false">SUMIFS(Resultados_Caja!$F$20:$FF$20,Calendario!$F$7:$FF$7,4)</f>
        <v>245189.938788164</v>
      </c>
      <c r="J118" s="13" t="n">
        <f aca="false">SUMIFS(Resultados_Caja!$F$20:$FF$20,Calendario!$F$7:$FF$7,5)</f>
        <v>245189.938788164</v>
      </c>
      <c r="K118" s="13" t="n">
        <f aca="false">SUMIFS(Resultados_Caja!$F$20:$FF$20,Calendario!$F$7:$FF$7,6)</f>
        <v>245189.938788164</v>
      </c>
      <c r="L118" s="13" t="n">
        <f aca="false">SUMIFS(Resultados_Caja!$F$20:$FF$20,Calendario!$F$7:$FF$7,7)</f>
        <v>245189.938788164</v>
      </c>
      <c r="M118" s="13" t="n">
        <f aca="false">SUMIFS(Resultados_Caja!$F$20:$FF$20,Calendario!$F$7:$FF$7,8)</f>
        <v>245189.938788164</v>
      </c>
      <c r="N118" s="13" t="n">
        <f aca="false">SUMIFS(Resultados_Caja!$F$20:$FF$20,Calendario!$F$7:$FF$7,9)</f>
        <v>245189.938788164</v>
      </c>
      <c r="O118" s="13" t="n">
        <f aca="false">SUMIFS(Resultados_Caja!$F$20:$FF$20,Calendario!$F$7:$FF$7,10)</f>
        <v>245189.938788164</v>
      </c>
      <c r="P118" s="13" t="n">
        <f aca="false">SUMIFS(Resultados_Caja!$F$20:$FF$20,Calendario!$F$7:$FF$7,11)</f>
        <v>0</v>
      </c>
      <c r="Q118" s="13" t="n">
        <f aca="false">SUMIFS(Resultados_Caja!$F$20:$FF$20,Calendario!$F$7:$FF$7,12)</f>
        <v>0</v>
      </c>
      <c r="R118" s="13" t="n">
        <f aca="false">SUMIFS(Resultados_Caja!$F$20:$FF$20,Calendario!$F$7:$FF$7,13)</f>
        <v>0</v>
      </c>
    </row>
    <row r="119" customFormat="false" ht="15" hidden="false" customHeight="false" outlineLevel="0" collapsed="false">
      <c r="A119" s="2" t="s">
        <v>1467</v>
      </c>
      <c r="B119" s="8" t="s">
        <v>1468</v>
      </c>
      <c r="C119" s="8" t="s">
        <v>255</v>
      </c>
      <c r="D119" s="67" t="n">
        <f aca="false">SUM(E119:R119)</f>
        <v>230136.98630137</v>
      </c>
      <c r="E119" s="13" t="n">
        <f aca="false">SUMIFS(Resultados_Caja!$F$21:$FF$21,Calendario!$F$7:$FF$7,0)</f>
        <v>0</v>
      </c>
      <c r="F119" s="13" t="n">
        <f aca="false">SUMIFS(Resultados_Caja!$F$21:$FF$21,Calendario!$F$7:$FF$7,1)</f>
        <v>23013.698630137</v>
      </c>
      <c r="G119" s="13" t="n">
        <f aca="false">SUMIFS(Resultados_Caja!$F$21:$FF$21,Calendario!$F$7:$FF$7,2)</f>
        <v>23013.698630137</v>
      </c>
      <c r="H119" s="13" t="n">
        <f aca="false">SUMIFS(Resultados_Caja!$F$21:$FF$21,Calendario!$F$7:$FF$7,3)</f>
        <v>23013.698630137</v>
      </c>
      <c r="I119" s="13" t="n">
        <f aca="false">SUMIFS(Resultados_Caja!$F$21:$FF$21,Calendario!$F$7:$FF$7,4)</f>
        <v>23013.698630137</v>
      </c>
      <c r="J119" s="13" t="n">
        <f aca="false">SUMIFS(Resultados_Caja!$F$21:$FF$21,Calendario!$F$7:$FF$7,5)</f>
        <v>23013.698630137</v>
      </c>
      <c r="K119" s="13" t="n">
        <f aca="false">SUMIFS(Resultados_Caja!$F$21:$FF$21,Calendario!$F$7:$FF$7,6)</f>
        <v>23013.698630137</v>
      </c>
      <c r="L119" s="13" t="n">
        <f aca="false">SUMIFS(Resultados_Caja!$F$21:$FF$21,Calendario!$F$7:$FF$7,7)</f>
        <v>23013.698630137</v>
      </c>
      <c r="M119" s="13" t="n">
        <f aca="false">SUMIFS(Resultados_Caja!$F$21:$FF$21,Calendario!$F$7:$FF$7,8)</f>
        <v>23013.698630137</v>
      </c>
      <c r="N119" s="13" t="n">
        <f aca="false">SUMIFS(Resultados_Caja!$F$21:$FF$21,Calendario!$F$7:$FF$7,9)</f>
        <v>23013.698630137</v>
      </c>
      <c r="O119" s="13" t="n">
        <f aca="false">SUMIFS(Resultados_Caja!$F$21:$FF$21,Calendario!$F$7:$FF$7,10)</f>
        <v>23013.698630137</v>
      </c>
      <c r="P119" s="13" t="n">
        <f aca="false">SUMIFS(Resultados_Caja!$F$21:$FF$21,Calendario!$F$7:$FF$7,11)</f>
        <v>0</v>
      </c>
      <c r="Q119" s="13" t="n">
        <f aca="false">SUMIFS(Resultados_Caja!$F$21:$FF$21,Calendario!$F$7:$FF$7,12)</f>
        <v>0</v>
      </c>
      <c r="R119" s="13" t="n">
        <f aca="false">SUMIFS(Resultados_Caja!$F$21:$FF$21,Calendario!$F$7:$FF$7,13)</f>
        <v>0</v>
      </c>
    </row>
    <row r="120" customFormat="false" ht="15" hidden="false" customHeight="false" outlineLevel="0" collapsed="false">
      <c r="A120" s="2" t="s">
        <v>1469</v>
      </c>
      <c r="B120" s="8" t="s">
        <v>1470</v>
      </c>
      <c r="C120" s="8" t="s">
        <v>255</v>
      </c>
      <c r="D120" s="67" t="n">
        <f aca="false">SUM(E120:R120)</f>
        <v>323817.2</v>
      </c>
      <c r="E120" s="13" t="n">
        <f aca="false">SUMIFS(Resultados_Caja!$F$22:$FF$22,Calendario!$F$7:$FF$7,0)</f>
        <v>0</v>
      </c>
      <c r="F120" s="13" t="n">
        <f aca="false">SUMIFS(Resultados_Caja!$F$22:$FF$22,Calendario!$F$7:$FF$7,1)</f>
        <v>29708</v>
      </c>
      <c r="G120" s="13" t="n">
        <f aca="false">SUMIFS(Resultados_Caja!$F$22:$FF$22,Calendario!$F$7:$FF$7,2)</f>
        <v>30302.16</v>
      </c>
      <c r="H120" s="13" t="n">
        <f aca="false">SUMIFS(Resultados_Caja!$F$22:$FF$22,Calendario!$F$7:$FF$7,3)</f>
        <v>30896.32</v>
      </c>
      <c r="I120" s="13" t="n">
        <f aca="false">SUMIFS(Resultados_Caja!$F$22:$FF$22,Calendario!$F$7:$FF$7,4)</f>
        <v>31490.48</v>
      </c>
      <c r="J120" s="13" t="n">
        <f aca="false">SUMIFS(Resultados_Caja!$F$22:$FF$22,Calendario!$F$7:$FF$7,5)</f>
        <v>32084.64</v>
      </c>
      <c r="K120" s="13" t="n">
        <f aca="false">SUMIFS(Resultados_Caja!$F$22:$FF$22,Calendario!$F$7:$FF$7,6)</f>
        <v>32678.8</v>
      </c>
      <c r="L120" s="13" t="n">
        <f aca="false">SUMIFS(Resultados_Caja!$F$22:$FF$22,Calendario!$F$7:$FF$7,7)</f>
        <v>33272.96</v>
      </c>
      <c r="M120" s="13" t="n">
        <f aca="false">SUMIFS(Resultados_Caja!$F$22:$FF$22,Calendario!$F$7:$FF$7,8)</f>
        <v>33867.12</v>
      </c>
      <c r="N120" s="13" t="n">
        <f aca="false">SUMIFS(Resultados_Caja!$F$22:$FF$22,Calendario!$F$7:$FF$7,9)</f>
        <v>34461.28</v>
      </c>
      <c r="O120" s="13" t="n">
        <f aca="false">SUMIFS(Resultados_Caja!$F$22:$FF$22,Calendario!$F$7:$FF$7,10)</f>
        <v>35055.44</v>
      </c>
      <c r="P120" s="13" t="n">
        <f aca="false">SUMIFS(Resultados_Caja!$F$22:$FF$22,Calendario!$F$7:$FF$7,11)</f>
        <v>0</v>
      </c>
      <c r="Q120" s="13" t="n">
        <f aca="false">SUMIFS(Resultados_Caja!$F$22:$FF$22,Calendario!$F$7:$FF$7,12)</f>
        <v>0</v>
      </c>
      <c r="R120" s="13" t="n">
        <f aca="false">SUMIFS(Resultados_Caja!$F$22:$FF$22,Calendario!$F$7:$FF$7,13)</f>
        <v>0</v>
      </c>
    </row>
    <row r="121" customFormat="false" ht="15" hidden="false" customHeight="false" outlineLevel="0" collapsed="false">
      <c r="A121" s="2" t="s">
        <v>1471</v>
      </c>
      <c r="B121" s="8" t="s">
        <v>1095</v>
      </c>
      <c r="C121" s="8" t="s">
        <v>255</v>
      </c>
      <c r="D121" s="67" t="n">
        <f aca="false">SUM(E121:R121)</f>
        <v>2851091.95189933</v>
      </c>
      <c r="E121" s="13" t="n">
        <f aca="false">SUMIFS(Resultados_Caja!$F$23:$FF$23,Calendario!$F$7:$FF$7,0)</f>
        <v>0</v>
      </c>
      <c r="F121" s="13" t="n">
        <f aca="false">SUMIFS(Resultados_Caja!$F$23:$FF$23,Calendario!$F$7:$FF$7,1)</f>
        <v>190973.510402602</v>
      </c>
      <c r="G121" s="13" t="n">
        <f aca="false">SUMIFS(Resultados_Caja!$F$23:$FF$23,Calendario!$F$7:$FF$7,2)</f>
        <v>227584.48292315</v>
      </c>
      <c r="H121" s="13" t="n">
        <f aca="false">SUMIFS(Resultados_Caja!$F$23:$FF$23,Calendario!$F$7:$FF$7,3)</f>
        <v>270142.143472774</v>
      </c>
      <c r="I121" s="13" t="n">
        <f aca="false">SUMIFS(Resultados_Caja!$F$23:$FF$23,Calendario!$F$7:$FF$7,4)</f>
        <v>304254.839648559</v>
      </c>
      <c r="J121" s="13" t="n">
        <f aca="false">SUMIFS(Resultados_Caja!$F$23:$FF$23,Calendario!$F$7:$FF$7,5)</f>
        <v>307260.49157213</v>
      </c>
      <c r="K121" s="13" t="n">
        <f aca="false">SUMIFS(Resultados_Caja!$F$23:$FF$23,Calendario!$F$7:$FF$7,6)</f>
        <v>308714.929024569</v>
      </c>
      <c r="L121" s="13" t="n">
        <f aca="false">SUMIFS(Resultados_Caja!$F$23:$FF$23,Calendario!$F$7:$FF$7,7)</f>
        <v>310183.613771533</v>
      </c>
      <c r="M121" s="13" t="n">
        <f aca="false">SUMIFS(Resultados_Caja!$F$23:$FF$23,Calendario!$F$7:$FF$7,8)</f>
        <v>311666.688285966</v>
      </c>
      <c r="N121" s="13" t="n">
        <f aca="false">SUMIFS(Resultados_Caja!$F$23:$FF$23,Calendario!$F$7:$FF$7,9)</f>
        <v>313164.296465544</v>
      </c>
      <c r="O121" s="13" t="n">
        <f aca="false">SUMIFS(Resultados_Caja!$F$23:$FF$23,Calendario!$F$7:$FF$7,10)</f>
        <v>307146.956332499</v>
      </c>
      <c r="P121" s="13" t="n">
        <f aca="false">SUMIFS(Resultados_Caja!$F$23:$FF$23,Calendario!$F$7:$FF$7,11)</f>
        <v>0</v>
      </c>
      <c r="Q121" s="13" t="n">
        <f aca="false">SUMIFS(Resultados_Caja!$F$23:$FF$23,Calendario!$F$7:$FF$7,12)</f>
        <v>0</v>
      </c>
      <c r="R121" s="13" t="n">
        <f aca="false">SUMIFS(Resultados_Caja!$F$23:$FF$23,Calendario!$F$7:$FF$7,13)</f>
        <v>0</v>
      </c>
    </row>
    <row r="122" customFormat="false" ht="15" hidden="false" customHeight="false" outlineLevel="0" collapsed="false">
      <c r="A122" s="2" t="s">
        <v>1479</v>
      </c>
      <c r="B122" s="8" t="s">
        <v>310</v>
      </c>
      <c r="C122" s="8" t="s">
        <v>255</v>
      </c>
      <c r="D122" s="67" t="n">
        <f aca="false">SUM(E122:R122)</f>
        <v>812224.477216454</v>
      </c>
      <c r="E122" s="13" t="n">
        <f aca="false">SUMIFS(Resultados_Caja!$F$28:$FF$28,Calendario!$F$7:$FF$7,0)</f>
        <v>0</v>
      </c>
      <c r="F122" s="13" t="n">
        <f aca="false">SUMIFS(Resultados_Caja!$F$28:$FF$28,Calendario!$F$7:$FF$7,1)</f>
        <v>48500</v>
      </c>
      <c r="G122" s="13" t="n">
        <f aca="false">SUMIFS(Resultados_Caja!$F$28:$FF$28,Calendario!$F$7:$FF$7,2)</f>
        <v>61812</v>
      </c>
      <c r="H122" s="13" t="n">
        <f aca="false">SUMIFS(Resultados_Caja!$F$28:$FF$28,Calendario!$F$7:$FF$7,3)</f>
        <v>75385.39</v>
      </c>
      <c r="I122" s="13" t="n">
        <f aca="false">SUMIFS(Resultados_Caja!$F$28:$FF$28,Calendario!$F$7:$FF$7,4)</f>
        <v>86854.3743</v>
      </c>
      <c r="J122" s="13" t="n">
        <f aca="false">SUMIFS(Resultados_Caja!$F$28:$FF$28,Calendario!$F$7:$FF$7,5)</f>
        <v>87722.918043</v>
      </c>
      <c r="K122" s="13" t="n">
        <f aca="false">SUMIFS(Resultados_Caja!$F$28:$FF$28,Calendario!$F$7:$FF$7,6)</f>
        <v>88600.14722343</v>
      </c>
      <c r="L122" s="13" t="n">
        <f aca="false">SUMIFS(Resultados_Caja!$F$28:$FF$28,Calendario!$F$7:$FF$7,7)</f>
        <v>89486.1486956643</v>
      </c>
      <c r="M122" s="13" t="n">
        <f aca="false">SUMIFS(Resultados_Caja!$F$28:$FF$28,Calendario!$F$7:$FF$7,8)</f>
        <v>90381.0101826209</v>
      </c>
      <c r="N122" s="13" t="n">
        <f aca="false">SUMIFS(Resultados_Caja!$F$28:$FF$28,Calendario!$F$7:$FF$7,9)</f>
        <v>91284.8202844472</v>
      </c>
      <c r="O122" s="13" t="n">
        <f aca="false">SUMIFS(Resultados_Caja!$F$28:$FF$28,Calendario!$F$7:$FF$7,10)</f>
        <v>92197.6684872916</v>
      </c>
      <c r="P122" s="13" t="n">
        <f aca="false">SUMIFS(Resultados_Caja!$F$28:$FF$28,Calendario!$F$7:$FF$7,11)</f>
        <v>0</v>
      </c>
      <c r="Q122" s="13" t="n">
        <f aca="false">SUMIFS(Resultados_Caja!$F$28:$FF$28,Calendario!$F$7:$FF$7,12)</f>
        <v>0</v>
      </c>
      <c r="R122" s="13" t="n">
        <f aca="false">SUMIFS(Resultados_Caja!$F$28:$FF$28,Calendario!$F$7:$FF$7,13)</f>
        <v>0</v>
      </c>
    </row>
    <row r="123" customFormat="false" ht="15" hidden="false" customHeight="false" outlineLevel="0" collapsed="false">
      <c r="A123" s="2" t="s">
        <v>1481</v>
      </c>
      <c r="B123" s="8" t="s">
        <v>1003</v>
      </c>
      <c r="C123" s="8" t="s">
        <v>255</v>
      </c>
      <c r="D123" s="67" t="n">
        <f aca="false">SUM(E123:R123)</f>
        <v>81222.4477216454</v>
      </c>
      <c r="E123" s="13" t="n">
        <f aca="false">SUMIFS(Resultados_Caja!$F$29:$FF$29,Calendario!$F$7:$FF$7,0)</f>
        <v>0</v>
      </c>
      <c r="F123" s="13" t="n">
        <f aca="false">SUMIFS(Resultados_Caja!$F$29:$FF$29,Calendario!$F$7:$FF$7,1)</f>
        <v>4850</v>
      </c>
      <c r="G123" s="13" t="n">
        <f aca="false">SUMIFS(Resultados_Caja!$F$29:$FF$29,Calendario!$F$7:$FF$7,2)</f>
        <v>6181.2</v>
      </c>
      <c r="H123" s="13" t="n">
        <f aca="false">SUMIFS(Resultados_Caja!$F$29:$FF$29,Calendario!$F$7:$FF$7,3)</f>
        <v>7538.539</v>
      </c>
      <c r="I123" s="13" t="n">
        <f aca="false">SUMIFS(Resultados_Caja!$F$29:$FF$29,Calendario!$F$7:$FF$7,4)</f>
        <v>8685.43743</v>
      </c>
      <c r="J123" s="13" t="n">
        <f aca="false">SUMIFS(Resultados_Caja!$F$29:$FF$29,Calendario!$F$7:$FF$7,5)</f>
        <v>8772.2918043</v>
      </c>
      <c r="K123" s="13" t="n">
        <f aca="false">SUMIFS(Resultados_Caja!$F$29:$FF$29,Calendario!$F$7:$FF$7,6)</f>
        <v>8860.014722343</v>
      </c>
      <c r="L123" s="13" t="n">
        <f aca="false">SUMIFS(Resultados_Caja!$F$29:$FF$29,Calendario!$F$7:$FF$7,7)</f>
        <v>8948.61486956643</v>
      </c>
      <c r="M123" s="13" t="n">
        <f aca="false">SUMIFS(Resultados_Caja!$F$29:$FF$29,Calendario!$F$7:$FF$7,8)</f>
        <v>9038.10101826209</v>
      </c>
      <c r="N123" s="13" t="n">
        <f aca="false">SUMIFS(Resultados_Caja!$F$29:$FF$29,Calendario!$F$7:$FF$7,9)</f>
        <v>9128.48202844472</v>
      </c>
      <c r="O123" s="13" t="n">
        <f aca="false">SUMIFS(Resultados_Caja!$F$29:$FF$29,Calendario!$F$7:$FF$7,10)</f>
        <v>9219.76684872916</v>
      </c>
      <c r="P123" s="13" t="n">
        <f aca="false">SUMIFS(Resultados_Caja!$F$29:$FF$29,Calendario!$F$7:$FF$7,11)</f>
        <v>0</v>
      </c>
      <c r="Q123" s="13" t="n">
        <f aca="false">SUMIFS(Resultados_Caja!$F$29:$FF$29,Calendario!$F$7:$FF$7,12)</f>
        <v>0</v>
      </c>
      <c r="R123" s="13" t="n">
        <f aca="false">SUMIFS(Resultados_Caja!$F$29:$FF$29,Calendario!$F$7:$FF$7,13)</f>
        <v>0</v>
      </c>
    </row>
    <row r="124" customFormat="false" ht="15" hidden="false" customHeight="false" outlineLevel="0" collapsed="false">
      <c r="A124" s="2" t="s">
        <v>1482</v>
      </c>
      <c r="B124" s="8" t="s">
        <v>1817</v>
      </c>
      <c r="C124" s="8" t="s">
        <v>255</v>
      </c>
      <c r="D124" s="67" t="n">
        <f aca="false">SUM(E124:R124)</f>
        <v>0</v>
      </c>
      <c r="E124" s="13" t="n">
        <f aca="false">SUMIFS(Resultados_Caja!$F$30:$FF$30,Calendario!$F$7:$FF$7,0)</f>
        <v>0</v>
      </c>
      <c r="F124" s="13" t="n">
        <f aca="false">SUMIFS(Resultados_Caja!$F$30:$FF$30,Calendario!$F$7:$FF$7,1)</f>
        <v>0</v>
      </c>
      <c r="G124" s="13" t="n">
        <f aca="false">SUMIFS(Resultados_Caja!$F$30:$FF$30,Calendario!$F$7:$FF$7,2)</f>
        <v>0</v>
      </c>
      <c r="H124" s="13" t="n">
        <f aca="false">SUMIFS(Resultados_Caja!$F$30:$FF$30,Calendario!$F$7:$FF$7,3)</f>
        <v>0</v>
      </c>
      <c r="I124" s="13" t="n">
        <f aca="false">SUMIFS(Resultados_Caja!$F$30:$FF$30,Calendario!$F$7:$FF$7,4)</f>
        <v>0</v>
      </c>
      <c r="J124" s="13" t="n">
        <f aca="false">SUMIFS(Resultados_Caja!$F$30:$FF$30,Calendario!$F$7:$FF$7,5)</f>
        <v>0</v>
      </c>
      <c r="K124" s="13" t="n">
        <f aca="false">SUMIFS(Resultados_Caja!$F$30:$FF$30,Calendario!$F$7:$FF$7,6)</f>
        <v>0</v>
      </c>
      <c r="L124" s="13" t="n">
        <f aca="false">SUMIFS(Resultados_Caja!$F$30:$FF$30,Calendario!$F$7:$FF$7,7)</f>
        <v>0</v>
      </c>
      <c r="M124" s="13" t="n">
        <f aca="false">SUMIFS(Resultados_Caja!$F$30:$FF$30,Calendario!$F$7:$FF$7,8)</f>
        <v>0</v>
      </c>
      <c r="N124" s="13" t="n">
        <f aca="false">SUMIFS(Resultados_Caja!$F$30:$FF$30,Calendario!$F$7:$FF$7,9)</f>
        <v>0</v>
      </c>
      <c r="O124" s="13" t="n">
        <f aca="false">SUMIFS(Resultados_Caja!$F$30:$FF$30,Calendario!$F$7:$FF$7,10)</f>
        <v>0</v>
      </c>
      <c r="P124" s="13" t="n">
        <f aca="false">SUMIFS(Resultados_Caja!$F$30:$FF$30,Calendario!$F$7:$FF$7,11)</f>
        <v>0</v>
      </c>
      <c r="Q124" s="13" t="n">
        <f aca="false">SUMIFS(Resultados_Caja!$F$30:$FF$30,Calendario!$F$7:$FF$7,12)</f>
        <v>0</v>
      </c>
      <c r="R124" s="13" t="n">
        <f aca="false">SUMIFS(Resultados_Caja!$F$30:$FF$30,Calendario!$F$7:$FF$7,13)</f>
        <v>0</v>
      </c>
    </row>
    <row r="125" customFormat="false" ht="15" hidden="false" customHeight="false" outlineLevel="0" collapsed="false">
      <c r="A125" s="2" t="s">
        <v>1818</v>
      </c>
      <c r="B125" s="8" t="s">
        <v>629</v>
      </c>
      <c r="C125" s="8" t="s">
        <v>255</v>
      </c>
      <c r="D125" s="67" t="n">
        <f aca="false">SUM(E125:R125)</f>
        <v>0</v>
      </c>
      <c r="E125" s="13" t="n">
        <f aca="false">SUMIFS(Resultados_Caja!$F$31:$FF$31,Calendario!$F$7:$FF$7,0)</f>
        <v>0</v>
      </c>
      <c r="F125" s="13" t="n">
        <f aca="false">SUMIFS(Resultados_Caja!$F$31:$FF$31,Calendario!$F$7:$FF$7,1)</f>
        <v>0</v>
      </c>
      <c r="G125" s="13" t="n">
        <f aca="false">SUMIFS(Resultados_Caja!$F$31:$FF$31,Calendario!$F$7:$FF$7,2)</f>
        <v>0</v>
      </c>
      <c r="H125" s="13" t="n">
        <f aca="false">SUMIFS(Resultados_Caja!$F$31:$FF$31,Calendario!$F$7:$FF$7,3)</f>
        <v>0</v>
      </c>
      <c r="I125" s="13" t="n">
        <f aca="false">SUMIFS(Resultados_Caja!$F$31:$FF$31,Calendario!$F$7:$FF$7,4)</f>
        <v>0</v>
      </c>
      <c r="J125" s="13" t="n">
        <f aca="false">SUMIFS(Resultados_Caja!$F$31:$FF$31,Calendario!$F$7:$FF$7,5)</f>
        <v>0</v>
      </c>
      <c r="K125" s="13" t="n">
        <f aca="false">SUMIFS(Resultados_Caja!$F$31:$FF$31,Calendario!$F$7:$FF$7,6)</f>
        <v>0</v>
      </c>
      <c r="L125" s="13" t="n">
        <f aca="false">SUMIFS(Resultados_Caja!$F$31:$FF$31,Calendario!$F$7:$FF$7,7)</f>
        <v>0</v>
      </c>
      <c r="M125" s="13" t="n">
        <f aca="false">SUMIFS(Resultados_Caja!$F$31:$FF$31,Calendario!$F$7:$FF$7,8)</f>
        <v>0</v>
      </c>
      <c r="N125" s="13" t="n">
        <f aca="false">SUMIFS(Resultados_Caja!$F$31:$FF$31,Calendario!$F$7:$FF$7,9)</f>
        <v>0</v>
      </c>
      <c r="O125" s="13" t="n">
        <f aca="false">SUMIFS(Resultados_Caja!$F$31:$FF$31,Calendario!$F$7:$FF$7,10)</f>
        <v>0</v>
      </c>
      <c r="P125" s="13" t="n">
        <f aca="false">SUMIFS(Resultados_Caja!$F$31:$FF$31,Calendario!$F$7:$FF$7,11)</f>
        <v>0</v>
      </c>
      <c r="Q125" s="13" t="n">
        <f aca="false">SUMIFS(Resultados_Caja!$F$31:$FF$31,Calendario!$F$7:$FF$7,12)</f>
        <v>0</v>
      </c>
      <c r="R125" s="13" t="n">
        <f aca="false">SUMIFS(Resultados_Caja!$F$31:$FF$31,Calendario!$F$7:$FF$7,13)</f>
        <v>0</v>
      </c>
    </row>
    <row r="126" customFormat="false" ht="15" hidden="false" customHeight="false" outlineLevel="0" collapsed="false">
      <c r="A126" s="2" t="s">
        <v>1487</v>
      </c>
      <c r="B126" s="8" t="s">
        <v>1819</v>
      </c>
      <c r="C126" s="8" t="s">
        <v>255</v>
      </c>
      <c r="D126" s="67" t="n">
        <f aca="false">SUM(E126:R126)</f>
        <v>2339456.77885046</v>
      </c>
      <c r="E126" s="13" t="n">
        <f aca="false">SUMIFS(Resultados_Caja!$F$34:$FF$34,Calendario!$F$7:$FF$7,0)</f>
        <v>0</v>
      </c>
      <c r="F126" s="13" t="n">
        <f aca="false">SUMIFS(Resultados_Caja!$F$34:$FF$34,Calendario!$F$7:$FF$7,1)</f>
        <v>204072</v>
      </c>
      <c r="G126" s="13" t="n">
        <f aca="false">SUMIFS(Resultados_Caja!$F$34:$FF$34,Calendario!$F$7:$FF$7,2)</f>
        <v>210194.16</v>
      </c>
      <c r="H126" s="13" t="n">
        <f aca="false">SUMIFS(Resultados_Caja!$F$34:$FF$34,Calendario!$F$7:$FF$7,3)</f>
        <v>216499.9848</v>
      </c>
      <c r="I126" s="13" t="n">
        <f aca="false">SUMIFS(Resultados_Caja!$F$34:$FF$34,Calendario!$F$7:$FF$7,4)</f>
        <v>222994.984344</v>
      </c>
      <c r="J126" s="13" t="n">
        <f aca="false">SUMIFS(Resultados_Caja!$F$34:$FF$34,Calendario!$F$7:$FF$7,5)</f>
        <v>229684.83387432</v>
      </c>
      <c r="K126" s="13" t="n">
        <f aca="false">SUMIFS(Resultados_Caja!$F$34:$FF$34,Calendario!$F$7:$FF$7,6)</f>
        <v>236575.37889055</v>
      </c>
      <c r="L126" s="13" t="n">
        <f aca="false">SUMIFS(Resultados_Caja!$F$34:$FF$34,Calendario!$F$7:$FF$7,7)</f>
        <v>243672.640257266</v>
      </c>
      <c r="M126" s="13" t="n">
        <f aca="false">SUMIFS(Resultados_Caja!$F$34:$FF$34,Calendario!$F$7:$FF$7,8)</f>
        <v>250982.819464984</v>
      </c>
      <c r="N126" s="13" t="n">
        <f aca="false">SUMIFS(Resultados_Caja!$F$34:$FF$34,Calendario!$F$7:$FF$7,9)</f>
        <v>258512.304048934</v>
      </c>
      <c r="O126" s="13" t="n">
        <f aca="false">SUMIFS(Resultados_Caja!$F$34:$FF$34,Calendario!$F$7:$FF$7,10)</f>
        <v>266267.673170402</v>
      </c>
      <c r="P126" s="13" t="n">
        <f aca="false">SUMIFS(Resultados_Caja!$F$34:$FF$34,Calendario!$F$7:$FF$7,11)</f>
        <v>0</v>
      </c>
      <c r="Q126" s="13" t="n">
        <f aca="false">SUMIFS(Resultados_Caja!$F$34:$FF$34,Calendario!$F$7:$FF$7,12)</f>
        <v>0</v>
      </c>
      <c r="R126" s="13" t="n">
        <f aca="false">SUMIFS(Resultados_Caja!$F$34:$FF$34,Calendario!$F$7:$FF$7,13)</f>
        <v>0</v>
      </c>
    </row>
    <row r="127" customFormat="false" ht="15" hidden="false" customHeight="false" outlineLevel="0" collapsed="false">
      <c r="A127" s="2" t="s">
        <v>1820</v>
      </c>
      <c r="B127" s="8" t="s">
        <v>1051</v>
      </c>
      <c r="C127" s="8" t="s">
        <v>255</v>
      </c>
      <c r="D127" s="67" t="n">
        <f aca="false">SUM(E127:R127)</f>
        <v>8059646.82920334</v>
      </c>
      <c r="E127" s="13" t="n">
        <f aca="false">SUMIFS(Costos_Personal!$F$98:$FF$98,Calendario!$F$7:$FF$7,0)</f>
        <v>0</v>
      </c>
      <c r="F127" s="13" t="n">
        <f aca="false">SUMIFS(Costos_Personal!$F$98:$FF$98,Calendario!$F$7:$FF$7,1)</f>
        <v>744176.500980658</v>
      </c>
      <c r="G127" s="13" t="n">
        <f aca="false">SUMIFS(Costos_Personal!$F$98:$FF$98,Calendario!$F$7:$FF$7,2)</f>
        <v>744176.500980658</v>
      </c>
      <c r="H127" s="13" t="n">
        <f aca="false">SUMIFS(Costos_Personal!$F$98:$FF$98,Calendario!$F$7:$FF$7,3)</f>
        <v>775921.515105863</v>
      </c>
      <c r="I127" s="13" t="n">
        <f aca="false">SUMIFS(Costos_Personal!$F$98:$FF$98,Calendario!$F$7:$FF$7,4)</f>
        <v>801341.94495863</v>
      </c>
      <c r="J127" s="13" t="n">
        <f aca="false">SUMIFS(Costos_Personal!$F$98:$FF$98,Calendario!$F$7:$FF$7,5)</f>
        <v>832338.394529589</v>
      </c>
      <c r="K127" s="13" t="n">
        <f aca="false">SUMIFS(Costos_Personal!$F$98:$FF$98,Calendario!$F$7:$FF$7,6)</f>
        <v>832338.394529589</v>
      </c>
      <c r="L127" s="13" t="n">
        <f aca="false">SUMIFS(Costos_Personal!$F$98:$FF$98,Calendario!$F$7:$FF$7,7)</f>
        <v>832338.394529589</v>
      </c>
      <c r="M127" s="13" t="n">
        <f aca="false">SUMIFS(Costos_Personal!$F$98:$FF$98,Calendario!$F$7:$FF$7,8)</f>
        <v>832338.394529589</v>
      </c>
      <c r="N127" s="13" t="n">
        <f aca="false">SUMIFS(Costos_Personal!$F$98:$FF$98,Calendario!$F$7:$FF$7,9)</f>
        <v>832338.394529589</v>
      </c>
      <c r="O127" s="13" t="n">
        <f aca="false">SUMIFS(Costos_Personal!$F$98:$FF$98,Calendario!$F$7:$FF$7,10)</f>
        <v>832338.394529589</v>
      </c>
      <c r="P127" s="13" t="n">
        <f aca="false">SUMIFS(Costos_Personal!$F$98:$FF$98,Calendario!$F$7:$FF$7,11)</f>
        <v>0</v>
      </c>
      <c r="Q127" s="13" t="n">
        <f aca="false">SUMIFS(Costos_Personal!$F$98:$FF$98,Calendario!$F$7:$FF$7,12)</f>
        <v>0</v>
      </c>
      <c r="R127" s="13" t="n">
        <f aca="false">SUMIFS(Costos_Personal!$F$98:$FF$98,Calendario!$F$7:$FF$7,13)</f>
        <v>0</v>
      </c>
    </row>
    <row r="128" customFormat="false" ht="15" hidden="false" customHeight="false" outlineLevel="0" collapsed="false">
      <c r="A128" s="2" t="s">
        <v>1821</v>
      </c>
      <c r="B128" s="8" t="s">
        <v>1822</v>
      </c>
      <c r="C128" s="8" t="s">
        <v>1023</v>
      </c>
      <c r="D128" s="72" t="n">
        <f aca="false">MAX(E128:R128)</f>
        <v>74</v>
      </c>
      <c r="E128" s="19" t="n">
        <f aca="false">_xlfn.MAXIFS(Costos_Personal!$F$96:$FF$96,Calendario!$F$7:$FF$7,0)</f>
        <v>0</v>
      </c>
      <c r="F128" s="19" t="n">
        <f aca="false">_xlfn.MAXIFS(Costos_Personal!$F$96:$FF$96,Calendario!$F$7:$FF$7,1)</f>
        <v>65</v>
      </c>
      <c r="G128" s="19" t="n">
        <f aca="false">_xlfn.MAXIFS(Costos_Personal!$F$96:$FF$96,Calendario!$F$7:$FF$7,2)</f>
        <v>65</v>
      </c>
      <c r="H128" s="19" t="n">
        <f aca="false">_xlfn.MAXIFS(Costos_Personal!$F$96:$FF$96,Calendario!$F$7:$FF$7,3)</f>
        <v>68</v>
      </c>
      <c r="I128" s="19" t="n">
        <f aca="false">_xlfn.MAXIFS(Costos_Personal!$F$96:$FF$96,Calendario!$F$7:$FF$7,4)</f>
        <v>71</v>
      </c>
      <c r="J128" s="19" t="n">
        <f aca="false">_xlfn.MAXIFS(Costos_Personal!$F$96:$FF$96,Calendario!$F$7:$FF$7,5)</f>
        <v>74</v>
      </c>
      <c r="K128" s="19" t="n">
        <f aca="false">_xlfn.MAXIFS(Costos_Personal!$F$96:$FF$96,Calendario!$F$7:$FF$7,6)</f>
        <v>74</v>
      </c>
      <c r="L128" s="19" t="n">
        <f aca="false">_xlfn.MAXIFS(Costos_Personal!$F$96:$FF$96,Calendario!$F$7:$FF$7,7)</f>
        <v>74</v>
      </c>
      <c r="M128" s="19" t="n">
        <f aca="false">_xlfn.MAXIFS(Costos_Personal!$F$96:$FF$96,Calendario!$F$7:$FF$7,8)</f>
        <v>74</v>
      </c>
      <c r="N128" s="19" t="n">
        <f aca="false">_xlfn.MAXIFS(Costos_Personal!$F$96:$FF$96,Calendario!$F$7:$FF$7,9)</f>
        <v>74</v>
      </c>
      <c r="O128" s="19" t="n">
        <f aca="false">_xlfn.MAXIFS(Costos_Personal!$F$96:$FF$96,Calendario!$F$7:$FF$7,10)</f>
        <v>74</v>
      </c>
      <c r="P128" s="19" t="n">
        <f aca="false">_xlfn.MAXIFS(Costos_Personal!$F$96:$FF$96,Calendario!$F$7:$FF$7,11)</f>
        <v>0</v>
      </c>
      <c r="Q128" s="19" t="n">
        <f aca="false">_xlfn.MAXIFS(Costos_Personal!$F$96:$FF$96,Calendario!$F$7:$FF$7,12)</f>
        <v>0</v>
      </c>
      <c r="R128" s="19" t="n">
        <f aca="false">_xlfn.MAXIFS(Costos_Personal!$F$96:$FF$96,Calendario!$F$7:$FF$7,13)</f>
        <v>0</v>
      </c>
    </row>
    <row r="129" customFormat="false" ht="15" hidden="false" customHeight="false" outlineLevel="0" collapsed="false">
      <c r="A129" s="3" t="s">
        <v>1823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customFormat="false" ht="15" hidden="false" customHeight="false" outlineLevel="0" collapsed="false">
      <c r="A130" s="2" t="s">
        <v>1526</v>
      </c>
      <c r="B130" s="66" t="s">
        <v>1824</v>
      </c>
      <c r="C130" s="8" t="s">
        <v>255</v>
      </c>
      <c r="D130" s="67" t="n">
        <f aca="false">SUM(E130:R130)</f>
        <v>13328539.7982118</v>
      </c>
      <c r="E130" s="12" t="n">
        <f aca="false">SUMIFS(Resultados_Caja!$F$57:$FF$57,Calendario!$F$7:$FF$7,0)</f>
        <v>-1064142.28219178</v>
      </c>
      <c r="F130" s="12" t="n">
        <f aca="false">SUMIFS(Resultados_Caja!$F$57:$FF$57,Calendario!$F$7:$FF$7,1)</f>
        <v>-1345294.83930453</v>
      </c>
      <c r="G130" s="12" t="n">
        <f aca="false">SUMIFS(Resultados_Caja!$F$57:$FF$57,Calendario!$F$7:$FF$7,2)</f>
        <v>243737.622468869</v>
      </c>
      <c r="H130" s="12" t="n">
        <f aca="false">SUMIFS(Resultados_Caja!$F$57:$FF$57,Calendario!$F$7:$FF$7,3)</f>
        <v>726215.574744663</v>
      </c>
      <c r="I130" s="12" t="n">
        <f aca="false">SUMIFS(Resultados_Caja!$F$57:$FF$57,Calendario!$F$7:$FF$7,4)</f>
        <v>1415927.65007799</v>
      </c>
      <c r="J130" s="12" t="n">
        <f aca="false">SUMIFS(Resultados_Caja!$F$57:$FF$57,Calendario!$F$7:$FF$7,5)</f>
        <v>1777017.83929038</v>
      </c>
      <c r="K130" s="12" t="n">
        <f aca="false">SUMIFS(Resultados_Caja!$F$57:$FF$57,Calendario!$F$7:$FF$7,6)</f>
        <v>1826412.47242266</v>
      </c>
      <c r="L130" s="12" t="n">
        <f aca="false">SUMIFS(Resultados_Caja!$F$57:$FF$57,Calendario!$F$7:$FF$7,7)</f>
        <v>1875502.50213874</v>
      </c>
      <c r="M130" s="12" t="n">
        <f aca="false">SUMIFS(Resultados_Caja!$F$57:$FF$57,Calendario!$F$7:$FF$7,8)</f>
        <v>1924941.62880236</v>
      </c>
      <c r="N130" s="12" t="n">
        <f aca="false">SUMIFS(Resultados_Caja!$F$57:$FF$57,Calendario!$F$7:$FF$7,9)</f>
        <v>1974728.90212211</v>
      </c>
      <c r="O130" s="12" t="n">
        <f aca="false">SUMIFS(Resultados_Caja!$F$57:$FF$57,Calendario!$F$7:$FF$7,10)</f>
        <v>3973492.72764038</v>
      </c>
      <c r="P130" s="12" t="n">
        <f aca="false">SUMIFS(Resultados_Caja!$F$57:$FF$57,Calendario!$F$7:$FF$7,11)</f>
        <v>0</v>
      </c>
      <c r="Q130" s="12" t="n">
        <f aca="false">SUMIFS(Resultados_Caja!$F$57:$FF$57,Calendario!$F$7:$FF$7,12)</f>
        <v>0</v>
      </c>
      <c r="R130" s="12" t="n">
        <f aca="false">SUMIFS(Resultados_Caja!$F$57:$FF$57,Calendario!$F$7:$FF$7,13)</f>
        <v>0</v>
      </c>
    </row>
    <row r="131" customFormat="false" ht="15" hidden="false" customHeight="false" outlineLevel="0" collapsed="false">
      <c r="A131" s="2" t="s">
        <v>1528</v>
      </c>
      <c r="B131" s="8" t="s">
        <v>1529</v>
      </c>
      <c r="C131" s="8" t="s">
        <v>255</v>
      </c>
      <c r="D131" s="67" t="n">
        <f aca="false">SUM(E131:R131)</f>
        <v>755044.1</v>
      </c>
      <c r="E131" s="13" t="n">
        <f aca="false">SUMIFS(Resultados_Caja!$F$58:$FF$58,Calendario!$F$7:$FF$7,0)</f>
        <v>655044.1</v>
      </c>
      <c r="F131" s="13" t="n">
        <f aca="false">SUMIFS(Resultados_Caja!$F$58:$FF$58,Calendario!$F$7:$FF$7,1)</f>
        <v>0</v>
      </c>
      <c r="G131" s="13" t="n">
        <f aca="false">SUMIFS(Resultados_Caja!$F$58:$FF$58,Calendario!$F$7:$FF$7,2)</f>
        <v>100000</v>
      </c>
      <c r="H131" s="13" t="n">
        <f aca="false">SUMIFS(Resultados_Caja!$F$58:$FF$58,Calendario!$F$7:$FF$7,3)</f>
        <v>0</v>
      </c>
      <c r="I131" s="13" t="n">
        <f aca="false">SUMIFS(Resultados_Caja!$F$58:$FF$58,Calendario!$F$7:$FF$7,4)</f>
        <v>0</v>
      </c>
      <c r="J131" s="13" t="n">
        <f aca="false">SUMIFS(Resultados_Caja!$F$58:$FF$58,Calendario!$F$7:$FF$7,5)</f>
        <v>0</v>
      </c>
      <c r="K131" s="13" t="n">
        <f aca="false">SUMIFS(Resultados_Caja!$F$58:$FF$58,Calendario!$F$7:$FF$7,6)</f>
        <v>0</v>
      </c>
      <c r="L131" s="13" t="n">
        <f aca="false">SUMIFS(Resultados_Caja!$F$58:$FF$58,Calendario!$F$7:$FF$7,7)</f>
        <v>0</v>
      </c>
      <c r="M131" s="13" t="n">
        <f aca="false">SUMIFS(Resultados_Caja!$F$58:$FF$58,Calendario!$F$7:$FF$7,8)</f>
        <v>0</v>
      </c>
      <c r="N131" s="13" t="n">
        <f aca="false">SUMIFS(Resultados_Caja!$F$58:$FF$58,Calendario!$F$7:$FF$7,9)</f>
        <v>0</v>
      </c>
      <c r="O131" s="13" t="n">
        <f aca="false">SUMIFS(Resultados_Caja!$F$58:$FF$58,Calendario!$F$7:$FF$7,10)</f>
        <v>0</v>
      </c>
      <c r="P131" s="13" t="n">
        <f aca="false">SUMIFS(Resultados_Caja!$F$58:$FF$58,Calendario!$F$7:$FF$7,11)</f>
        <v>0</v>
      </c>
      <c r="Q131" s="13" t="n">
        <f aca="false">SUMIFS(Resultados_Caja!$F$58:$FF$58,Calendario!$F$7:$FF$7,12)</f>
        <v>0</v>
      </c>
      <c r="R131" s="13" t="n">
        <f aca="false">SUMIFS(Resultados_Caja!$F$58:$FF$58,Calendario!$F$7:$FF$7,13)</f>
        <v>0</v>
      </c>
    </row>
    <row r="132" customFormat="false" ht="15" hidden="false" customHeight="false" outlineLevel="0" collapsed="false">
      <c r="A132" s="2" t="s">
        <v>1825</v>
      </c>
      <c r="B132" s="8" t="s">
        <v>1826</v>
      </c>
      <c r="C132" s="8" t="s">
        <v>255</v>
      </c>
      <c r="D132" s="67" t="n">
        <f aca="false">SUM(E132:R132)</f>
        <v>0</v>
      </c>
      <c r="E132" s="13" t="n">
        <f aca="false">SUMIFS(Inversion_Activos!$F$40:$FF$40,Calendario!$F$7:$FF$7,0)</f>
        <v>0</v>
      </c>
      <c r="F132" s="13" t="n">
        <f aca="false">SUMIFS(Inversion_Activos!$F$40:$FF$40,Calendario!$F$7:$FF$7,1)</f>
        <v>0</v>
      </c>
      <c r="G132" s="13" t="n">
        <f aca="false">SUMIFS(Inversion_Activos!$F$40:$FF$40,Calendario!$F$7:$FF$7,2)</f>
        <v>0</v>
      </c>
      <c r="H132" s="13" t="n">
        <f aca="false">SUMIFS(Inversion_Activos!$F$40:$FF$40,Calendario!$F$7:$FF$7,3)</f>
        <v>0</v>
      </c>
      <c r="I132" s="13" t="n">
        <f aca="false">SUMIFS(Inversion_Activos!$F$40:$FF$40,Calendario!$F$7:$FF$7,4)</f>
        <v>0</v>
      </c>
      <c r="J132" s="13" t="n">
        <f aca="false">SUMIFS(Inversion_Activos!$F$40:$FF$40,Calendario!$F$7:$FF$7,5)</f>
        <v>0</v>
      </c>
      <c r="K132" s="13" t="n">
        <f aca="false">SUMIFS(Inversion_Activos!$F$40:$FF$40,Calendario!$F$7:$FF$7,6)</f>
        <v>0</v>
      </c>
      <c r="L132" s="13" t="n">
        <f aca="false">SUMIFS(Inversion_Activos!$F$40:$FF$40,Calendario!$F$7:$FF$7,7)</f>
        <v>0</v>
      </c>
      <c r="M132" s="13" t="n">
        <f aca="false">SUMIFS(Inversion_Activos!$F$40:$FF$40,Calendario!$F$7:$FF$7,8)</f>
        <v>0</v>
      </c>
      <c r="N132" s="13" t="n">
        <f aca="false">SUMIFS(Inversion_Activos!$F$40:$FF$40,Calendario!$F$7:$FF$7,9)</f>
        <v>0</v>
      </c>
      <c r="O132" s="13" t="n">
        <f aca="false">SUMIFS(Inversion_Activos!$F$40:$FF$40,Calendario!$F$7:$FF$7,10)</f>
        <v>0</v>
      </c>
      <c r="P132" s="13" t="n">
        <f aca="false">SUMIFS(Inversion_Activos!$F$40:$FF$40,Calendario!$F$7:$FF$7,11)</f>
        <v>0</v>
      </c>
      <c r="Q132" s="13" t="n">
        <f aca="false">SUMIFS(Inversion_Activos!$F$40:$FF$40,Calendario!$F$7:$FF$7,12)</f>
        <v>0</v>
      </c>
      <c r="R132" s="13" t="n">
        <f aca="false">SUMIFS(Inversion_Activos!$F$40:$FF$40,Calendario!$F$7:$FF$7,13)</f>
        <v>0</v>
      </c>
    </row>
    <row r="133" customFormat="false" ht="15" hidden="false" customHeight="false" outlineLevel="0" collapsed="false">
      <c r="A133" s="2" t="s">
        <v>1531</v>
      </c>
      <c r="B133" s="8" t="s">
        <v>1532</v>
      </c>
      <c r="C133" s="8" t="s">
        <v>255</v>
      </c>
      <c r="D133" s="67" t="n">
        <f aca="false">SUM(E133:R133)</f>
        <v>12573495.6982118</v>
      </c>
      <c r="E133" s="13" t="n">
        <f aca="false">SUMIFS(Resultados_Caja!$F$60:$FF$60,Calendario!$F$7:$FF$7,0)</f>
        <v>-1719186.38219178</v>
      </c>
      <c r="F133" s="13" t="n">
        <f aca="false">SUMIFS(Resultados_Caja!$F$60:$FF$60,Calendario!$F$7:$FF$7,1)</f>
        <v>-1345294.83930453</v>
      </c>
      <c r="G133" s="13" t="n">
        <f aca="false">SUMIFS(Resultados_Caja!$F$60:$FF$60,Calendario!$F$7:$FF$7,2)</f>
        <v>143737.622468869</v>
      </c>
      <c r="H133" s="13" t="n">
        <f aca="false">SUMIFS(Resultados_Caja!$F$60:$FF$60,Calendario!$F$7:$FF$7,3)</f>
        <v>726215.574744663</v>
      </c>
      <c r="I133" s="13" t="n">
        <f aca="false">SUMIFS(Resultados_Caja!$F$60:$FF$60,Calendario!$F$7:$FF$7,4)</f>
        <v>1415927.65007799</v>
      </c>
      <c r="J133" s="13" t="n">
        <f aca="false">SUMIFS(Resultados_Caja!$F$60:$FF$60,Calendario!$F$7:$FF$7,5)</f>
        <v>1777017.83929038</v>
      </c>
      <c r="K133" s="13" t="n">
        <f aca="false">SUMIFS(Resultados_Caja!$F$60:$FF$60,Calendario!$F$7:$FF$7,6)</f>
        <v>1826412.47242266</v>
      </c>
      <c r="L133" s="13" t="n">
        <f aca="false">SUMIFS(Resultados_Caja!$F$60:$FF$60,Calendario!$F$7:$FF$7,7)</f>
        <v>1875502.50213874</v>
      </c>
      <c r="M133" s="13" t="n">
        <f aca="false">SUMIFS(Resultados_Caja!$F$60:$FF$60,Calendario!$F$7:$FF$7,8)</f>
        <v>1924941.62880236</v>
      </c>
      <c r="N133" s="13" t="n">
        <f aca="false">SUMIFS(Resultados_Caja!$F$60:$FF$60,Calendario!$F$7:$FF$7,9)</f>
        <v>1974728.90212211</v>
      </c>
      <c r="O133" s="13" t="n">
        <f aca="false">SUMIFS(Resultados_Caja!$F$60:$FF$60,Calendario!$F$7:$FF$7,10)</f>
        <v>3973492.72764038</v>
      </c>
      <c r="P133" s="13" t="n">
        <f aca="false">SUMIFS(Resultados_Caja!$F$60:$FF$60,Calendario!$F$7:$FF$7,11)</f>
        <v>0</v>
      </c>
      <c r="Q133" s="13" t="n">
        <f aca="false">SUMIFS(Resultados_Caja!$F$60:$FF$60,Calendario!$F$7:$FF$7,12)</f>
        <v>0</v>
      </c>
      <c r="R133" s="13" t="n">
        <f aca="false">SUMIFS(Resultados_Caja!$F$60:$FF$60,Calendario!$F$7:$FF$7,13)</f>
        <v>0</v>
      </c>
    </row>
    <row r="134" customFormat="false" ht="15" hidden="false" customHeight="false" outlineLevel="0" collapsed="false">
      <c r="A134" s="2" t="s">
        <v>1533</v>
      </c>
      <c r="B134" s="8" t="s">
        <v>67</v>
      </c>
      <c r="C134" s="8" t="s">
        <v>255</v>
      </c>
      <c r="D134" s="67" t="n">
        <f aca="false">SUM(E134:R134)</f>
        <v>2999560.06122588</v>
      </c>
      <c r="E134" s="13" t="n">
        <f aca="false">SUMIFS(Resultados_Caja!$F$61:$FF$61,Calendario!$F$7:$FF$7,0)</f>
        <v>0</v>
      </c>
      <c r="F134" s="13" t="n">
        <f aca="false">SUMIFS(Resultados_Caja!$F$61:$FF$61,Calendario!$F$7:$FF$7,1)</f>
        <v>0</v>
      </c>
      <c r="G134" s="13" t="n">
        <f aca="false">SUMIFS(Resultados_Caja!$F$61:$FF$61,Calendario!$F$7:$FF$7,2)</f>
        <v>0</v>
      </c>
      <c r="H134" s="13" t="n">
        <f aca="false">SUMIFS(Resultados_Caja!$F$61:$FF$61,Calendario!$F$7:$FF$7,3)</f>
        <v>0</v>
      </c>
      <c r="I134" s="13" t="n">
        <f aca="false">SUMIFS(Resultados_Caja!$F$61:$FF$61,Calendario!$F$7:$FF$7,4)</f>
        <v>0</v>
      </c>
      <c r="J134" s="13" t="n">
        <f aca="false">SUMIFS(Resultados_Caja!$F$61:$FF$61,Calendario!$F$7:$FF$7,5)</f>
        <v>0</v>
      </c>
      <c r="K134" s="13" t="n">
        <f aca="false">SUMIFS(Resultados_Caja!$F$61:$FF$61,Calendario!$F$7:$FF$7,6)</f>
        <v>0</v>
      </c>
      <c r="L134" s="13" t="n">
        <f aca="false">SUMIFS(Resultados_Caja!$F$61:$FF$61,Calendario!$F$7:$FF$7,7)</f>
        <v>0</v>
      </c>
      <c r="M134" s="13" t="n">
        <f aca="false">SUMIFS(Resultados_Caja!$F$61:$FF$61,Calendario!$F$7:$FF$7,8)</f>
        <v>0</v>
      </c>
      <c r="N134" s="13" t="n">
        <f aca="false">SUMIFS(Resultados_Caja!$F$61:$FF$61,Calendario!$F$7:$FF$7,9)</f>
        <v>0</v>
      </c>
      <c r="O134" s="13" t="n">
        <f aca="false">SUMIFS(Resultados_Caja!$F$61:$FF$61,Calendario!$F$7:$FF$7,10)</f>
        <v>2999560.06122588</v>
      </c>
      <c r="P134" s="13" t="n">
        <f aca="false">SUMIFS(Resultados_Caja!$F$61:$FF$61,Calendario!$F$7:$FF$7,11)</f>
        <v>0</v>
      </c>
      <c r="Q134" s="13" t="n">
        <f aca="false">SUMIFS(Resultados_Caja!$F$61:$FF$61,Calendario!$F$7:$FF$7,12)</f>
        <v>0</v>
      </c>
      <c r="R134" s="13" t="n">
        <f aca="false">SUMIFS(Resultados_Caja!$F$61:$FF$61,Calendario!$F$7:$FF$7,13)</f>
        <v>0</v>
      </c>
    </row>
    <row r="135" customFormat="false" ht="15" hidden="false" customHeight="false" outlineLevel="0" collapsed="false">
      <c r="A135" s="2" t="s">
        <v>1535</v>
      </c>
      <c r="B135" s="66" t="s">
        <v>1827</v>
      </c>
      <c r="C135" s="8" t="s">
        <v>255</v>
      </c>
      <c r="D135" s="67" t="n">
        <f aca="false">SUM(E135:R135)</f>
        <v>15573055.7594377</v>
      </c>
      <c r="E135" s="12" t="n">
        <f aca="false">SUMIFS(Resultados_Caja!$F$62:$FF$62,Calendario!$F$7:$FF$7,0)</f>
        <v>-1719186.38219178</v>
      </c>
      <c r="F135" s="12" t="n">
        <f aca="false">SUMIFS(Resultados_Caja!$F$62:$FF$62,Calendario!$F$7:$FF$7,1)</f>
        <v>-1345294.83930453</v>
      </c>
      <c r="G135" s="12" t="n">
        <f aca="false">SUMIFS(Resultados_Caja!$F$62:$FF$62,Calendario!$F$7:$FF$7,2)</f>
        <v>143737.622468869</v>
      </c>
      <c r="H135" s="12" t="n">
        <f aca="false">SUMIFS(Resultados_Caja!$F$62:$FF$62,Calendario!$F$7:$FF$7,3)</f>
        <v>726215.574744663</v>
      </c>
      <c r="I135" s="12" t="n">
        <f aca="false">SUMIFS(Resultados_Caja!$F$62:$FF$62,Calendario!$F$7:$FF$7,4)</f>
        <v>1415927.65007799</v>
      </c>
      <c r="J135" s="12" t="n">
        <f aca="false">SUMIFS(Resultados_Caja!$F$62:$FF$62,Calendario!$F$7:$FF$7,5)</f>
        <v>1777017.83929038</v>
      </c>
      <c r="K135" s="12" t="n">
        <f aca="false">SUMIFS(Resultados_Caja!$F$62:$FF$62,Calendario!$F$7:$FF$7,6)</f>
        <v>1826412.47242266</v>
      </c>
      <c r="L135" s="12" t="n">
        <f aca="false">SUMIFS(Resultados_Caja!$F$62:$FF$62,Calendario!$F$7:$FF$7,7)</f>
        <v>1875502.50213874</v>
      </c>
      <c r="M135" s="12" t="n">
        <f aca="false">SUMIFS(Resultados_Caja!$F$62:$FF$62,Calendario!$F$7:$FF$7,8)</f>
        <v>1924941.62880236</v>
      </c>
      <c r="N135" s="12" t="n">
        <f aca="false">SUMIFS(Resultados_Caja!$F$62:$FF$62,Calendario!$F$7:$FF$7,9)</f>
        <v>1974728.90212211</v>
      </c>
      <c r="O135" s="12" t="n">
        <f aca="false">SUMIFS(Resultados_Caja!$F$62:$FF$62,Calendario!$F$7:$FF$7,10)</f>
        <v>6973052.78886626</v>
      </c>
      <c r="P135" s="12" t="n">
        <f aca="false">SUMIFS(Resultados_Caja!$F$62:$FF$62,Calendario!$F$7:$FF$7,11)</f>
        <v>0</v>
      </c>
      <c r="Q135" s="12" t="n">
        <f aca="false">SUMIFS(Resultados_Caja!$F$62:$FF$62,Calendario!$F$7:$FF$7,12)</f>
        <v>0</v>
      </c>
      <c r="R135" s="12" t="n">
        <f aca="false">SUMIFS(Resultados_Caja!$F$62:$FF$62,Calendario!$F$7:$FF$7,13)</f>
        <v>0</v>
      </c>
    </row>
    <row r="136" customFormat="false" ht="15" hidden="false" customHeight="false" outlineLevel="0" collapsed="false">
      <c r="A136" s="2" t="s">
        <v>1828</v>
      </c>
      <c r="B136" s="79" t="s">
        <v>1829</v>
      </c>
      <c r="C136" s="8" t="s">
        <v>255</v>
      </c>
      <c r="D136" s="67" t="n">
        <f aca="false">SUM(E136:R136)</f>
        <v>13047058</v>
      </c>
      <c r="E136" s="28" t="n">
        <f aca="false">Base_PDF!$E$406</f>
        <v>-2991587</v>
      </c>
      <c r="F136" s="28" t="n">
        <f aca="false">Base_PDF!F$406</f>
        <v>-493723</v>
      </c>
      <c r="G136" s="28" t="n">
        <f aca="false">Base_PDF!G$406</f>
        <v>-397474</v>
      </c>
      <c r="H136" s="28" t="n">
        <f aca="false">Base_PDF!H$406</f>
        <v>259330</v>
      </c>
      <c r="I136" s="28" t="n">
        <f aca="false">Base_PDF!I$406</f>
        <v>1093473</v>
      </c>
      <c r="J136" s="28" t="n">
        <f aca="false">Base_PDF!J$406</f>
        <v>1138455</v>
      </c>
      <c r="K136" s="28" t="n">
        <f aca="false">Base_PDF!K$406</f>
        <v>1957746</v>
      </c>
      <c r="L136" s="28" t="n">
        <f aca="false">Base_PDF!L$406</f>
        <v>2017201</v>
      </c>
      <c r="M136" s="28" t="n">
        <f aca="false">Base_PDF!M$406</f>
        <v>2077107</v>
      </c>
      <c r="N136" s="28" t="n">
        <f aca="false">Base_PDF!N$406</f>
        <v>2137465</v>
      </c>
      <c r="O136" s="28" t="n">
        <f aca="false">Base_PDF!O$406</f>
        <v>6249065</v>
      </c>
    </row>
    <row r="137" customFormat="false" ht="15" hidden="false" customHeight="false" outlineLevel="0" collapsed="false">
      <c r="A137" s="2" t="s">
        <v>1830</v>
      </c>
      <c r="B137" s="79" t="s">
        <v>1831</v>
      </c>
      <c r="C137" s="8" t="s">
        <v>255</v>
      </c>
      <c r="D137" s="67" t="n">
        <f aca="false">SUM(E137:R137)</f>
        <v>16651857</v>
      </c>
      <c r="E137" s="28" t="n">
        <f aca="false">Base_PDF!$E$423</f>
        <v>-2991587</v>
      </c>
      <c r="F137" s="28" t="n">
        <f aca="false">Base_PDF!F$423</f>
        <v>34905</v>
      </c>
      <c r="G137" s="28" t="n">
        <f aca="false">Base_PDF!G$423</f>
        <v>379819</v>
      </c>
      <c r="H137" s="28" t="n">
        <f aca="false">Base_PDF!H$423</f>
        <v>1031453</v>
      </c>
      <c r="I137" s="28" t="n">
        <f aca="false">Base_PDF!I$423</f>
        <v>1859943</v>
      </c>
      <c r="J137" s="28" t="n">
        <f aca="false">Base_PDF!J$423</f>
        <v>1898741</v>
      </c>
      <c r="K137" s="28" t="n">
        <f aca="false">Base_PDF!K$423</f>
        <v>1957745</v>
      </c>
      <c r="L137" s="28" t="n">
        <f aca="false">Base_PDF!L$423</f>
        <v>2017201</v>
      </c>
      <c r="M137" s="28" t="n">
        <f aca="false">Base_PDF!M$423</f>
        <v>2077107</v>
      </c>
      <c r="N137" s="28" t="n">
        <f aca="false">Base_PDF!N$423</f>
        <v>2137465</v>
      </c>
      <c r="O137" s="28" t="n">
        <f aca="false">Base_PDF!O$423</f>
        <v>6249065</v>
      </c>
    </row>
    <row r="138" customFormat="false" ht="15" hidden="false" customHeight="false" outlineLevel="0" collapsed="false">
      <c r="A138" s="2" t="s">
        <v>1540</v>
      </c>
      <c r="B138" s="8" t="s">
        <v>1832</v>
      </c>
      <c r="C138" s="8" t="s">
        <v>255</v>
      </c>
      <c r="D138" s="67" t="n">
        <f aca="false">SUM(E138:R138)</f>
        <v>2791587</v>
      </c>
      <c r="E138" s="13" t="n">
        <f aca="false">SUMIFS(Resultados_Caja!$F$65:$FF$65,Calendario!$F$7:$FF$7,0)</f>
        <v>2791587</v>
      </c>
      <c r="F138" s="13" t="n">
        <f aca="false">SUMIFS(Resultados_Caja!$F$65:$FF$65,Calendario!$F$7:$FF$7,1)</f>
        <v>0</v>
      </c>
      <c r="G138" s="13" t="n">
        <f aca="false">SUMIFS(Resultados_Caja!$F$65:$FF$65,Calendario!$F$7:$FF$7,2)</f>
        <v>0</v>
      </c>
      <c r="H138" s="13" t="n">
        <f aca="false">SUMIFS(Resultados_Caja!$F$65:$FF$65,Calendario!$F$7:$FF$7,3)</f>
        <v>0</v>
      </c>
      <c r="I138" s="13" t="n">
        <f aca="false">SUMIFS(Resultados_Caja!$F$65:$FF$65,Calendario!$F$7:$FF$7,4)</f>
        <v>0</v>
      </c>
      <c r="J138" s="13" t="n">
        <f aca="false">SUMIFS(Resultados_Caja!$F$65:$FF$65,Calendario!$F$7:$FF$7,5)</f>
        <v>0</v>
      </c>
      <c r="K138" s="13" t="n">
        <f aca="false">SUMIFS(Resultados_Caja!$F$65:$FF$65,Calendario!$F$7:$FF$7,6)</f>
        <v>0</v>
      </c>
      <c r="L138" s="13" t="n">
        <f aca="false">SUMIFS(Resultados_Caja!$F$65:$FF$65,Calendario!$F$7:$FF$7,7)</f>
        <v>0</v>
      </c>
      <c r="M138" s="13" t="n">
        <f aca="false">SUMIFS(Resultados_Caja!$F$65:$FF$65,Calendario!$F$7:$FF$7,8)</f>
        <v>0</v>
      </c>
      <c r="N138" s="13" t="n">
        <f aca="false">SUMIFS(Resultados_Caja!$F$65:$FF$65,Calendario!$F$7:$FF$7,9)</f>
        <v>0</v>
      </c>
      <c r="O138" s="13" t="n">
        <f aca="false">SUMIFS(Resultados_Caja!$F$65:$FF$65,Calendario!$F$7:$FF$7,10)</f>
        <v>0</v>
      </c>
      <c r="P138" s="13" t="n">
        <f aca="false">SUMIFS(Resultados_Caja!$F$65:$FF$65,Calendario!$F$7:$FF$7,11)</f>
        <v>0</v>
      </c>
      <c r="Q138" s="13" t="n">
        <f aca="false">SUMIFS(Resultados_Caja!$F$65:$FF$65,Calendario!$F$7:$FF$7,12)</f>
        <v>0</v>
      </c>
      <c r="R138" s="13" t="n">
        <f aca="false">SUMIFS(Resultados_Caja!$F$65:$FF$65,Calendario!$F$7:$FF$7,13)</f>
        <v>0</v>
      </c>
    </row>
    <row r="139" customFormat="false" ht="15" hidden="false" customHeight="false" outlineLevel="0" collapsed="false">
      <c r="A139" s="2" t="s">
        <v>1542</v>
      </c>
      <c r="B139" s="8" t="s">
        <v>1833</v>
      </c>
      <c r="C139" s="8" t="s">
        <v>255</v>
      </c>
      <c r="D139" s="67" t="n">
        <f aca="false">SUM(E139:R139)</f>
        <v>2791587</v>
      </c>
      <c r="E139" s="13" t="n">
        <f aca="false">SUMIFS(Resultados_Caja!$F$66:$FF$66,Calendario!$F$7:$FF$7,0)</f>
        <v>0</v>
      </c>
      <c r="F139" s="13" t="n">
        <f aca="false">SUMIFS(Resultados_Caja!$F$66:$FF$66,Calendario!$F$7:$FF$7,1)</f>
        <v>257526.352358103</v>
      </c>
      <c r="G139" s="13" t="n">
        <f aca="false">SUMIFS(Resultados_Caja!$F$66:$FF$66,Calendario!$F$7:$FF$7,2)</f>
        <v>551018.611753115</v>
      </c>
      <c r="H139" s="13" t="n">
        <f aca="false">SUMIFS(Resultados_Caja!$F$66:$FF$66,Calendario!$F$7:$FF$7,3)</f>
        <v>602707.958280647</v>
      </c>
      <c r="I139" s="13" t="n">
        <f aca="false">SUMIFS(Resultados_Caja!$F$66:$FF$66,Calendario!$F$7:$FF$7,4)</f>
        <v>659246.122048566</v>
      </c>
      <c r="J139" s="13" t="n">
        <f aca="false">SUMIFS(Resultados_Caja!$F$66:$FF$66,Calendario!$F$7:$FF$7,5)</f>
        <v>721087.95555957</v>
      </c>
      <c r="K139" s="13" t="n">
        <f aca="false">SUMIFS(Resultados_Caja!$F$66:$FF$66,Calendario!$F$7:$FF$7,6)</f>
        <v>0</v>
      </c>
      <c r="L139" s="13" t="n">
        <f aca="false">SUMIFS(Resultados_Caja!$F$66:$FF$66,Calendario!$F$7:$FF$7,7)</f>
        <v>0</v>
      </c>
      <c r="M139" s="13" t="n">
        <f aca="false">SUMIFS(Resultados_Caja!$F$66:$FF$66,Calendario!$F$7:$FF$7,8)</f>
        <v>0</v>
      </c>
      <c r="N139" s="13" t="n">
        <f aca="false">SUMIFS(Resultados_Caja!$F$66:$FF$66,Calendario!$F$7:$FF$7,9)</f>
        <v>0</v>
      </c>
      <c r="O139" s="13" t="n">
        <f aca="false">SUMIFS(Resultados_Caja!$F$66:$FF$66,Calendario!$F$7:$FF$7,10)</f>
        <v>0</v>
      </c>
      <c r="P139" s="13" t="n">
        <f aca="false">SUMIFS(Resultados_Caja!$F$66:$FF$66,Calendario!$F$7:$FF$7,11)</f>
        <v>0</v>
      </c>
      <c r="Q139" s="13" t="n">
        <f aca="false">SUMIFS(Resultados_Caja!$F$66:$FF$66,Calendario!$F$7:$FF$7,12)</f>
        <v>0</v>
      </c>
      <c r="R139" s="13" t="n">
        <f aca="false">SUMIFS(Resultados_Caja!$F$66:$FF$66,Calendario!$F$7:$FF$7,13)</f>
        <v>0</v>
      </c>
    </row>
    <row r="140" customFormat="false" ht="15" hidden="false" customHeight="false" outlineLevel="0" collapsed="false">
      <c r="A140" s="2" t="s">
        <v>1544</v>
      </c>
      <c r="B140" s="8" t="s">
        <v>1834</v>
      </c>
      <c r="C140" s="8" t="s">
        <v>255</v>
      </c>
      <c r="D140" s="67" t="n">
        <f aca="false">SUM(E140:R140)</f>
        <v>813214.128224453</v>
      </c>
      <c r="E140" s="13" t="n">
        <f aca="false">SUMIFS(Resultados_Caja!$F$67:$FF$67,Calendario!$F$7:$FF$7,0)</f>
        <v>0</v>
      </c>
      <c r="F140" s="13" t="n">
        <f aca="false">SUMIFS(Resultados_Caja!$F$67:$FF$67,Calendario!$F$7:$FF$7,1)</f>
        <v>271101.932431026</v>
      </c>
      <c r="G140" s="13" t="n">
        <f aca="false">SUMIFS(Resultados_Caja!$F$67:$FF$67,Calendario!$F$7:$FF$7,2)</f>
        <v>226274.254121452</v>
      </c>
      <c r="H140" s="13" t="n">
        <f aca="false">SUMIFS(Resultados_Caja!$F$67:$FF$67,Calendario!$F$7:$FF$7,3)</f>
        <v>169415.972941167</v>
      </c>
      <c r="I140" s="13" t="n">
        <f aca="false">SUMIFS(Resultados_Caja!$F$67:$FF$67,Calendario!$F$7:$FF$7,4)</f>
        <v>107223.992796456</v>
      </c>
      <c r="J140" s="13" t="n">
        <f aca="false">SUMIFS(Resultados_Caja!$F$67:$FF$67,Calendario!$F$7:$FF$7,5)</f>
        <v>39197.9759343531</v>
      </c>
      <c r="K140" s="13" t="n">
        <f aca="false">SUMIFS(Resultados_Caja!$F$67:$FF$67,Calendario!$F$7:$FF$7,6)</f>
        <v>0</v>
      </c>
      <c r="L140" s="13" t="n">
        <f aca="false">SUMIFS(Resultados_Caja!$F$67:$FF$67,Calendario!$F$7:$FF$7,7)</f>
        <v>0</v>
      </c>
      <c r="M140" s="13" t="n">
        <f aca="false">SUMIFS(Resultados_Caja!$F$67:$FF$67,Calendario!$F$7:$FF$7,8)</f>
        <v>0</v>
      </c>
      <c r="N140" s="13" t="n">
        <f aca="false">SUMIFS(Resultados_Caja!$F$67:$FF$67,Calendario!$F$7:$FF$7,9)</f>
        <v>0</v>
      </c>
      <c r="O140" s="13" t="n">
        <f aca="false">SUMIFS(Resultados_Caja!$F$67:$FF$67,Calendario!$F$7:$FF$7,10)</f>
        <v>0</v>
      </c>
      <c r="P140" s="13" t="n">
        <f aca="false">SUMIFS(Resultados_Caja!$F$67:$FF$67,Calendario!$F$7:$FF$7,11)</f>
        <v>0</v>
      </c>
      <c r="Q140" s="13" t="n">
        <f aca="false">SUMIFS(Resultados_Caja!$F$67:$FF$67,Calendario!$F$7:$FF$7,12)</f>
        <v>0</v>
      </c>
      <c r="R140" s="13" t="n">
        <f aca="false">SUMIFS(Resultados_Caja!$F$67:$FF$67,Calendario!$F$7:$FF$7,13)</f>
        <v>0</v>
      </c>
    </row>
    <row r="141" customFormat="false" ht="15" hidden="false" customHeight="false" outlineLevel="0" collapsed="false">
      <c r="A141" s="2" t="s">
        <v>1551</v>
      </c>
      <c r="B141" s="8" t="s">
        <v>1835</v>
      </c>
      <c r="C141" s="8" t="s">
        <v>255</v>
      </c>
      <c r="E141" s="13" t="n">
        <f aca="false">SUMIFS(Resultados_Caja!$F$71:$FF$71,Calendario!$F$7:$FF$7,0)+SUMIFS(Resultados_Caja!$F$72:$FF$72,Calendario!$F$7:$FF$7,0)</f>
        <v>0</v>
      </c>
      <c r="F141" s="13" t="n">
        <f aca="false">SUMIFS(Resultados_Caja!$F$71:$FF$71,Calendario!$F$7:$FF$7,1)+SUMIFS(Resultados_Caja!$F$72:$FF$72,Calendario!$F$7:$FF$7,1)</f>
        <v>0</v>
      </c>
      <c r="G141" s="13" t="n">
        <f aca="false">SUMIFS(Resultados_Caja!$F$71:$FF$71,Calendario!$F$7:$FF$7,2)+SUMIFS(Resultados_Caja!$F$72:$FF$72,Calendario!$F$7:$FF$7,2)</f>
        <v>0</v>
      </c>
      <c r="H141" s="13" t="n">
        <f aca="false">SUMIFS(Resultados_Caja!$F$71:$FF$71,Calendario!$F$7:$FF$7,3)+SUMIFS(Resultados_Caja!$F$72:$FF$72,Calendario!$F$7:$FF$7,3)</f>
        <v>0</v>
      </c>
      <c r="I141" s="13" t="n">
        <f aca="false">SUMIFS(Resultados_Caja!$F$71:$FF$71,Calendario!$F$7:$FF$7,4)+SUMIFS(Resultados_Caja!$F$72:$FF$72,Calendario!$F$7:$FF$7,4)</f>
        <v>0</v>
      </c>
      <c r="J141" s="13" t="n">
        <f aca="false">SUMIFS(Resultados_Caja!$F$71:$FF$71,Calendario!$F$7:$FF$7,5)+SUMIFS(Resultados_Caja!$F$72:$FF$72,Calendario!$F$7:$FF$7,5)</f>
        <v>0</v>
      </c>
      <c r="K141" s="13" t="n">
        <f aca="false">SUMIFS(Resultados_Caja!$F$71:$FF$71,Calendario!$F$7:$FF$7,6)+SUMIFS(Resultados_Caja!$F$72:$FF$72,Calendario!$F$7:$FF$7,6)</f>
        <v>0</v>
      </c>
      <c r="L141" s="13" t="n">
        <f aca="false">SUMIFS(Resultados_Caja!$F$71:$FF$71,Calendario!$F$7:$FF$7,7)+SUMIFS(Resultados_Caja!$F$72:$FF$72,Calendario!$F$7:$FF$7,7)</f>
        <v>0</v>
      </c>
      <c r="M141" s="13" t="n">
        <f aca="false">SUMIFS(Resultados_Caja!$F$71:$FF$71,Calendario!$F$7:$FF$7,8)+SUMIFS(Resultados_Caja!$F$72:$FF$72,Calendario!$F$7:$FF$7,8)</f>
        <v>0</v>
      </c>
      <c r="N141" s="13" t="n">
        <f aca="false">SUMIFS(Resultados_Caja!$F$71:$FF$71,Calendario!$F$7:$FF$7,9)+SUMIFS(Resultados_Caja!$F$72:$FF$72,Calendario!$F$7:$FF$7,9)</f>
        <v>0</v>
      </c>
      <c r="O141" s="13" t="n">
        <f aca="false">SUMIFS(Resultados_Caja!$F$71:$FF$71,Calendario!$F$7:$FF$7,10)+SUMIFS(Resultados_Caja!$F$72:$FF$72,Calendario!$F$7:$FF$7,10)</f>
        <v>0</v>
      </c>
      <c r="P141" s="13" t="n">
        <f aca="false">SUMIFS(Resultados_Caja!$F$71:$FF$71,Calendario!$F$7:$FF$7,11)+SUMIFS(Resultados_Caja!$F$72:$FF$72,Calendario!$F$7:$FF$7,11)</f>
        <v>0</v>
      </c>
      <c r="Q141" s="13" t="n">
        <f aca="false">SUMIFS(Resultados_Caja!$F$71:$FF$71,Calendario!$F$7:$FF$7,12)+SUMIFS(Resultados_Caja!$F$72:$FF$72,Calendario!$F$7:$FF$7,12)</f>
        <v>0</v>
      </c>
      <c r="R141" s="13" t="n">
        <f aca="false">SUMIFS(Resultados_Caja!$F$71:$FF$71,Calendario!$F$7:$FF$7,13)+SUMIFS(Resultados_Caja!$F$72:$FF$72,Calendario!$F$7:$FF$7,13)</f>
        <v>0</v>
      </c>
    </row>
    <row r="142" customFormat="false" ht="15" hidden="false" customHeight="false" outlineLevel="0" collapsed="false">
      <c r="A142" s="2" t="s">
        <v>1444</v>
      </c>
      <c r="B142" s="8" t="s">
        <v>1546</v>
      </c>
      <c r="C142" s="8" t="s">
        <v>255</v>
      </c>
      <c r="D142" s="67" t="n">
        <f aca="false">SUM(E142:R142)</f>
        <v>1139710</v>
      </c>
      <c r="E142" s="13" t="n">
        <f aca="false">SUMIFS(Resultados_Caja!$F$68:$FF$68,Calendario!$F$7:$FF$7,0)</f>
        <v>200000</v>
      </c>
      <c r="F142" s="13" t="n">
        <f aca="false">SUMIFS(Resultados_Caja!$F$68:$FF$68,Calendario!$F$7:$FF$7,1)</f>
        <v>567782</v>
      </c>
      <c r="G142" s="13" t="n">
        <f aca="false">SUMIFS(Resultados_Caja!$F$68:$FF$68,Calendario!$F$7:$FF$7,2)</f>
        <v>371928</v>
      </c>
      <c r="H142" s="13" t="n">
        <f aca="false">SUMIFS(Resultados_Caja!$F$68:$FF$68,Calendario!$F$7:$FF$7,3)</f>
        <v>0</v>
      </c>
      <c r="I142" s="13" t="n">
        <f aca="false">SUMIFS(Resultados_Caja!$F$68:$FF$68,Calendario!$F$7:$FF$7,4)</f>
        <v>0</v>
      </c>
      <c r="J142" s="13" t="n">
        <f aca="false">SUMIFS(Resultados_Caja!$F$68:$FF$68,Calendario!$F$7:$FF$7,5)</f>
        <v>0</v>
      </c>
      <c r="K142" s="13" t="n">
        <f aca="false">SUMIFS(Resultados_Caja!$F$68:$FF$68,Calendario!$F$7:$FF$7,6)</f>
        <v>0</v>
      </c>
      <c r="L142" s="13" t="n">
        <f aca="false">SUMIFS(Resultados_Caja!$F$68:$FF$68,Calendario!$F$7:$FF$7,7)</f>
        <v>0</v>
      </c>
      <c r="M142" s="13" t="n">
        <f aca="false">SUMIFS(Resultados_Caja!$F$68:$FF$68,Calendario!$F$7:$FF$7,8)</f>
        <v>0</v>
      </c>
      <c r="N142" s="13" t="n">
        <f aca="false">SUMIFS(Resultados_Caja!$F$68:$FF$68,Calendario!$F$7:$FF$7,9)</f>
        <v>0</v>
      </c>
      <c r="O142" s="13" t="n">
        <f aca="false">SUMIFS(Resultados_Caja!$F$68:$FF$68,Calendario!$F$7:$FF$7,10)</f>
        <v>0</v>
      </c>
      <c r="P142" s="13" t="n">
        <f aca="false">SUMIFS(Resultados_Caja!$F$68:$FF$68,Calendario!$F$7:$FF$7,11)</f>
        <v>0</v>
      </c>
      <c r="Q142" s="13" t="n">
        <f aca="false">SUMIFS(Resultados_Caja!$F$68:$FF$68,Calendario!$F$7:$FF$7,12)</f>
        <v>0</v>
      </c>
      <c r="R142" s="13" t="n">
        <f aca="false">SUMIFS(Resultados_Caja!$F$68:$FF$68,Calendario!$F$7:$FF$7,13)</f>
        <v>0</v>
      </c>
    </row>
    <row r="143" customFormat="false" ht="15" hidden="false" customHeight="false" outlineLevel="0" collapsed="false">
      <c r="A143" s="2" t="s">
        <v>1587</v>
      </c>
      <c r="B143" s="8" t="s">
        <v>1836</v>
      </c>
      <c r="C143" s="8" t="s">
        <v>255</v>
      </c>
      <c r="D143" s="67" t="n">
        <f aca="false">SUM(E143:R143)</f>
        <v>0</v>
      </c>
      <c r="E143" s="13" t="n">
        <f aca="false">SUMIFS(Resultados_Caja!$F$89:$FF$89,Calendario!$F$7:$FF$7,0)</f>
        <v>0</v>
      </c>
      <c r="F143" s="13" t="n">
        <f aca="false">SUMIFS(Resultados_Caja!$F$89:$FF$89,Calendario!$F$7:$FF$7,1)</f>
        <v>0</v>
      </c>
      <c r="G143" s="13" t="n">
        <f aca="false">SUMIFS(Resultados_Caja!$F$89:$FF$89,Calendario!$F$7:$FF$7,2)</f>
        <v>0</v>
      </c>
      <c r="H143" s="13" t="n">
        <f aca="false">SUMIFS(Resultados_Caja!$F$89:$FF$89,Calendario!$F$7:$FF$7,3)</f>
        <v>0</v>
      </c>
      <c r="I143" s="13" t="n">
        <f aca="false">SUMIFS(Resultados_Caja!$F$89:$FF$89,Calendario!$F$7:$FF$7,4)</f>
        <v>0</v>
      </c>
      <c r="J143" s="13" t="n">
        <f aca="false">SUMIFS(Resultados_Caja!$F$89:$FF$89,Calendario!$F$7:$FF$7,5)</f>
        <v>0</v>
      </c>
      <c r="K143" s="13" t="n">
        <f aca="false">SUMIFS(Resultados_Caja!$F$89:$FF$89,Calendario!$F$7:$FF$7,6)</f>
        <v>0</v>
      </c>
      <c r="L143" s="13" t="n">
        <f aca="false">SUMIFS(Resultados_Caja!$F$89:$FF$89,Calendario!$F$7:$FF$7,7)</f>
        <v>0</v>
      </c>
      <c r="M143" s="13" t="n">
        <f aca="false">SUMIFS(Resultados_Caja!$F$89:$FF$89,Calendario!$F$7:$FF$7,8)</f>
        <v>0</v>
      </c>
      <c r="N143" s="13" t="n">
        <f aca="false">SUMIFS(Resultados_Caja!$F$89:$FF$89,Calendario!$F$7:$FF$7,9)</f>
        <v>0</v>
      </c>
      <c r="O143" s="13" t="n">
        <f aca="false">SUMIFS(Resultados_Caja!$F$89:$FF$89,Calendario!$F$7:$FF$7,10)</f>
        <v>0</v>
      </c>
      <c r="P143" s="13" t="n">
        <f aca="false">SUMIFS(Resultados_Caja!$F$89:$FF$89,Calendario!$F$7:$FF$7,11)</f>
        <v>0</v>
      </c>
      <c r="Q143" s="13" t="n">
        <f aca="false">SUMIFS(Resultados_Caja!$F$89:$FF$89,Calendario!$F$7:$FF$7,12)</f>
        <v>0</v>
      </c>
      <c r="R143" s="13" t="n">
        <f aca="false">SUMIFS(Resultados_Caja!$F$89:$FF$89,Calendario!$F$7:$FF$7,13)</f>
        <v>0</v>
      </c>
    </row>
    <row r="144" customFormat="false" ht="15" hidden="false" customHeight="false" outlineLevel="0" collapsed="false">
      <c r="A144" s="2" t="s">
        <v>1713</v>
      </c>
      <c r="B144" s="8" t="s">
        <v>1714</v>
      </c>
      <c r="C144" s="8" t="s">
        <v>255</v>
      </c>
      <c r="D144" s="67" t="n">
        <f aca="false">SUM(E144:R144)</f>
        <v>0</v>
      </c>
      <c r="E144" s="13" t="n">
        <f aca="false">SUMIFS(Resultados_Caja!$F$59:$FF$59,Calendario!$F$7:$FF$7,0)</f>
        <v>0</v>
      </c>
      <c r="F144" s="13" t="n">
        <f aca="false">SUMIFS(Resultados_Caja!$F$59:$FF$59,Calendario!$F$7:$FF$7,1)</f>
        <v>0</v>
      </c>
      <c r="G144" s="13" t="n">
        <f aca="false">SUMIFS(Resultados_Caja!$F$59:$FF$59,Calendario!$F$7:$FF$7,2)</f>
        <v>0</v>
      </c>
      <c r="H144" s="13" t="n">
        <f aca="false">SUMIFS(Resultados_Caja!$F$59:$FF$59,Calendario!$F$7:$FF$7,3)</f>
        <v>0</v>
      </c>
      <c r="I144" s="13" t="n">
        <f aca="false">SUMIFS(Resultados_Caja!$F$59:$FF$59,Calendario!$F$7:$FF$7,4)</f>
        <v>0</v>
      </c>
      <c r="J144" s="13" t="n">
        <f aca="false">SUMIFS(Resultados_Caja!$F$59:$FF$59,Calendario!$F$7:$FF$7,5)</f>
        <v>0</v>
      </c>
      <c r="K144" s="13" t="n">
        <f aca="false">SUMIFS(Resultados_Caja!$F$59:$FF$59,Calendario!$F$7:$FF$7,6)</f>
        <v>0</v>
      </c>
      <c r="L144" s="13" t="n">
        <f aca="false">SUMIFS(Resultados_Caja!$F$59:$FF$59,Calendario!$F$7:$FF$7,7)</f>
        <v>0</v>
      </c>
      <c r="M144" s="13" t="n">
        <f aca="false">SUMIFS(Resultados_Caja!$F$59:$FF$59,Calendario!$F$7:$FF$7,8)</f>
        <v>0</v>
      </c>
      <c r="N144" s="13" t="n">
        <f aca="false">SUMIFS(Resultados_Caja!$F$59:$FF$59,Calendario!$F$7:$FF$7,9)</f>
        <v>0</v>
      </c>
      <c r="O144" s="13" t="n">
        <f aca="false">SUMIFS(Resultados_Caja!$F$59:$FF$59,Calendario!$F$7:$FF$7,10)</f>
        <v>0</v>
      </c>
      <c r="P144" s="13" t="n">
        <f aca="false">SUMIFS(Resultados_Caja!$F$59:$FF$59,Calendario!$F$7:$FF$7,11)</f>
        <v>0</v>
      </c>
      <c r="Q144" s="13" t="n">
        <f aca="false">SUMIFS(Resultados_Caja!$F$59:$FF$59,Calendario!$F$7:$FF$7,12)</f>
        <v>0</v>
      </c>
      <c r="R144" s="13" t="n">
        <f aca="false">SUMIFS(Resultados_Caja!$F$59:$FF$59,Calendario!$F$7:$FF$7,13)</f>
        <v>0</v>
      </c>
    </row>
    <row r="145" customFormat="false" ht="15" hidden="false" customHeight="false" outlineLevel="0" collapsed="false">
      <c r="A145" s="2" t="s">
        <v>1575</v>
      </c>
      <c r="B145" s="8" t="s">
        <v>1837</v>
      </c>
      <c r="C145" s="8" t="s">
        <v>255</v>
      </c>
      <c r="D145" s="67" t="n">
        <f aca="false">SUM(E145:R145)</f>
        <v>10325117.1054693</v>
      </c>
      <c r="E145" s="13" t="n">
        <f aca="false">SUMIFS(Resultados_Caja!$F$83:$FF$83,Calendario!$F$7:$FF$7,0)</f>
        <v>0</v>
      </c>
      <c r="F145" s="13" t="n">
        <f aca="false">SUMIFS(Resultados_Caja!$F$83:$FF$83,Calendario!$F$7:$FF$7,1)</f>
        <v>0</v>
      </c>
      <c r="G145" s="13" t="n">
        <f aca="false">SUMIFS(Resultados_Caja!$F$83:$FF$83,Calendario!$F$7:$FF$7,2)</f>
        <v>0</v>
      </c>
      <c r="H145" s="13" t="n">
        <f aca="false">SUMIFS(Resultados_Caja!$F$83:$FF$83,Calendario!$F$7:$FF$7,3)</f>
        <v>0</v>
      </c>
      <c r="I145" s="13" t="n">
        <f aca="false">SUMIFS(Resultados_Caja!$F$83:$FF$83,Calendario!$F$7:$FF$7,4)</f>
        <v>236794.272105773</v>
      </c>
      <c r="J145" s="13" t="n">
        <f aca="false">SUMIFS(Resultados_Caja!$F$83:$FF$83,Calendario!$F$7:$FF$7,5)</f>
        <v>914225.563192209</v>
      </c>
      <c r="K145" s="13" t="n">
        <f aca="false">SUMIFS(Resultados_Caja!$F$83:$FF$83,Calendario!$F$7:$FF$7,6)</f>
        <v>1695488.20952483</v>
      </c>
      <c r="L145" s="13" t="n">
        <f aca="false">SUMIFS(Resultados_Caja!$F$83:$FF$83,Calendario!$F$7:$FF$7,7)</f>
        <v>1795110.53188481</v>
      </c>
      <c r="M145" s="13" t="n">
        <f aca="false">SUMIFS(Resultados_Caja!$F$83:$FF$83,Calendario!$F$7:$FF$7,8)</f>
        <v>1844570.2164967</v>
      </c>
      <c r="N145" s="13" t="n">
        <f aca="false">SUMIFS(Resultados_Caja!$F$83:$FF$83,Calendario!$F$7:$FF$7,9)</f>
        <v>1894382.33935159</v>
      </c>
      <c r="O145" s="13" t="n">
        <f aca="false">SUMIFS(Resultados_Caja!$F$83:$FF$83,Calendario!$F$7:$FF$7,10)</f>
        <v>1944545.97291341</v>
      </c>
      <c r="P145" s="13" t="n">
        <f aca="false">SUMIFS(Resultados_Caja!$F$83:$FF$83,Calendario!$F$7:$FF$7,11)</f>
        <v>0</v>
      </c>
      <c r="Q145" s="13" t="n">
        <f aca="false">SUMIFS(Resultados_Caja!$F$83:$FF$83,Calendario!$F$7:$FF$7,12)</f>
        <v>0</v>
      </c>
      <c r="R145" s="13" t="n">
        <f aca="false">SUMIFS(Resultados_Caja!$F$83:$FF$83,Calendario!$F$7:$FF$7,13)</f>
        <v>0</v>
      </c>
    </row>
    <row r="146" customFormat="false" ht="15" hidden="false" customHeight="false" outlineLevel="0" collapsed="false">
      <c r="A146" s="2" t="s">
        <v>1565</v>
      </c>
      <c r="B146" s="8" t="s">
        <v>1838</v>
      </c>
      <c r="C146" s="8" t="s">
        <v>255</v>
      </c>
      <c r="D146" s="67" t="n">
        <f aca="false">SUM(E146:R146)</f>
        <v>12306126.3969513</v>
      </c>
      <c r="E146" s="13" t="n">
        <f aca="false">SUMIFS(Resultados_Caja!$F$78:$FF$78,Calendario!$F$7:$FF$7,0)</f>
        <v>0</v>
      </c>
      <c r="F146" s="13" t="n">
        <f aca="false">SUMIFS(Resultados_Caja!$F$78:$FF$78,Calendario!$F$7:$FF$7,1)</f>
        <v>0</v>
      </c>
      <c r="G146" s="13" t="n">
        <f aca="false">SUMIFS(Resultados_Caja!$F$78:$FF$78,Calendario!$F$7:$FF$7,2)</f>
        <v>0</v>
      </c>
      <c r="H146" s="13" t="n">
        <f aca="false">SUMIFS(Resultados_Caja!$F$78:$FF$78,Calendario!$F$7:$FF$7,3)</f>
        <v>346206.012885793</v>
      </c>
      <c r="I146" s="13" t="n">
        <f aca="false">SUMIFS(Resultados_Caja!$F$78:$FF$78,Calendario!$F$7:$FF$7,4)</f>
        <v>804813.822412189</v>
      </c>
      <c r="J146" s="13" t="n">
        <f aca="false">SUMIFS(Resultados_Caja!$F$78:$FF$78,Calendario!$F$7:$FF$7,5)</f>
        <v>1695488.20952483</v>
      </c>
      <c r="K146" s="13" t="n">
        <f aca="false">SUMIFS(Resultados_Caja!$F$78:$FF$78,Calendario!$F$7:$FF$7,6)</f>
        <v>1795110.53188481</v>
      </c>
      <c r="L146" s="13" t="n">
        <f aca="false">SUMIFS(Resultados_Caja!$F$78:$FF$78,Calendario!$F$7:$FF$7,7)</f>
        <v>1844570.2164967</v>
      </c>
      <c r="M146" s="13" t="n">
        <f aca="false">SUMIFS(Resultados_Caja!$F$78:$FF$78,Calendario!$F$7:$FF$7,8)</f>
        <v>1894382.33935159</v>
      </c>
      <c r="N146" s="13" t="n">
        <f aca="false">SUMIFS(Resultados_Caja!$F$78:$FF$78,Calendario!$F$7:$FF$7,9)</f>
        <v>1944545.97291341</v>
      </c>
      <c r="O146" s="13" t="n">
        <f aca="false">SUMIFS(Resultados_Caja!$F$78:$FF$78,Calendario!$F$7:$FF$7,10)</f>
        <v>1981009.29148202</v>
      </c>
      <c r="P146" s="13" t="n">
        <f aca="false">SUMIFS(Resultados_Caja!$F$78:$FF$78,Calendario!$F$7:$FF$7,11)</f>
        <v>0</v>
      </c>
      <c r="Q146" s="13" t="n">
        <f aca="false">SUMIFS(Resultados_Caja!$F$78:$FF$78,Calendario!$F$7:$FF$7,12)</f>
        <v>0</v>
      </c>
      <c r="R146" s="13" t="n">
        <f aca="false">SUMIFS(Resultados_Caja!$F$78:$FF$78,Calendario!$F$7:$FF$7,13)</f>
        <v>0</v>
      </c>
    </row>
    <row r="147" customFormat="false" ht="15" hidden="false" customHeight="false" outlineLevel="0" collapsed="false">
      <c r="A147" s="2" t="s">
        <v>1639</v>
      </c>
      <c r="B147" s="66" t="s">
        <v>1839</v>
      </c>
      <c r="C147" s="8" t="s">
        <v>255</v>
      </c>
      <c r="D147" s="67" t="n">
        <f aca="false">SUM(E147:R147)</f>
        <v>14759841.6312133</v>
      </c>
      <c r="E147" s="12" t="n">
        <f aca="false">SUMIFS(Resultados_Caja!$F$117:$FF$117,Calendario!$F$7:$FF$7,0)</f>
        <v>-200000</v>
      </c>
      <c r="F147" s="12" t="n">
        <f aca="false">SUMIFS(Resultados_Caja!$F$117:$FF$117,Calendario!$F$7:$FF$7,1)</f>
        <v>-567782</v>
      </c>
      <c r="G147" s="12" t="n">
        <f aca="false">SUMIFS(Resultados_Caja!$F$117:$FF$117,Calendario!$F$7:$FF$7,2)</f>
        <v>-371928</v>
      </c>
      <c r="H147" s="12" t="n">
        <f aca="false">SUMIFS(Resultados_Caja!$F$117:$FF$117,Calendario!$F$7:$FF$7,3)</f>
        <v>0</v>
      </c>
      <c r="I147" s="12" t="n">
        <f aca="false">SUMIFS(Resultados_Caja!$F$117:$FF$117,Calendario!$F$7:$FF$7,4)</f>
        <v>236794.272105773</v>
      </c>
      <c r="J147" s="12" t="n">
        <f aca="false">SUMIFS(Resultados_Caja!$F$117:$FF$117,Calendario!$F$7:$FF$7,5)</f>
        <v>914225.563192209</v>
      </c>
      <c r="K147" s="12" t="n">
        <f aca="false">SUMIFS(Resultados_Caja!$F$117:$FF$117,Calendario!$F$7:$FF$7,6)</f>
        <v>1695488.20952483</v>
      </c>
      <c r="L147" s="12" t="n">
        <f aca="false">SUMIFS(Resultados_Caja!$F$117:$FF$117,Calendario!$F$7:$FF$7,7)</f>
        <v>1795110.53188481</v>
      </c>
      <c r="M147" s="12" t="n">
        <f aca="false">SUMIFS(Resultados_Caja!$F$117:$FF$117,Calendario!$F$7:$FF$7,8)</f>
        <v>1844570.2164967</v>
      </c>
      <c r="N147" s="12" t="n">
        <f aca="false">SUMIFS(Resultados_Caja!$F$117:$FF$117,Calendario!$F$7:$FF$7,9)</f>
        <v>1894382.33935159</v>
      </c>
      <c r="O147" s="12" t="n">
        <f aca="false">SUMIFS(Resultados_Caja!$F$117:$FF$117,Calendario!$F$7:$FF$7,10)</f>
        <v>7518980.49865736</v>
      </c>
      <c r="P147" s="12" t="n">
        <f aca="false">SUMIFS(Resultados_Caja!$F$117:$FF$117,Calendario!$F$7:$FF$7,11)</f>
        <v>0</v>
      </c>
      <c r="Q147" s="12" t="n">
        <f aca="false">SUMIFS(Resultados_Caja!$F$117:$FF$117,Calendario!$F$7:$FF$7,12)</f>
        <v>0</v>
      </c>
      <c r="R147" s="12" t="n">
        <f aca="false">SUMIFS(Resultados_Caja!$F$117:$FF$117,Calendario!$F$7:$FF$7,13)</f>
        <v>0</v>
      </c>
    </row>
    <row r="148" customFormat="false" ht="15" hidden="false" customHeight="false" outlineLevel="0" collapsed="false">
      <c r="A148" s="2" t="s">
        <v>1840</v>
      </c>
      <c r="B148" s="79" t="s">
        <v>1841</v>
      </c>
      <c r="C148" s="8" t="s">
        <v>255</v>
      </c>
      <c r="D148" s="67" t="n">
        <f aca="false">SUM(E148:R148)</f>
        <v>15838644</v>
      </c>
      <c r="E148" s="28" t="n">
        <f aca="false">Base_PDF!$E$426</f>
        <v>-200000</v>
      </c>
      <c r="F148" s="28" t="n">
        <f aca="false">Base_PDF!F$426</f>
        <v>-567782</v>
      </c>
      <c r="G148" s="28" t="n">
        <f aca="false">Base_PDF!G$426</f>
        <v>-371928</v>
      </c>
      <c r="H148" s="28" t="n">
        <f aca="false">Base_PDF!H$426</f>
        <v>0</v>
      </c>
      <c r="I148" s="28" t="n">
        <f aca="false">Base_PDF!I$426</f>
        <v>371625</v>
      </c>
      <c r="J148" s="28" t="n">
        <f aca="false">Base_PDF!J$426</f>
        <v>853745</v>
      </c>
      <c r="K148" s="28" t="n">
        <f aca="false">Base_PDF!K$426</f>
        <v>1804006</v>
      </c>
      <c r="L148" s="28" t="n">
        <f aca="false">Base_PDF!L$426</f>
        <v>1902407</v>
      </c>
      <c r="M148" s="28" t="n">
        <f aca="false">Base_PDF!M$426</f>
        <v>1974240</v>
      </c>
      <c r="N148" s="28" t="n">
        <f aca="false">Base_PDF!N$426</f>
        <v>2034352</v>
      </c>
      <c r="O148" s="28" t="n">
        <f aca="false">Base_PDF!O$426</f>
        <v>8037979</v>
      </c>
    </row>
    <row r="149" customFormat="false" ht="15" hidden="false" customHeight="false" outlineLevel="0" collapsed="false">
      <c r="A149" s="2" t="s">
        <v>1591</v>
      </c>
      <c r="B149" s="66" t="s">
        <v>1842</v>
      </c>
      <c r="C149" s="8" t="s">
        <v>255</v>
      </c>
      <c r="D149" s="67" t="n">
        <f aca="false">INDEX(Resultados_Caja!$F$91:$FF$91,1,p_MesFin+1)</f>
        <v>2574874.46451807</v>
      </c>
      <c r="E149" s="12" t="n">
        <f aca="false">INDEX(Resultados_Caja!$F$91:$FF$91,1,MIN(157,p_ImplMeses+12*0+1))</f>
        <v>1272400.61780822</v>
      </c>
      <c r="F149" s="12" t="n">
        <f aca="false">INDEX(Resultados_Caja!$F$91:$FF$91,1,MIN(157,p_ImplMeses+12*1+1))</f>
        <v>-33740.5062854385</v>
      </c>
      <c r="G149" s="12" t="n">
        <f aca="false">INDEX(Resultados_Caja!$F$91:$FF$91,1,MIN(157,p_ImplMeses+12*2+1))</f>
        <v>-295367.749691137</v>
      </c>
      <c r="H149" s="12" t="n">
        <f aca="false">INDEX(Resultados_Caja!$F$91:$FF$91,1,MIN(157,p_ImplMeses+12*3+1))</f>
        <v>-341276.106168287</v>
      </c>
      <c r="I149" s="12" t="n">
        <f aca="false">INDEX(Resultados_Caja!$F$91:$FF$91,1,MIN(157,p_ImplMeses+12*4+1))</f>
        <v>71387.1569589041</v>
      </c>
      <c r="J149" s="12" t="n">
        <f aca="false">INDEX(Resultados_Caja!$F$91:$FF$91,1,MIN(157,p_ImplMeses+12*5+1))</f>
        <v>173893.501563154</v>
      </c>
      <c r="K149" s="12" t="n">
        <f aca="false">INDEX(Resultados_Caja!$F$91:$FF$91,1,MIN(157,p_ImplMeses+12*6+1))</f>
        <v>304817.764460983</v>
      </c>
      <c r="L149" s="12" t="n">
        <f aca="false">INDEX(Resultados_Caja!$F$91:$FF$91,1,MIN(157,p_ImplMeses+12*7+1))</f>
        <v>385209.734714917</v>
      </c>
      <c r="M149" s="12" t="n">
        <f aca="false">INDEX(Resultados_Caja!$F$91:$FF$91,1,MIN(157,p_ImplMeses+12*8+1))</f>
        <v>465581.147020578</v>
      </c>
      <c r="N149" s="12" t="n">
        <f aca="false">INDEX(Resultados_Caja!$F$91:$FF$91,1,MIN(157,p_ImplMeses+12*9+1))</f>
        <v>545927.709791102</v>
      </c>
      <c r="O149" s="12" t="n">
        <f aca="false">INDEX(Resultados_Caja!$F$91:$FF$91,1,MIN(157,p_ImplMeses+12*10+1))</f>
        <v>2574874.46451807</v>
      </c>
      <c r="P149" s="12" t="n">
        <f aca="false">INDEX(Resultados_Caja!$F$91:$FF$91,1,MIN(157,p_ImplMeses+12*11+1))</f>
        <v>2574874.46451807</v>
      </c>
      <c r="Q149" s="12" t="n">
        <f aca="false">INDEX(Resultados_Caja!$F$91:$FF$91,1,MIN(157,p_ImplMeses+12*12+1))</f>
        <v>2574874.46451807</v>
      </c>
      <c r="R149" s="12" t="n">
        <f aca="false">INDEX(Resultados_Caja!$F$91:$FF$91,1,MIN(157,p_ImplMeses+12*13+1))</f>
        <v>2574874.46451807</v>
      </c>
    </row>
    <row r="150" customFormat="false" ht="15" hidden="false" customHeight="false" outlineLevel="0" collapsed="false">
      <c r="A150" s="2" t="s">
        <v>1581</v>
      </c>
      <c r="B150" s="8" t="s">
        <v>1843</v>
      </c>
      <c r="C150" s="8" t="s">
        <v>255</v>
      </c>
      <c r="D150" s="67" t="n">
        <f aca="false">MAX(E150:R150)</f>
        <v>589308.477036784</v>
      </c>
      <c r="E150" s="13" t="n">
        <f aca="false">_xlfn.MAXIFS(Resultados_Caja!$F$86:$FF$86,Calendario!$F$7:$FF$7,0)</f>
        <v>0</v>
      </c>
      <c r="F150" s="13" t="n">
        <f aca="false">_xlfn.MAXIFS(Resultados_Caja!$F$86:$FF$86,Calendario!$F$7:$FF$7,1)</f>
        <v>73603.5199840686</v>
      </c>
      <c r="G150" s="13" t="n">
        <f aca="false">_xlfn.MAXIFS(Resultados_Caja!$F$86:$FF$86,Calendario!$F$7:$FF$7,2)</f>
        <v>346172.133252781</v>
      </c>
      <c r="H150" s="13" t="n">
        <f aca="false">_xlfn.MAXIFS(Resultados_Caja!$F$86:$FF$86,Calendario!$F$7:$FF$7,3)</f>
        <v>589308.477036784</v>
      </c>
      <c r="I150" s="13" t="n">
        <f aca="false">_xlfn.MAXIFS(Resultados_Caja!$F$86:$FF$86,Calendario!$F$7:$FF$7,4)</f>
        <v>442894.961537716</v>
      </c>
      <c r="J150" s="13" t="n">
        <f aca="false">_xlfn.MAXIFS(Resultados_Caja!$F$86:$FF$86,Calendario!$F$7:$FF$7,5)</f>
        <v>0</v>
      </c>
      <c r="K150" s="13" t="n">
        <f aca="false">_xlfn.MAXIFS(Resultados_Caja!$F$86:$FF$86,Calendario!$F$7:$FF$7,6)</f>
        <v>0</v>
      </c>
      <c r="L150" s="13" t="n">
        <f aca="false">_xlfn.MAXIFS(Resultados_Caja!$F$86:$FF$86,Calendario!$F$7:$FF$7,7)</f>
        <v>0</v>
      </c>
      <c r="M150" s="13" t="n">
        <f aca="false">_xlfn.MAXIFS(Resultados_Caja!$F$86:$FF$86,Calendario!$F$7:$FF$7,8)</f>
        <v>0</v>
      </c>
      <c r="N150" s="13" t="n">
        <f aca="false">_xlfn.MAXIFS(Resultados_Caja!$F$86:$FF$86,Calendario!$F$7:$FF$7,9)</f>
        <v>0</v>
      </c>
      <c r="O150" s="13" t="n">
        <f aca="false">_xlfn.MAXIFS(Resultados_Caja!$F$86:$FF$86,Calendario!$F$7:$FF$7,10)</f>
        <v>0</v>
      </c>
      <c r="P150" s="13" t="n">
        <f aca="false">_xlfn.MAXIFS(Resultados_Caja!$F$86:$FF$86,Calendario!$F$7:$FF$7,11)</f>
        <v>0</v>
      </c>
      <c r="Q150" s="13" t="n">
        <f aca="false">_xlfn.MAXIFS(Resultados_Caja!$F$86:$FF$86,Calendario!$F$7:$FF$7,12)</f>
        <v>0</v>
      </c>
      <c r="R150" s="13" t="n">
        <f aca="false">_xlfn.MAXIFS(Resultados_Caja!$F$86:$FF$86,Calendario!$F$7:$FF$7,13)</f>
        <v>0</v>
      </c>
    </row>
    <row r="151" customFormat="false" ht="15" hidden="false" customHeight="false" outlineLevel="0" collapsed="false">
      <c r="A151" s="2" t="s">
        <v>1595</v>
      </c>
      <c r="B151" s="8" t="s">
        <v>1844</v>
      </c>
      <c r="C151" s="8" t="s">
        <v>255</v>
      </c>
      <c r="D151" s="67" t="n">
        <f aca="false">MAX(E151:R151)</f>
        <v>589308.477036784</v>
      </c>
      <c r="E151" s="13" t="n">
        <f aca="false">_xlfn.MAXIFS(Resultados_Caja!$F$93:$FF$93,Calendario!$F$7:$FF$7,0)</f>
        <v>0</v>
      </c>
      <c r="F151" s="13" t="n">
        <f aca="false">_xlfn.MAXIFS(Resultados_Caja!$F$93:$FF$93,Calendario!$F$7:$FF$7,1)</f>
        <v>73603.5199840686</v>
      </c>
      <c r="G151" s="13" t="n">
        <f aca="false">_xlfn.MAXIFS(Resultados_Caja!$F$93:$FF$93,Calendario!$F$7:$FF$7,2)</f>
        <v>346172.133252781</v>
      </c>
      <c r="H151" s="13" t="n">
        <f aca="false">_xlfn.MAXIFS(Resultados_Caja!$F$93:$FF$93,Calendario!$F$7:$FF$7,3)</f>
        <v>589308.477036784</v>
      </c>
      <c r="I151" s="13" t="n">
        <f aca="false">_xlfn.MAXIFS(Resultados_Caja!$F$93:$FF$93,Calendario!$F$7:$FF$7,4)</f>
        <v>442894.961537716</v>
      </c>
      <c r="J151" s="13" t="n">
        <f aca="false">_xlfn.MAXIFS(Resultados_Caja!$F$93:$FF$93,Calendario!$F$7:$FF$7,5)</f>
        <v>0</v>
      </c>
      <c r="K151" s="13" t="n">
        <f aca="false">_xlfn.MAXIFS(Resultados_Caja!$F$93:$FF$93,Calendario!$F$7:$FF$7,6)</f>
        <v>0</v>
      </c>
      <c r="L151" s="13" t="n">
        <f aca="false">_xlfn.MAXIFS(Resultados_Caja!$F$93:$FF$93,Calendario!$F$7:$FF$7,7)</f>
        <v>0</v>
      </c>
      <c r="M151" s="13" t="n">
        <f aca="false">_xlfn.MAXIFS(Resultados_Caja!$F$93:$FF$93,Calendario!$F$7:$FF$7,8)</f>
        <v>0</v>
      </c>
      <c r="N151" s="13" t="n">
        <f aca="false">_xlfn.MAXIFS(Resultados_Caja!$F$93:$FF$93,Calendario!$F$7:$FF$7,9)</f>
        <v>0</v>
      </c>
      <c r="O151" s="13" t="n">
        <f aca="false">_xlfn.MAXIFS(Resultados_Caja!$F$93:$FF$93,Calendario!$F$7:$FF$7,10)</f>
        <v>0</v>
      </c>
      <c r="P151" s="13" t="n">
        <f aca="false">_xlfn.MAXIFS(Resultados_Caja!$F$93:$FF$93,Calendario!$F$7:$FF$7,11)</f>
        <v>0</v>
      </c>
      <c r="Q151" s="13" t="n">
        <f aca="false">_xlfn.MAXIFS(Resultados_Caja!$F$93:$FF$93,Calendario!$F$7:$FF$7,12)</f>
        <v>0</v>
      </c>
      <c r="R151" s="13" t="n">
        <f aca="false">_xlfn.MAXIFS(Resultados_Caja!$F$93:$FF$93,Calendario!$F$7:$FF$7,13)</f>
        <v>0</v>
      </c>
    </row>
    <row r="152" customFormat="false" ht="15" hidden="false" customHeight="false" outlineLevel="0" collapsed="false">
      <c r="A152" s="2" t="s">
        <v>1599</v>
      </c>
      <c r="B152" s="8" t="s">
        <v>1845</v>
      </c>
      <c r="C152" s="8" t="s">
        <v>255</v>
      </c>
      <c r="D152" s="67" t="n">
        <f aca="false">MAX(E152:R152)</f>
        <v>1529018.47703678</v>
      </c>
      <c r="E152" s="13" t="n">
        <f aca="false">_xlfn.MAXIFS(Resultados_Caja!$F$95:$FF$95,Calendario!$F$7:$FF$7,0)</f>
        <v>0</v>
      </c>
      <c r="F152" s="13" t="n">
        <f aca="false">_xlfn.MAXIFS(Resultados_Caja!$F$95:$FF$95,Calendario!$F$7:$FF$7,1)</f>
        <v>641385.519984069</v>
      </c>
      <c r="G152" s="13" t="n">
        <f aca="false">_xlfn.MAXIFS(Resultados_Caja!$F$95:$FF$95,Calendario!$F$7:$FF$7,2)</f>
        <v>1285882.13325278</v>
      </c>
      <c r="H152" s="13" t="n">
        <f aca="false">_xlfn.MAXIFS(Resultados_Caja!$F$95:$FF$95,Calendario!$F$7:$FF$7,3)</f>
        <v>1529018.47703678</v>
      </c>
      <c r="I152" s="13" t="n">
        <f aca="false">_xlfn.MAXIFS(Resultados_Caja!$F$95:$FF$95,Calendario!$F$7:$FF$7,4)</f>
        <v>1382604.96153772</v>
      </c>
      <c r="J152" s="13" t="n">
        <f aca="false">_xlfn.MAXIFS(Resultados_Caja!$F$95:$FF$95,Calendario!$F$7:$FF$7,5)</f>
        <v>623060.696834314</v>
      </c>
      <c r="K152" s="13" t="n">
        <f aca="false">_xlfn.MAXIFS(Resultados_Caja!$F$95:$FF$95,Calendario!$F$7:$FF$7,6)</f>
        <v>0</v>
      </c>
      <c r="L152" s="13" t="n">
        <f aca="false">_xlfn.MAXIFS(Resultados_Caja!$F$95:$FF$95,Calendario!$F$7:$FF$7,7)</f>
        <v>0</v>
      </c>
      <c r="M152" s="13" t="n">
        <f aca="false">_xlfn.MAXIFS(Resultados_Caja!$F$95:$FF$95,Calendario!$F$7:$FF$7,8)</f>
        <v>0</v>
      </c>
      <c r="N152" s="13" t="n">
        <f aca="false">_xlfn.MAXIFS(Resultados_Caja!$F$95:$FF$95,Calendario!$F$7:$FF$7,9)</f>
        <v>0</v>
      </c>
      <c r="O152" s="13" t="n">
        <f aca="false">_xlfn.MAXIFS(Resultados_Caja!$F$95:$FF$95,Calendario!$F$7:$FF$7,10)</f>
        <v>0</v>
      </c>
      <c r="P152" s="13" t="n">
        <f aca="false">_xlfn.MAXIFS(Resultados_Caja!$F$95:$FF$95,Calendario!$F$7:$FF$7,11)</f>
        <v>0</v>
      </c>
      <c r="Q152" s="13" t="n">
        <f aca="false">_xlfn.MAXIFS(Resultados_Caja!$F$95:$FF$95,Calendario!$F$7:$FF$7,12)</f>
        <v>0</v>
      </c>
      <c r="R152" s="13" t="n">
        <f aca="false">_xlfn.MAXIFS(Resultados_Caja!$F$95:$FF$95,Calendario!$F$7:$FF$7,13)</f>
        <v>0</v>
      </c>
    </row>
    <row r="153" customFormat="false" ht="15" hidden="false" customHeight="false" outlineLevel="0" collapsed="false">
      <c r="A153" s="2" t="s">
        <v>1601</v>
      </c>
      <c r="B153" s="8" t="s">
        <v>1846</v>
      </c>
      <c r="C153" s="8" t="s">
        <v>255</v>
      </c>
      <c r="D153" s="67" t="n">
        <f aca="false">INDEX(Resultados_Caja!$F$96:$FF$96,1,p_MesFin+1)</f>
        <v>0</v>
      </c>
      <c r="E153" s="13" t="n">
        <f aca="false">INDEX(Resultados_Caja!$F$96:$FF$96,1,MIN(157,p_ImplMeses+12*0+1))</f>
        <v>2791587</v>
      </c>
      <c r="F153" s="13" t="n">
        <f aca="false">INDEX(Resultados_Caja!$F$96:$FF$96,1,MIN(157,p_ImplMeses+12*1+1))</f>
        <v>2534060.6476419</v>
      </c>
      <c r="G153" s="13" t="n">
        <f aca="false">INDEX(Resultados_Caja!$F$96:$FF$96,1,MIN(157,p_ImplMeses+12*2+1))</f>
        <v>1983042.03588878</v>
      </c>
      <c r="H153" s="13" t="n">
        <f aca="false">INDEX(Resultados_Caja!$F$96:$FF$96,1,MIN(157,p_ImplMeses+12*3+1))</f>
        <v>1380334.07760814</v>
      </c>
      <c r="I153" s="13" t="n">
        <f aca="false">INDEX(Resultados_Caja!$F$96:$FF$96,1,MIN(157,p_ImplMeses+12*4+1))</f>
        <v>721087.95555957</v>
      </c>
      <c r="J153" s="13" t="n">
        <f aca="false">INDEX(Resultados_Caja!$F$96:$FF$96,1,MIN(157,p_ImplMeses+12*5+1))</f>
        <v>0</v>
      </c>
      <c r="K153" s="13" t="n">
        <f aca="false">INDEX(Resultados_Caja!$F$96:$FF$96,1,MIN(157,p_ImplMeses+12*6+1))</f>
        <v>0</v>
      </c>
      <c r="L153" s="13" t="n">
        <f aca="false">INDEX(Resultados_Caja!$F$96:$FF$96,1,MIN(157,p_ImplMeses+12*7+1))</f>
        <v>0</v>
      </c>
      <c r="M153" s="13" t="n">
        <f aca="false">INDEX(Resultados_Caja!$F$96:$FF$96,1,MIN(157,p_ImplMeses+12*8+1))</f>
        <v>0</v>
      </c>
      <c r="N153" s="13" t="n">
        <f aca="false">INDEX(Resultados_Caja!$F$96:$FF$96,1,MIN(157,p_ImplMeses+12*9+1))</f>
        <v>0</v>
      </c>
      <c r="O153" s="13" t="n">
        <f aca="false">INDEX(Resultados_Caja!$F$96:$FF$96,1,MIN(157,p_ImplMeses+12*10+1))</f>
        <v>0</v>
      </c>
      <c r="P153" s="13" t="n">
        <f aca="false">INDEX(Resultados_Caja!$F$96:$FF$96,1,MIN(157,p_ImplMeses+12*11+1))</f>
        <v>0</v>
      </c>
      <c r="Q153" s="13" t="n">
        <f aca="false">INDEX(Resultados_Caja!$F$96:$FF$96,1,MIN(157,p_ImplMeses+12*12+1))</f>
        <v>0</v>
      </c>
      <c r="R153" s="13" t="n">
        <f aca="false">INDEX(Resultados_Caja!$F$96:$FF$96,1,MIN(157,p_ImplMeses+12*13+1))</f>
        <v>0</v>
      </c>
    </row>
    <row r="154" customFormat="false" ht="15" hidden="false" customHeight="false" outlineLevel="0" collapsed="false">
      <c r="A154" s="3" t="s">
        <v>1847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customFormat="false" ht="15" hidden="false" customHeight="false" outlineLevel="0" collapsed="false">
      <c r="A155" s="2" t="s">
        <v>1305</v>
      </c>
      <c r="B155" s="8" t="s">
        <v>1848</v>
      </c>
      <c r="C155" s="8" t="s">
        <v>255</v>
      </c>
      <c r="D155" s="67" t="n">
        <f aca="false">INDEX(Capital_Trabajo!$F$22:$FF$22,1,p_MesFin+1)</f>
        <v>3031156.22423973</v>
      </c>
      <c r="E155" s="13" t="n">
        <f aca="false">INDEX(Capital_Trabajo!$F$22:$FF$22,1,MIN(157,p_ImplMeses+12*0+1))</f>
        <v>0</v>
      </c>
      <c r="F155" s="13" t="n">
        <f aca="false">INDEX(Capital_Trabajo!$F$22:$FF$22,1,MIN(157,p_ImplMeses+12*1+1))</f>
        <v>1594520.54794521</v>
      </c>
      <c r="G155" s="13" t="n">
        <f aca="false">INDEX(Capital_Trabajo!$F$22:$FF$22,1,MIN(157,p_ImplMeses+12*2+1))</f>
        <v>2032175.34246575</v>
      </c>
      <c r="H155" s="13" t="n">
        <f aca="false">INDEX(Capital_Trabajo!$F$22:$FF$22,1,MIN(157,p_ImplMeses+12*3+1))</f>
        <v>2478423.78082192</v>
      </c>
      <c r="I155" s="13" t="n">
        <f aca="false">INDEX(Capital_Trabajo!$F$22:$FF$22,1,MIN(157,p_ImplMeses+12*4+1))</f>
        <v>2855486.27835617</v>
      </c>
      <c r="J155" s="13" t="n">
        <f aca="false">INDEX(Capital_Trabajo!$F$22:$FF$22,1,MIN(157,p_ImplMeses+12*5+1))</f>
        <v>2884041.14113973</v>
      </c>
      <c r="K155" s="13" t="n">
        <f aca="false">INDEX(Capital_Trabajo!$F$22:$FF$22,1,MIN(157,p_ImplMeses+12*6+1))</f>
        <v>2912881.55255113</v>
      </c>
      <c r="L155" s="13" t="n">
        <f aca="false">INDEX(Capital_Trabajo!$F$22:$FF$22,1,MIN(157,p_ImplMeses+12*7+1))</f>
        <v>2942010.36807664</v>
      </c>
      <c r="M155" s="13" t="n">
        <f aca="false">INDEX(Capital_Trabajo!$F$22:$FF$22,1,MIN(157,p_ImplMeses+12*8+1))</f>
        <v>2971430.4717574</v>
      </c>
      <c r="N155" s="13" t="n">
        <f aca="false">INDEX(Capital_Trabajo!$F$22:$FF$22,1,MIN(157,p_ImplMeses+12*9+1))</f>
        <v>3001144.77647498</v>
      </c>
      <c r="O155" s="13" t="n">
        <f aca="false">INDEX(Capital_Trabajo!$F$22:$FF$22,1,MIN(157,p_ImplMeses+12*10+1))</f>
        <v>3031156.22423973</v>
      </c>
      <c r="P155" s="13" t="n">
        <f aca="false">INDEX(Capital_Trabajo!$F$22:$FF$22,1,MIN(157,p_ImplMeses+12*11+1))</f>
        <v>3031156.22423973</v>
      </c>
      <c r="Q155" s="13" t="n">
        <f aca="false">INDEX(Capital_Trabajo!$F$22:$FF$22,1,MIN(157,p_ImplMeses+12*12+1))</f>
        <v>3031156.22423973</v>
      </c>
      <c r="R155" s="13" t="n">
        <f aca="false">INDEX(Capital_Trabajo!$F$22:$FF$22,1,MIN(157,p_ImplMeses+12*13+1))</f>
        <v>3031156.22423973</v>
      </c>
    </row>
    <row r="156" customFormat="false" ht="15" hidden="false" customHeight="false" outlineLevel="0" collapsed="false">
      <c r="A156" s="2" t="s">
        <v>1322</v>
      </c>
      <c r="B156" s="8" t="s">
        <v>1849</v>
      </c>
      <c r="C156" s="8" t="s">
        <v>255</v>
      </c>
      <c r="D156" s="67" t="n">
        <f aca="false">INDEX(Capital_Trabajo!$F$31:$FF$31,1,p_MesFin+1)</f>
        <v>0</v>
      </c>
      <c r="E156" s="13" t="n">
        <f aca="false">INDEX(Capital_Trabajo!$F$31:$FF$31,1,MIN(157,p_ImplMeses+12*0+1))</f>
        <v>1064142.28219178</v>
      </c>
      <c r="F156" s="13" t="n">
        <f aca="false">INDEX(Capital_Trabajo!$F$31:$FF$31,1,MIN(157,p_ImplMeses+12*1+1))</f>
        <v>1246936.66684932</v>
      </c>
      <c r="G156" s="13" t="n">
        <f aca="false">INDEX(Capital_Trabajo!$F$31:$FF$31,1,MIN(157,p_ImplMeses+12*2+1))</f>
        <v>1514349.09646027</v>
      </c>
      <c r="H156" s="13" t="n">
        <f aca="false">INDEX(Capital_Trabajo!$F$31:$FF$31,1,MIN(157,p_ImplMeses+12*3+1))</f>
        <v>1733308.51964236</v>
      </c>
      <c r="I156" s="13" t="n">
        <f aca="false">INDEX(Capital_Trabajo!$F$31:$FF$31,1,MIN(157,p_ImplMeses+12*4+1))</f>
        <v>1742466.38423604</v>
      </c>
      <c r="J156" s="13" t="n">
        <f aca="false">INDEX(Capital_Trabajo!$F$31:$FF$31,1,MIN(157,p_ImplMeses+12*5+1))</f>
        <v>1751715.82747566</v>
      </c>
      <c r="K156" s="13" t="n">
        <f aca="false">INDEX(Capital_Trabajo!$F$31:$FF$31,1,MIN(157,p_ImplMeses+12*6+1))</f>
        <v>1761057.76514768</v>
      </c>
      <c r="L156" s="13" t="n">
        <f aca="false">INDEX(Capital_Trabajo!$F$31:$FF$31,1,MIN(157,p_ImplMeses+12*7+1))</f>
        <v>1770493.12219641</v>
      </c>
      <c r="M156" s="13" t="n">
        <f aca="false">INDEX(Capital_Trabajo!$F$31:$FF$31,1,MIN(157,p_ImplMeses+12*8+1))</f>
        <v>1780022.83281564</v>
      </c>
      <c r="N156" s="13" t="n">
        <f aca="false">INDEX(Capital_Trabajo!$F$31:$FF$31,1,MIN(157,p_ImplMeses+12*9+1))</f>
        <v>1789647.84054106</v>
      </c>
      <c r="O156" s="13" t="n">
        <f aca="false">INDEX(Capital_Trabajo!$F$31:$FF$31,1,MIN(157,p_ImplMeses+12*10+1))</f>
        <v>0</v>
      </c>
      <c r="P156" s="13" t="n">
        <f aca="false">INDEX(Capital_Trabajo!$F$31:$FF$31,1,MIN(157,p_ImplMeses+12*11+1))</f>
        <v>0</v>
      </c>
      <c r="Q156" s="13" t="n">
        <f aca="false">INDEX(Capital_Trabajo!$F$31:$FF$31,1,MIN(157,p_ImplMeses+12*12+1))</f>
        <v>0</v>
      </c>
      <c r="R156" s="13" t="n">
        <f aca="false">INDEX(Capital_Trabajo!$F$31:$FF$31,1,MIN(157,p_ImplMeses+12*13+1))</f>
        <v>0</v>
      </c>
    </row>
    <row r="157" customFormat="false" ht="15" hidden="false" customHeight="false" outlineLevel="0" collapsed="false">
      <c r="A157" s="2" t="s">
        <v>1364</v>
      </c>
      <c r="B157" s="8" t="s">
        <v>1850</v>
      </c>
      <c r="C157" s="8" t="s">
        <v>255</v>
      </c>
      <c r="D157" s="67" t="n">
        <f aca="false">INDEX(Capital_Trabajo!$F$56:$FF$56,1,p_MesFin+1)</f>
        <v>0</v>
      </c>
      <c r="E157" s="13" t="n">
        <f aca="false">INDEX(Capital_Trabajo!$F$56:$FF$56,1,MIN(157,p_ImplMeses+12*0+1))</f>
        <v>0</v>
      </c>
      <c r="F157" s="13" t="n">
        <f aca="false">INDEX(Capital_Trabajo!$F$56:$FF$56,1,MIN(157,p_ImplMeses+12*1+1))</f>
        <v>126449.80891971</v>
      </c>
      <c r="G157" s="13" t="n">
        <f aca="false">INDEX(Capital_Trabajo!$F$56:$FF$56,1,MIN(157,p_ImplMeses+12*2+1))</f>
        <v>148253.622528492</v>
      </c>
      <c r="H157" s="13" t="n">
        <f aca="false">INDEX(Capital_Trabajo!$F$56:$FF$56,1,MIN(157,p_ImplMeses+12*3+1))</f>
        <v>166793.811726733</v>
      </c>
      <c r="I157" s="13" t="n">
        <f aca="false">INDEX(Capital_Trabajo!$F$56:$FF$56,1,MIN(157,p_ImplMeses+12*4+1))</f>
        <v>166477.023439485</v>
      </c>
      <c r="J157" s="13" t="n">
        <f aca="false">INDEX(Capital_Trabajo!$F$56:$FF$56,1,MIN(157,p_ImplMeses+12*5+1))</f>
        <v>168121.576428446</v>
      </c>
      <c r="K157" s="13" t="n">
        <f aca="false">INDEX(Capital_Trabajo!$F$56:$FF$56,1,MIN(157,p_ImplMeses+12*6+1))</f>
        <v>168916.125089563</v>
      </c>
      <c r="L157" s="13" t="n">
        <f aca="false">INDEX(Capital_Trabajo!$F$56:$FF$56,1,MIN(157,p_ImplMeses+12*7+1))</f>
        <v>169718.456453729</v>
      </c>
      <c r="M157" s="13" t="n">
        <f aca="false">INDEX(Capital_Trabajo!$F$56:$FF$56,1,MIN(157,p_ImplMeses+12*8+1))</f>
        <v>170528.648347974</v>
      </c>
      <c r="N157" s="13" t="n">
        <f aca="false">INDEX(Capital_Trabajo!$F$56:$FF$56,1,MIN(157,p_ImplMeses+12*9+1))</f>
        <v>171346.779377601</v>
      </c>
      <c r="O157" s="13" t="n">
        <f aca="false">INDEX(Capital_Trabajo!$F$56:$FF$56,1,MIN(157,p_ImplMeses+12*10+1))</f>
        <v>0</v>
      </c>
      <c r="P157" s="13" t="n">
        <f aca="false">INDEX(Capital_Trabajo!$F$56:$FF$56,1,MIN(157,p_ImplMeses+12*11+1))</f>
        <v>0</v>
      </c>
      <c r="Q157" s="13" t="n">
        <f aca="false">INDEX(Capital_Trabajo!$F$56:$FF$56,1,MIN(157,p_ImplMeses+12*12+1))</f>
        <v>0</v>
      </c>
      <c r="R157" s="13" t="n">
        <f aca="false">INDEX(Capital_Trabajo!$F$56:$FF$56,1,MIN(157,p_ImplMeses+12*13+1))</f>
        <v>0</v>
      </c>
    </row>
    <row r="158" customFormat="false" ht="15" hidden="false" customHeight="false" outlineLevel="0" collapsed="false">
      <c r="A158" s="2" t="s">
        <v>1392</v>
      </c>
      <c r="B158" s="8" t="s">
        <v>1851</v>
      </c>
      <c r="C158" s="8" t="s">
        <v>255</v>
      </c>
      <c r="D158" s="67" t="n">
        <f aca="false">INDEX(Deuda_Tributos!$F$17:$FF$17,1,p_MesFin+1)</f>
        <v>0</v>
      </c>
      <c r="E158" s="13" t="n">
        <f aca="false">INDEX(Deuda_Tributos!$F$17:$FF$17,1,MIN(157,p_ImplMeses+12*0+1))</f>
        <v>0</v>
      </c>
      <c r="F158" s="13" t="n">
        <f aca="false">INDEX(Deuda_Tributos!$F$17:$FF$17,1,MIN(157,p_ImplMeses+12*1+1))</f>
        <v>0</v>
      </c>
      <c r="G158" s="13" t="n">
        <f aca="false">INDEX(Deuda_Tributos!$F$17:$FF$17,1,MIN(157,p_ImplMeses+12*2+1))</f>
        <v>0</v>
      </c>
      <c r="H158" s="13" t="n">
        <f aca="false">INDEX(Deuda_Tributos!$F$17:$FF$17,1,MIN(157,p_ImplMeses+12*3+1))</f>
        <v>0</v>
      </c>
      <c r="I158" s="13" t="n">
        <f aca="false">INDEX(Deuda_Tributos!$F$17:$FF$17,1,MIN(157,p_ImplMeses+12*4+1))</f>
        <v>0</v>
      </c>
      <c r="J158" s="13" t="n">
        <f aca="false">INDEX(Deuda_Tributos!$F$17:$FF$17,1,MIN(157,p_ImplMeses+12*5+1))</f>
        <v>0</v>
      </c>
      <c r="K158" s="13" t="n">
        <f aca="false">INDEX(Deuda_Tributos!$F$17:$FF$17,1,MIN(157,p_ImplMeses+12*6+1))</f>
        <v>0</v>
      </c>
      <c r="L158" s="13" t="n">
        <f aca="false">INDEX(Deuda_Tributos!$F$17:$FF$17,1,MIN(157,p_ImplMeses+12*7+1))</f>
        <v>0</v>
      </c>
      <c r="M158" s="13" t="n">
        <f aca="false">INDEX(Deuda_Tributos!$F$17:$FF$17,1,MIN(157,p_ImplMeses+12*8+1))</f>
        <v>0</v>
      </c>
      <c r="N158" s="13" t="n">
        <f aca="false">INDEX(Deuda_Tributos!$F$17:$FF$17,1,MIN(157,p_ImplMeses+12*9+1))</f>
        <v>0</v>
      </c>
      <c r="O158" s="13" t="n">
        <f aca="false">INDEX(Deuda_Tributos!$F$17:$FF$17,1,MIN(157,p_ImplMeses+12*10+1))</f>
        <v>0</v>
      </c>
      <c r="P158" s="13" t="n">
        <f aca="false">INDEX(Deuda_Tributos!$F$17:$FF$17,1,MIN(157,p_ImplMeses+12*11+1))</f>
        <v>0</v>
      </c>
      <c r="Q158" s="13" t="n">
        <f aca="false">INDEX(Deuda_Tributos!$F$17:$FF$17,1,MIN(157,p_ImplMeses+12*12+1))</f>
        <v>0</v>
      </c>
      <c r="R158" s="13" t="n">
        <f aca="false">INDEX(Deuda_Tributos!$F$17:$FF$17,1,MIN(157,p_ImplMeses+12*13+1))</f>
        <v>0</v>
      </c>
    </row>
    <row r="159" customFormat="false" ht="15" hidden="false" customHeight="false" outlineLevel="0" collapsed="false">
      <c r="A159" s="2" t="s">
        <v>1852</v>
      </c>
      <c r="B159" s="8" t="s">
        <v>1853</v>
      </c>
      <c r="C159" s="8" t="s">
        <v>255</v>
      </c>
      <c r="E159" s="13" t="n">
        <f aca="false">INDEX(Capital_Trabajo!$F$58:$FF$58,1,MIN(157,p_ImplMeses+12*0+1))+INDEX(Capital_Trabajo!$F$36:$FF$36,1,MIN(157,p_ImplMeses+12*0+1))</f>
        <v>0</v>
      </c>
      <c r="F159" s="13" t="n">
        <f aca="false">INDEX(Capital_Trabajo!$F$58:$FF$58,1,MIN(157,p_ImplMeses+12*1+1))+INDEX(Capital_Trabajo!$F$36:$FF$36,1,MIN(157,p_ImplMeses+12*1+1))</f>
        <v>19605.3818652655</v>
      </c>
      <c r="G159" s="13" t="n">
        <f aca="false">INDEX(Capital_Trabajo!$F$58:$FF$58,1,MIN(157,p_ImplMeses+12*2+1))+INDEX(Capital_Trabajo!$F$36:$FF$36,1,MIN(157,p_ImplMeses+12*2+1))</f>
        <v>19605.3818652655</v>
      </c>
      <c r="H159" s="13" t="n">
        <f aca="false">INDEX(Capital_Trabajo!$F$58:$FF$58,1,MIN(157,p_ImplMeses+12*3+1))+INDEX(Capital_Trabajo!$F$36:$FF$36,1,MIN(157,p_ImplMeses+12*3+1))</f>
        <v>20435.527070745</v>
      </c>
      <c r="I159" s="13" t="n">
        <f aca="false">INDEX(Capital_Trabajo!$F$58:$FF$58,1,MIN(157,p_ImplMeses+12*4+1))+INDEX(Capital_Trabajo!$F$36:$FF$36,1,MIN(157,p_ImplMeses+12*4+1))</f>
        <v>21084.0282604616</v>
      </c>
      <c r="J159" s="13" t="n">
        <f aca="false">INDEX(Capital_Trabajo!$F$58:$FF$58,1,MIN(157,p_ImplMeses+12*5+1))+INDEX(Capital_Trabajo!$F$36:$FF$36,1,MIN(157,p_ImplMeses+12*5+1))</f>
        <v>21892.6744604992</v>
      </c>
      <c r="K159" s="13" t="n">
        <f aca="false">INDEX(Capital_Trabajo!$F$58:$FF$58,1,MIN(157,p_ImplMeses+12*6+1))+INDEX(Capital_Trabajo!$F$36:$FF$36,1,MIN(157,p_ImplMeses+12*6+1))</f>
        <v>21892.6744604992</v>
      </c>
      <c r="L159" s="13" t="n">
        <f aca="false">INDEX(Capital_Trabajo!$F$58:$FF$58,1,MIN(157,p_ImplMeses+12*7+1))+INDEX(Capital_Trabajo!$F$36:$FF$36,1,MIN(157,p_ImplMeses+12*7+1))</f>
        <v>21892.6744604992</v>
      </c>
      <c r="M159" s="13" t="n">
        <f aca="false">INDEX(Capital_Trabajo!$F$58:$FF$58,1,MIN(157,p_ImplMeses+12*8+1))+INDEX(Capital_Trabajo!$F$36:$FF$36,1,MIN(157,p_ImplMeses+12*8+1))</f>
        <v>21892.6744604992</v>
      </c>
      <c r="N159" s="13" t="n">
        <f aca="false">INDEX(Capital_Trabajo!$F$58:$FF$58,1,MIN(157,p_ImplMeses+12*9+1))+INDEX(Capital_Trabajo!$F$36:$FF$36,1,MIN(157,p_ImplMeses+12*9+1))</f>
        <v>21892.6744604992</v>
      </c>
      <c r="O159" s="13" t="n">
        <f aca="false">INDEX(Capital_Trabajo!$F$58:$FF$58,1,MIN(157,p_ImplMeses+12*10+1))+INDEX(Capital_Trabajo!$F$36:$FF$36,1,MIN(157,p_ImplMeses+12*10+1))</f>
        <v>21892.6744604992</v>
      </c>
      <c r="P159" s="13" t="n">
        <f aca="false">INDEX(Capital_Trabajo!$F$58:$FF$58,1,MIN(157,p_ImplMeses+12*11+1))+INDEX(Capital_Trabajo!$F$36:$FF$36,1,MIN(157,p_ImplMeses+12*11+1))</f>
        <v>21892.6744604992</v>
      </c>
      <c r="Q159" s="13" t="n">
        <f aca="false">INDEX(Capital_Trabajo!$F$58:$FF$58,1,MIN(157,p_ImplMeses+12*12+1))+INDEX(Capital_Trabajo!$F$36:$FF$36,1,MIN(157,p_ImplMeses+12*12+1))</f>
        <v>21892.6744604992</v>
      </c>
      <c r="R159" s="13" t="n">
        <f aca="false">INDEX(Capital_Trabajo!$F$58:$FF$58,1,MIN(157,p_ImplMeses+12*13+1))+INDEX(Capital_Trabajo!$F$36:$FF$36,1,MIN(157,p_ImplMeses+12*13+1))</f>
        <v>21892.6744604992</v>
      </c>
    </row>
    <row r="160" customFormat="false" ht="15" hidden="false" customHeight="false" outlineLevel="0" collapsed="false">
      <c r="A160" s="2" t="s">
        <v>1342</v>
      </c>
      <c r="B160" s="8" t="s">
        <v>1854</v>
      </c>
      <c r="C160" s="8" t="s">
        <v>255</v>
      </c>
      <c r="D160" s="67" t="n">
        <f aca="false">INDEX(Capital_Trabajo!$F$42:$FF$42,1,p_MesFin+1)</f>
        <v>0</v>
      </c>
      <c r="E160" s="13" t="n">
        <f aca="false">INDEX(Capital_Trabajo!$F$42:$FF$42,1,MIN(157,p_ImplMeses+12*0+1))</f>
        <v>0</v>
      </c>
      <c r="F160" s="13" t="n">
        <f aca="false">INDEX(Capital_Trabajo!$F$42:$FF$42,1,MIN(157,p_ImplMeses+12*1+1))</f>
        <v>0</v>
      </c>
      <c r="G160" s="13" t="n">
        <f aca="false">INDEX(Capital_Trabajo!$F$42:$FF$42,1,MIN(157,p_ImplMeses+12*2+1))</f>
        <v>0</v>
      </c>
      <c r="H160" s="13" t="n">
        <f aca="false">INDEX(Capital_Trabajo!$F$42:$FF$42,1,MIN(157,p_ImplMeses+12*3+1))</f>
        <v>0</v>
      </c>
      <c r="I160" s="13" t="n">
        <f aca="false">INDEX(Capital_Trabajo!$F$42:$FF$42,1,MIN(157,p_ImplMeses+12*4+1))</f>
        <v>0</v>
      </c>
      <c r="J160" s="13" t="n">
        <f aca="false">INDEX(Capital_Trabajo!$F$42:$FF$42,1,MIN(157,p_ImplMeses+12*5+1))</f>
        <v>0</v>
      </c>
      <c r="K160" s="13" t="n">
        <f aca="false">INDEX(Capital_Trabajo!$F$42:$FF$42,1,MIN(157,p_ImplMeses+12*6+1))</f>
        <v>0</v>
      </c>
      <c r="L160" s="13" t="n">
        <f aca="false">INDEX(Capital_Trabajo!$F$42:$FF$42,1,MIN(157,p_ImplMeses+12*7+1))</f>
        <v>0</v>
      </c>
      <c r="M160" s="13" t="n">
        <f aca="false">INDEX(Capital_Trabajo!$F$42:$FF$42,1,MIN(157,p_ImplMeses+12*8+1))</f>
        <v>0</v>
      </c>
      <c r="N160" s="13" t="n">
        <f aca="false">INDEX(Capital_Trabajo!$F$42:$FF$42,1,MIN(157,p_ImplMeses+12*9+1))</f>
        <v>0</v>
      </c>
      <c r="O160" s="13" t="n">
        <f aca="false">INDEX(Capital_Trabajo!$F$42:$FF$42,1,MIN(157,p_ImplMeses+12*10+1))</f>
        <v>0</v>
      </c>
      <c r="P160" s="13" t="n">
        <f aca="false">INDEX(Capital_Trabajo!$F$42:$FF$42,1,MIN(157,p_ImplMeses+12*11+1))</f>
        <v>0</v>
      </c>
      <c r="Q160" s="13" t="n">
        <f aca="false">INDEX(Capital_Trabajo!$F$42:$FF$42,1,MIN(157,p_ImplMeses+12*12+1))</f>
        <v>0</v>
      </c>
      <c r="R160" s="13" t="n">
        <f aca="false">INDEX(Capital_Trabajo!$F$42:$FF$42,1,MIN(157,p_ImplMeses+12*13+1))</f>
        <v>0</v>
      </c>
    </row>
    <row r="161" customFormat="false" ht="15" hidden="false" customHeight="false" outlineLevel="0" collapsed="false">
      <c r="A161" s="2" t="s">
        <v>1357</v>
      </c>
      <c r="B161" s="8" t="s">
        <v>1855</v>
      </c>
      <c r="C161" s="8" t="s">
        <v>255</v>
      </c>
      <c r="D161" s="67" t="n">
        <f aca="false">INDEX(Capital_Trabajo!$F$51:$FF$51,1,p_MesFin+1)</f>
        <v>63488.8374743457</v>
      </c>
      <c r="E161" s="13" t="n">
        <f aca="false">INDEX(Capital_Trabajo!$F$51:$FF$51,1,MIN(157,p_ImplMeses+12*0+1))</f>
        <v>0</v>
      </c>
      <c r="F161" s="13" t="n">
        <f aca="false">INDEX(Capital_Trabajo!$F$51:$FF$51,1,MIN(157,p_ImplMeses+12*1+1))</f>
        <v>51256.8607942894</v>
      </c>
      <c r="G161" s="13" t="n">
        <f aca="false">INDEX(Capital_Trabajo!$F$51:$FF$51,1,MIN(157,p_ImplMeses+12*2+1))</f>
        <v>57035.9559569841</v>
      </c>
      <c r="H161" s="13" t="n">
        <f aca="false">INDEX(Capital_Trabajo!$F$51:$FF$51,1,MIN(157,p_ImplMeses+12*3+1))</f>
        <v>62801.5007498015</v>
      </c>
      <c r="I161" s="13" t="n">
        <f aca="false">INDEX(Capital_Trabajo!$F$51:$FF$51,1,MIN(157,p_ImplMeses+12*4+1))</f>
        <v>66837.3782373526</v>
      </c>
      <c r="J161" s="13" t="n">
        <f aca="false">INDEX(Capital_Trabajo!$F$51:$FF$51,1,MIN(157,p_ImplMeses+12*5+1))</f>
        <v>67834.3272807317</v>
      </c>
      <c r="K161" s="13" t="n">
        <f aca="false">INDEX(Capital_Trabajo!$F$51:$FF$51,1,MIN(157,p_ImplMeses+12*6+1))</f>
        <v>68696.5555631169</v>
      </c>
      <c r="L161" s="13" t="n">
        <f aca="false">INDEX(Capital_Trabajo!$F$51:$FF$51,1,MIN(157,p_ImplMeses+12*7+1))</f>
        <v>69578.7351435718</v>
      </c>
      <c r="M161" s="13" t="n">
        <f aca="false">INDEX(Capital_Trabajo!$F$51:$FF$51,1,MIN(157,p_ImplMeses+12*8+1))</f>
        <v>70481.4207885811</v>
      </c>
      <c r="N161" s="13" t="n">
        <f aca="false">INDEX(Capital_Trabajo!$F$51:$FF$51,1,MIN(157,p_ImplMeses+12*9+1))</f>
        <v>71405.1834698992</v>
      </c>
      <c r="O161" s="13" t="n">
        <f aca="false">INDEX(Capital_Trabajo!$F$51:$FF$51,1,MIN(157,p_ImplMeses+12*10+1))</f>
        <v>63488.8374743457</v>
      </c>
      <c r="P161" s="13" t="n">
        <f aca="false">INDEX(Capital_Trabajo!$F$51:$FF$51,1,MIN(157,p_ImplMeses+12*11+1))</f>
        <v>63488.8374743457</v>
      </c>
      <c r="Q161" s="13" t="n">
        <f aca="false">INDEX(Capital_Trabajo!$F$51:$FF$51,1,MIN(157,p_ImplMeses+12*12+1))</f>
        <v>63488.8374743457</v>
      </c>
      <c r="R161" s="13" t="n">
        <f aca="false">INDEX(Capital_Trabajo!$F$51:$FF$51,1,MIN(157,p_ImplMeses+12*13+1))</f>
        <v>63488.8374743457</v>
      </c>
    </row>
    <row r="162" customFormat="false" ht="15" hidden="false" customHeight="false" outlineLevel="0" collapsed="false">
      <c r="A162" s="2" t="s">
        <v>1375</v>
      </c>
      <c r="B162" s="66" t="s">
        <v>1856</v>
      </c>
      <c r="C162" s="8" t="s">
        <v>255</v>
      </c>
      <c r="D162" s="67" t="n">
        <f aca="false">INDEX(Capital_Trabajo!$F$62:$FF$62,1,p_MesFin+1)</f>
        <v>2989560.06122588</v>
      </c>
      <c r="E162" s="12" t="n">
        <f aca="false">INDEX(Capital_Trabajo!$F$62:$FF$62,1,MIN(157,p_ImplMeses+12*0+1))</f>
        <v>1064142.28219178</v>
      </c>
      <c r="F162" s="12" t="n">
        <f aca="false">INDEX(Capital_Trabajo!$F$62:$FF$62,1,MIN(157,p_ImplMeses+12*1+1))</f>
        <v>2936255.54478521</v>
      </c>
      <c r="G162" s="12" t="n">
        <f aca="false">INDEX(Capital_Trabajo!$F$62:$FF$62,1,MIN(157,p_ImplMeses+12*2+1))</f>
        <v>3657347.4873628</v>
      </c>
      <c r="H162" s="12" t="n">
        <f aca="false">INDEX(Capital_Trabajo!$F$62:$FF$62,1,MIN(157,p_ImplMeses+12*3+1))</f>
        <v>4336160.13851195</v>
      </c>
      <c r="I162" s="12" t="n">
        <f aca="false">INDEX(Capital_Trabajo!$F$62:$FF$62,1,MIN(157,p_ImplMeses+12*4+1))</f>
        <v>4718676.3360548</v>
      </c>
      <c r="J162" s="12" t="n">
        <f aca="false">INDEX(Capital_Trabajo!$F$62:$FF$62,1,MIN(157,p_ImplMeses+12*5+1))</f>
        <v>4757936.8922236</v>
      </c>
      <c r="K162" s="12" t="n">
        <f aca="false">INDEX(Capital_Trabajo!$F$62:$FF$62,1,MIN(157,p_ImplMeses+12*6+1))</f>
        <v>4796051.56168575</v>
      </c>
      <c r="L162" s="12" t="n">
        <f aca="false">INDEX(Capital_Trabajo!$F$62:$FF$62,1,MIN(157,p_ImplMeses+12*7+1))</f>
        <v>4834535.88604371</v>
      </c>
      <c r="M162" s="12" t="n">
        <f aca="false">INDEX(Capital_Trabajo!$F$62:$FF$62,1,MIN(157,p_ImplMeses+12*8+1))</f>
        <v>4873393.20659294</v>
      </c>
      <c r="N162" s="12" t="n">
        <f aca="false">INDEX(Capital_Trabajo!$F$62:$FF$62,1,MIN(157,p_ImplMeses+12*9+1))</f>
        <v>4912626.88738423</v>
      </c>
      <c r="O162" s="12" t="n">
        <f aca="false">INDEX(Capital_Trabajo!$F$62:$FF$62,1,MIN(157,p_ImplMeses+12*10+1))</f>
        <v>2989560.06122588</v>
      </c>
      <c r="P162" s="12" t="n">
        <f aca="false">INDEX(Capital_Trabajo!$F$62:$FF$62,1,MIN(157,p_ImplMeses+12*11+1))</f>
        <v>2989560.06122588</v>
      </c>
      <c r="Q162" s="12" t="n">
        <f aca="false">INDEX(Capital_Trabajo!$F$62:$FF$62,1,MIN(157,p_ImplMeses+12*12+1))</f>
        <v>2989560.06122588</v>
      </c>
      <c r="R162" s="12" t="n">
        <f aca="false">INDEX(Capital_Trabajo!$F$62:$FF$62,1,MIN(157,p_ImplMeses+12*13+1))</f>
        <v>2989560.06122588</v>
      </c>
    </row>
    <row r="163" customFormat="false" ht="15" hidden="false" customHeight="false" outlineLevel="0" collapsed="false">
      <c r="A163" s="2" t="s">
        <v>1857</v>
      </c>
      <c r="B163" s="79" t="s">
        <v>1858</v>
      </c>
      <c r="C163" s="8" t="s">
        <v>255</v>
      </c>
      <c r="D163" s="67" t="n">
        <f aca="false">SUM(E163:R163)</f>
        <v>36143201</v>
      </c>
      <c r="F163" s="28" t="n">
        <f aca="false">Base_PDF!F$374</f>
        <v>2336543</v>
      </c>
      <c r="G163" s="28" t="n">
        <f aca="false">Base_PDF!G$374</f>
        <v>2874662</v>
      </c>
      <c r="H163" s="28" t="n">
        <f aca="false">Base_PDF!H$374</f>
        <v>3423854</v>
      </c>
      <c r="I163" s="28" t="n">
        <f aca="false">Base_PDF!I$374</f>
        <v>3872159</v>
      </c>
      <c r="J163" s="28" t="n">
        <f aca="false">Base_PDF!J$374</f>
        <v>3898522</v>
      </c>
      <c r="K163" s="28" t="n">
        <f aca="false">Base_PDF!K$374</f>
        <v>3914577</v>
      </c>
      <c r="L163" s="28" t="n">
        <f aca="false">Base_PDF!L$374</f>
        <v>3930831</v>
      </c>
      <c r="M163" s="28" t="n">
        <f aca="false">Base_PDF!M$374</f>
        <v>3947287</v>
      </c>
      <c r="N163" s="28" t="n">
        <f aca="false">Base_PDF!N$374</f>
        <v>3963948</v>
      </c>
      <c r="O163" s="28" t="n">
        <f aca="false">Base_PDF!O$374</f>
        <v>3980818</v>
      </c>
    </row>
    <row r="164" customFormat="false" ht="15" hidden="false" customHeight="false" outlineLevel="0" collapsed="false">
      <c r="A164" s="2" t="s">
        <v>1859</v>
      </c>
      <c r="B164" s="8" t="s">
        <v>1860</v>
      </c>
      <c r="C164" s="8" t="s">
        <v>195</v>
      </c>
      <c r="E164" s="13" t="str">
        <f aca="false">IF(AND(0&gt;0,E86&gt;0),E155/E86*p_DiasAnio,"")</f>
        <v/>
      </c>
      <c r="F164" s="13" t="n">
        <f aca="false">IF(AND(1&gt;0,F86&gt;0),F155/F86*p_DiasAnio,"")</f>
        <v>120</v>
      </c>
      <c r="G164" s="13" t="n">
        <f aca="false">IF(AND(2&gt;0,G86&gt;0),G155/G86*p_DiasAnio,"")</f>
        <v>120</v>
      </c>
      <c r="H164" s="13" t="n">
        <f aca="false">IF(AND(3&gt;0,H86&gt;0),H155/H86*p_DiasAnio,"")</f>
        <v>120</v>
      </c>
      <c r="I164" s="13" t="n">
        <f aca="false">IF(AND(4&gt;0,I86&gt;0),I155/I86*p_DiasAnio,"")</f>
        <v>120</v>
      </c>
      <c r="J164" s="13" t="n">
        <f aca="false">IF(AND(5&gt;0,J86&gt;0),J155/J86*p_DiasAnio,"")</f>
        <v>120</v>
      </c>
      <c r="K164" s="13" t="n">
        <f aca="false">IF(AND(6&gt;0,K86&gt;0),K155/K86*p_DiasAnio,"")</f>
        <v>120</v>
      </c>
      <c r="L164" s="13" t="n">
        <f aca="false">IF(AND(7&gt;0,L86&gt;0),L155/L86*p_DiasAnio,"")</f>
        <v>120</v>
      </c>
      <c r="M164" s="13" t="n">
        <f aca="false">IF(AND(8&gt;0,M86&gt;0),M155/M86*p_DiasAnio,"")</f>
        <v>120</v>
      </c>
      <c r="N164" s="13" t="n">
        <f aca="false">IF(AND(9&gt;0,N86&gt;0),N155/N86*p_DiasAnio,"")</f>
        <v>120</v>
      </c>
      <c r="O164" s="13" t="n">
        <f aca="false">IF(AND(10&gt;0,O86&gt;0),O155/O86*p_DiasAnio,"")</f>
        <v>120</v>
      </c>
      <c r="P164" s="13" t="str">
        <f aca="false">IF(AND(11&gt;0,P86&gt;0),P155/P86*p_DiasAnio,"")</f>
        <v/>
      </c>
      <c r="Q164" s="13" t="str">
        <f aca="false">IF(AND(12&gt;0,Q86&gt;0),Q155/Q86*p_DiasAnio,"")</f>
        <v/>
      </c>
      <c r="R164" s="13" t="str">
        <f aca="false">IF(AND(13&gt;0,R86&gt;0),R155/R86*p_DiasAnio,"")</f>
        <v/>
      </c>
    </row>
    <row r="165" customFormat="false" ht="15" hidden="false" customHeight="false" outlineLevel="0" collapsed="false">
      <c r="A165" s="2" t="s">
        <v>1861</v>
      </c>
      <c r="B165" s="8" t="s">
        <v>1862</v>
      </c>
      <c r="C165" s="8" t="s">
        <v>195</v>
      </c>
      <c r="E165" s="13" t="str">
        <f aca="false">IF(E113&gt;0,E156/(E113+IF(p_C5=1,E114+E115,0))*p_DiasAnio,"")</f>
        <v/>
      </c>
      <c r="F165" s="13" t="n">
        <f aca="false">IF(F113&gt;0,F156/(F113+IF(p_C5=1,F114+F115,0))*p_DiasAnio,"")</f>
        <v>147.236719922675</v>
      </c>
      <c r="G165" s="13" t="n">
        <f aca="false">IF(G113&gt;0,G156/(G113+IF(p_C5=1,G114+G115,0))*p_DiasAnio,"")</f>
        <v>144.908328470593</v>
      </c>
      <c r="H165" s="13" t="n">
        <f aca="false">IF(H113&gt;0,H156/(H113+IF(p_C5=1,H114+H115,0))*p_DiasAnio,"")</f>
        <v>136.831183077262</v>
      </c>
      <c r="I165" s="13" t="n">
        <f aca="false">IF(I113&gt;0,I156/(I113+IF(p_C5=1,I114+I115,0))*p_DiasAnio,"")</f>
        <v>120.634015086633</v>
      </c>
      <c r="J165" s="13" t="n">
        <f aca="false">IF(J113&gt;0,J156/(J113+IF(p_C5=1,J114+J115,0))*p_DiasAnio,"")</f>
        <v>120.636989728351</v>
      </c>
      <c r="K165" s="13" t="n">
        <f aca="false">IF(K113&gt;0,K156/(K113+IF(p_C5=1,K114+K115,0))*p_DiasAnio,"")</f>
        <v>120.639962545899</v>
      </c>
      <c r="L165" s="13" t="n">
        <f aca="false">IF(L113&gt;0,L156/(L113+IF(p_C5=1,L114+L115,0))*p_DiasAnio,"")</f>
        <v>120.642933393927</v>
      </c>
      <c r="M165" s="13" t="n">
        <f aca="false">IF(M113&gt;0,M156/(M113+IF(p_C5=1,M114+M115,0))*p_DiasAnio,"")</f>
        <v>120.645902127475</v>
      </c>
      <c r="N165" s="13" t="n">
        <f aca="false">IF(N113&gt;0,N156/(N113+IF(p_C5=1,N114+N115,0))*p_DiasAnio,"")</f>
        <v>120.648868601996</v>
      </c>
      <c r="O165" s="13" t="n">
        <f aca="false">IF(O113&gt;0,O156/(O113+IF(p_C5=1,O114+O115,0))*p_DiasAnio,"")</f>
        <v>0</v>
      </c>
      <c r="P165" s="13" t="str">
        <f aca="false">IF(P113&gt;0,P156/(P113+IF(p_C5=1,P114+P115,0))*p_DiasAnio,"")</f>
        <v/>
      </c>
      <c r="Q165" s="13" t="str">
        <f aca="false">IF(Q113&gt;0,Q156/(Q113+IF(p_C5=1,Q114+Q115,0))*p_DiasAnio,"")</f>
        <v/>
      </c>
      <c r="R165" s="13" t="str">
        <f aca="false">IF(R113&gt;0,R156/(R113+IF(p_C5=1,R114+R115,0))*p_DiasAnio,"")</f>
        <v/>
      </c>
    </row>
    <row r="166" customFormat="false" ht="15" hidden="false" customHeight="false" outlineLevel="0" collapsed="false">
      <c r="A166" s="3" t="s">
        <v>1863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customFormat="false" ht="15" hidden="false" customHeight="false" outlineLevel="0" collapsed="false">
      <c r="A167" s="2" t="s">
        <v>1864</v>
      </c>
      <c r="B167" s="8" t="s">
        <v>1865</v>
      </c>
      <c r="C167" s="8" t="s">
        <v>255</v>
      </c>
      <c r="E167" s="13" t="n">
        <f aca="false">E139+E140+E141</f>
        <v>0</v>
      </c>
      <c r="F167" s="13" t="n">
        <f aca="false">F139+F140+F141</f>
        <v>528628.284789129</v>
      </c>
      <c r="G167" s="13" t="n">
        <f aca="false">G139+G140+G141</f>
        <v>777292.865874567</v>
      </c>
      <c r="H167" s="13" t="n">
        <f aca="false">H139+H140+H141</f>
        <v>772123.931221814</v>
      </c>
      <c r="I167" s="13" t="n">
        <f aca="false">I139+I140+I141</f>
        <v>766470.114845022</v>
      </c>
      <c r="J167" s="13" t="n">
        <f aca="false">J139+J140+J141</f>
        <v>760285.931493923</v>
      </c>
      <c r="K167" s="13" t="n">
        <f aca="false">K139+K140+K141</f>
        <v>0</v>
      </c>
      <c r="L167" s="13" t="n">
        <f aca="false">L139+L140+L141</f>
        <v>0</v>
      </c>
      <c r="M167" s="13" t="n">
        <f aca="false">M139+M140+M141</f>
        <v>0</v>
      </c>
      <c r="N167" s="13" t="n">
        <f aca="false">N139+N140+N141</f>
        <v>0</v>
      </c>
      <c r="O167" s="13" t="n">
        <f aca="false">O139+O140+O141</f>
        <v>0</v>
      </c>
      <c r="P167" s="13" t="n">
        <f aca="false">P139+P140+P141</f>
        <v>0</v>
      </c>
      <c r="Q167" s="13" t="n">
        <f aca="false">Q139+Q140+Q141</f>
        <v>0</v>
      </c>
      <c r="R167" s="13" t="n">
        <f aca="false">R139+R140+R141</f>
        <v>0</v>
      </c>
    </row>
    <row r="168" customFormat="false" ht="15" hidden="false" customHeight="false" outlineLevel="0" collapsed="false">
      <c r="A168" s="2" t="s">
        <v>1866</v>
      </c>
      <c r="B168" s="8" t="s">
        <v>1867</v>
      </c>
      <c r="C168" s="8" t="s">
        <v>255</v>
      </c>
      <c r="E168" s="13" t="n">
        <f aca="false">E130-E132</f>
        <v>-1064142.28219178</v>
      </c>
      <c r="F168" s="13" t="n">
        <f aca="false">F130-F132</f>
        <v>-1345294.83930453</v>
      </c>
      <c r="G168" s="13" t="n">
        <f aca="false">G130-G132</f>
        <v>243737.622468869</v>
      </c>
      <c r="H168" s="13" t="n">
        <f aca="false">H130-H132</f>
        <v>726215.574744663</v>
      </c>
      <c r="I168" s="13" t="n">
        <f aca="false">I130-I132</f>
        <v>1415927.65007799</v>
      </c>
      <c r="J168" s="13" t="n">
        <f aca="false">J130-J132</f>
        <v>1777017.83929038</v>
      </c>
      <c r="K168" s="13" t="n">
        <f aca="false">K130-K132</f>
        <v>1826412.47242266</v>
      </c>
      <c r="L168" s="13" t="n">
        <f aca="false">L130-L132</f>
        <v>1875502.50213874</v>
      </c>
      <c r="M168" s="13" t="n">
        <f aca="false">M130-M132</f>
        <v>1924941.62880236</v>
      </c>
      <c r="N168" s="13" t="n">
        <f aca="false">N130-N132</f>
        <v>1974728.90212211</v>
      </c>
      <c r="O168" s="13" t="n">
        <f aca="false">O130-O132</f>
        <v>3973492.72764038</v>
      </c>
      <c r="P168" s="13" t="n">
        <f aca="false">P130-P132</f>
        <v>0</v>
      </c>
      <c r="Q168" s="13" t="n">
        <f aca="false">Q130-Q132</f>
        <v>0</v>
      </c>
      <c r="R168" s="13" t="n">
        <f aca="false">R130-R132</f>
        <v>0</v>
      </c>
    </row>
    <row r="169" customFormat="false" ht="15" hidden="false" customHeight="false" outlineLevel="0" collapsed="false">
      <c r="A169" s="2" t="s">
        <v>1868</v>
      </c>
      <c r="B169" s="8" t="s">
        <v>1869</v>
      </c>
      <c r="C169" s="8" t="s">
        <v>1733</v>
      </c>
      <c r="E169" s="23" t="str">
        <f aca="false">IF(E167&gt;0,E168/E167,"")</f>
        <v/>
      </c>
      <c r="F169" s="23" t="n">
        <f aca="false">IF(F167&gt;0,F168/F167,"")</f>
        <v>-2.54487865673168</v>
      </c>
      <c r="G169" s="23" t="n">
        <f aca="false">IF(G167&gt;0,G168/G167,"")</f>
        <v>0.313572442472669</v>
      </c>
      <c r="H169" s="23" t="n">
        <f aca="false">IF(H167&gt;0,H168/H167,"")</f>
        <v>0.940542761827748</v>
      </c>
      <c r="I169" s="23" t="n">
        <f aca="false">IF(I167&gt;0,I168/I167,"")</f>
        <v>1.84733575732993</v>
      </c>
      <c r="J169" s="23" t="n">
        <f aca="false">IF(J167&gt;0,J168/J167,"")</f>
        <v>2.33730201451792</v>
      </c>
      <c r="K169" s="23" t="str">
        <f aca="false">IF(K167&gt;0,K168/K167,"")</f>
        <v/>
      </c>
      <c r="L169" s="23" t="str">
        <f aca="false">IF(L167&gt;0,L168/L167,"")</f>
        <v/>
      </c>
      <c r="M169" s="23" t="str">
        <f aca="false">IF(M167&gt;0,M168/M167,"")</f>
        <v/>
      </c>
      <c r="N169" s="23" t="str">
        <f aca="false">IF(N167&gt;0,N168/N167,"")</f>
        <v/>
      </c>
      <c r="O169" s="23" t="str">
        <f aca="false">IF(O167&gt;0,O168/O167,"")</f>
        <v/>
      </c>
      <c r="P169" s="23" t="str">
        <f aca="false">IF(P167&gt;0,P168/P167,"")</f>
        <v/>
      </c>
      <c r="Q169" s="23" t="str">
        <f aca="false">IF(Q167&gt;0,Q168/Q167,"")</f>
        <v/>
      </c>
      <c r="R169" s="23" t="str">
        <f aca="false">IF(R167&gt;0,R168/R167,"")</f>
        <v/>
      </c>
    </row>
    <row r="170" customFormat="false" ht="15" hidden="false" customHeight="false" outlineLevel="0" collapsed="false">
      <c r="A170" s="2" t="s">
        <v>1870</v>
      </c>
      <c r="B170" s="8" t="s">
        <v>1871</v>
      </c>
      <c r="C170" s="8" t="s">
        <v>1733</v>
      </c>
      <c r="E170" s="23" t="str">
        <f aca="false">IF(E167&gt;0,E96/E167,"")</f>
        <v/>
      </c>
      <c r="F170" s="23" t="n">
        <f aca="false">IF(F167&gt;0,F96/F167,"")</f>
        <v>0.99657630597471</v>
      </c>
      <c r="G170" s="23" t="n">
        <f aca="false">IF(G167&gt;0,G96/G167,"")</f>
        <v>1.24126903436955</v>
      </c>
      <c r="H170" s="23" t="n">
        <f aca="false">IF(H167&gt;0,H96/H167,"")</f>
        <v>1.81969262844954</v>
      </c>
      <c r="I170" s="23" t="n">
        <f aca="false">IF(I167&gt;0,I96/I167,"")</f>
        <v>2.34639787356155</v>
      </c>
      <c r="J170" s="23" t="n">
        <f aca="false">IF(J167&gt;0,J96/J167,"")</f>
        <v>2.38894121306479</v>
      </c>
      <c r="K170" s="23" t="str">
        <f aca="false">IF(K167&gt;0,K96/K167,"")</f>
        <v/>
      </c>
      <c r="L170" s="23" t="str">
        <f aca="false">IF(L167&gt;0,L96/L167,"")</f>
        <v/>
      </c>
      <c r="M170" s="23" t="str">
        <f aca="false">IF(M167&gt;0,M96/M167,"")</f>
        <v/>
      </c>
      <c r="N170" s="23" t="str">
        <f aca="false">IF(N167&gt;0,N96/N167,"")</f>
        <v/>
      </c>
      <c r="O170" s="23" t="str">
        <f aca="false">IF(O167&gt;0,O96/O167,"")</f>
        <v/>
      </c>
      <c r="P170" s="23" t="str">
        <f aca="false">IF(P167&gt;0,P96/P167,"")</f>
        <v/>
      </c>
      <c r="Q170" s="23" t="str">
        <f aca="false">IF(Q167&gt;0,Q96/Q167,"")</f>
        <v/>
      </c>
      <c r="R170" s="23" t="str">
        <f aca="false">IF(R167&gt;0,R96/R167,"")</f>
        <v/>
      </c>
    </row>
    <row r="171" customFormat="false" ht="15" hidden="false" customHeight="false" outlineLevel="0" collapsed="false">
      <c r="A171" s="3" t="s">
        <v>1872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customFormat="false" ht="15" hidden="false" customHeight="false" outlineLevel="0" collapsed="false">
      <c r="A172" s="2" t="s">
        <v>1873</v>
      </c>
      <c r="B172" s="8" t="s">
        <v>1874</v>
      </c>
      <c r="C172" s="8" t="s">
        <v>255</v>
      </c>
      <c r="E172" s="13" t="n">
        <f aca="false">SUMIFS(Costos_Personal!$F$147:$FF$147,Calendario!$F$7:$FF$7,0)+SUMIFS(Capital_Trabajo!$F$16:$FF$16,Calendario!$F$7:$FF$7,0)</f>
        <v>0</v>
      </c>
      <c r="F172" s="13" t="n">
        <f aca="false">SUMIFS(Costos_Personal!$F$147:$FF$147,Calendario!$F$7:$FF$7,1)+SUMIFS(Capital_Trabajo!$F$16:$FF$16,Calendario!$F$7:$FF$7,1)</f>
        <v>3369565.37147086</v>
      </c>
      <c r="G172" s="13" t="n">
        <f aca="false">SUMIFS(Costos_Personal!$F$147:$FF$147,Calendario!$F$7:$FF$7,2)+SUMIFS(Capital_Trabajo!$F$16:$FF$16,Calendario!$F$7:$FF$7,2)</f>
        <v>4151113.63440237</v>
      </c>
      <c r="H172" s="13" t="n">
        <f aca="false">SUMIFS(Costos_Personal!$F$147:$FF$147,Calendario!$F$7:$FF$7,3)+SUMIFS(Capital_Trabajo!$F$16:$FF$16,Calendario!$F$7:$FF$7,3)</f>
        <v>5026058.72181927</v>
      </c>
      <c r="I172" s="13" t="n">
        <f aca="false">SUMIFS(Costos_Personal!$F$147:$FF$147,Calendario!$F$7:$FF$7,4)+SUMIFS(Capital_Trabajo!$F$16:$FF$16,Calendario!$F$7:$FF$7,4)</f>
        <v>5727879.73595799</v>
      </c>
      <c r="J172" s="13" t="n">
        <f aca="false">SUMIFS(Costos_Personal!$F$147:$FF$147,Calendario!$F$7:$FF$7,5)+SUMIFS(Capital_Trabajo!$F$16:$FF$16,Calendario!$F$7:$FF$7,5)</f>
        <v>5760276.36052501</v>
      </c>
      <c r="K172" s="13" t="n">
        <f aca="false">SUMIFS(Costos_Personal!$F$147:$FF$147,Calendario!$F$7:$FF$7,6)+SUMIFS(Capital_Trabajo!$F$16:$FF$16,Calendario!$F$7:$FF$7,6)</f>
        <v>5791102.61620667</v>
      </c>
      <c r="L172" s="13" t="n">
        <f aca="false">SUMIFS(Costos_Personal!$F$147:$FF$147,Calendario!$F$7:$FF$7,7)+SUMIFS(Capital_Trabajo!$F$16:$FF$16,Calendario!$F$7:$FF$7,7)</f>
        <v>5822236.83736514</v>
      </c>
      <c r="M172" s="13" t="n">
        <f aca="false">SUMIFS(Costos_Personal!$F$147:$FF$147,Calendario!$F$7:$FF$7,8)+SUMIFS(Capital_Trabajo!$F$16:$FF$16,Calendario!$F$7:$FF$7,8)</f>
        <v>5853682.1036552</v>
      </c>
      <c r="N172" s="13" t="n">
        <f aca="false">SUMIFS(Costos_Personal!$F$147:$FF$147,Calendario!$F$7:$FF$7,9)+SUMIFS(Capital_Trabajo!$F$16:$FF$16,Calendario!$F$7:$FF$7,9)</f>
        <v>5885441.52552816</v>
      </c>
      <c r="O172" s="13" t="n">
        <f aca="false">SUMIFS(Costos_Personal!$F$147:$FF$147,Calendario!$F$7:$FF$7,10)+SUMIFS(Capital_Trabajo!$F$16:$FF$16,Calendario!$F$7:$FF$7,10)</f>
        <v>5759396.07093705</v>
      </c>
      <c r="P172" s="13" t="n">
        <f aca="false">SUMIFS(Costos_Personal!$F$147:$FF$147,Calendario!$F$7:$FF$7,11)+SUMIFS(Capital_Trabajo!$F$16:$FF$16,Calendario!$F$7:$FF$7,11)</f>
        <v>0</v>
      </c>
      <c r="Q172" s="13" t="n">
        <f aca="false">SUMIFS(Costos_Personal!$F$147:$FF$147,Calendario!$F$7:$FF$7,12)+SUMIFS(Capital_Trabajo!$F$16:$FF$16,Calendario!$F$7:$FF$7,12)</f>
        <v>0</v>
      </c>
      <c r="R172" s="13" t="n">
        <f aca="false">SUMIFS(Costos_Personal!$F$147:$FF$147,Calendario!$F$7:$FF$7,13)+SUMIFS(Capital_Trabajo!$F$16:$FF$16,Calendario!$F$7:$FF$7,13)</f>
        <v>0</v>
      </c>
    </row>
    <row r="173" customFormat="false" ht="15" hidden="false" customHeight="false" outlineLevel="0" collapsed="false">
      <c r="A173" s="2" t="s">
        <v>1875</v>
      </c>
      <c r="B173" s="8" t="s">
        <v>1876</v>
      </c>
      <c r="C173" s="8" t="s">
        <v>255</v>
      </c>
      <c r="E173" s="13" t="n">
        <f aca="false">SUMIFS(Costos_Personal!$F$148:$FF$148,Calendario!$F$7:$FF$7,0)-E95</f>
        <v>0</v>
      </c>
      <c r="F173" s="13" t="n">
        <f aca="false">SUMIFS(Costos_Personal!$F$148:$FF$148,Calendario!$F$7:$FF$7,1)-F95</f>
        <v>1080066.01415995</v>
      </c>
      <c r="G173" s="13" t="n">
        <f aca="false">SUMIFS(Costos_Personal!$F$148:$FF$148,Calendario!$F$7:$FF$7,2)-G95</f>
        <v>1087060.61415995</v>
      </c>
      <c r="H173" s="13" t="n">
        <f aca="false">SUMIFS(Costos_Personal!$F$148:$FF$148,Calendario!$F$7:$FF$7,3)-H95</f>
        <v>1125992.24148516</v>
      </c>
      <c r="I173" s="13" t="n">
        <f aca="false">SUMIFS(Costos_Personal!$F$148:$FF$148,Calendario!$F$7:$FF$7,4)-I95</f>
        <v>1158797.05813393</v>
      </c>
      <c r="J173" s="13" t="n">
        <f aca="false">SUMIFS(Costos_Personal!$F$148:$FF$148,Calendario!$F$7:$FF$7,5)-J95</f>
        <v>1197381.60130477</v>
      </c>
      <c r="K173" s="13" t="n">
        <f aca="false">SUMIFS(Costos_Personal!$F$148:$FF$148,Calendario!$F$7:$FF$7,6)-K95</f>
        <v>1205179.51291264</v>
      </c>
      <c r="L173" s="13" t="n">
        <f aca="false">SUMIFS(Costos_Personal!$F$148:$FF$148,Calendario!$F$7:$FF$7,7)-L95</f>
        <v>1213193.53706875</v>
      </c>
      <c r="M173" s="13" t="n">
        <f aca="false">SUMIFS(Costos_Personal!$F$148:$FF$148,Calendario!$F$7:$FF$7,8)-M95</f>
        <v>1221430.15714955</v>
      </c>
      <c r="N173" s="13" t="n">
        <f aca="false">SUMIFS(Costos_Personal!$F$148:$FF$148,Calendario!$F$7:$FF$7,9)-N95</f>
        <v>1229896.05103277</v>
      </c>
      <c r="O173" s="13" t="n">
        <f aca="false">SUMIFS(Costos_Personal!$F$148:$FF$148,Calendario!$F$7:$FF$7,10)-O95</f>
        <v>1238598.09693249</v>
      </c>
      <c r="P173" s="13" t="n">
        <f aca="false">SUMIFS(Costos_Personal!$F$148:$FF$148,Calendario!$F$7:$FF$7,11)-P95</f>
        <v>0</v>
      </c>
      <c r="Q173" s="13" t="n">
        <f aca="false">SUMIFS(Costos_Personal!$F$148:$FF$148,Calendario!$F$7:$FF$7,12)-Q95</f>
        <v>0</v>
      </c>
      <c r="R173" s="13" t="n">
        <f aca="false">SUMIFS(Costos_Personal!$F$148:$FF$148,Calendario!$F$7:$FF$7,13)-R95</f>
        <v>0</v>
      </c>
    </row>
    <row r="174" customFormat="false" ht="15" hidden="false" customHeight="false" outlineLevel="0" collapsed="false">
      <c r="A174" s="2" t="s">
        <v>1877</v>
      </c>
      <c r="B174" s="8" t="s">
        <v>1878</v>
      </c>
      <c r="C174" s="8" t="s">
        <v>201</v>
      </c>
      <c r="E174" s="48" t="str">
        <f aca="false">IF(E86&gt;0,1-E172/E86,"")</f>
        <v/>
      </c>
      <c r="F174" s="48" t="n">
        <f aca="false">IF(F86&gt;0,1-F172/F86,"")</f>
        <v>0.305244253304977</v>
      </c>
      <c r="G174" s="48" t="n">
        <f aca="false">IF(G86&gt;0,1-G172/G86,"")</f>
        <v>0.328429166763352</v>
      </c>
      <c r="H174" s="48" t="n">
        <f aca="false">IF(H86&gt;0,1-H172/H86,"")</f>
        <v>0.33328477549572</v>
      </c>
      <c r="I174" s="48" t="n">
        <f aca="false">IF(I86&gt;0,1-I172/I86,"")</f>
        <v>0.340519141134611</v>
      </c>
      <c r="J174" s="48" t="n">
        <f aca="false">IF(J86&gt;0,1-J172/J86,"")</f>
        <v>0.343355591784869</v>
      </c>
      <c r="K174" s="48" t="n">
        <f aca="false">IF(K86&gt;0,1-K172/K86,"")</f>
        <v>0.346377765986913</v>
      </c>
      <c r="L174" s="48" t="n">
        <f aca="false">IF(L86&gt;0,1-L172/L86,"")</f>
        <v>0.349370050870539</v>
      </c>
      <c r="M174" s="48" t="n">
        <f aca="false">IF(M86&gt;0,1-M172/M86,"")</f>
        <v>0.352332742040895</v>
      </c>
      <c r="N174" s="48" t="n">
        <f aca="false">IF(N86&gt;0,1-N172/N86,"")</f>
        <v>0.355266132179601</v>
      </c>
      <c r="O174" s="48" t="n">
        <f aca="false">IF(O86&gt;0,1-O172/O86,"")</f>
        <v>0.375320855133021</v>
      </c>
      <c r="P174" s="48" t="str">
        <f aca="false">IF(P86&gt;0,1-P172/P86,"")</f>
        <v/>
      </c>
      <c r="Q174" s="48" t="str">
        <f aca="false">IF(Q86&gt;0,1-Q172/Q86,"")</f>
        <v/>
      </c>
      <c r="R174" s="48" t="str">
        <f aca="false">IF(R86&gt;0,1-R172/R86,"")</f>
        <v/>
      </c>
    </row>
    <row r="175" customFormat="false" ht="15" hidden="false" customHeight="false" outlineLevel="0" collapsed="false">
      <c r="A175" s="2" t="s">
        <v>1879</v>
      </c>
      <c r="B175" s="8" t="s">
        <v>1880</v>
      </c>
      <c r="C175" s="8" t="s">
        <v>255</v>
      </c>
      <c r="E175" s="13" t="str">
        <f aca="false">IF(N(E174)&gt;0,E173/E174,"")</f>
        <v/>
      </c>
      <c r="F175" s="13" t="n">
        <f aca="false">IF(N(F174)&gt;0,F173/F174,"")</f>
        <v>3538366.4146523</v>
      </c>
      <c r="G175" s="13" t="n">
        <f aca="false">IF(N(G174)&gt;0,G173/G174,"")</f>
        <v>3309878.42789014</v>
      </c>
      <c r="H175" s="13" t="n">
        <f aca="false">IF(N(H174)&gt;0,H173/H174,"")</f>
        <v>3378468.87788494</v>
      </c>
      <c r="I175" s="13" t="n">
        <f aca="false">IF(N(I174)&gt;0,I173/I174,"")</f>
        <v>3403030.60284015</v>
      </c>
      <c r="J175" s="13" t="n">
        <f aca="false">IF(N(J174)&gt;0,J173/J174,"")</f>
        <v>3487293.14434753</v>
      </c>
      <c r="K175" s="13" t="n">
        <f aca="false">IF(N(K174)&gt;0,K173/K174,"")</f>
        <v>3479378.96498292</v>
      </c>
      <c r="L175" s="13" t="n">
        <f aca="false">IF(N(L174)&gt;0,L173/L174,"")</f>
        <v>3472517.27515221</v>
      </c>
      <c r="M175" s="13" t="n">
        <f aca="false">IF(N(M174)&gt;0,M173/M174,"")</f>
        <v>3466695.00561994</v>
      </c>
      <c r="N175" s="13" t="n">
        <f aca="false">IF(N(N174)&gt;0,N173/N174,"")</f>
        <v>3461900.64188558</v>
      </c>
      <c r="O175" s="13" t="n">
        <f aca="false">IF(N(O174)&gt;0,O173/O174,"")</f>
        <v>3300104.64378139</v>
      </c>
      <c r="P175" s="13" t="str">
        <f aca="false">IF(N(P174)&gt;0,P173/P174,"")</f>
        <v/>
      </c>
      <c r="Q175" s="13" t="str">
        <f aca="false">IF(N(Q174)&gt;0,Q173/Q174,"")</f>
        <v/>
      </c>
      <c r="R175" s="13" t="str">
        <f aca="false">IF(N(R174)&gt;0,R173/R174,"")</f>
        <v/>
      </c>
    </row>
    <row r="176" customFormat="false" ht="15" hidden="false" customHeight="false" outlineLevel="0" collapsed="false">
      <c r="A176" s="2" t="s">
        <v>1881</v>
      </c>
      <c r="B176" s="8" t="s">
        <v>1882</v>
      </c>
      <c r="C176" s="8" t="s">
        <v>255</v>
      </c>
      <c r="E176" s="13" t="str">
        <f aca="false">IF(N(E174)&gt;0,(E173+E98)/E174,"")</f>
        <v/>
      </c>
      <c r="F176" s="13" t="n">
        <f aca="false">IF(N(F174)&gt;0,(F173+F98)/F174,"")</f>
        <v>3772907.14465737</v>
      </c>
      <c r="G176" s="13" t="n">
        <f aca="false">IF(N(G174)&gt;0,(G173+G98)/G174,"")</f>
        <v>3558310.10892531</v>
      </c>
      <c r="H176" s="13" t="n">
        <f aca="false">IF(N(H174)&gt;0,(H173+H98)/H174,"")</f>
        <v>3623281.1705516</v>
      </c>
      <c r="I176" s="13" t="n">
        <f aca="false">IF(N(I174)&gt;0,(I173+I98)/I174,"")</f>
        <v>3642641.83211829</v>
      </c>
      <c r="J176" s="13" t="n">
        <f aca="false">IF(N(J174)&gt;0,(J173+J98)/J174,"")</f>
        <v>3724924.95216478</v>
      </c>
      <c r="K176" s="13" t="n">
        <f aca="false">IF(N(K174)&gt;0,(K173+K98)/K174,"")</f>
        <v>3679786.19898137</v>
      </c>
      <c r="L176" s="13" t="n">
        <f aca="false">IF(N(L174)&gt;0,(L173+L98)/L174,"")</f>
        <v>3671208.06111693</v>
      </c>
      <c r="M176" s="13" t="n">
        <f aca="false">IF(N(M174)&gt;0,(M173+M98)/M174,"")</f>
        <v>3663715.04297981</v>
      </c>
      <c r="N176" s="13" t="n">
        <f aca="false">IF(N(N174)&gt;0,(N173+N98)/N174,"")</f>
        <v>3657293.90826344</v>
      </c>
      <c r="O176" s="13" t="n">
        <f aca="false">IF(N(O174)&gt;0,(O173+O98)/O174,"")</f>
        <v>3485057.35570942</v>
      </c>
      <c r="P176" s="13" t="str">
        <f aca="false">IF(N(P174)&gt;0,(P173+P98)/P174,"")</f>
        <v/>
      </c>
      <c r="Q176" s="13" t="str">
        <f aca="false">IF(N(Q174)&gt;0,(Q173+Q98)/Q174,"")</f>
        <v/>
      </c>
      <c r="R176" s="13" t="str">
        <f aca="false">IF(N(R174)&gt;0,(R173+R98)/R174,"")</f>
        <v/>
      </c>
    </row>
    <row r="177" customFormat="false" ht="15" hidden="false" customHeight="false" outlineLevel="0" collapsed="false">
      <c r="A177" s="2" t="s">
        <v>1883</v>
      </c>
      <c r="B177" s="8" t="s">
        <v>1884</v>
      </c>
      <c r="C177" s="8" t="s">
        <v>255</v>
      </c>
      <c r="E177" s="13" t="str">
        <f aca="false">IF(N(E174)&gt;0,(E173+E167)/E174,"")</f>
        <v/>
      </c>
      <c r="F177" s="13" t="n">
        <f aca="false">IF(N(F174)&gt;0,(F173+F167)/F174,"")</f>
        <v>5270187.01099606</v>
      </c>
      <c r="G177" s="13" t="n">
        <f aca="false">IF(N(G174)&gt;0,(G173+G167)/G174,"")</f>
        <v>5676577.07872781</v>
      </c>
      <c r="H177" s="13" t="n">
        <f aca="false">IF(N(H174)&gt;0,(H173+H167)/H174,"")</f>
        <v>5695178.15472897</v>
      </c>
      <c r="I177" s="13" t="n">
        <f aca="false">IF(N(I174)&gt;0,(I173+I167)/I174,"")</f>
        <v>5653917.62285065</v>
      </c>
      <c r="J177" s="13" t="n">
        <f aca="false">IF(N(J174)&gt;0,(J173+J167)/J174,"")</f>
        <v>5701574.63468739</v>
      </c>
      <c r="K177" s="13" t="n">
        <f aca="false">IF(N(K174)&gt;0,(K173+K167)/K174,"")</f>
        <v>3479378.96498292</v>
      </c>
      <c r="L177" s="13" t="n">
        <f aca="false">IF(N(L174)&gt;0,(L173+L167)/L174,"")</f>
        <v>3472517.27515221</v>
      </c>
      <c r="M177" s="13" t="n">
        <f aca="false">IF(N(M174)&gt;0,(M173+M167)/M174,"")</f>
        <v>3466695.00561994</v>
      </c>
      <c r="N177" s="13" t="n">
        <f aca="false">IF(N(N174)&gt;0,(N173+N167)/N174,"")</f>
        <v>3461900.64188558</v>
      </c>
      <c r="O177" s="13" t="n">
        <f aca="false">IF(N(O174)&gt;0,(O173+O167)/O174,"")</f>
        <v>3300104.64378139</v>
      </c>
      <c r="P177" s="13" t="str">
        <f aca="false">IF(N(P174)&gt;0,(P173+P167)/P174,"")</f>
        <v/>
      </c>
      <c r="Q177" s="13" t="str">
        <f aca="false">IF(N(Q174)&gt;0,(Q173+Q167)/Q174,"")</f>
        <v/>
      </c>
      <c r="R177" s="13" t="str">
        <f aca="false">IF(N(R174)&gt;0,(R173+R167)/R174,"")</f>
        <v/>
      </c>
    </row>
    <row r="178" customFormat="false" ht="15" hidden="false" customHeight="false" outlineLevel="0" collapsed="false">
      <c r="A178" s="2" t="s">
        <v>1885</v>
      </c>
      <c r="B178" s="8" t="s">
        <v>1886</v>
      </c>
      <c r="C178" s="8" t="s">
        <v>825</v>
      </c>
      <c r="E178" s="13" t="str">
        <f aca="false">IF(AND(N(E175)&gt;0,E86&gt;0),E175/E86*E71,"")</f>
        <v/>
      </c>
      <c r="F178" s="13" t="n">
        <f aca="false">IF(AND(N(F175)&gt;0,F86&gt;0),F175/F86*F71,"")</f>
        <v>8754.72102594385</v>
      </c>
      <c r="G178" s="13" t="n">
        <f aca="false">IF(AND(N(G175)&gt;0,G86&gt;0),G175/G86*G71,"")</f>
        <v>8032.12586849675</v>
      </c>
      <c r="H178" s="13" t="n">
        <f aca="false">IF(AND(N(H175)&gt;0,H86&gt;0),H175/H86*H71,"")</f>
        <v>8066.87340901585</v>
      </c>
      <c r="I178" s="13" t="n">
        <f aca="false">IF(AND(N(I175)&gt;0,I86&gt;0),I175/I86*I71,"")</f>
        <v>8227.98428238094</v>
      </c>
      <c r="J178" s="13" t="n">
        <f aca="false">IF(AND(N(J175)&gt;0,J86&gt;0),J175/J86*J71,"")</f>
        <v>8348.23529187672</v>
      </c>
      <c r="K178" s="13" t="n">
        <f aca="false">IF(AND(N(K175)&gt;0,K86&gt;0),K175/K86*K71,"")</f>
        <v>8246.82131513647</v>
      </c>
      <c r="L178" s="13" t="n">
        <f aca="false">IF(AND(N(L175)&gt;0,L86&gt;0),L175/L86*L71,"")</f>
        <v>8149.06707251439</v>
      </c>
      <c r="M178" s="13" t="n">
        <f aca="false">IF(AND(N(M175)&gt;0,M86&gt;0),M175/M86*M71,"")</f>
        <v>8054.8552147094</v>
      </c>
      <c r="N178" s="13" t="n">
        <f aca="false">IF(AND(N(N175)&gt;0,N86&gt;0),N175/N86*N71,"")</f>
        <v>7964.07477749985</v>
      </c>
      <c r="O178" s="13" t="n">
        <f aca="false">IF(AND(N(O175)&gt;0,O86&gt;0),O175/O86*O71,"")</f>
        <v>7516.6974020565</v>
      </c>
      <c r="P178" s="13" t="str">
        <f aca="false">IF(AND(N(P175)&gt;0,P86&gt;0),P175/P86*P71,"")</f>
        <v/>
      </c>
      <c r="Q178" s="13" t="str">
        <f aca="false">IF(AND(N(Q175)&gt;0,Q86&gt;0),Q175/Q86*Q71,"")</f>
        <v/>
      </c>
      <c r="R178" s="13" t="str">
        <f aca="false">IF(AND(N(R175)&gt;0,R86&gt;0),R175/R86*R71,"")</f>
        <v/>
      </c>
    </row>
    <row r="179" customFormat="false" ht="15" hidden="false" customHeight="false" outlineLevel="0" collapsed="false">
      <c r="A179" s="2" t="s">
        <v>1887</v>
      </c>
      <c r="B179" s="8" t="s">
        <v>1888</v>
      </c>
      <c r="C179" s="8" t="s">
        <v>825</v>
      </c>
      <c r="E179" s="13" t="str">
        <f aca="false">IF(AND(N(E175)&gt;0,E86&gt;0),E175/E86*E73,"")</f>
        <v/>
      </c>
      <c r="F179" s="13" t="n">
        <f aca="false">IF(AND(N(F175)&gt;0,F86&gt;0),F175/F86*F73,"")</f>
        <v>51069.2059846724</v>
      </c>
      <c r="G179" s="13" t="n">
        <f aca="false">IF(AND(N(G175)&gt;0,G86&gt;0),G175/G86*G73,"")</f>
        <v>48192.7552109805</v>
      </c>
      <c r="H179" s="13" t="n">
        <f aca="false">IF(AND(N(H175)&gt;0,H86&gt;0),H175/H86*H73,"")</f>
        <v>49297.5597217635</v>
      </c>
      <c r="I179" s="13" t="n">
        <f aca="false">IF(AND(N(I175)&gt;0,I86&gt;0),I175/I86*I73,"")</f>
        <v>47017.0530421768</v>
      </c>
      <c r="J179" s="13" t="n">
        <f aca="false">IF(AND(N(J175)&gt;0,J86&gt;0),J175/J86*J73,"")</f>
        <v>47704.201667867</v>
      </c>
      <c r="K179" s="13" t="n">
        <f aca="false">IF(AND(N(K175)&gt;0,K86&gt;0),K175/K86*K73,"")</f>
        <v>47124.6932293513</v>
      </c>
      <c r="L179" s="13" t="n">
        <f aca="false">IF(AND(N(L175)&gt;0,L86&gt;0),L175/L86*L73,"")</f>
        <v>46566.0975572251</v>
      </c>
      <c r="M179" s="13" t="n">
        <f aca="false">IF(AND(N(M175)&gt;0,M86&gt;0),M175/M86*M73,"")</f>
        <v>46027.7440840537</v>
      </c>
      <c r="N179" s="13" t="n">
        <f aca="false">IF(AND(N(N175)&gt;0,N86&gt;0),N175/N86*N73,"")</f>
        <v>45508.9987285706</v>
      </c>
      <c r="O179" s="13" t="n">
        <f aca="false">IF(AND(N(O175)&gt;0,O86&gt;0),O175/O86*O73,"")</f>
        <v>42952.55658318</v>
      </c>
      <c r="P179" s="13" t="str">
        <f aca="false">IF(AND(N(P175)&gt;0,P86&gt;0),P175/P86*P73,"")</f>
        <v/>
      </c>
      <c r="Q179" s="13" t="str">
        <f aca="false">IF(AND(N(Q175)&gt;0,Q86&gt;0),Q175/Q86*Q73,"")</f>
        <v/>
      </c>
      <c r="R179" s="13" t="str">
        <f aca="false">IF(AND(N(R175)&gt;0,R86&gt;0),R175/R86*R73,"")</f>
        <v/>
      </c>
    </row>
    <row r="180" customFormat="false" ht="15" hidden="false" customHeight="false" outlineLevel="0" collapsed="false">
      <c r="A180" s="2" t="s">
        <v>1889</v>
      </c>
      <c r="B180" s="8" t="s">
        <v>1890</v>
      </c>
      <c r="C180" s="8" t="s">
        <v>201</v>
      </c>
      <c r="E180" s="48" t="str">
        <f aca="false">IF(AND(N(E175)&gt;0,E86&gt;0),1-E175/E86,"")</f>
        <v/>
      </c>
      <c r="F180" s="48" t="n">
        <f aca="false">IF(AND(N(F175)&gt;0,F86&gt;0),1-F175/F86,"")</f>
        <v>0.270439914504679</v>
      </c>
      <c r="G180" s="48" t="n">
        <f aca="false">IF(AND(N(G175)&gt;0,G86&gt;0),1-G175/G86,"")</f>
        <v>0.464524942100217</v>
      </c>
      <c r="H180" s="48" t="n">
        <f aca="false">IF(AND(N(H175)&gt;0,H86&gt;0),1-H175/H86,"")</f>
        <v>0.551840366165786</v>
      </c>
      <c r="I180" s="48" t="n">
        <f aca="false">IF(AND(N(I175)&gt;0,I86&gt;0),1-I175/I86,"")</f>
        <v>0.608191224648527</v>
      </c>
      <c r="J180" s="48" t="n">
        <f aca="false">IF(AND(N(J175)&gt;0,J86&gt;0),1-J175/J86,"")</f>
        <v>0.602464986101108</v>
      </c>
      <c r="K180" s="48" t="n">
        <f aca="false">IF(AND(N(K175)&gt;0,K86&gt;0),1-K175/K86,"")</f>
        <v>0.607294223088739</v>
      </c>
      <c r="L180" s="48" t="n">
        <f aca="false">IF(AND(N(L175)&gt;0,L86&gt;0),1-L175/L86,"")</f>
        <v>0.611949187023124</v>
      </c>
      <c r="M180" s="48" t="n">
        <f aca="false">IF(AND(N(M175)&gt;0,M86&gt;0),1-M175/M86,"")</f>
        <v>0.616435465966219</v>
      </c>
      <c r="N180" s="48" t="n">
        <f aca="false">IF(AND(N(N175)&gt;0,N86&gt;0),1-N175/N86,"")</f>
        <v>0.620758343928579</v>
      </c>
      <c r="O180" s="48" t="n">
        <f aca="false">IF(AND(N(O175)&gt;0,O86&gt;0),1-O175/O86,"")</f>
        <v>0.6420620284735</v>
      </c>
      <c r="P180" s="48" t="str">
        <f aca="false">IF(AND(N(P175)&gt;0,P86&gt;0),1-P175/P86,"")</f>
        <v/>
      </c>
      <c r="Q180" s="48" t="str">
        <f aca="false">IF(AND(N(Q175)&gt;0,Q86&gt;0),1-Q175/Q86,"")</f>
        <v/>
      </c>
      <c r="R180" s="48" t="str">
        <f aca="false">IF(AND(N(R175)&gt;0,R86&gt;0),1-R175/R86,"")</f>
        <v/>
      </c>
    </row>
    <row r="181" customFormat="false" ht="15" hidden="false" customHeight="false" outlineLevel="0" collapsed="false">
      <c r="A181" s="3" t="s">
        <v>1891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customFormat="false" ht="15" hidden="false" customHeight="false" outlineLevel="0" collapsed="false">
      <c r="A182" s="2" t="s">
        <v>1892</v>
      </c>
      <c r="B182" s="8" t="s">
        <v>1893</v>
      </c>
      <c r="C182" s="8" t="s">
        <v>255</v>
      </c>
      <c r="D182" s="67" t="n">
        <f aca="false">SUM(E182:R182)</f>
        <v>30655437.9486112</v>
      </c>
      <c r="E182" s="13" t="n">
        <f aca="false">SUMIFS(Costos_Personal!$F$116:$FF$116,Calendario!$F$7:$FF$7,0)</f>
        <v>0</v>
      </c>
      <c r="F182" s="13" t="n">
        <f aca="false">SUMIFS(Costos_Personal!$F$116:$FF$116,Calendario!$F$7:$FF$7,1)</f>
        <v>1930640.49315068</v>
      </c>
      <c r="G182" s="13" t="n">
        <f aca="false">SUMIFS(Costos_Personal!$F$116:$FF$116,Calendario!$F$7:$FF$7,2)</f>
        <v>2358641.13013699</v>
      </c>
      <c r="H182" s="13" t="n">
        <f aca="false">SUMIFS(Costos_Personal!$F$116:$FF$116,Calendario!$F$7:$FF$7,3)</f>
        <v>2842893.0109589</v>
      </c>
      <c r="I182" s="13" t="n">
        <f aca="false">SUMIFS(Costos_Personal!$F$116:$FF$116,Calendario!$F$7:$FF$7,4)</f>
        <v>3319337.93065</v>
      </c>
      <c r="J182" s="13" t="n">
        <f aca="false">SUMIFS(Costos_Personal!$F$116:$FF$116,Calendario!$F$7:$FF$7,5)</f>
        <v>3337220.3499565</v>
      </c>
      <c r="K182" s="13" t="n">
        <f aca="false">SUMIFS(Costos_Personal!$F$116:$FF$116,Calendario!$F$7:$FF$7,6)</f>
        <v>3355281.59345607</v>
      </c>
      <c r="L182" s="13" t="n">
        <f aca="false">SUMIFS(Costos_Personal!$F$116:$FF$116,Calendario!$F$7:$FF$7,7)</f>
        <v>3373523.44939063</v>
      </c>
      <c r="M182" s="13" t="n">
        <f aca="false">SUMIFS(Costos_Personal!$F$116:$FF$116,Calendario!$F$7:$FF$7,8)</f>
        <v>3391947.72388453</v>
      </c>
      <c r="N182" s="13" t="n">
        <f aca="false">SUMIFS(Costos_Personal!$F$116:$FF$116,Calendario!$F$7:$FF$7,9)</f>
        <v>3410556.24112338</v>
      </c>
      <c r="O182" s="13" t="n">
        <f aca="false">SUMIFS(Costos_Personal!$F$116:$FF$116,Calendario!$F$7:$FF$7,10)</f>
        <v>3335396.02590353</v>
      </c>
      <c r="P182" s="13" t="n">
        <f aca="false">SUMIFS(Costos_Personal!$F$116:$FF$116,Calendario!$F$7:$FF$7,11)</f>
        <v>0</v>
      </c>
      <c r="Q182" s="13" t="n">
        <f aca="false">SUMIFS(Costos_Personal!$F$116:$FF$116,Calendario!$F$7:$FF$7,12)</f>
        <v>0</v>
      </c>
      <c r="R182" s="13" t="n">
        <f aca="false">SUMIFS(Costos_Personal!$F$116:$FF$116,Calendario!$F$7:$FF$7,13)</f>
        <v>0</v>
      </c>
    </row>
    <row r="183" customFormat="false" ht="15" hidden="false" customHeight="false" outlineLevel="0" collapsed="false">
      <c r="A183" s="2" t="s">
        <v>1894</v>
      </c>
      <c r="B183" s="8" t="s">
        <v>1895</v>
      </c>
      <c r="C183" s="8" t="s">
        <v>255</v>
      </c>
      <c r="D183" s="67" t="n">
        <f aca="false">SUM(E183:R183)</f>
        <v>17045096.0628117</v>
      </c>
      <c r="E183" s="13" t="n">
        <f aca="false">SUMIFS(Costos_Personal!$F$117:$FF$117,Calendario!$F$7:$FF$7,0)</f>
        <v>0</v>
      </c>
      <c r="F183" s="13" t="n">
        <f aca="false">SUMIFS(Costos_Personal!$F$117:$FF$117,Calendario!$F$7:$FF$7,1)</f>
        <v>1086334.10958904</v>
      </c>
      <c r="G183" s="13" t="n">
        <f aca="false">SUMIFS(Costos_Personal!$F$117:$FF$117,Calendario!$F$7:$FF$7,2)</f>
        <v>1364113.84931507</v>
      </c>
      <c r="H183" s="13" t="n">
        <f aca="false">SUMIFS(Costos_Personal!$F$117:$FF$117,Calendario!$F$7:$FF$7,3)</f>
        <v>1669541.4390411</v>
      </c>
      <c r="I183" s="13" t="n">
        <f aca="false">SUMIFS(Costos_Personal!$F$117:$FF$117,Calendario!$F$7:$FF$7,4)</f>
        <v>1825863.6492</v>
      </c>
      <c r="J183" s="13" t="n">
        <f aca="false">SUMIFS(Costos_Personal!$F$117:$FF$117,Calendario!$F$7:$FF$7,5)</f>
        <v>1835025.085692</v>
      </c>
      <c r="K183" s="13" t="n">
        <f aca="false">SUMIFS(Costos_Personal!$F$117:$FF$117,Calendario!$F$7:$FF$7,6)</f>
        <v>1844278.13654892</v>
      </c>
      <c r="L183" s="13" t="n">
        <f aca="false">SUMIFS(Costos_Personal!$F$117:$FF$117,Calendario!$F$7:$FF$7,7)</f>
        <v>1853623.71791441</v>
      </c>
      <c r="M183" s="13" t="n">
        <f aca="false">SUMIFS(Costos_Personal!$F$117:$FF$117,Calendario!$F$7:$FF$7,8)</f>
        <v>1863062.75509355</v>
      </c>
      <c r="N183" s="13" t="n">
        <f aca="false">SUMIFS(Costos_Personal!$F$117:$FF$117,Calendario!$F$7:$FF$7,9)</f>
        <v>1872596.18264449</v>
      </c>
      <c r="O183" s="13" t="n">
        <f aca="false">SUMIFS(Costos_Personal!$F$117:$FF$117,Calendario!$F$7:$FF$7,10)</f>
        <v>1830657.1377731</v>
      </c>
      <c r="P183" s="13" t="n">
        <f aca="false">SUMIFS(Costos_Personal!$F$117:$FF$117,Calendario!$F$7:$FF$7,11)</f>
        <v>0</v>
      </c>
      <c r="Q183" s="13" t="n">
        <f aca="false">SUMIFS(Costos_Personal!$F$117:$FF$117,Calendario!$F$7:$FF$7,12)</f>
        <v>0</v>
      </c>
      <c r="R183" s="13" t="n">
        <f aca="false">SUMIFS(Costos_Personal!$F$117:$FF$117,Calendario!$F$7:$FF$7,13)</f>
        <v>0</v>
      </c>
    </row>
    <row r="184" customFormat="false" ht="15" hidden="false" customHeight="false" outlineLevel="0" collapsed="false">
      <c r="A184" s="2" t="s">
        <v>1896</v>
      </c>
      <c r="B184" s="8" t="s">
        <v>1897</v>
      </c>
      <c r="C184" s="8" t="s">
        <v>201</v>
      </c>
      <c r="E184" s="48" t="str">
        <f aca="false">IF((E75*p_WG+E76*p_WC)&gt;0,E75*p_WG/(E75*p_WG+E76*p_WC),"")</f>
        <v/>
      </c>
      <c r="F184" s="48" t="n">
        <f aca="false">IF((F75*p_WG+F76*p_WC)&gt;0,F75*p_WG/(F75*p_WG+F76*p_WC),"")</f>
        <v>0.668399328794337</v>
      </c>
      <c r="G184" s="48" t="n">
        <f aca="false">IF((G75*p_WG+G76*p_WC)&gt;0,G75*p_WG/(G75*p_WG+G76*p_WC),"")</f>
        <v>0.662202269805765</v>
      </c>
      <c r="H184" s="48" t="n">
        <f aca="false">IF((H75*p_WG+H76*p_WC)&gt;0,H75*p_WG/(H75*p_WG+H76*p_WC),"")</f>
        <v>0.65868693128078</v>
      </c>
      <c r="I184" s="48" t="n">
        <f aca="false">IF((I75*p_WG+I76*p_WC)&gt;0,I75*p_WG/(I75*p_WG+I76*p_WC),"")</f>
        <v>0.67316153362665</v>
      </c>
      <c r="J184" s="48" t="n">
        <f aca="false">IF((J75*p_WG+J76*p_WC)&gt;0,J75*p_WG/(J75*p_WG+J76*p_WC),"")</f>
        <v>0.67316153362665</v>
      </c>
      <c r="K184" s="48" t="n">
        <f aca="false">IF((K75*p_WG+K76*p_WC)&gt;0,K75*p_WG/(K75*p_WG+K76*p_WC),"")</f>
        <v>0.67316153362665</v>
      </c>
      <c r="L184" s="48" t="n">
        <f aca="false">IF((L75*p_WG+L76*p_WC)&gt;0,L75*p_WG/(L75*p_WG+L76*p_WC),"")</f>
        <v>0.67316153362665</v>
      </c>
      <c r="M184" s="48" t="n">
        <f aca="false">IF((M75*p_WG+M76*p_WC)&gt;0,M75*p_WG/(M75*p_WG+M76*p_WC),"")</f>
        <v>0.67316153362665</v>
      </c>
      <c r="N184" s="48" t="n">
        <f aca="false">IF((N75*p_WG+N76*p_WC)&gt;0,N75*p_WG/(N75*p_WG+N76*p_WC),"")</f>
        <v>0.67316153362665</v>
      </c>
      <c r="O184" s="48" t="n">
        <f aca="false">IF((O75*p_WG+O76*p_WC)&gt;0,O75*p_WG/(O75*p_WG+O76*p_WC),"")</f>
        <v>0.67316153362665</v>
      </c>
      <c r="P184" s="48" t="str">
        <f aca="false">IF((P75*p_WG+P76*p_WC)&gt;0,P75*p_WG/(P75*p_WG+P76*p_WC),"")</f>
        <v/>
      </c>
      <c r="Q184" s="48" t="str">
        <f aca="false">IF((Q75*p_WG+Q76*p_WC)&gt;0,Q75*p_WG/(Q75*p_WG+Q76*p_WC),"")</f>
        <v/>
      </c>
      <c r="R184" s="48" t="str">
        <f aca="false">IF((R75*p_WG+R76*p_WC)&gt;0,R75*p_WG/(R75*p_WG+R76*p_WC),"")</f>
        <v/>
      </c>
    </row>
    <row r="185" customFormat="false" ht="15" hidden="false" customHeight="false" outlineLevel="0" collapsed="false">
      <c r="A185" s="2" t="s">
        <v>1898</v>
      </c>
      <c r="B185" s="66" t="s">
        <v>1899</v>
      </c>
      <c r="C185" s="8" t="s">
        <v>255</v>
      </c>
      <c r="E185" s="12" t="n">
        <f aca="false">E87</f>
        <v>0</v>
      </c>
      <c r="F185" s="12" t="n">
        <f aca="false">F87</f>
        <v>3240000</v>
      </c>
      <c r="G185" s="12" t="n">
        <f aca="false">G87</f>
        <v>4090500</v>
      </c>
      <c r="H185" s="12" t="n">
        <f aca="false">H87</f>
        <v>4957686</v>
      </c>
      <c r="I185" s="12" t="n">
        <f aca="false">I87</f>
        <v>5841806.67</v>
      </c>
      <c r="J185" s="12" t="n">
        <f aca="false">J87</f>
        <v>5900224.7367</v>
      </c>
      <c r="K185" s="12" t="n">
        <f aca="false">K87</f>
        <v>5959226.984067</v>
      </c>
      <c r="L185" s="12" t="n">
        <f aca="false">L87</f>
        <v>6018819.25390767</v>
      </c>
      <c r="M185" s="12" t="n">
        <f aca="false">M87</f>
        <v>6079007.44644675</v>
      </c>
      <c r="N185" s="12" t="n">
        <f aca="false">N87</f>
        <v>6139797.52091121</v>
      </c>
      <c r="O185" s="12" t="n">
        <f aca="false">O87</f>
        <v>6201195.49612033</v>
      </c>
      <c r="P185" s="12" t="n">
        <f aca="false">P87</f>
        <v>0</v>
      </c>
      <c r="Q185" s="12" t="n">
        <f aca="false">Q87</f>
        <v>0</v>
      </c>
      <c r="R185" s="12" t="n">
        <f aca="false">R87</f>
        <v>0</v>
      </c>
    </row>
    <row r="186" customFormat="false" ht="15" hidden="false" customHeight="false" outlineLevel="0" collapsed="false">
      <c r="A186" s="2" t="s">
        <v>1900</v>
      </c>
      <c r="B186" s="8" t="s">
        <v>1901</v>
      </c>
      <c r="C186" s="8" t="s">
        <v>255</v>
      </c>
      <c r="E186" s="13" t="n">
        <f aca="false">IF((E182+E183)&gt;0,(E113+E114+E115)*E182/(E182+E183),0)</f>
        <v>0</v>
      </c>
      <c r="F186" s="13" t="n">
        <f aca="false">IF((F182+F183)&gt;0,(F113+F114+F115)*F182/(F182+F183),0)</f>
        <v>1978112.02463815</v>
      </c>
      <c r="G186" s="13" t="n">
        <f aca="false">IF((G182+G183)&gt;0,(G113+G114+G115)*G182/(G182+G183),0)</f>
        <v>2416701.07181289</v>
      </c>
      <c r="H186" s="13" t="n">
        <f aca="false">IF((H182+H183)&gt;0,(H113+H114+H115)*H182/(H182+H183),0)</f>
        <v>2912951.56719052</v>
      </c>
      <c r="I186" s="13" t="n">
        <f aca="false">IF((I182+I183)&gt;0,(I113+I114+I115)*I182/(I182+I183),0)</f>
        <v>3401234.41278178</v>
      </c>
      <c r="J186" s="13" t="n">
        <f aca="false">IF((J182+J183)&gt;0,(J113+J114+J115)*J182/(J182+J183),0)</f>
        <v>3419650.99646058</v>
      </c>
      <c r="K186" s="13" t="n">
        <f aca="false">IF((K182+K183)&gt;0,(K113+K114+K115)*K182/(K182+K183),0)</f>
        <v>3438251.77034833</v>
      </c>
      <c r="L186" s="13" t="n">
        <f aca="false">IF((L182+L183)&gt;0,(L113+L114+L115)*L182/(L182+L183),0)</f>
        <v>3457038.57644725</v>
      </c>
      <c r="M186" s="13" t="n">
        <f aca="false">IF((M182+M183)&gt;0,(M113+M114+M115)*M182/(M182+M183),0)</f>
        <v>3476013.27517816</v>
      </c>
      <c r="N186" s="13" t="n">
        <f aca="false">IF((N182+N183)&gt;0,(N113+N114+N115)*N182/(N182+N183),0)</f>
        <v>3495177.74556468</v>
      </c>
      <c r="O186" s="13" t="n">
        <f aca="false">IF((O182+O183)&gt;0,(O113+O114+O115)*O182/(O182+O183),0)</f>
        <v>3418245.28581867</v>
      </c>
      <c r="P186" s="13" t="n">
        <f aca="false">IF((P182+P183)&gt;0,(P113+P114+P115)*P182/(P182+P183),0)</f>
        <v>0</v>
      </c>
      <c r="Q186" s="13" t="n">
        <f aca="false">IF((Q182+Q183)&gt;0,(Q113+Q114+Q115)*Q182/(Q182+Q183),0)</f>
        <v>0</v>
      </c>
      <c r="R186" s="13" t="n">
        <f aca="false">IF((R182+R183)&gt;0,(R113+R114+R115)*R182/(R182+R183),0)</f>
        <v>0</v>
      </c>
    </row>
    <row r="187" customFormat="false" ht="15" hidden="false" customHeight="false" outlineLevel="0" collapsed="false">
      <c r="A187" s="2" t="s">
        <v>1902</v>
      </c>
      <c r="B187" s="8" t="s">
        <v>1903</v>
      </c>
      <c r="C187" s="8" t="s">
        <v>255</v>
      </c>
      <c r="E187" s="13" t="n">
        <f aca="false">IF((E182+E183)&gt;0,E116*E182/(E182+E183),0)</f>
        <v>0</v>
      </c>
      <c r="F187" s="13" t="n">
        <f aca="false">IF((F182+F183)&gt;0,F116*F182/(F182+F183),0)</f>
        <v>21811.5021919254</v>
      </c>
      <c r="G187" s="13" t="n">
        <f aca="false">IF((G182+G183)&gt;0,G116*G182/(G182+G183),0)</f>
        <v>26066.6429775261</v>
      </c>
      <c r="H187" s="13" t="n">
        <f aca="false">IF((H182+H183)&gt;0,H116*H182/(H182+H183),0)</f>
        <v>31095.219592057</v>
      </c>
      <c r="I187" s="13" t="n">
        <f aca="false">IF((I182+I183)&gt;0,I116*I182/(I182+I183),0)</f>
        <v>36087.6521567571</v>
      </c>
      <c r="J187" s="13" t="n">
        <f aca="false">IF((J182+J183)&gt;0,J116*J182/(J182+J183),0)</f>
        <v>36466.848474652</v>
      </c>
      <c r="K187" s="13" t="n">
        <f aca="false">IF((K182+K183)&gt;0,K116*K182/(K182+K183),0)</f>
        <v>36647.8645680789</v>
      </c>
      <c r="L187" s="13" t="n">
        <f aca="false">IF((L182+L183)&gt;0,L116*L182/(L182+L183),0)</f>
        <v>36830.6865403409</v>
      </c>
      <c r="M187" s="13" t="n">
        <f aca="false">IF((M182+M183)&gt;0,M116*M182/(M182+M183),0)</f>
        <v>37015.3324329537</v>
      </c>
      <c r="N187" s="13" t="n">
        <f aca="false">IF((N182+N183)&gt;0,N116*N182/(N182+N183),0)</f>
        <v>37201.8204680977</v>
      </c>
      <c r="O187" s="13" t="n">
        <f aca="false">IF((O182+O183)&gt;0,O116*O182/(O182+O183),0)</f>
        <v>36450.6208741168</v>
      </c>
      <c r="P187" s="13" t="n">
        <f aca="false">IF((P182+P183)&gt;0,P116*P182/(P182+P183),0)</f>
        <v>0</v>
      </c>
      <c r="Q187" s="13" t="n">
        <f aca="false">IF((Q182+Q183)&gt;0,Q116*Q182/(Q182+Q183),0)</f>
        <v>0</v>
      </c>
      <c r="R187" s="13" t="n">
        <f aca="false">IF((R182+R183)&gt;0,R116*R182/(R182+R183),0)</f>
        <v>0</v>
      </c>
    </row>
    <row r="188" customFormat="false" ht="15" hidden="false" customHeight="false" outlineLevel="0" collapsed="false">
      <c r="A188" s="2" t="s">
        <v>1904</v>
      </c>
      <c r="B188" s="8" t="s">
        <v>1905</v>
      </c>
      <c r="C188" s="8" t="s">
        <v>255</v>
      </c>
      <c r="E188" s="13" t="n">
        <f aca="false">IF((E87+E88)&gt;0,(E122+E123+E124+E125)*E87/(E87+E88),0)</f>
        <v>0</v>
      </c>
      <c r="F188" s="13" t="n">
        <f aca="false">IF((F87+F88)&gt;0,(F122+F123+F124+F125)*F87/(F87+F88),0)</f>
        <v>35640</v>
      </c>
      <c r="G188" s="13" t="n">
        <f aca="false">IF((G87+G88)&gt;0,(G122+G123+G124+G125)*G87/(G87+G88),0)</f>
        <v>44995.5</v>
      </c>
      <c r="H188" s="13" t="n">
        <f aca="false">IF((H87+H88)&gt;0,(H122+H123+H124+H125)*H87/(H87+H88),0)</f>
        <v>54534.546</v>
      </c>
      <c r="I188" s="13" t="n">
        <f aca="false">IF((I87+I88)&gt;0,(I122+I123+I124+I125)*I87/(I87+I88),0)</f>
        <v>64259.87337</v>
      </c>
      <c r="J188" s="13" t="n">
        <f aca="false">IF((J87+J88)&gt;0,(J122+J123+J124+J125)*J87/(J87+J88),0)</f>
        <v>64902.4721037</v>
      </c>
      <c r="K188" s="13" t="n">
        <f aca="false">IF((K87+K88)&gt;0,(K122+K123+K124+K125)*K87/(K87+K88),0)</f>
        <v>65551.496824737</v>
      </c>
      <c r="L188" s="13" t="n">
        <f aca="false">IF((L87+L88)&gt;0,(L122+L123+L124+L125)*L87/(L87+L88),0)</f>
        <v>66207.0117929844</v>
      </c>
      <c r="M188" s="13" t="n">
        <f aca="false">IF((M87+M88)&gt;0,(M122+M123+M124+M125)*M87/(M87+M88),0)</f>
        <v>66869.0819109142</v>
      </c>
      <c r="N188" s="13" t="n">
        <f aca="false">IF((N87+N88)&gt;0,(N122+N123+N124+N125)*N87/(N87+N88),0)</f>
        <v>67537.7727300234</v>
      </c>
      <c r="O188" s="13" t="n">
        <f aca="false">IF((O87+O88)&gt;0,(O122+O123+O124+O125)*O87/(O87+O88),0)</f>
        <v>68213.1504573236</v>
      </c>
      <c r="P188" s="13" t="n">
        <f aca="false">IF((P87+P88)&gt;0,(P122+P123+P124+P125)*P87/(P87+P88),0)</f>
        <v>0</v>
      </c>
      <c r="Q188" s="13" t="n">
        <f aca="false">IF((Q87+Q88)&gt;0,(Q122+Q123+Q124+Q125)*Q87/(Q87+Q88),0)</f>
        <v>0</v>
      </c>
      <c r="R188" s="13" t="n">
        <f aca="false">IF((R87+R88)&gt;0,(R122+R123+R124+R125)*R87/(R87+R88),0)</f>
        <v>0</v>
      </c>
    </row>
    <row r="189" customFormat="false" ht="15" hidden="false" customHeight="false" outlineLevel="0" collapsed="false">
      <c r="A189" s="2" t="s">
        <v>1906</v>
      </c>
      <c r="B189" s="8" t="s">
        <v>1907</v>
      </c>
      <c r="C189" s="8" t="s">
        <v>255</v>
      </c>
      <c r="E189" s="13" t="n">
        <f aca="false">E186+E187+E188</f>
        <v>0</v>
      </c>
      <c r="F189" s="13" t="n">
        <f aca="false">F186+F187+F188</f>
        <v>2035563.52683007</v>
      </c>
      <c r="G189" s="13" t="n">
        <f aca="false">G186+G187+G188</f>
        <v>2487763.21479041</v>
      </c>
      <c r="H189" s="13" t="n">
        <f aca="false">H186+H187+H188</f>
        <v>2998581.33278257</v>
      </c>
      <c r="I189" s="13" t="n">
        <f aca="false">I186+I187+I188</f>
        <v>3501581.93830854</v>
      </c>
      <c r="J189" s="13" t="n">
        <f aca="false">J186+J187+J188</f>
        <v>3521020.31703893</v>
      </c>
      <c r="K189" s="13" t="n">
        <f aca="false">K186+K187+K188</f>
        <v>3540451.13174114</v>
      </c>
      <c r="L189" s="13" t="n">
        <f aca="false">L186+L187+L188</f>
        <v>3560076.27478057</v>
      </c>
      <c r="M189" s="13" t="n">
        <f aca="false">M186+M187+M188</f>
        <v>3579897.68952203</v>
      </c>
      <c r="N189" s="13" t="n">
        <f aca="false">N186+N187+N188</f>
        <v>3599917.3387628</v>
      </c>
      <c r="O189" s="13" t="n">
        <f aca="false">O186+O187+O188</f>
        <v>3522909.05715011</v>
      </c>
      <c r="P189" s="13" t="n">
        <f aca="false">P186+P187+P188</f>
        <v>0</v>
      </c>
      <c r="Q189" s="13" t="n">
        <f aca="false">Q186+Q187+Q188</f>
        <v>0</v>
      </c>
      <c r="R189" s="13" t="n">
        <f aca="false">R186+R187+R188</f>
        <v>0</v>
      </c>
    </row>
    <row r="190" customFormat="false" ht="15" hidden="false" customHeight="false" outlineLevel="0" collapsed="false">
      <c r="A190" s="2" t="s">
        <v>1908</v>
      </c>
      <c r="B190" s="66" t="s">
        <v>1909</v>
      </c>
      <c r="C190" s="8" t="s">
        <v>255</v>
      </c>
      <c r="E190" s="12" t="n">
        <f aca="false">E185-E189</f>
        <v>0</v>
      </c>
      <c r="F190" s="12" t="n">
        <f aca="false">F185-F189</f>
        <v>1204436.47316993</v>
      </c>
      <c r="G190" s="12" t="n">
        <f aca="false">G185-G189</f>
        <v>1602736.78520959</v>
      </c>
      <c r="H190" s="12" t="n">
        <f aca="false">H185-H189</f>
        <v>1959104.66721743</v>
      </c>
      <c r="I190" s="12" t="n">
        <f aca="false">I185-I189</f>
        <v>2340224.73169146</v>
      </c>
      <c r="J190" s="12" t="n">
        <f aca="false">J185-J189</f>
        <v>2379204.41966107</v>
      </c>
      <c r="K190" s="12" t="n">
        <f aca="false">K185-K189</f>
        <v>2418775.85232586</v>
      </c>
      <c r="L190" s="12" t="n">
        <f aca="false">L185-L189</f>
        <v>2458742.9791271</v>
      </c>
      <c r="M190" s="12" t="n">
        <f aca="false">M185-M189</f>
        <v>2499109.75692472</v>
      </c>
      <c r="N190" s="12" t="n">
        <f aca="false">N185-N189</f>
        <v>2539880.18214842</v>
      </c>
      <c r="O190" s="12" t="n">
        <f aca="false">O185-O189</f>
        <v>2678286.43897022</v>
      </c>
      <c r="P190" s="12" t="n">
        <f aca="false">P185-P189</f>
        <v>0</v>
      </c>
      <c r="Q190" s="12" t="n">
        <f aca="false">Q185-Q189</f>
        <v>0</v>
      </c>
      <c r="R190" s="12" t="n">
        <f aca="false">R185-R189</f>
        <v>0</v>
      </c>
    </row>
    <row r="191" customFormat="false" ht="15" hidden="false" customHeight="false" outlineLevel="0" collapsed="false">
      <c r="A191" s="2" t="s">
        <v>1910</v>
      </c>
      <c r="B191" s="8" t="s">
        <v>1911</v>
      </c>
      <c r="C191" s="8" t="s">
        <v>201</v>
      </c>
      <c r="E191" s="48" t="str">
        <f aca="false">IF(E185&gt;0,E190/E185,"")</f>
        <v/>
      </c>
      <c r="F191" s="48" t="n">
        <f aca="false">IF(F185&gt;0,F190/F185,"")</f>
        <v>0.371739652212941</v>
      </c>
      <c r="G191" s="48" t="n">
        <f aca="false">IF(G185&gt;0,G190/G185,"")</f>
        <v>0.391819284979731</v>
      </c>
      <c r="H191" s="48" t="n">
        <f aca="false">IF(H185&gt;0,H190/H185,"")</f>
        <v>0.395165136964589</v>
      </c>
      <c r="I191" s="48" t="n">
        <f aca="false">IF(I185&gt;0,I190/I185,"")</f>
        <v>0.400599482983483</v>
      </c>
      <c r="J191" s="48" t="n">
        <f aca="false">IF(J185&gt;0,J190/J185,"")</f>
        <v>0.403239626596285</v>
      </c>
      <c r="K191" s="48" t="n">
        <f aca="false">IF(K185&gt;0,K190/K185,"")</f>
        <v>0.405887518430304</v>
      </c>
      <c r="L191" s="48" t="n">
        <f aca="false">IF(L185&gt;0,L190/L185,"")</f>
        <v>0.40850919015898</v>
      </c>
      <c r="M191" s="48" t="n">
        <f aca="false">IF(M185&gt;0,M190/M185,"")</f>
        <v>0.411104901407133</v>
      </c>
      <c r="N191" s="48" t="n">
        <f aca="false">IF(N185&gt;0,N190/N185,"")</f>
        <v>0.413674909229168</v>
      </c>
      <c r="O191" s="48" t="n">
        <f aca="false">IF(O185&gt;0,O190/O185,"")</f>
        <v>0.431898404210259</v>
      </c>
      <c r="P191" s="48" t="str">
        <f aca="false">IF(P185&gt;0,P190/P185,"")</f>
        <v/>
      </c>
      <c r="Q191" s="48" t="str">
        <f aca="false">IF(Q185&gt;0,Q190/Q185,"")</f>
        <v/>
      </c>
      <c r="R191" s="48" t="str">
        <f aca="false">IF(R185&gt;0,R190/R185,"")</f>
        <v/>
      </c>
    </row>
    <row r="192" customFormat="false" ht="15" hidden="false" customHeight="false" outlineLevel="0" collapsed="false">
      <c r="A192" s="2" t="s">
        <v>1912</v>
      </c>
      <c r="B192" s="8" t="s">
        <v>1913</v>
      </c>
      <c r="C192" s="8" t="s">
        <v>255</v>
      </c>
      <c r="E192" s="13" t="n">
        <f aca="false">(E117+E118+E119+E120+E121)*N(E184)</f>
        <v>0</v>
      </c>
      <c r="F192" s="13" t="n">
        <f aca="false">(F117+F118+F119+F120+F121)*N(F184)</f>
        <v>588426.590579906</v>
      </c>
      <c r="G192" s="13" t="n">
        <f aca="false">(G117+G118+G119+G120+G121)*N(G184)</f>
        <v>607608.321392515</v>
      </c>
      <c r="H192" s="13" t="n">
        <f aca="false">(H117+H118+H119+H120+H121)*N(H184)</f>
        <v>653716.364151634</v>
      </c>
      <c r="I192" s="13" t="n">
        <f aca="false">(I117+I118+I119+I120+I121)*N(I184)</f>
        <v>708557.114684881</v>
      </c>
      <c r="J192" s="13" t="n">
        <f aca="false">(J117+J118+J119+J120+J121)*N(J184)</f>
        <v>731845.987130287</v>
      </c>
      <c r="K192" s="13" t="n">
        <f aca="false">(K117+K118+K119+K120+K121)*N(K184)</f>
        <v>733225.024133154</v>
      </c>
      <c r="L192" s="13" t="n">
        <f aca="false">(L117+L118+L119+L120+L121)*N(L184)</f>
        <v>734613.651866654</v>
      </c>
      <c r="M192" s="13" t="n">
        <f aca="false">(M117+M118+M119+M120+M121)*N(M184)</f>
        <v>736011.966238092</v>
      </c>
      <c r="N192" s="13" t="n">
        <f aca="false">(N117+N118+N119+N120+N121)*N(N184)</f>
        <v>737420.064113848</v>
      </c>
      <c r="O192" s="13" t="n">
        <f aca="false">(O117+O118+O119+O120+O121)*N(O184)</f>
        <v>733769.387858354</v>
      </c>
      <c r="P192" s="13" t="n">
        <f aca="false">(P117+P118+P119+P120+P121)*N(P184)</f>
        <v>0</v>
      </c>
      <c r="Q192" s="13" t="n">
        <f aca="false">(Q117+Q118+Q119+Q120+Q121)*N(Q184)</f>
        <v>0</v>
      </c>
      <c r="R192" s="13" t="n">
        <f aca="false">(R117+R118+R119+R120+R121)*N(R184)</f>
        <v>0</v>
      </c>
    </row>
    <row r="193" customFormat="false" ht="15" hidden="false" customHeight="false" outlineLevel="0" collapsed="false">
      <c r="A193" s="2" t="s">
        <v>1914</v>
      </c>
      <c r="B193" s="8" t="s">
        <v>1915</v>
      </c>
      <c r="C193" s="8" t="s">
        <v>255</v>
      </c>
      <c r="E193" s="13" t="n">
        <f aca="false">E190-E192</f>
        <v>0</v>
      </c>
      <c r="F193" s="13" t="n">
        <f aca="false">F190-F192</f>
        <v>616009.882590023</v>
      </c>
      <c r="G193" s="13" t="n">
        <f aca="false">G190-G192</f>
        <v>995128.463817074</v>
      </c>
      <c r="H193" s="13" t="n">
        <f aca="false">H190-H192</f>
        <v>1305388.30306579</v>
      </c>
      <c r="I193" s="13" t="n">
        <f aca="false">I190-I192</f>
        <v>1631667.61700658</v>
      </c>
      <c r="J193" s="13" t="n">
        <f aca="false">J190-J192</f>
        <v>1647358.43253079</v>
      </c>
      <c r="K193" s="13" t="n">
        <f aca="false">K190-K192</f>
        <v>1685550.8281927</v>
      </c>
      <c r="L193" s="13" t="n">
        <f aca="false">L190-L192</f>
        <v>1724129.32726044</v>
      </c>
      <c r="M193" s="13" t="n">
        <f aca="false">M190-M192</f>
        <v>1763097.79068662</v>
      </c>
      <c r="N193" s="13" t="n">
        <f aca="false">N190-N192</f>
        <v>1802460.11803457</v>
      </c>
      <c r="O193" s="13" t="n">
        <f aca="false">O190-O192</f>
        <v>1944517.05111186</v>
      </c>
      <c r="P193" s="13" t="n">
        <f aca="false">P190-P192</f>
        <v>0</v>
      </c>
      <c r="Q193" s="13" t="n">
        <f aca="false">Q190-Q192</f>
        <v>0</v>
      </c>
      <c r="R193" s="13" t="n">
        <f aca="false">R190-R192</f>
        <v>0</v>
      </c>
    </row>
    <row r="194" customFormat="false" ht="15" hidden="false" customHeight="false" outlineLevel="0" collapsed="false">
      <c r="A194" s="2" t="s">
        <v>1916</v>
      </c>
      <c r="B194" s="8" t="s">
        <v>1917</v>
      </c>
      <c r="C194" s="8" t="s">
        <v>255</v>
      </c>
      <c r="E194" s="13" t="n">
        <f aca="false">(E93+E94-E95)*N(E184)</f>
        <v>0</v>
      </c>
      <c r="F194" s="13" t="n">
        <f aca="false">(F93+F94-F95)*N(F184)</f>
        <v>261135.374508779</v>
      </c>
      <c r="G194" s="13" t="n">
        <f aca="false">(G93+G94-G95)*N(G184)</f>
        <v>262952.645884937</v>
      </c>
      <c r="H194" s="13" t="n">
        <f aca="false">(H93+H94-H95)*N(H184)</f>
        <v>265899.109531887</v>
      </c>
      <c r="I194" s="13" t="n">
        <f aca="false">(I93+I94-I95)*N(I184)</f>
        <v>276313.144601758</v>
      </c>
      <c r="J194" s="13" t="n">
        <f aca="false">(J93+J94-J95)*N(J184)</f>
        <v>281021.191669936</v>
      </c>
      <c r="K194" s="13" t="n">
        <f aca="false">(K93+K94-K95)*N(K184)</f>
        <v>285870.48015016</v>
      </c>
      <c r="L194" s="13" t="n">
        <f aca="false">(L93+L94-L95)*N(L184)</f>
        <v>290865.24728479</v>
      </c>
      <c r="M194" s="13" t="n">
        <f aca="false">(M93+M94-M95)*N(M184)</f>
        <v>296009.857433459</v>
      </c>
      <c r="N194" s="13" t="n">
        <f aca="false">(N93+N94-N95)*N(N184)</f>
        <v>301308.805886588</v>
      </c>
      <c r="O194" s="13" t="n">
        <f aca="false">(O93+O94-O95)*N(O184)</f>
        <v>306766.722793311</v>
      </c>
      <c r="P194" s="13" t="n">
        <f aca="false">(P93+P94-P95)*N(P184)</f>
        <v>0</v>
      </c>
      <c r="Q194" s="13" t="n">
        <f aca="false">(Q93+Q94-Q95)*N(Q184)</f>
        <v>0</v>
      </c>
      <c r="R194" s="13" t="n">
        <f aca="false">(R93+R94-R95)*N(R184)</f>
        <v>0</v>
      </c>
    </row>
    <row r="195" customFormat="false" ht="15" hidden="false" customHeight="false" outlineLevel="0" collapsed="false">
      <c r="A195" s="2" t="s">
        <v>1918</v>
      </c>
      <c r="B195" s="66" t="s">
        <v>1919</v>
      </c>
      <c r="C195" s="8" t="s">
        <v>255</v>
      </c>
      <c r="E195" s="12" t="n">
        <f aca="false">E193-E194</f>
        <v>0</v>
      </c>
      <c r="F195" s="12" t="n">
        <f aca="false">F193-F194</f>
        <v>354874.508081244</v>
      </c>
      <c r="G195" s="12" t="n">
        <f aca="false">G193-G194</f>
        <v>732175.817932137</v>
      </c>
      <c r="H195" s="12" t="n">
        <f aca="false">H193-H194</f>
        <v>1039489.19353391</v>
      </c>
      <c r="I195" s="12" t="n">
        <f aca="false">I193-I194</f>
        <v>1355354.47240482</v>
      </c>
      <c r="J195" s="12" t="n">
        <f aca="false">J193-J194</f>
        <v>1366337.24086085</v>
      </c>
      <c r="K195" s="12" t="n">
        <f aca="false">K193-K194</f>
        <v>1399680.34804254</v>
      </c>
      <c r="L195" s="12" t="n">
        <f aca="false">L193-L194</f>
        <v>1433264.07997565</v>
      </c>
      <c r="M195" s="12" t="n">
        <f aca="false">M193-M194</f>
        <v>1467087.93325316</v>
      </c>
      <c r="N195" s="12" t="n">
        <f aca="false">N193-N194</f>
        <v>1501151.31214798</v>
      </c>
      <c r="O195" s="12" t="n">
        <f aca="false">O193-O194</f>
        <v>1637750.32831855</v>
      </c>
      <c r="P195" s="12" t="n">
        <f aca="false">P193-P194</f>
        <v>0</v>
      </c>
      <c r="Q195" s="12" t="n">
        <f aca="false">Q193-Q194</f>
        <v>0</v>
      </c>
      <c r="R195" s="12" t="n">
        <f aca="false">R193-R194</f>
        <v>0</v>
      </c>
    </row>
    <row r="196" customFormat="false" ht="15" hidden="false" customHeight="false" outlineLevel="0" collapsed="false">
      <c r="A196" s="2" t="s">
        <v>1920</v>
      </c>
      <c r="B196" s="8" t="s">
        <v>1921</v>
      </c>
      <c r="C196" s="8" t="s">
        <v>263</v>
      </c>
      <c r="E196" s="19" t="str">
        <f aca="false">IF(E71&gt;0,E185/E71,"")</f>
        <v/>
      </c>
      <c r="F196" s="19" t="n">
        <f aca="false">IF(F71&gt;0,F185/F71,"")</f>
        <v>270</v>
      </c>
      <c r="G196" s="19" t="n">
        <f aca="false">IF(G71&gt;0,G185/G71,"")</f>
        <v>272.7</v>
      </c>
      <c r="H196" s="19" t="n">
        <f aca="false">IF(H71&gt;0,H185/H71,"")</f>
        <v>275.427</v>
      </c>
      <c r="I196" s="19" t="n">
        <f aca="false">IF(I71&gt;0,I185/I71,"")</f>
        <v>278.18127</v>
      </c>
      <c r="J196" s="19" t="n">
        <f aca="false">IF(J71&gt;0,J185/J71,"")</f>
        <v>280.9630827</v>
      </c>
      <c r="K196" s="19" t="n">
        <f aca="false">IF(K71&gt;0,K185/K71,"")</f>
        <v>283.772713527</v>
      </c>
      <c r="L196" s="19" t="n">
        <f aca="false">IF(L71&gt;0,L185/L71,"")</f>
        <v>286.61044066227</v>
      </c>
      <c r="M196" s="19" t="n">
        <f aca="false">IF(M71&gt;0,M185/M71,"")</f>
        <v>289.476545068893</v>
      </c>
      <c r="N196" s="19" t="n">
        <f aca="false">IF(N71&gt;0,N185/N71,"")</f>
        <v>292.371310519582</v>
      </c>
      <c r="O196" s="19" t="n">
        <f aca="false">IF(O71&gt;0,O185/O71,"")</f>
        <v>295.295023624777</v>
      </c>
      <c r="P196" s="19" t="str">
        <f aca="false">IF(P71&gt;0,P185/P71,"")</f>
        <v/>
      </c>
      <c r="Q196" s="19" t="str">
        <f aca="false">IF(Q71&gt;0,Q185/Q71,"")</f>
        <v/>
      </c>
      <c r="R196" s="19" t="str">
        <f aca="false">IF(R71&gt;0,R185/R71,"")</f>
        <v/>
      </c>
    </row>
    <row r="197" customFormat="false" ht="15" hidden="false" customHeight="false" outlineLevel="0" collapsed="false">
      <c r="A197" s="2" t="s">
        <v>1922</v>
      </c>
      <c r="B197" s="8" t="s">
        <v>1923</v>
      </c>
      <c r="C197" s="8" t="s">
        <v>263</v>
      </c>
      <c r="E197" s="19" t="str">
        <f aca="false">IF(E71&gt;0,E189/E71,"")</f>
        <v/>
      </c>
      <c r="F197" s="19" t="n">
        <f aca="false">IF(F71&gt;0,F189/F71,"")</f>
        <v>169.630293902506</v>
      </c>
      <c r="G197" s="19" t="n">
        <f aca="false">IF(G71&gt;0,G189/G71,"")</f>
        <v>165.850880986027</v>
      </c>
      <c r="H197" s="19" t="n">
        <f aca="false">IF(H71&gt;0,H189/H71,"")</f>
        <v>166.587851821254</v>
      </c>
      <c r="I197" s="19" t="n">
        <f aca="false">IF(I71&gt;0,I189/I71,"")</f>
        <v>166.741997062311</v>
      </c>
      <c r="J197" s="19" t="n">
        <f aca="false">IF(J71&gt;0,J189/J71,"")</f>
        <v>167.667634144711</v>
      </c>
      <c r="K197" s="19" t="n">
        <f aca="false">IF(K71&gt;0,K189/K71,"")</f>
        <v>168.592911035293</v>
      </c>
      <c r="L197" s="19" t="n">
        <f aca="false">IF(L71&gt;0,L189/L71,"")</f>
        <v>169.527441656218</v>
      </c>
      <c r="M197" s="19" t="n">
        <f aca="false">IF(M71&gt;0,M189/M71,"")</f>
        <v>170.471318548668</v>
      </c>
      <c r="N197" s="19" t="n">
        <f aca="false">IF(N71&gt;0,N189/N71,"")</f>
        <v>171.424635179181</v>
      </c>
      <c r="O197" s="19" t="n">
        <f aca="false">IF(O71&gt;0,O189/O71,"")</f>
        <v>167.757574150005</v>
      </c>
      <c r="P197" s="19" t="str">
        <f aca="false">IF(P71&gt;0,P189/P71,"")</f>
        <v/>
      </c>
      <c r="Q197" s="19" t="str">
        <f aca="false">IF(Q71&gt;0,Q189/Q71,"")</f>
        <v/>
      </c>
      <c r="R197" s="19" t="str">
        <f aca="false">IF(R71&gt;0,R189/R71,"")</f>
        <v/>
      </c>
    </row>
    <row r="198" customFormat="false" ht="15" hidden="false" customHeight="false" outlineLevel="0" collapsed="false">
      <c r="A198" s="2" t="s">
        <v>1924</v>
      </c>
      <c r="B198" s="8" t="s">
        <v>1925</v>
      </c>
      <c r="C198" s="8" t="s">
        <v>263</v>
      </c>
      <c r="E198" s="19" t="str">
        <f aca="false">IF(E71&gt;0,(E189+E192+E194)/E71,"")</f>
        <v/>
      </c>
      <c r="F198" s="19" t="n">
        <f aca="false">IF(F71&gt;0,(F189+F192+F194)/F71,"")</f>
        <v>240.427124326563</v>
      </c>
      <c r="G198" s="19" t="n">
        <f aca="false">IF(G71&gt;0,(G189+G192+G194)/G71,"")</f>
        <v>223.888278804524</v>
      </c>
      <c r="H198" s="19" t="n">
        <f aca="false">IF(H71&gt;0,(H189+H192+H194)/H71,"")</f>
        <v>217.677600359227</v>
      </c>
      <c r="I198" s="19" t="n">
        <f aca="false">IF(I71&gt;0,(I189+I192+I194)/I71,"")</f>
        <v>213.640580837866</v>
      </c>
      <c r="J198" s="19" t="n">
        <f aca="false">IF(J71&gt;0,(J189+J192+J194)/J71,"")</f>
        <v>215.899404563769</v>
      </c>
      <c r="K198" s="19" t="n">
        <f aca="false">IF(K71&gt;0,(K189+K192+K194)/K71,"")</f>
        <v>217.121268382117</v>
      </c>
      <c r="L198" s="19" t="n">
        <f aca="false">IF(L71&gt;0,(L189+L192+L194)/L71,"")</f>
        <v>218.359770187239</v>
      </c>
      <c r="M198" s="19" t="n">
        <f aca="false">IF(M71&gt;0,(M189+M192+M194)/M71,"")</f>
        <v>219.61521491398</v>
      </c>
      <c r="N198" s="19" t="n">
        <f aca="false">IF(N71&gt;0,(N189+N192+N194)/N71,"")</f>
        <v>220.887914703011</v>
      </c>
      <c r="O198" s="19" t="n">
        <f aca="false">IF(O71&gt;0,(O189+O192+O194)/O71,"")</f>
        <v>217.306912752466</v>
      </c>
      <c r="P198" s="19" t="str">
        <f aca="false">IF(P71&gt;0,(P189+P192+P194)/P71,"")</f>
        <v/>
      </c>
      <c r="Q198" s="19" t="str">
        <f aca="false">IF(Q71&gt;0,(Q189+Q192+Q194)/Q71,"")</f>
        <v/>
      </c>
      <c r="R198" s="19" t="str">
        <f aca="false">IF(R71&gt;0,(R189+R192+R194)/R71,"")</f>
        <v/>
      </c>
    </row>
    <row r="199" customFormat="false" ht="15" hidden="false" customHeight="false" outlineLevel="0" collapsed="false">
      <c r="A199" s="2" t="s">
        <v>1926</v>
      </c>
      <c r="B199" s="8" t="s">
        <v>1927</v>
      </c>
      <c r="C199" s="8" t="s">
        <v>201</v>
      </c>
      <c r="E199" s="48" t="str">
        <f aca="false">IF(N(E198)&gt;0,(E196-E198)/E198,"")</f>
        <v/>
      </c>
      <c r="F199" s="48" t="n">
        <f aca="false">IF(N(F198)&gt;0,(F196-F198)/F198,"")</f>
        <v>0.123001411576463</v>
      </c>
      <c r="G199" s="48" t="n">
        <f aca="false">IF(N(G198)&gt;0,(G196-G198)/G198,"")</f>
        <v>0.218018207367135</v>
      </c>
      <c r="H199" s="48" t="n">
        <f aca="false">IF(N(H198)&gt;0,(H196-H198)/H198,"")</f>
        <v>0.26529785125098</v>
      </c>
      <c r="I199" s="48" t="n">
        <f aca="false">IF(N(I198)&gt;0,(I196-I198)/I198,"")</f>
        <v>0.302099390055091</v>
      </c>
      <c r="J199" s="48" t="n">
        <f aca="false">IF(N(J198)&gt;0,(J196-J198)/J198,"")</f>
        <v>0.301361081878359</v>
      </c>
      <c r="K199" s="48" t="n">
        <f aca="false">IF(N(K198)&gt;0,(K196-K198)/K198,"")</f>
        <v>0.306977965086228</v>
      </c>
      <c r="L199" s="48" t="n">
        <f aca="false">IF(N(L198)&gt;0,(L196-L198)/L198,"")</f>
        <v>0.312560644373767</v>
      </c>
      <c r="M199" s="48" t="n">
        <f aca="false">IF(N(M198)&gt;0,(M196-M198)/M198,"")</f>
        <v>0.318107878738166</v>
      </c>
      <c r="N199" s="48" t="n">
        <f aca="false">IF(N(N198)&gt;0,(N196-N198)/N198,"")</f>
        <v>0.32361841032671</v>
      </c>
      <c r="O199" s="48" t="n">
        <f aca="false">IF(N(O198)&gt;0,(O196-O198)/O198,"")</f>
        <v>0.358884629506233</v>
      </c>
      <c r="P199" s="48" t="str">
        <f aca="false">IF(N(P198)&gt;0,(P196-P198)/P198,"")</f>
        <v/>
      </c>
      <c r="Q199" s="48" t="str">
        <f aca="false">IF(N(Q198)&gt;0,(Q196-Q198)/Q198,"")</f>
        <v/>
      </c>
      <c r="R199" s="48" t="str">
        <f aca="false">IF(N(R198)&gt;0,(R196-R198)/R198,"")</f>
        <v/>
      </c>
    </row>
    <row r="200" customFormat="false" ht="15" hidden="false" customHeight="false" outlineLevel="0" collapsed="false">
      <c r="A200" s="2" t="s">
        <v>1928</v>
      </c>
      <c r="B200" s="66" t="s">
        <v>1929</v>
      </c>
      <c r="C200" s="8" t="s">
        <v>255</v>
      </c>
      <c r="E200" s="12" t="n">
        <f aca="false">E88</f>
        <v>0</v>
      </c>
      <c r="F200" s="12" t="n">
        <f aca="false">F88</f>
        <v>1610000</v>
      </c>
      <c r="G200" s="12" t="n">
        <f aca="false">G88</f>
        <v>2090700</v>
      </c>
      <c r="H200" s="12" t="n">
        <f aca="false">H88</f>
        <v>2580853</v>
      </c>
      <c r="I200" s="12" t="n">
        <f aca="false">I88</f>
        <v>2843630.76</v>
      </c>
      <c r="J200" s="12" t="n">
        <f aca="false">J88</f>
        <v>2872067.0676</v>
      </c>
      <c r="K200" s="12" t="n">
        <f aca="false">K88</f>
        <v>2900787.738276</v>
      </c>
      <c r="L200" s="12" t="n">
        <f aca="false">L88</f>
        <v>2929795.61565876</v>
      </c>
      <c r="M200" s="12" t="n">
        <f aca="false">M88</f>
        <v>2959093.57181535</v>
      </c>
      <c r="N200" s="12" t="n">
        <f aca="false">N88</f>
        <v>2988684.5075335</v>
      </c>
      <c r="O200" s="12" t="n">
        <f aca="false">O88</f>
        <v>3018571.35260884</v>
      </c>
      <c r="P200" s="12" t="n">
        <f aca="false">P88</f>
        <v>0</v>
      </c>
      <c r="Q200" s="12" t="n">
        <f aca="false">Q88</f>
        <v>0</v>
      </c>
      <c r="R200" s="12" t="n">
        <f aca="false">R88</f>
        <v>0</v>
      </c>
    </row>
    <row r="201" customFormat="false" ht="15" hidden="false" customHeight="false" outlineLevel="0" collapsed="false">
      <c r="A201" s="2" t="s">
        <v>1930</v>
      </c>
      <c r="B201" s="8" t="s">
        <v>1931</v>
      </c>
      <c r="C201" s="8" t="s">
        <v>255</v>
      </c>
      <c r="E201" s="13" t="n">
        <f aca="false">IF((E182+E183)&gt;0,(E113+E114+E115)*E183/(E182+E183),0)</f>
        <v>0</v>
      </c>
      <c r="F201" s="13" t="n">
        <f aca="false">IF((F182+F183)&gt;0,(F113+F114+F115)*F183/(F182+F183),0)</f>
        <v>1113045.42330706</v>
      </c>
      <c r="G201" s="13" t="n">
        <f aca="false">IF((G182+G183)&gt;0,(G113+G114+G115)*G183/(G182+G183),0)</f>
        <v>1397692.66277616</v>
      </c>
      <c r="H201" s="13" t="n">
        <f aca="false">IF((H182+H183)&gt;0,(H113+H114+H115)*H183/(H182+H183),0)</f>
        <v>1710684.62041907</v>
      </c>
      <c r="I201" s="13" t="n">
        <f aca="false">IF((I182+I183)&gt;0,(I113+I114+I115)*I183/(I182+I183),0)</f>
        <v>1870912.33446372</v>
      </c>
      <c r="J201" s="13" t="n">
        <f aca="false">IF((J182+J183)&gt;0,(J113+J114+J115)*J183/(J182+J183),0)</f>
        <v>1880350.92225738</v>
      </c>
      <c r="K201" s="13" t="n">
        <f aca="false">IF((K182+K183)&gt;0,(K113+K114+K115)*K183/(K182+K183),0)</f>
        <v>1889883.87155681</v>
      </c>
      <c r="L201" s="13" t="n">
        <f aca="false">IF((L182+L183)&gt;0,(L113+L114+L115)*L183/(L182+L183),0)</f>
        <v>1899512.12587694</v>
      </c>
      <c r="M201" s="13" t="n">
        <f aca="false">IF((M182+M183)&gt;0,(M113+M114+M115)*M183/(M182+M183),0)</f>
        <v>1909236.63816927</v>
      </c>
      <c r="N201" s="13" t="n">
        <f aca="false">IF((N182+N183)&gt;0,(N113+N114+N115)*N183/(N182+N183),0)</f>
        <v>1919058.37091622</v>
      </c>
      <c r="O201" s="13" t="n">
        <f aca="false">IF((O182+O183)&gt;0,(O113+O114+O115)*O183/(O182+O183),0)</f>
        <v>1876129.57578195</v>
      </c>
      <c r="P201" s="13" t="n">
        <f aca="false">IF((P182+P183)&gt;0,(P113+P114+P115)*P183/(P182+P183),0)</f>
        <v>0</v>
      </c>
      <c r="Q201" s="13" t="n">
        <f aca="false">IF((Q182+Q183)&gt;0,(Q113+Q114+Q115)*Q183/(Q182+Q183),0)</f>
        <v>0</v>
      </c>
      <c r="R201" s="13" t="n">
        <f aca="false">IF((R182+R183)&gt;0,(R113+R114+R115)*R183/(R182+R183),0)</f>
        <v>0</v>
      </c>
    </row>
    <row r="202" customFormat="false" ht="15" hidden="false" customHeight="false" outlineLevel="0" collapsed="false">
      <c r="A202" s="2" t="s">
        <v>1932</v>
      </c>
      <c r="B202" s="8" t="s">
        <v>1933</v>
      </c>
      <c r="C202" s="8" t="s">
        <v>255</v>
      </c>
      <c r="E202" s="13" t="n">
        <f aca="false">IF((E182+E183)&gt;0,E116*E183/(E182+E183),0)</f>
        <v>0</v>
      </c>
      <c r="F202" s="13" t="n">
        <f aca="false">IF((F182+F183)&gt;0,F116*F183/(F182+F183),0)</f>
        <v>12272.9109311266</v>
      </c>
      <c r="G202" s="13" t="n">
        <f aca="false">IF((G182+G183)&gt;0,G116*G183/(G182+G183),0)</f>
        <v>15075.5739126493</v>
      </c>
      <c r="H202" s="13" t="n">
        <f aca="false">IF((H182+H183)&gt;0,H116*H183/(H182+H183),0)</f>
        <v>18261.2421448498</v>
      </c>
      <c r="I202" s="13" t="n">
        <f aca="false">IF((I182+I183)&gt;0,I116*I183/(I182+I183),0)</f>
        <v>19850.6851771774</v>
      </c>
      <c r="J202" s="13" t="n">
        <f aca="false">IF((J182+J183)&gt;0,J116*J183/(J182+J183),0)</f>
        <v>20051.8919129771</v>
      </c>
      <c r="K202" s="13" t="n">
        <f aca="false">IF((K182+K183)&gt;0,K116*K183/(K182+K183),0)</f>
        <v>20144.0187631151</v>
      </c>
      <c r="L202" s="13" t="n">
        <f aca="false">IF((L182+L183)&gt;0,L116*L183/(L182+L183),0)</f>
        <v>20237.0711638536</v>
      </c>
      <c r="M202" s="13" t="n">
        <f aca="false">IF((M182+M183)&gt;0,M116*M183/(M182+M183),0)</f>
        <v>20331.0583879712</v>
      </c>
      <c r="N202" s="13" t="n">
        <f aca="false">IF((N182+N183)&gt;0,N116*N183/(N182+N183),0)</f>
        <v>20425.9898007251</v>
      </c>
      <c r="O202" s="13" t="n">
        <f aca="false">IF((O182+O183)&gt;0,O116*O183/(O182+O183),0)</f>
        <v>20006.1967937936</v>
      </c>
      <c r="P202" s="13" t="n">
        <f aca="false">IF((P182+P183)&gt;0,P116*P183/(P182+P183),0)</f>
        <v>0</v>
      </c>
      <c r="Q202" s="13" t="n">
        <f aca="false">IF((Q182+Q183)&gt;0,Q116*Q183/(Q182+Q183),0)</f>
        <v>0</v>
      </c>
      <c r="R202" s="13" t="n">
        <f aca="false">IF((R182+R183)&gt;0,R116*R183/(R182+R183),0)</f>
        <v>0</v>
      </c>
    </row>
    <row r="203" customFormat="false" ht="15" hidden="false" customHeight="false" outlineLevel="0" collapsed="false">
      <c r="A203" s="2" t="s">
        <v>1934</v>
      </c>
      <c r="B203" s="8" t="s">
        <v>1935</v>
      </c>
      <c r="C203" s="8" t="s">
        <v>255</v>
      </c>
      <c r="E203" s="13" t="n">
        <f aca="false">IF((E87+E88)&gt;0,(E122+E123+E124+E125)*E88/(E87+E88),0)</f>
        <v>0</v>
      </c>
      <c r="F203" s="13" t="n">
        <f aca="false">IF((F87+F88)&gt;0,(F122+F123+F124+F125)*F88/(F87+F88),0)</f>
        <v>17710</v>
      </c>
      <c r="G203" s="13" t="n">
        <f aca="false">IF((G87+G88)&gt;0,(G122+G123+G124+G125)*G88/(G87+G88),0)</f>
        <v>22997.7</v>
      </c>
      <c r="H203" s="13" t="n">
        <f aca="false">IF((H87+H88)&gt;0,(H122+H123+H124+H125)*H88/(H87+H88),0)</f>
        <v>28389.383</v>
      </c>
      <c r="I203" s="13" t="n">
        <f aca="false">IF((I87+I88)&gt;0,(I122+I123+I124+I125)*I88/(I87+I88),0)</f>
        <v>31279.93836</v>
      </c>
      <c r="J203" s="13" t="n">
        <f aca="false">IF((J87+J88)&gt;0,(J122+J123+J124+J125)*J88/(J87+J88),0)</f>
        <v>31592.7377436</v>
      </c>
      <c r="K203" s="13" t="n">
        <f aca="false">IF((K87+K88)&gt;0,(K122+K123+K124+K125)*K88/(K87+K88),0)</f>
        <v>31908.665121036</v>
      </c>
      <c r="L203" s="13" t="n">
        <f aca="false">IF((L87+L88)&gt;0,(L122+L123+L124+L125)*L88/(L87+L88),0)</f>
        <v>32227.7517722464</v>
      </c>
      <c r="M203" s="13" t="n">
        <f aca="false">IF((M87+M88)&gt;0,(M122+M123+M124+M125)*M88/(M87+M88),0)</f>
        <v>32550.0292899688</v>
      </c>
      <c r="N203" s="13" t="n">
        <f aca="false">IF((N87+N88)&gt;0,(N122+N123+N124+N125)*N88/(N87+N88),0)</f>
        <v>32875.5295828685</v>
      </c>
      <c r="O203" s="13" t="n">
        <f aca="false">IF((O87+O88)&gt;0,(O122+O123+O124+O125)*O88/(O87+O88),0)</f>
        <v>33204.2848786972</v>
      </c>
      <c r="P203" s="13" t="n">
        <f aca="false">IF((P87+P88)&gt;0,(P122+P123+P124+P125)*P88/(P87+P88),0)</f>
        <v>0</v>
      </c>
      <c r="Q203" s="13" t="n">
        <f aca="false">IF((Q87+Q88)&gt;0,(Q122+Q123+Q124+Q125)*Q88/(Q87+Q88),0)</f>
        <v>0</v>
      </c>
      <c r="R203" s="13" t="n">
        <f aca="false">IF((R87+R88)&gt;0,(R122+R123+R124+R125)*R88/(R87+R88),0)</f>
        <v>0</v>
      </c>
    </row>
    <row r="204" customFormat="false" ht="15" hidden="false" customHeight="false" outlineLevel="0" collapsed="false">
      <c r="A204" s="2" t="s">
        <v>1936</v>
      </c>
      <c r="B204" s="8" t="s">
        <v>1937</v>
      </c>
      <c r="C204" s="8" t="s">
        <v>255</v>
      </c>
      <c r="E204" s="13" t="n">
        <f aca="false">E201+E202+E203</f>
        <v>0</v>
      </c>
      <c r="F204" s="13" t="n">
        <f aca="false">F201+F202+F203</f>
        <v>1143028.33423819</v>
      </c>
      <c r="G204" s="13" t="n">
        <f aca="false">G201+G202+G203</f>
        <v>1435765.93668881</v>
      </c>
      <c r="H204" s="13" t="n">
        <f aca="false">H201+H202+H203</f>
        <v>1757335.24556392</v>
      </c>
      <c r="I204" s="13" t="n">
        <f aca="false">I201+I202+I203</f>
        <v>1922042.9580009</v>
      </c>
      <c r="J204" s="13" t="n">
        <f aca="false">J201+J202+J203</f>
        <v>1931995.55191396</v>
      </c>
      <c r="K204" s="13" t="n">
        <f aca="false">K201+K202+K203</f>
        <v>1941936.55544096</v>
      </c>
      <c r="L204" s="13" t="n">
        <f aca="false">L201+L202+L203</f>
        <v>1951976.94881304</v>
      </c>
      <c r="M204" s="13" t="n">
        <f aca="false">M201+M202+M203</f>
        <v>1962117.72584721</v>
      </c>
      <c r="N204" s="13" t="n">
        <f aca="false">N201+N202+N203</f>
        <v>1972359.89029982</v>
      </c>
      <c r="O204" s="13" t="n">
        <f aca="false">O201+O202+O203</f>
        <v>1929340.05745445</v>
      </c>
      <c r="P204" s="13" t="n">
        <f aca="false">P201+P202+P203</f>
        <v>0</v>
      </c>
      <c r="Q204" s="13" t="n">
        <f aca="false">Q201+Q202+Q203</f>
        <v>0</v>
      </c>
      <c r="R204" s="13" t="n">
        <f aca="false">R201+R202+R203</f>
        <v>0</v>
      </c>
    </row>
    <row r="205" customFormat="false" ht="15" hidden="false" customHeight="false" outlineLevel="0" collapsed="false">
      <c r="A205" s="2" t="s">
        <v>1938</v>
      </c>
      <c r="B205" s="66" t="s">
        <v>1939</v>
      </c>
      <c r="C205" s="8" t="s">
        <v>255</v>
      </c>
      <c r="E205" s="12" t="n">
        <f aca="false">E200-E204</f>
        <v>0</v>
      </c>
      <c r="F205" s="12" t="n">
        <f aca="false">F200-F204</f>
        <v>466971.665761814</v>
      </c>
      <c r="G205" s="12" t="n">
        <f aca="false">G200-G204</f>
        <v>654934.063311195</v>
      </c>
      <c r="H205" s="12" t="n">
        <f aca="false">H200-H204</f>
        <v>823517.754436077</v>
      </c>
      <c r="I205" s="12" t="n">
        <f aca="false">I200-I204</f>
        <v>921587.801999104</v>
      </c>
      <c r="J205" s="12" t="n">
        <f aca="false">J200-J204</f>
        <v>940071.515686043</v>
      </c>
      <c r="K205" s="12" t="n">
        <f aca="false">K200-K204</f>
        <v>958851.182835043</v>
      </c>
      <c r="L205" s="12" t="n">
        <f aca="false">L200-L204</f>
        <v>977818.666845723</v>
      </c>
      <c r="M205" s="12" t="n">
        <f aca="false">M200-M204</f>
        <v>996975.845968143</v>
      </c>
      <c r="N205" s="12" t="n">
        <f aca="false">N200-N204</f>
        <v>1016324.61723368</v>
      </c>
      <c r="O205" s="12" t="n">
        <f aca="false">O200-O204</f>
        <v>1089231.29515439</v>
      </c>
      <c r="P205" s="12" t="n">
        <f aca="false">P200-P204</f>
        <v>0</v>
      </c>
      <c r="Q205" s="12" t="n">
        <f aca="false">Q200-Q204</f>
        <v>0</v>
      </c>
      <c r="R205" s="12" t="n">
        <f aca="false">R200-R204</f>
        <v>0</v>
      </c>
    </row>
    <row r="206" customFormat="false" ht="15" hidden="false" customHeight="false" outlineLevel="0" collapsed="false">
      <c r="A206" s="2" t="s">
        <v>1940</v>
      </c>
      <c r="B206" s="8" t="s">
        <v>1941</v>
      </c>
      <c r="C206" s="8" t="s">
        <v>201</v>
      </c>
      <c r="E206" s="48" t="str">
        <f aca="false">IF(E200&gt;0,E205/E200,"")</f>
        <v/>
      </c>
      <c r="F206" s="48" t="n">
        <f aca="false">IF(F200&gt;0,F205/F200,"")</f>
        <v>0.290044512895536</v>
      </c>
      <c r="G206" s="48" t="n">
        <f aca="false">IF(G200&gt;0,G205/G200,"")</f>
        <v>0.313260660693162</v>
      </c>
      <c r="H206" s="48" t="n">
        <f aca="false">IF(H200&gt;0,H205/H200,"")</f>
        <v>0.319087431339978</v>
      </c>
      <c r="I206" s="48" t="n">
        <f aca="false">IF(I200&gt;0,I205/I200,"")</f>
        <v>0.324088420677762</v>
      </c>
      <c r="J206" s="48" t="n">
        <f aca="false">IF(J200&gt;0,J205/J200,"")</f>
        <v>0.327315307602339</v>
      </c>
      <c r="K206" s="48" t="n">
        <f aca="false">IF(K200&gt;0,K205/K200,"")</f>
        <v>0.330548550720539</v>
      </c>
      <c r="L206" s="48" t="n">
        <f aca="false">IF(L200&gt;0,L205/L200,"")</f>
        <v>0.333749788421969</v>
      </c>
      <c r="M206" s="48" t="n">
        <f aca="false">IF(M200&gt;0,M205/M200,"")</f>
        <v>0.336919337551234</v>
      </c>
      <c r="N206" s="48" t="n">
        <f aca="false">IF(N200&gt;0,N205/N200,"")</f>
        <v>0.340057511815603</v>
      </c>
      <c r="O206" s="48" t="n">
        <f aca="false">IF(O200&gt;0,O205/O200,"")</f>
        <v>0.360843315568145</v>
      </c>
      <c r="P206" s="48" t="str">
        <f aca="false">IF(P200&gt;0,P205/P200,"")</f>
        <v/>
      </c>
      <c r="Q206" s="48" t="str">
        <f aca="false">IF(Q200&gt;0,Q205/Q200,"")</f>
        <v/>
      </c>
      <c r="R206" s="48" t="str">
        <f aca="false">IF(R200&gt;0,R205/R200,"")</f>
        <v/>
      </c>
    </row>
    <row r="207" customFormat="false" ht="15" hidden="false" customHeight="false" outlineLevel="0" collapsed="false">
      <c r="A207" s="2" t="s">
        <v>1942</v>
      </c>
      <c r="B207" s="8" t="s">
        <v>1943</v>
      </c>
      <c r="C207" s="8" t="s">
        <v>255</v>
      </c>
      <c r="E207" s="13" t="n">
        <f aca="false">(E117+E118+E119+E120+E121)*(1-N(E184))</f>
        <v>0</v>
      </c>
      <c r="F207" s="13" t="n">
        <f aca="false">(F117+F118+F119+F120+F121)*(1-N(F184))</f>
        <v>291925.266806477</v>
      </c>
      <c r="G207" s="13" t="n">
        <f aca="false">(G117+G118+G119+G120+G121)*(1-N(G184))</f>
        <v>309948.668514415</v>
      </c>
      <c r="H207" s="13" t="n">
        <f aca="false">(H117+H118+H119+H120+H121)*(1-N(H184))</f>
        <v>338737.460430127</v>
      </c>
      <c r="I207" s="13" t="n">
        <f aca="false">(I117+I118+I119+I120+I121)*(1-N(I184))</f>
        <v>344023.995925432</v>
      </c>
      <c r="J207" s="13" t="n">
        <f aca="false">(J117+J118+J119+J120+J121)*(1-N(J184))</f>
        <v>355331.384974556</v>
      </c>
      <c r="K207" s="13" t="n">
        <f aca="false">(K117+K118+K119+K120+K121)*(1-N(K184))</f>
        <v>356000.945424127</v>
      </c>
      <c r="L207" s="13" t="n">
        <f aca="false">(L117+L118+L119+L120+L121)*(1-N(L184))</f>
        <v>356675.162437591</v>
      </c>
      <c r="M207" s="13" t="n">
        <f aca="false">(M117+M118+M119+M120+M121)*(1-N(M184))</f>
        <v>357354.082580586</v>
      </c>
      <c r="N207" s="13" t="n">
        <f aca="false">(N117+N118+N119+N120+N121)*(1-N(N184))</f>
        <v>358037.752884408</v>
      </c>
      <c r="O207" s="13" t="n">
        <f aca="false">(O117+O118+O119+O120+O121)*(1-N(O184))</f>
        <v>356265.249006857</v>
      </c>
      <c r="P207" s="13" t="n">
        <f aca="false">(P117+P118+P119+P120+P121)*(1-N(P184))</f>
        <v>0</v>
      </c>
      <c r="Q207" s="13" t="n">
        <f aca="false">(Q117+Q118+Q119+Q120+Q121)*(1-N(Q184))</f>
        <v>0</v>
      </c>
      <c r="R207" s="13" t="n">
        <f aca="false">(R117+R118+R119+R120+R121)*(1-N(R184))</f>
        <v>0</v>
      </c>
    </row>
    <row r="208" customFormat="false" ht="15" hidden="false" customHeight="false" outlineLevel="0" collapsed="false">
      <c r="A208" s="2" t="s">
        <v>1944</v>
      </c>
      <c r="B208" s="8" t="s">
        <v>1945</v>
      </c>
      <c r="C208" s="8" t="s">
        <v>255</v>
      </c>
      <c r="E208" s="13" t="n">
        <f aca="false">E205-E207</f>
        <v>0</v>
      </c>
      <c r="F208" s="13" t="n">
        <f aca="false">F205-F207</f>
        <v>175046.398955337</v>
      </c>
      <c r="G208" s="13" t="n">
        <f aca="false">G205-G207</f>
        <v>344985.394796779</v>
      </c>
      <c r="H208" s="13" t="n">
        <f aca="false">H205-H207</f>
        <v>484780.29400595</v>
      </c>
      <c r="I208" s="13" t="n">
        <f aca="false">I205-I207</f>
        <v>577563.806073671</v>
      </c>
      <c r="J208" s="13" t="n">
        <f aca="false">J205-J207</f>
        <v>584740.130711487</v>
      </c>
      <c r="K208" s="13" t="n">
        <f aca="false">K205-K207</f>
        <v>602850.237410916</v>
      </c>
      <c r="L208" s="13" t="n">
        <f aca="false">L205-L207</f>
        <v>621143.504408132</v>
      </c>
      <c r="M208" s="13" t="n">
        <f aca="false">M205-M207</f>
        <v>639621.763387556</v>
      </c>
      <c r="N208" s="13" t="n">
        <f aca="false">N205-N207</f>
        <v>658286.864349276</v>
      </c>
      <c r="O208" s="13" t="n">
        <f aca="false">O205-O207</f>
        <v>732966.046147534</v>
      </c>
      <c r="P208" s="13" t="n">
        <f aca="false">P205-P207</f>
        <v>0</v>
      </c>
      <c r="Q208" s="13" t="n">
        <f aca="false">Q205-Q207</f>
        <v>0</v>
      </c>
      <c r="R208" s="13" t="n">
        <f aca="false">R205-R207</f>
        <v>0</v>
      </c>
    </row>
    <row r="209" customFormat="false" ht="15" hidden="false" customHeight="false" outlineLevel="0" collapsed="false">
      <c r="A209" s="2" t="s">
        <v>1946</v>
      </c>
      <c r="B209" s="8" t="s">
        <v>1947</v>
      </c>
      <c r="C209" s="8" t="s">
        <v>255</v>
      </c>
      <c r="E209" s="13" t="n">
        <f aca="false">(E93+E94-E95)*(1-N(E184))</f>
        <v>0</v>
      </c>
      <c r="F209" s="13" t="n">
        <f aca="false">(F93+F94-F95)*(1-N(F184))</f>
        <v>129552.292667393</v>
      </c>
      <c r="G209" s="13" t="n">
        <f aca="false">(G93+G94-G95)*(1-N(G184))</f>
        <v>134135.461291236</v>
      </c>
      <c r="H209" s="13" t="n">
        <f aca="false">(H93+H94-H95)*(1-N(H184))</f>
        <v>137781.450844286</v>
      </c>
      <c r="I209" s="13" t="n">
        <f aca="false">(I93+I94-I95)*(1-N(I184))</f>
        <v>134157.642570415</v>
      </c>
      <c r="J209" s="13" t="n">
        <f aca="false">(J93+J94-J95)*(1-N(J184))</f>
        <v>136443.529102117</v>
      </c>
      <c r="K209" s="13" t="n">
        <f aca="false">(K93+K94-K95)*(1-N(K184))</f>
        <v>138797.992229769</v>
      </c>
      <c r="L209" s="13" t="n">
        <f aca="false">(L93+L94-L95)*(1-N(L184))</f>
        <v>141223.089251252</v>
      </c>
      <c r="M209" s="13" t="n">
        <f aca="false">(M93+M94-M95)*(1-N(M184))</f>
        <v>143720.939183379</v>
      </c>
      <c r="N209" s="13" t="n">
        <f aca="false">(N93+N94-N95)*(1-N(N184))</f>
        <v>146293.72461347</v>
      </c>
      <c r="O209" s="13" t="n">
        <f aca="false">(O93+O94-O95)*(1-N(O184))</f>
        <v>148943.693606463</v>
      </c>
      <c r="P209" s="13" t="n">
        <f aca="false">(P93+P94-P95)*(1-N(P184))</f>
        <v>0</v>
      </c>
      <c r="Q209" s="13" t="n">
        <f aca="false">(Q93+Q94-Q95)*(1-N(Q184))</f>
        <v>0</v>
      </c>
      <c r="R209" s="13" t="n">
        <f aca="false">(R93+R94-R95)*(1-N(R184))</f>
        <v>0</v>
      </c>
    </row>
    <row r="210" customFormat="false" ht="15" hidden="false" customHeight="false" outlineLevel="0" collapsed="false">
      <c r="A210" s="2" t="s">
        <v>1948</v>
      </c>
      <c r="B210" s="66" t="s">
        <v>1949</v>
      </c>
      <c r="C210" s="8" t="s">
        <v>255</v>
      </c>
      <c r="E210" s="12" t="n">
        <f aca="false">E208-E209</f>
        <v>0</v>
      </c>
      <c r="F210" s="12" t="n">
        <f aca="false">F208-F209</f>
        <v>45494.1062879436</v>
      </c>
      <c r="G210" s="12" t="n">
        <f aca="false">G208-G209</f>
        <v>210849.933505543</v>
      </c>
      <c r="H210" s="12" t="n">
        <f aca="false">H208-H209</f>
        <v>346998.843161664</v>
      </c>
      <c r="I210" s="12" t="n">
        <f aca="false">I208-I209</f>
        <v>443406.163503257</v>
      </c>
      <c r="J210" s="12" t="n">
        <f aca="false">J208-J209</f>
        <v>448296.601609371</v>
      </c>
      <c r="K210" s="12" t="n">
        <f aca="false">K208-K209</f>
        <v>464052.245181146</v>
      </c>
      <c r="L210" s="12" t="n">
        <f aca="false">L208-L209</f>
        <v>479920.41515688</v>
      </c>
      <c r="M210" s="12" t="n">
        <f aca="false">M208-M209</f>
        <v>495900.824204177</v>
      </c>
      <c r="N210" s="12" t="n">
        <f aca="false">N208-N209</f>
        <v>511993.139735807</v>
      </c>
      <c r="O210" s="12" t="n">
        <f aca="false">O208-O209</f>
        <v>584022.352541071</v>
      </c>
      <c r="P210" s="12" t="n">
        <f aca="false">P208-P209</f>
        <v>0</v>
      </c>
      <c r="Q210" s="12" t="n">
        <f aca="false">Q208-Q209</f>
        <v>0</v>
      </c>
      <c r="R210" s="12" t="n">
        <f aca="false">R208-R209</f>
        <v>0</v>
      </c>
    </row>
    <row r="211" customFormat="false" ht="15" hidden="false" customHeight="false" outlineLevel="0" collapsed="false">
      <c r="A211" s="2" t="s">
        <v>1950</v>
      </c>
      <c r="B211" s="8" t="s">
        <v>1951</v>
      </c>
      <c r="C211" s="8" t="s">
        <v>263</v>
      </c>
      <c r="E211" s="19" t="str">
        <f aca="false">IF(E73&gt;0,E200/E73,"")</f>
        <v/>
      </c>
      <c r="F211" s="19" t="n">
        <f aca="false">IF(F73&gt;0,F200/F73,"")</f>
        <v>23</v>
      </c>
      <c r="G211" s="19" t="n">
        <f aca="false">IF(G73&gt;0,G200/G73,"")</f>
        <v>23.23</v>
      </c>
      <c r="H211" s="19" t="n">
        <f aca="false">IF(H73&gt;0,H200/H73,"")</f>
        <v>23.4623</v>
      </c>
      <c r="I211" s="19" t="n">
        <f aca="false">IF(I73&gt;0,I200/I73,"")</f>
        <v>23.696923</v>
      </c>
      <c r="J211" s="19" t="n">
        <f aca="false">IF(J73&gt;0,J200/J73,"")</f>
        <v>23.93389223</v>
      </c>
      <c r="K211" s="19" t="n">
        <f aca="false">IF(K73&gt;0,K200/K73,"")</f>
        <v>24.1732311523</v>
      </c>
      <c r="L211" s="19" t="n">
        <f aca="false">IF(L73&gt;0,L200/L73,"")</f>
        <v>24.414963463823</v>
      </c>
      <c r="M211" s="19" t="n">
        <f aca="false">IF(M73&gt;0,M200/M73,"")</f>
        <v>24.6591130984612</v>
      </c>
      <c r="N211" s="19" t="n">
        <f aca="false">IF(N73&gt;0,N200/N73,"")</f>
        <v>24.9057042294458</v>
      </c>
      <c r="O211" s="19" t="n">
        <f aca="false">IF(O73&gt;0,O200/O73,"")</f>
        <v>25.1547612717403</v>
      </c>
      <c r="P211" s="19" t="str">
        <f aca="false">IF(P73&gt;0,P200/P73,"")</f>
        <v/>
      </c>
      <c r="Q211" s="19" t="str">
        <f aca="false">IF(Q73&gt;0,Q200/Q73,"")</f>
        <v/>
      </c>
      <c r="R211" s="19" t="str">
        <f aca="false">IF(R73&gt;0,R200/R73,"")</f>
        <v/>
      </c>
    </row>
    <row r="212" customFormat="false" ht="15" hidden="false" customHeight="false" outlineLevel="0" collapsed="false">
      <c r="A212" s="2" t="s">
        <v>1952</v>
      </c>
      <c r="B212" s="8" t="s">
        <v>1953</v>
      </c>
      <c r="C212" s="8" t="s">
        <v>263</v>
      </c>
      <c r="E212" s="19" t="str">
        <f aca="false">IF(E73&gt;0,E204/E73,"")</f>
        <v/>
      </c>
      <c r="F212" s="19" t="n">
        <f aca="false">IF(F73&gt;0,F204/F73,"")</f>
        <v>16.3289762034027</v>
      </c>
      <c r="G212" s="19" t="n">
        <f aca="false">IF(G73&gt;0,G204/G73,"")</f>
        <v>15.9529548520978</v>
      </c>
      <c r="H212" s="19" t="n">
        <f aca="false">IF(H73&gt;0,H204/H73,"")</f>
        <v>15.975774959672</v>
      </c>
      <c r="I212" s="19" t="n">
        <f aca="false">IF(I73&gt;0,I204/I73,"")</f>
        <v>16.0170246500075</v>
      </c>
      <c r="J212" s="19" t="n">
        <f aca="false">IF(J73&gt;0,J204/J73,"")</f>
        <v>16.0999629326163</v>
      </c>
      <c r="K212" s="19" t="n">
        <f aca="false">IF(K73&gt;0,K204/K73,"")</f>
        <v>16.1828046286746</v>
      </c>
      <c r="L212" s="19" t="n">
        <f aca="false">IF(L73&gt;0,L204/L73,"")</f>
        <v>16.266474573442</v>
      </c>
      <c r="M212" s="19" t="n">
        <f aca="false">IF(M73&gt;0,M204/M73,"")</f>
        <v>16.3509810487267</v>
      </c>
      <c r="N212" s="19" t="n">
        <f aca="false">IF(N73&gt;0,N204/N73,"")</f>
        <v>16.4363324191651</v>
      </c>
      <c r="O212" s="19" t="n">
        <f aca="false">IF(O73&gt;0,O204/O73,"")</f>
        <v>16.0778338121204</v>
      </c>
      <c r="P212" s="19" t="str">
        <f aca="false">IF(P73&gt;0,P204/P73,"")</f>
        <v/>
      </c>
      <c r="Q212" s="19" t="str">
        <f aca="false">IF(Q73&gt;0,Q204/Q73,"")</f>
        <v/>
      </c>
      <c r="R212" s="19" t="str">
        <f aca="false">IF(R73&gt;0,R204/R73,"")</f>
        <v/>
      </c>
    </row>
    <row r="213" customFormat="false" ht="15" hidden="false" customHeight="false" outlineLevel="0" collapsed="false">
      <c r="A213" s="2" t="s">
        <v>1954</v>
      </c>
      <c r="B213" s="8" t="s">
        <v>1955</v>
      </c>
      <c r="C213" s="8" t="s">
        <v>263</v>
      </c>
      <c r="E213" s="19" t="str">
        <f aca="false">IF(E73&gt;0,(E204+E207+E209)/E73,"")</f>
        <v/>
      </c>
      <c r="F213" s="19" t="n">
        <f aca="false">IF(F73&gt;0,(F204+F207+F209)/F73,"")</f>
        <v>22.3500841958865</v>
      </c>
      <c r="G213" s="19" t="n">
        <f aca="false">IF(G73&gt;0,(G204+G207+G209)/G73,"")</f>
        <v>20.8872229610495</v>
      </c>
      <c r="H213" s="19" t="n">
        <f aca="false">IF(H73&gt;0,(H204+H207+H209)/H73,"")</f>
        <v>20.3077650621667</v>
      </c>
      <c r="I213" s="19" t="n">
        <f aca="false">IF(I73&gt;0,(I204+I207+I209)/I73,"")</f>
        <v>20.0018716374729</v>
      </c>
      <c r="J213" s="19" t="n">
        <f aca="false">IF(J73&gt;0,(J204+J207+J209)/J73,"")</f>
        <v>20.1980872165886</v>
      </c>
      <c r="K213" s="19" t="n">
        <f aca="false">IF(K73&gt;0,(K204+K207+K209)/K73,"")</f>
        <v>20.3061291091238</v>
      </c>
      <c r="L213" s="19" t="n">
        <f aca="false">IF(L73&gt;0,(L204+L207+L209)/L73,"")</f>
        <v>20.415626670849</v>
      </c>
      <c r="M213" s="19" t="n">
        <f aca="false">IF(M73&gt;0,(M204+M207+M209)/M73,"")</f>
        <v>20.5266062300931</v>
      </c>
      <c r="N213" s="19" t="n">
        <f aca="false">IF(N73&gt;0,(N204+N207+N209)/N73,"")</f>
        <v>20.6390947316475</v>
      </c>
      <c r="O213" s="19" t="n">
        <f aca="false">IF(O73&gt;0,(O204+O207+O209)/O73,"")</f>
        <v>20.287908333898</v>
      </c>
      <c r="P213" s="19" t="str">
        <f aca="false">IF(P73&gt;0,(P204+P207+P209)/P73,"")</f>
        <v/>
      </c>
      <c r="Q213" s="19" t="str">
        <f aca="false">IF(Q73&gt;0,(Q204+Q207+Q209)/Q73,"")</f>
        <v/>
      </c>
      <c r="R213" s="19" t="str">
        <f aca="false">IF(R73&gt;0,(R204+R207+R209)/R73,"")</f>
        <v/>
      </c>
    </row>
    <row r="214" customFormat="false" ht="15" hidden="false" customHeight="false" outlineLevel="0" collapsed="false">
      <c r="A214" s="2" t="s">
        <v>1956</v>
      </c>
      <c r="B214" s="8" t="s">
        <v>1957</v>
      </c>
      <c r="C214" s="8" t="s">
        <v>201</v>
      </c>
      <c r="E214" s="48" t="str">
        <f aca="false">IF(N(E213)&gt;0,(E211-E213)/E213,"")</f>
        <v/>
      </c>
      <c r="F214" s="48" t="n">
        <f aca="false">IF(N(F213)&gt;0,(F211-F213)/F213,"")</f>
        <v>0.0290788973507802</v>
      </c>
      <c r="G214" s="48" t="n">
        <f aca="false">IF(N(G213)&gt;0,(G211-G213)/G213,"")</f>
        <v>0.112163165171325</v>
      </c>
      <c r="H214" s="48" t="n">
        <f aca="false">IF(N(H213)&gt;0,(H211-H213)/H213,"")</f>
        <v>0.155336391187142</v>
      </c>
      <c r="I214" s="48" t="n">
        <f aca="false">IF(N(I213)&gt;0,(I211-I213)/I213,"")</f>
        <v>0.184735280252703</v>
      </c>
      <c r="J214" s="48" t="n">
        <f aca="false">IF(N(J213)&gt;0,(J211-J213)/J213,"")</f>
        <v>0.184958356370658</v>
      </c>
      <c r="K214" s="48" t="n">
        <f aca="false">IF(N(K213)&gt;0,(K211-K213)/K213,"")</f>
        <v>0.190440138659351</v>
      </c>
      <c r="L214" s="48" t="n">
        <f aca="false">IF(N(L213)&gt;0,(L211-L213)/L213,"")</f>
        <v>0.195895862392731</v>
      </c>
      <c r="M214" s="48" t="n">
        <f aca="false">IF(N(M213)&gt;0,(M211-M213)/M213,"")</f>
        <v>0.201324409015538</v>
      </c>
      <c r="N214" s="48" t="n">
        <f aca="false">IF(N(N213)&gt;0,(N211-N213)/N213,"")</f>
        <v>0.206724643366072</v>
      </c>
      <c r="O214" s="48" t="n">
        <f aca="false">IF(N(O213)&gt;0,(O211-O213)/O213,"")</f>
        <v>0.23988933988382</v>
      </c>
      <c r="P214" s="48" t="str">
        <f aca="false">IF(N(P213)&gt;0,(P211-P213)/P213,"")</f>
        <v/>
      </c>
      <c r="Q214" s="48" t="str">
        <f aca="false">IF(N(Q213)&gt;0,(Q211-Q213)/Q213,"")</f>
        <v/>
      </c>
      <c r="R214" s="48" t="str">
        <f aca="false">IF(N(R213)&gt;0,(R211-R213)/R213,"")</f>
        <v/>
      </c>
    </row>
    <row r="215" customFormat="false" ht="15" hidden="false" customHeight="false" outlineLevel="0" collapsed="false">
      <c r="A215" s="3" t="s">
        <v>1958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customFormat="false" ht="15" hidden="false" customHeight="false" outlineLevel="0" collapsed="false">
      <c r="A216" s="2" t="s">
        <v>1959</v>
      </c>
      <c r="B216" s="8" t="s">
        <v>1960</v>
      </c>
      <c r="C216" s="8" t="s">
        <v>803</v>
      </c>
      <c r="E216" s="53" t="n">
        <f aca="false">1/(1+p_TasaProy)^0</f>
        <v>1</v>
      </c>
      <c r="F216" s="53" t="n">
        <f aca="false">1/(1+p_TasaProy)^1</f>
        <v>0.913330653392097</v>
      </c>
      <c r="G216" s="53" t="n">
        <f aca="false">1/(1+p_TasaProy)^2</f>
        <v>0.834172882425634</v>
      </c>
      <c r="H216" s="53" t="n">
        <f aca="false">1/(1+p_TasaProy)^3</f>
        <v>0.761875663747773</v>
      </c>
      <c r="I216" s="53" t="n">
        <f aca="false">1/(1+p_TasaProy)^4</f>
        <v>0.695844397774291</v>
      </c>
      <c r="J216" s="53" t="n">
        <f aca="false">1/(1+p_TasaProy)^5</f>
        <v>0.635536018478423</v>
      </c>
      <c r="K216" s="53" t="n">
        <f aca="false">1/(1+p_TasaProy)^6</f>
        <v>0.58045452701111</v>
      </c>
      <c r="L216" s="53" t="n">
        <f aca="false">1/(1+p_TasaProy)^7</f>
        <v>0.530146912419458</v>
      </c>
      <c r="M216" s="53" t="n">
        <f aca="false">1/(1+p_TasaProy)^8</f>
        <v>0.484199425913866</v>
      </c>
      <c r="N216" s="53" t="n">
        <f aca="false">1/(1+p_TasaProy)^9</f>
        <v>0.442234178041989</v>
      </c>
      <c r="O216" s="53" t="n">
        <f aca="false">1/(1+p_TasaProy)^10</f>
        <v>0.403906030783407</v>
      </c>
      <c r="P216" s="53" t="n">
        <f aca="false">1/(1+p_TasaProy)^11</f>
        <v>0.368899759004417</v>
      </c>
      <c r="Q216" s="53" t="n">
        <f aca="false">1/(1+p_TasaProy)^12</f>
        <v>0.336927457927692</v>
      </c>
      <c r="R216" s="53" t="n">
        <f aca="false">1/(1+p_TasaProy)^13</f>
        <v>0.307726175294837</v>
      </c>
    </row>
    <row r="219" customFormat="false" ht="15" hidden="false" customHeight="false" outlineLevel="0" collapsed="false">
      <c r="B219" s="2" t="s">
        <v>1961</v>
      </c>
      <c r="F219" s="27" t="s">
        <v>264</v>
      </c>
      <c r="G219" s="27" t="s">
        <v>581</v>
      </c>
      <c r="H219" s="27" t="s">
        <v>584</v>
      </c>
      <c r="I219" s="27" t="s">
        <v>587</v>
      </c>
      <c r="J219" s="27" t="s">
        <v>590</v>
      </c>
      <c r="K219" s="27" t="s">
        <v>593</v>
      </c>
      <c r="L219" s="27" t="s">
        <v>596</v>
      </c>
      <c r="M219" s="27" t="s">
        <v>599</v>
      </c>
      <c r="N219" s="27" t="s">
        <v>602</v>
      </c>
      <c r="O219" s="27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O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15" min="3" style="0" width="15"/>
  </cols>
  <sheetData>
    <row r="1" customFormat="false" ht="16.15" hidden="false" customHeight="false" outlineLevel="0" collapsed="false">
      <c r="A1" s="1" t="s">
        <v>1962</v>
      </c>
    </row>
    <row r="2" customFormat="false" ht="15" hidden="false" customHeight="false" outlineLevel="0" collapsed="false">
      <c r="A2" s="2" t="s">
        <v>1963</v>
      </c>
    </row>
    <row r="4" customFormat="false" ht="15" hidden="false" customHeight="false" outlineLevel="0" collapsed="false">
      <c r="B4" s="7" t="s">
        <v>1964</v>
      </c>
    </row>
    <row r="6" customFormat="false" ht="15" hidden="false" customHeight="false" outlineLevel="0" collapsed="false">
      <c r="A6" s="3" t="s">
        <v>1965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customFormat="false" ht="36" hidden="false" customHeight="true" outlineLevel="0" collapsed="false">
      <c r="A7" s="10" t="s">
        <v>694</v>
      </c>
      <c r="B7" s="10" t="s">
        <v>1966</v>
      </c>
      <c r="C7" s="10" t="s">
        <v>1967</v>
      </c>
      <c r="D7" s="10" t="s">
        <v>1968</v>
      </c>
      <c r="E7" s="10" t="s">
        <v>1969</v>
      </c>
      <c r="F7" s="10" t="s">
        <v>1970</v>
      </c>
      <c r="G7" s="10" t="s">
        <v>101</v>
      </c>
      <c r="H7" s="10" t="s">
        <v>1971</v>
      </c>
      <c r="I7" s="10" t="s">
        <v>1972</v>
      </c>
      <c r="J7" s="10" t="s">
        <v>1973</v>
      </c>
      <c r="K7" s="10" t="s">
        <v>1974</v>
      </c>
      <c r="L7" s="10" t="s">
        <v>1975</v>
      </c>
      <c r="M7" s="10" t="s">
        <v>1976</v>
      </c>
      <c r="N7" s="10" t="s">
        <v>1977</v>
      </c>
    </row>
    <row r="8" customFormat="false" ht="15" hidden="false" customHeight="false" outlineLevel="0" collapsed="false">
      <c r="A8" s="31" t="n">
        <v>1</v>
      </c>
      <c r="B8" s="8" t="s">
        <v>138</v>
      </c>
      <c r="C8" s="82" t="n">
        <v>6732540.92587864</v>
      </c>
      <c r="D8" s="83" t="n">
        <v>0.323128170462237</v>
      </c>
      <c r="E8" s="82" t="n">
        <v>3748260.0338038</v>
      </c>
      <c r="F8" s="83" t="n">
        <v>0.449829142883043</v>
      </c>
      <c r="G8" s="82" t="n">
        <v>526818.423288897</v>
      </c>
      <c r="H8" s="82" t="n">
        <v>16318099.8594377</v>
      </c>
      <c r="I8" s="82" t="n">
        <v>1529018.47703678</v>
      </c>
      <c r="J8" s="82" t="n">
        <v>589308.477036784</v>
      </c>
      <c r="K8" s="84" t="n">
        <v>-2.54487865673168</v>
      </c>
      <c r="L8" s="85" t="n">
        <v>4.44469959462814</v>
      </c>
      <c r="M8" s="82" t="n">
        <v>4942519.05732891</v>
      </c>
      <c r="N8" s="19" t="n">
        <f aca="false">IF(AND(p_EscIdx=1,p_ShockIdx=1,p_NCorr=6,p_MesCorte&lt;0),k_van_p-C8,"Seleccionar este caso para verificar")</f>
        <v>0</v>
      </c>
    </row>
    <row r="9" customFormat="false" ht="15" hidden="false" customHeight="false" outlineLevel="0" collapsed="false">
      <c r="A9" s="31" t="n">
        <v>2</v>
      </c>
      <c r="B9" s="8" t="s">
        <v>436</v>
      </c>
      <c r="C9" s="82" t="n">
        <v>6732540.92587864</v>
      </c>
      <c r="D9" s="83" t="n">
        <v>0.323128170462237</v>
      </c>
      <c r="E9" s="82" t="n">
        <v>3748260.0338038</v>
      </c>
      <c r="F9" s="83" t="n">
        <v>0.449829142883043</v>
      </c>
      <c r="G9" s="82" t="n">
        <v>526818.423288897</v>
      </c>
      <c r="H9" s="82" t="n">
        <v>16318099.8594377</v>
      </c>
      <c r="I9" s="82" t="n">
        <v>1529018.47703678</v>
      </c>
      <c r="J9" s="82" t="n">
        <v>589308.477036784</v>
      </c>
      <c r="K9" s="84" t="n">
        <v>-2.54487865673168</v>
      </c>
      <c r="L9" s="85" t="n">
        <v>4.44469959462814</v>
      </c>
      <c r="M9" s="82" t="n">
        <v>4942519.05732891</v>
      </c>
      <c r="N9" s="19" t="str">
        <f aca="false">IF(AND(p_EscIdx=2,p_ShockIdx=1,p_NCorr=6,p_MesCorte&lt;0),k_van_p-C9,"Seleccionar este caso para verificar")</f>
        <v>Seleccionar este caso para verificar</v>
      </c>
    </row>
    <row r="10" customFormat="false" ht="15" hidden="false" customHeight="false" outlineLevel="0" collapsed="false">
      <c r="A10" s="31" t="n">
        <v>3</v>
      </c>
      <c r="B10" s="8" t="s">
        <v>437</v>
      </c>
      <c r="C10" s="82" t="n">
        <v>-2361781.06242542</v>
      </c>
      <c r="D10" s="83" t="n">
        <v>0.0218312099044162</v>
      </c>
      <c r="E10" s="82" t="n">
        <v>-749574.955298074</v>
      </c>
      <c r="F10" s="83" t="n">
        <v>0.027718224913057</v>
      </c>
      <c r="G10" s="82" t="n">
        <v>-458219.888286601</v>
      </c>
      <c r="H10" s="82" t="n">
        <v>1958826.44445762</v>
      </c>
      <c r="I10" s="82" t="n">
        <v>6243737.28122181</v>
      </c>
      <c r="J10" s="82" t="n">
        <v>5304027.28122181</v>
      </c>
      <c r="K10" s="84" t="n">
        <v>-5.90001140997332</v>
      </c>
      <c r="L10" s="85" t="n">
        <v>9.97410394184567</v>
      </c>
      <c r="M10" s="82" t="n">
        <v>5183978.74460356</v>
      </c>
      <c r="N10" s="19" t="str">
        <f aca="false">IF(AND(p_EscIdx=3,p_ShockIdx=1,p_NCorr=6,p_MesCorte&lt;0),k_van_p-C10,"Seleccionar este caso para verificar")</f>
        <v>Seleccionar este caso para verificar</v>
      </c>
    </row>
    <row r="11" customFormat="false" ht="15" hidden="false" customHeight="false" outlineLevel="0" collapsed="false">
      <c r="A11" s="31" t="n">
        <v>4</v>
      </c>
      <c r="B11" s="8" t="s">
        <v>438</v>
      </c>
      <c r="C11" s="82" t="n">
        <v>5617099.80340594</v>
      </c>
      <c r="D11" s="83" t="n">
        <v>0.327978893942824</v>
      </c>
      <c r="E11" s="82" t="n">
        <v>2989063.56366725</v>
      </c>
      <c r="F11" s="83" t="n">
        <v>0.409922857815754</v>
      </c>
      <c r="G11" s="82" t="n">
        <v>-294318.445814331</v>
      </c>
      <c r="H11" s="82" t="n">
        <v>13758022.1591688</v>
      </c>
      <c r="I11" s="82" t="n">
        <v>1554872.54356164</v>
      </c>
      <c r="J11" s="82" t="n">
        <v>615162.543561639</v>
      </c>
      <c r="K11" s="84" t="n">
        <v>-4.22812889944901</v>
      </c>
      <c r="L11" s="85" t="n">
        <v>4.69119786517694</v>
      </c>
      <c r="M11" s="82" t="n">
        <v>3310726.01631902</v>
      </c>
      <c r="N11" s="19" t="str">
        <f aca="false">IF(AND(p_EscIdx=4,p_ShockIdx=1,p_NCorr=6,p_MesCorte&lt;0),k_van_p-C11,"Seleccionar este caso para verificar")</f>
        <v>Seleccionar este caso para verificar</v>
      </c>
    </row>
    <row r="12" customFormat="false" ht="15" hidden="false" customHeight="false" outlineLevel="0" collapsed="false">
      <c r="A12" s="31" t="n">
        <v>5</v>
      </c>
      <c r="B12" s="8" t="s">
        <v>439</v>
      </c>
      <c r="C12" s="82" t="n">
        <v>6732540.92587864</v>
      </c>
      <c r="D12" s="83" t="n">
        <v>0.323128170462237</v>
      </c>
      <c r="E12" s="82" t="n">
        <v>3748260.0338038</v>
      </c>
      <c r="F12" s="83" t="n">
        <v>0.449829142883043</v>
      </c>
      <c r="G12" s="82" t="n">
        <v>526818.423288897</v>
      </c>
      <c r="H12" s="82" t="n">
        <v>16318099.8594377</v>
      </c>
      <c r="I12" s="82" t="n">
        <v>1529018.47703678</v>
      </c>
      <c r="J12" s="82" t="n">
        <v>589308.477036784</v>
      </c>
      <c r="K12" s="84" t="n">
        <v>-2.54487865673168</v>
      </c>
      <c r="L12" s="85" t="n">
        <v>4.44469959462814</v>
      </c>
      <c r="M12" s="82" t="n">
        <v>4942519.05732891</v>
      </c>
      <c r="N12" s="19" t="str">
        <f aca="false">IF(AND(p_EscIdx=5,p_ShockIdx=1,p_NCorr=6,p_MesCorte&lt;0),k_van_p-C12,"Seleccionar este caso para verificar")</f>
        <v>Seleccionar este caso para verificar</v>
      </c>
    </row>
    <row r="14" customFormat="false" ht="15" hidden="false" customHeight="false" outlineLevel="0" collapsed="false">
      <c r="A14" s="3" t="s">
        <v>1978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customFormat="false" ht="36" hidden="false" customHeight="true" outlineLevel="0" collapsed="false">
      <c r="A15" s="10" t="s">
        <v>694</v>
      </c>
      <c r="B15" s="10" t="s">
        <v>1966</v>
      </c>
      <c r="C15" s="10" t="s">
        <v>1967</v>
      </c>
      <c r="D15" s="10" t="s">
        <v>1968</v>
      </c>
      <c r="E15" s="10" t="s">
        <v>1969</v>
      </c>
      <c r="F15" s="10" t="s">
        <v>1970</v>
      </c>
      <c r="G15" s="10" t="s">
        <v>101</v>
      </c>
      <c r="H15" s="10" t="s">
        <v>1971</v>
      </c>
      <c r="I15" s="10" t="s">
        <v>1972</v>
      </c>
      <c r="J15" s="10" t="s">
        <v>1973</v>
      </c>
      <c r="K15" s="10" t="s">
        <v>1974</v>
      </c>
      <c r="L15" s="10" t="s">
        <v>1975</v>
      </c>
      <c r="M15" s="10" t="s">
        <v>1976</v>
      </c>
      <c r="N15" s="10" t="s">
        <v>1977</v>
      </c>
    </row>
    <row r="16" customFormat="false" ht="15" hidden="false" customHeight="false" outlineLevel="0" collapsed="false">
      <c r="A16" s="31" t="n">
        <v>1</v>
      </c>
      <c r="B16" s="8" t="s">
        <v>1979</v>
      </c>
      <c r="C16" s="82" t="n">
        <v>6732540.92587864</v>
      </c>
      <c r="D16" s="83" t="n">
        <v>0.323128170462237</v>
      </c>
      <c r="E16" s="82" t="n">
        <v>3748260.0338038</v>
      </c>
      <c r="F16" s="83" t="n">
        <v>0.449829142883043</v>
      </c>
      <c r="G16" s="82" t="n">
        <v>526818.423288897</v>
      </c>
      <c r="H16" s="82" t="n">
        <v>16318099.8594377</v>
      </c>
      <c r="I16" s="82" t="n">
        <v>1529018.47703678</v>
      </c>
      <c r="J16" s="82" t="n">
        <v>589308.477036784</v>
      </c>
      <c r="K16" s="84" t="n">
        <v>-2.54487865673168</v>
      </c>
      <c r="L16" s="85" t="n">
        <v>4.44469959462814</v>
      </c>
      <c r="M16" s="82" t="n">
        <v>4942519.05732891</v>
      </c>
      <c r="N16" s="19" t="n">
        <f aca="false">IF(AND(p_EscIdx=1,p_ShockIdx=1,p_NCorr=6,p_MesCorte&lt;0),k_van_p-C16,"Seleccionar este caso para verificar")</f>
        <v>0</v>
      </c>
    </row>
    <row r="17" customFormat="false" ht="15" hidden="false" customHeight="false" outlineLevel="0" collapsed="false">
      <c r="A17" s="31" t="n">
        <v>2</v>
      </c>
      <c r="B17" s="8" t="s">
        <v>703</v>
      </c>
      <c r="C17" s="82" t="n">
        <v>6658375.85546837</v>
      </c>
      <c r="D17" s="83" t="n">
        <v>0.317458603836307</v>
      </c>
      <c r="E17" s="82" t="n">
        <v>3713542.58763771</v>
      </c>
      <c r="F17" s="83" t="n">
        <v>0.446733968157113</v>
      </c>
      <c r="G17" s="82" t="n">
        <v>526818.423288897</v>
      </c>
      <c r="H17" s="82" t="n">
        <v>16318099.8594377</v>
      </c>
      <c r="I17" s="82" t="n">
        <v>1604522.88703679</v>
      </c>
      <c r="J17" s="82" t="n">
        <v>664812.887036784</v>
      </c>
      <c r="K17" s="84" t="n">
        <v>-2.54487865673168</v>
      </c>
      <c r="L17" s="85" t="n">
        <v>4.48630821463339</v>
      </c>
      <c r="M17" s="82" t="n">
        <v>4942519.05732891</v>
      </c>
      <c r="N17" s="19" t="str">
        <f aca="false">IF(AND(p_EscIdx=1,p_ShockIdx=2,p_NCorr=6,p_MesCorte&lt;0),k_van_p-C17,"Seleccionar este caso para verificar")</f>
        <v>Seleccionar este caso para verificar</v>
      </c>
    </row>
    <row r="18" customFormat="false" ht="15" hidden="false" customHeight="false" outlineLevel="0" collapsed="false">
      <c r="A18" s="31" t="n">
        <v>3</v>
      </c>
      <c r="B18" s="8" t="s">
        <v>704</v>
      </c>
      <c r="C18" s="82" t="n">
        <v>6584210.7850581</v>
      </c>
      <c r="D18" s="83" t="n">
        <v>0.311969143687588</v>
      </c>
      <c r="E18" s="82" t="n">
        <v>3678212.46462856</v>
      </c>
      <c r="F18" s="83" t="n">
        <v>0.443560849272589</v>
      </c>
      <c r="G18" s="82" t="n">
        <v>526818.423288897</v>
      </c>
      <c r="H18" s="82" t="n">
        <v>16318099.8594377</v>
      </c>
      <c r="I18" s="82" t="n">
        <v>1680027.29703679</v>
      </c>
      <c r="J18" s="82" t="n">
        <v>740317.297036785</v>
      </c>
      <c r="K18" s="84" t="n">
        <v>-2.54487865673168</v>
      </c>
      <c r="L18" s="85" t="n">
        <v>4.52791683463863</v>
      </c>
      <c r="M18" s="82" t="n">
        <v>4942519.05732891</v>
      </c>
      <c r="N18" s="19" t="str">
        <f aca="false">IF(AND(p_EscIdx=1,p_ShockIdx=3,p_NCorr=6,p_MesCorte&lt;0),k_van_p-C18,"Seleccionar este caso para verificar")</f>
        <v>Seleccionar este caso para verificar</v>
      </c>
    </row>
    <row r="19" customFormat="false" ht="15" hidden="false" customHeight="false" outlineLevel="0" collapsed="false">
      <c r="A19" s="31" t="n">
        <v>4</v>
      </c>
      <c r="B19" s="8" t="s">
        <v>705</v>
      </c>
      <c r="C19" s="82" t="n">
        <v>6242120.33624238</v>
      </c>
      <c r="D19" s="83" t="n">
        <v>0.301125048045856</v>
      </c>
      <c r="E19" s="82" t="n">
        <v>3460478.19631063</v>
      </c>
      <c r="F19" s="83" t="n">
        <v>0.424529385170123</v>
      </c>
      <c r="G19" s="82" t="n">
        <v>180464.886593894</v>
      </c>
      <c r="H19" s="82" t="n">
        <v>15685524.484265</v>
      </c>
      <c r="I19" s="82" t="n">
        <v>1924578.55919555</v>
      </c>
      <c r="J19" s="82" t="n">
        <v>984868.559195551</v>
      </c>
      <c r="K19" s="84" t="n">
        <v>-4.24462909762469</v>
      </c>
      <c r="L19" s="85" t="n">
        <v>4.79565506267116</v>
      </c>
      <c r="M19" s="82" t="n">
        <v>4942519.05732891</v>
      </c>
      <c r="N19" s="19" t="str">
        <f aca="false">IF(AND(p_EscIdx=1,p_ShockIdx=4,p_NCorr=6,p_MesCorte&lt;0),k_van_p-C19,"Seleccionar este caso para verificar")</f>
        <v>Seleccionar este caso para verificar</v>
      </c>
    </row>
    <row r="20" customFormat="false" ht="15" hidden="false" customHeight="false" outlineLevel="0" collapsed="false">
      <c r="A20" s="31" t="n">
        <v>5</v>
      </c>
      <c r="B20" s="8" t="s">
        <v>706</v>
      </c>
      <c r="C20" s="82" t="n">
        <v>5775734.52428557</v>
      </c>
      <c r="D20" s="83" t="n">
        <v>0.283339909336485</v>
      </c>
      <c r="E20" s="82" t="n">
        <v>3164041.37521749</v>
      </c>
      <c r="F20" s="83" t="n">
        <v>0.400578257690367</v>
      </c>
      <c r="G20" s="82" t="n">
        <v>-163901.756745219</v>
      </c>
      <c r="H20" s="82" t="n">
        <v>15053285.6200232</v>
      </c>
      <c r="I20" s="82" t="n">
        <v>2323482.34166413</v>
      </c>
      <c r="J20" s="82" t="n">
        <v>1383772.34166412</v>
      </c>
      <c r="K20" s="84" t="n">
        <v>-5.32907528248814</v>
      </c>
      <c r="L20" s="85" t="n">
        <v>5.15036612017929</v>
      </c>
      <c r="M20" s="82" t="n">
        <v>4942554.05579467</v>
      </c>
      <c r="N20" s="19" t="str">
        <f aca="false">IF(AND(p_EscIdx=1,p_ShockIdx=5,p_NCorr=6,p_MesCorte&lt;0),k_van_p-C20,"Seleccionar este caso para verificar")</f>
        <v>Seleccionar este caso para verificar</v>
      </c>
    </row>
    <row r="21" customFormat="false" ht="15" hidden="false" customHeight="false" outlineLevel="0" collapsed="false">
      <c r="A21" s="31" t="n">
        <v>6</v>
      </c>
      <c r="B21" s="8" t="s">
        <v>707</v>
      </c>
      <c r="C21" s="82" t="n">
        <v>5197498.10232537</v>
      </c>
      <c r="D21" s="83" t="n">
        <v>0.284085233416212</v>
      </c>
      <c r="E21" s="82" t="n">
        <v>2770402.26879039</v>
      </c>
      <c r="F21" s="83" t="n">
        <v>0.388992567907783</v>
      </c>
      <c r="G21" s="82" t="n">
        <v>364478.851454934</v>
      </c>
      <c r="H21" s="82" t="n">
        <v>13468079.196253</v>
      </c>
      <c r="I21" s="82" t="n">
        <v>1634050.64819999</v>
      </c>
      <c r="J21" s="82" t="n">
        <v>694340.648199991</v>
      </c>
      <c r="K21" s="84" t="n">
        <v>-2.49989007167043</v>
      </c>
      <c r="L21" s="85" t="n">
        <v>4.83896846692691</v>
      </c>
      <c r="M21" s="82" t="n">
        <v>4448912.20919625</v>
      </c>
      <c r="N21" s="19" t="str">
        <f aca="false">IF(AND(p_EscIdx=1,p_ShockIdx=6,p_NCorr=6,p_MesCorte&lt;0),k_van_p-C21,"Seleccionar este caso para verificar")</f>
        <v>Seleccionar este caso para verificar</v>
      </c>
    </row>
    <row r="22" customFormat="false" ht="15" hidden="false" customHeight="false" outlineLevel="0" collapsed="false">
      <c r="A22" s="31" t="n">
        <v>7</v>
      </c>
      <c r="B22" s="8" t="s">
        <v>708</v>
      </c>
      <c r="C22" s="82" t="n">
        <v>3662455.27877211</v>
      </c>
      <c r="D22" s="83" t="n">
        <v>0.239086396751501</v>
      </c>
      <c r="E22" s="82" t="n">
        <v>1786275.68439443</v>
      </c>
      <c r="F22" s="83" t="n">
        <v>0.321023454696282</v>
      </c>
      <c r="G22" s="82" t="n">
        <v>202139.27962097</v>
      </c>
      <c r="H22" s="82" t="n">
        <v>10618058.5330682</v>
      </c>
      <c r="I22" s="82" t="n">
        <v>1885496.33486227</v>
      </c>
      <c r="J22" s="82" t="n">
        <v>945786.334862269</v>
      </c>
      <c r="K22" s="84" t="n">
        <v>-2.45490148660919</v>
      </c>
      <c r="L22" s="85" t="n">
        <v>5.43735959861803</v>
      </c>
      <c r="M22" s="82" t="n">
        <v>3955305.36106359</v>
      </c>
      <c r="N22" s="19" t="str">
        <f aca="false">IF(AND(p_EscIdx=1,p_ShockIdx=7,p_NCorr=6,p_MesCorte&lt;0),k_van_p-C22,"Seleccionar este caso para verificar")</f>
        <v>Seleccionar este caso para verificar</v>
      </c>
    </row>
    <row r="23" customFormat="false" ht="15" hidden="false" customHeight="false" outlineLevel="0" collapsed="false">
      <c r="A23" s="31" t="n">
        <v>8</v>
      </c>
      <c r="B23" s="8" t="s">
        <v>709</v>
      </c>
      <c r="C23" s="82" t="n">
        <v>4281031.2128774</v>
      </c>
      <c r="D23" s="83" t="n">
        <v>0.239704087133461</v>
      </c>
      <c r="E23" s="82" t="n">
        <v>2228772.22610662</v>
      </c>
      <c r="F23" s="83" t="n">
        <v>0.344715720660631</v>
      </c>
      <c r="G23" s="82" t="n">
        <v>286998.048288897</v>
      </c>
      <c r="H23" s="82" t="n">
        <v>12301852.8757216</v>
      </c>
      <c r="I23" s="82" t="n">
        <v>2298040.59545664</v>
      </c>
      <c r="J23" s="82" t="n">
        <v>1358330.59545664</v>
      </c>
      <c r="K23" s="84" t="n">
        <v>-2.84814391015521</v>
      </c>
      <c r="L23" s="85" t="n">
        <v>5.46701360915463</v>
      </c>
      <c r="M23" s="82" t="n">
        <v>4791379.9245704</v>
      </c>
      <c r="N23" s="19" t="str">
        <f aca="false">IF(AND(p_EscIdx=1,p_ShockIdx=8,p_NCorr=6,p_MesCorte&lt;0),k_van_p-C23,"Seleccionar este caso para verificar")</f>
        <v>Seleccionar este caso para verificar</v>
      </c>
    </row>
    <row r="24" customFormat="false" ht="15" hidden="false" customHeight="false" outlineLevel="0" collapsed="false">
      <c r="A24" s="31" t="n">
        <v>9</v>
      </c>
      <c r="B24" s="8" t="s">
        <v>710</v>
      </c>
      <c r="C24" s="82" t="n">
        <v>1829521.49987616</v>
      </c>
      <c r="D24" s="83" t="n">
        <v>0.15682468123227</v>
      </c>
      <c r="E24" s="82" t="n">
        <v>837848.184947411</v>
      </c>
      <c r="F24" s="83" t="n">
        <v>0.240869751970026</v>
      </c>
      <c r="G24" s="82" t="n">
        <v>47177.6732888974</v>
      </c>
      <c r="H24" s="82" t="n">
        <v>8285605.89200559</v>
      </c>
      <c r="I24" s="82" t="n">
        <v>3213476.22937555</v>
      </c>
      <c r="J24" s="82" t="n">
        <v>2273766.22937555</v>
      </c>
      <c r="K24" s="84" t="n">
        <v>-3.15140916357875</v>
      </c>
      <c r="L24" s="85" t="n">
        <v>7.33292559362185</v>
      </c>
      <c r="M24" s="82" t="n">
        <v>4640240.79181188</v>
      </c>
      <c r="N24" s="19" t="str">
        <f aca="false">IF(AND(p_EscIdx=1,p_ShockIdx=9,p_NCorr=6,p_MesCorte&lt;0),k_van_p-C24,"Seleccionar este caso para verificar")</f>
        <v>Seleccionar este caso para verificar</v>
      </c>
    </row>
    <row r="25" customFormat="false" ht="15" hidden="false" customHeight="false" outlineLevel="0" collapsed="false">
      <c r="A25" s="31" t="n">
        <v>10</v>
      </c>
      <c r="B25" s="8" t="s">
        <v>711</v>
      </c>
      <c r="C25" s="82" t="n">
        <v>3832325.29982201</v>
      </c>
      <c r="D25" s="83" t="n">
        <v>0.217139715244446</v>
      </c>
      <c r="E25" s="82" t="n">
        <v>1992466.06192944</v>
      </c>
      <c r="F25" s="83" t="n">
        <v>0.324769596795854</v>
      </c>
      <c r="G25" s="82" t="n">
        <v>254556.496420201</v>
      </c>
      <c r="H25" s="82" t="n">
        <v>11852863.9151903</v>
      </c>
      <c r="I25" s="82" t="n">
        <v>2739712.84517904</v>
      </c>
      <c r="J25" s="82" t="n">
        <v>1800002.84517904</v>
      </c>
      <c r="K25" s="84" t="n">
        <v>-3.10411089427558</v>
      </c>
      <c r="L25" s="85" t="n">
        <v>5.87081434823865</v>
      </c>
      <c r="M25" s="82" t="n">
        <v>5107951.64323222</v>
      </c>
      <c r="N25" s="19" t="str">
        <f aca="false">IF(AND(p_EscIdx=1,p_ShockIdx=10,p_NCorr=6,p_MesCorte&lt;0),k_van_p-C25,"Seleccionar este caso para verificar")</f>
        <v>Seleccionar este caso para verificar</v>
      </c>
    </row>
    <row r="26" customFormat="false" ht="15" hidden="false" customHeight="false" outlineLevel="0" collapsed="false">
      <c r="A26" s="31" t="n">
        <v>11</v>
      </c>
      <c r="B26" s="8" t="s">
        <v>712</v>
      </c>
      <c r="C26" s="82" t="n">
        <v>932109.673765404</v>
      </c>
      <c r="D26" s="83" t="n">
        <v>0.123034387281973</v>
      </c>
      <c r="E26" s="82" t="n">
        <v>514475.188787822</v>
      </c>
      <c r="F26" s="83" t="n">
        <v>0.212559987734808</v>
      </c>
      <c r="G26" s="82" t="n">
        <v>-17705.4304484951</v>
      </c>
      <c r="H26" s="82" t="n">
        <v>7387627.97094296</v>
      </c>
      <c r="I26" s="82" t="n">
        <v>4096820.72882035</v>
      </c>
      <c r="J26" s="82" t="n">
        <v>3157110.72882035</v>
      </c>
      <c r="K26" s="84" t="n">
        <v>-3.66334313181948</v>
      </c>
      <c r="L26" s="85" t="n">
        <v>8.66034521930515</v>
      </c>
      <c r="M26" s="82" t="n">
        <v>5273384.22913552</v>
      </c>
      <c r="N26" s="19" t="str">
        <f aca="false">IF(AND(p_EscIdx=1,p_ShockIdx=11,p_NCorr=6,p_MesCorte&lt;0),k_van_p-C26,"Seleccionar este caso para verificar")</f>
        <v>Seleccionar este caso para verificar</v>
      </c>
    </row>
    <row r="27" customFormat="false" ht="15" hidden="false" customHeight="false" outlineLevel="0" collapsed="false">
      <c r="A27" s="31" t="n">
        <v>12</v>
      </c>
      <c r="B27" s="8" t="s">
        <v>713</v>
      </c>
      <c r="C27" s="82" t="n">
        <v>7273608.76025859</v>
      </c>
      <c r="D27" s="83" t="n">
        <v>0.344706837873736</v>
      </c>
      <c r="E27" s="82" t="n">
        <v>4053303.94297225</v>
      </c>
      <c r="F27" s="83" t="n">
        <v>0.469998555887508</v>
      </c>
      <c r="G27" s="82" t="n">
        <v>602256.470832955</v>
      </c>
      <c r="H27" s="82" t="n">
        <v>17151251.9493528</v>
      </c>
      <c r="I27" s="82" t="n">
        <v>1346450.00278695</v>
      </c>
      <c r="J27" s="82" t="n">
        <v>406740.002786946</v>
      </c>
      <c r="K27" s="84" t="n">
        <v>-2.39667842882604</v>
      </c>
      <c r="L27" s="85" t="n">
        <v>4.25321450557896</v>
      </c>
      <c r="M27" s="82" t="n">
        <v>4939491.86811906</v>
      </c>
      <c r="N27" s="19" t="str">
        <f aca="false">IF(AND(p_EscIdx=1,p_ShockIdx=12,p_NCorr=6,p_MesCorte&lt;0),k_van_p-C27,"Seleccionar este caso para verificar")</f>
        <v>Seleccionar este caso para verificar</v>
      </c>
    </row>
    <row r="28" customFormat="false" ht="15" hidden="false" customHeight="false" outlineLevel="0" collapsed="false">
      <c r="A28" s="31" t="n">
        <v>13</v>
      </c>
      <c r="B28" s="8" t="s">
        <v>714</v>
      </c>
      <c r="C28" s="82" t="n">
        <v>6071235.79496981</v>
      </c>
      <c r="D28" s="83" t="n">
        <v>0.297540339111873</v>
      </c>
      <c r="E28" s="82" t="n">
        <v>3351966.00127052</v>
      </c>
      <c r="F28" s="83" t="n">
        <v>0.421628602257715</v>
      </c>
      <c r="G28" s="82" t="n">
        <v>434616.365179493</v>
      </c>
      <c r="H28" s="82" t="n">
        <v>15299802.8606526</v>
      </c>
      <c r="I28" s="82" t="n">
        <v>1752157.72334214</v>
      </c>
      <c r="J28" s="82" t="n">
        <v>812447.723342142</v>
      </c>
      <c r="K28" s="84" t="n">
        <v>-2.72601226861634</v>
      </c>
      <c r="L28" s="85" t="n">
        <v>4.7006816022416</v>
      </c>
      <c r="M28" s="82" t="n">
        <v>4946218.95525207</v>
      </c>
      <c r="N28" s="19" t="str">
        <f aca="false">IF(AND(p_EscIdx=1,p_ShockIdx=13,p_NCorr=6,p_MesCorte&lt;0),k_van_p-C28,"Seleccionar este caso para verificar")</f>
        <v>Seleccionar este caso para verificar</v>
      </c>
    </row>
    <row r="29" customFormat="false" ht="15" hidden="false" customHeight="false" outlineLevel="0" collapsed="false">
      <c r="A29" s="31" t="n">
        <v>14</v>
      </c>
      <c r="B29" s="8" t="s">
        <v>715</v>
      </c>
      <c r="C29" s="82" t="n">
        <v>7094228.24522334</v>
      </c>
      <c r="D29" s="83" t="n">
        <v>0.367200742988086</v>
      </c>
      <c r="E29" s="82" t="n">
        <v>3841382.44801295</v>
      </c>
      <c r="F29" s="83" t="n">
        <v>0.465164355227709</v>
      </c>
      <c r="G29" s="82" t="n">
        <v>526818.423288897</v>
      </c>
      <c r="H29" s="82" t="n">
        <v>16318099.8594377</v>
      </c>
      <c r="I29" s="82" t="n">
        <v>962060.350839537</v>
      </c>
      <c r="J29" s="82" t="n">
        <v>22350.3508395373</v>
      </c>
      <c r="K29" s="84" t="n">
        <v>-1.79079464636641</v>
      </c>
      <c r="L29" s="85" t="n">
        <v>4.03741464833371</v>
      </c>
      <c r="M29" s="82" t="n">
        <v>4184730.00126898</v>
      </c>
      <c r="N29" s="19" t="str">
        <f aca="false">IF(AND(p_EscIdx=1,p_ShockIdx=14,p_NCorr=6,p_MesCorte&lt;0),k_van_p-C29,"Seleccionar este caso para verificar")</f>
        <v>Seleccionar este caso para verificar</v>
      </c>
    </row>
    <row r="30" customFormat="false" ht="15" hidden="false" customHeight="false" outlineLevel="0" collapsed="false">
      <c r="A30" s="31" t="n">
        <v>15</v>
      </c>
      <c r="B30" s="8" t="s">
        <v>716</v>
      </c>
      <c r="C30" s="82" t="n">
        <v>6732540.92587864</v>
      </c>
      <c r="D30" s="83" t="n">
        <v>0.323128170462237</v>
      </c>
      <c r="E30" s="82" t="n">
        <v>3748260.0338038</v>
      </c>
      <c r="F30" s="83" t="n">
        <v>0.449829142883043</v>
      </c>
      <c r="G30" s="82" t="n">
        <v>526818.423288897</v>
      </c>
      <c r="H30" s="82" t="n">
        <v>16318099.8594377</v>
      </c>
      <c r="I30" s="82" t="n">
        <v>1529018.47703678</v>
      </c>
      <c r="J30" s="82" t="n">
        <v>589308.477036784</v>
      </c>
      <c r="K30" s="84" t="n">
        <v>-2.54487865673168</v>
      </c>
      <c r="L30" s="85" t="n">
        <v>4.44469959462814</v>
      </c>
      <c r="M30" s="82" t="n">
        <v>4942519.05732891</v>
      </c>
      <c r="N30" s="19" t="str">
        <f aca="false">IF(AND(p_EscIdx=1,p_ShockIdx=15,p_NCorr=6,p_MesCorte&lt;0),k_van_p-C30,"Seleccionar este caso para verificar")</f>
        <v>Seleccionar este caso para verificar</v>
      </c>
    </row>
    <row r="31" customFormat="false" ht="15" hidden="false" customHeight="false" outlineLevel="0" collapsed="false">
      <c r="A31" s="31" t="n">
        <v>16</v>
      </c>
      <c r="B31" s="8" t="s">
        <v>717</v>
      </c>
      <c r="C31" s="82" t="n">
        <v>6375809.61619956</v>
      </c>
      <c r="D31" s="83" t="n">
        <v>0.288641359586791</v>
      </c>
      <c r="E31" s="82" t="n">
        <v>3572699.4567826</v>
      </c>
      <c r="F31" s="83" t="n">
        <v>0.425130844279999</v>
      </c>
      <c r="G31" s="82" t="n">
        <v>526818.423288897</v>
      </c>
      <c r="H31" s="82" t="n">
        <v>16318099.8594377</v>
      </c>
      <c r="I31" s="82" t="n">
        <v>2095939.64341435</v>
      </c>
      <c r="J31" s="82" t="n">
        <v>1156229.64341435</v>
      </c>
      <c r="K31" s="84" t="n">
        <v>-3.29896266709695</v>
      </c>
      <c r="L31" s="85" t="n">
        <v>4.84472031274648</v>
      </c>
      <c r="M31" s="82" t="n">
        <v>5700308.11338883</v>
      </c>
      <c r="N31" s="19" t="str">
        <f aca="false">IF(AND(p_EscIdx=1,p_ShockIdx=16,p_NCorr=6,p_MesCorte&lt;0),k_van_p-C31,"Seleccionar este caso para verificar")</f>
        <v>Seleccionar este caso para verificar</v>
      </c>
    </row>
    <row r="33" customFormat="false" ht="15" hidden="false" customHeight="false" outlineLevel="0" collapsed="false">
      <c r="A33" s="3" t="s">
        <v>1980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B34" s="2" t="s">
        <v>1981</v>
      </c>
    </row>
    <row r="35" customFormat="false" ht="30" hidden="false" customHeight="true" outlineLevel="0" collapsed="false">
      <c r="A35" s="10" t="s">
        <v>1982</v>
      </c>
      <c r="B35" s="10" t="s">
        <v>1983</v>
      </c>
      <c r="C35" s="10" t="s">
        <v>1967</v>
      </c>
      <c r="D35" s="10" t="s">
        <v>1984</v>
      </c>
      <c r="E35" s="10" t="s">
        <v>1985</v>
      </c>
      <c r="F35" s="10" t="s">
        <v>1969</v>
      </c>
      <c r="G35" s="10" t="s">
        <v>1971</v>
      </c>
      <c r="H35" s="10" t="s">
        <v>1972</v>
      </c>
      <c r="I35" s="10" t="s">
        <v>1986</v>
      </c>
    </row>
    <row r="36" customFormat="false" ht="15" hidden="false" customHeight="false" outlineLevel="0" collapsed="false">
      <c r="A36" s="31" t="n">
        <v>0</v>
      </c>
      <c r="B36" s="8" t="s">
        <v>1987</v>
      </c>
      <c r="C36" s="82" t="n">
        <v>7617996.04433588</v>
      </c>
      <c r="F36" s="82" t="n">
        <v>4189759.69148623</v>
      </c>
      <c r="G36" s="82" t="n">
        <v>17358689.7964344</v>
      </c>
      <c r="H36" s="82" t="n">
        <v>1062718.64883955</v>
      </c>
      <c r="I36" s="19" t="str">
        <f aca="false">IF(AND(p_EscIdx=1,p_ShockIdx=1,p_MesCorte&lt;0,p_C1=0,p_C2=0,p_C3=0,p_C4=0,p_C5=0,p_C6=0),k_van_p-C36,"Seleccionar esta combinación de C1-C6")</f>
        <v>Seleccionar esta combinación de C1-C6</v>
      </c>
    </row>
    <row r="37" customFormat="false" ht="15" hidden="false" customHeight="false" outlineLevel="0" collapsed="false">
      <c r="A37" s="31" t="n">
        <v>1</v>
      </c>
      <c r="B37" s="8" t="s">
        <v>1988</v>
      </c>
      <c r="C37" s="82" t="n">
        <v>7174848.89183313</v>
      </c>
      <c r="D37" s="13" t="n">
        <f aca="false">C37-C36</f>
        <v>-443147.15250275</v>
      </c>
      <c r="E37" s="82" t="n">
        <v>-443147.15250275</v>
      </c>
      <c r="F37" s="82" t="n">
        <v>3957573.59954044</v>
      </c>
      <c r="G37" s="82" t="n">
        <v>16676499.4738911</v>
      </c>
      <c r="H37" s="82" t="n">
        <v>1212207.28796555</v>
      </c>
      <c r="I37" s="19" t="str">
        <f aca="false">IF(AND(p_EscIdx=1,p_ShockIdx=1,p_MesCorte&lt;0,p_C1=1,p_C2=0,p_C3=0,p_C4=0,p_C5=0,p_C6=0),k_van_p-C37,"Seleccionar esta combinación de C1-C6")</f>
        <v>Seleccionar esta combinación de C1-C6</v>
      </c>
    </row>
    <row r="38" customFormat="false" ht="15" hidden="false" customHeight="false" outlineLevel="0" collapsed="false">
      <c r="A38" s="31" t="n">
        <v>2</v>
      </c>
      <c r="B38" s="8" t="s">
        <v>1989</v>
      </c>
      <c r="C38" s="82" t="n">
        <v>6980391.32882017</v>
      </c>
      <c r="D38" s="13" t="n">
        <f aca="false">C38-C37</f>
        <v>-194457.56301296</v>
      </c>
      <c r="E38" s="82" t="n">
        <v>-194457.563012971</v>
      </c>
      <c r="F38" s="82" t="n">
        <v>3844388.54637523</v>
      </c>
      <c r="G38" s="82" t="n">
        <v>16318099.8594377</v>
      </c>
      <c r="H38" s="82" t="n">
        <v>1217848.2489272</v>
      </c>
      <c r="I38" s="19" t="str">
        <f aca="false">IF(AND(p_EscIdx=1,p_ShockIdx=1,p_MesCorte&lt;0,p_C1=1,p_C2=1,p_C3=0,p_C4=0,p_C5=0,p_C6=0),k_van_p-C38,"Seleccionar esta combinación de C1-C6")</f>
        <v>Seleccionar esta combinación de C1-C6</v>
      </c>
    </row>
    <row r="39" customFormat="false" ht="15" hidden="false" customHeight="false" outlineLevel="0" collapsed="false">
      <c r="A39" s="31" t="n">
        <v>3</v>
      </c>
      <c r="B39" s="8" t="s">
        <v>1990</v>
      </c>
      <c r="C39" s="82" t="n">
        <v>6956392.60171247</v>
      </c>
      <c r="D39" s="13" t="n">
        <f aca="false">C39-C38</f>
        <v>-23998.7271077</v>
      </c>
      <c r="E39" s="82" t="n">
        <v>-23998.7271077102</v>
      </c>
      <c r="F39" s="82" t="n">
        <v>3832567.47404676</v>
      </c>
      <c r="G39" s="82" t="n">
        <v>16318099.8594377</v>
      </c>
      <c r="H39" s="82" t="n">
        <v>1217848.2489272</v>
      </c>
      <c r="I39" s="19" t="str">
        <f aca="false">IF(AND(p_EscIdx=1,p_ShockIdx=1,p_MesCorte&lt;0,p_C1=1,p_C2=1,p_C3=1,p_C4=0,p_C5=0,p_C6=0),k_van_p-C39,"Seleccionar esta combinación de C1-C6")</f>
        <v>Seleccionar esta combinación de C1-C6</v>
      </c>
    </row>
    <row r="40" customFormat="false" ht="15" hidden="false" customHeight="false" outlineLevel="0" collapsed="false">
      <c r="A40" s="31" t="n">
        <v>4</v>
      </c>
      <c r="B40" s="8" t="s">
        <v>1991</v>
      </c>
      <c r="C40" s="82" t="n">
        <v>6920041.05894196</v>
      </c>
      <c r="D40" s="13" t="n">
        <f aca="false">C40-C39</f>
        <v>-36351.5427705096</v>
      </c>
      <c r="E40" s="82" t="n">
        <v>-36351.5427705105</v>
      </c>
      <c r="F40" s="82" t="n">
        <v>3807336.15247779</v>
      </c>
      <c r="G40" s="82" t="n">
        <v>16318099.8594377</v>
      </c>
      <c r="H40" s="82" t="n">
        <v>1217848.2489272</v>
      </c>
      <c r="I40" s="19" t="str">
        <f aca="false">IF(AND(p_EscIdx=1,p_ShockIdx=1,p_MesCorte&lt;0,p_C1=1,p_C2=1,p_C3=1,p_C4=1,p_C5=0,p_C6=0),k_van_p-C40,"Seleccionar esta combinación de C1-C6")</f>
        <v>Seleccionar esta combinación de C1-C6</v>
      </c>
    </row>
    <row r="41" customFormat="false" ht="15" hidden="false" customHeight="false" outlineLevel="0" collapsed="false">
      <c r="A41" s="31" t="n">
        <v>5</v>
      </c>
      <c r="B41" s="8" t="s">
        <v>1992</v>
      </c>
      <c r="C41" s="82" t="n">
        <v>6732540.92587864</v>
      </c>
      <c r="D41" s="13" t="n">
        <f aca="false">C41-C40</f>
        <v>-187500.13306332</v>
      </c>
      <c r="E41" s="82" t="n">
        <v>-187304.528383531</v>
      </c>
      <c r="F41" s="82" t="n">
        <v>3748310.37274808</v>
      </c>
      <c r="G41" s="82" t="n">
        <v>16318099.8594377</v>
      </c>
      <c r="H41" s="82" t="n">
        <v>1529018.47703678</v>
      </c>
      <c r="I41" s="19" t="str">
        <f aca="false">IF(AND(p_EscIdx=1,p_ShockIdx=1,p_MesCorte&lt;0,p_C1=1,p_C2=1,p_C3=1,p_C4=1,p_C5=1,p_C6=0),k_van_p-C41,"Seleccionar esta combinación de C1-C6")</f>
        <v>Seleccionar esta combinación de C1-C6</v>
      </c>
    </row>
    <row r="42" customFormat="false" ht="15" hidden="false" customHeight="false" outlineLevel="0" collapsed="false">
      <c r="A42" s="31" t="n">
        <v>6</v>
      </c>
      <c r="B42" s="8" t="s">
        <v>1993</v>
      </c>
      <c r="C42" s="82" t="n">
        <v>6732540.92587864</v>
      </c>
      <c r="D42" s="13" t="n">
        <f aca="false">C42-C41</f>
        <v>0</v>
      </c>
      <c r="E42" s="82" t="n">
        <v>0</v>
      </c>
      <c r="F42" s="82" t="n">
        <v>3748260.0338038</v>
      </c>
      <c r="G42" s="82" t="n">
        <v>16318099.8594377</v>
      </c>
      <c r="H42" s="82" t="n">
        <v>1529018.47703678</v>
      </c>
      <c r="I42" s="19" t="n">
        <f aca="false">IF(AND(p_EscIdx=1,p_ShockIdx=1,p_MesCorte&lt;0,p_C1=1,p_C2=1,p_C3=1,p_C4=1,p_C5=1,p_C6=1),k_van_p-C42,"Seleccionar esta combinación de C1-C6")</f>
        <v>0</v>
      </c>
    </row>
    <row r="43" customFormat="false" ht="15" hidden="false" customHeight="false" outlineLevel="0" collapsed="false">
      <c r="B43" s="5" t="s">
        <v>1994</v>
      </c>
      <c r="C43" s="12" t="n">
        <f aca="false">C42-C36</f>
        <v>-885455.11845724</v>
      </c>
      <c r="D43" s="12" t="n">
        <f aca="false">SUM(D37:D42)</f>
        <v>-885455.11845724</v>
      </c>
      <c r="E43" s="12" t="n">
        <f aca="false">SUM(E37:E42)</f>
        <v>-885259.513777472</v>
      </c>
    </row>
    <row r="44" customFormat="false" ht="15" hidden="false" customHeight="false" outlineLevel="0" collapsed="false">
      <c r="B44" s="5" t="s">
        <v>1995</v>
      </c>
      <c r="D44" s="13" t="n">
        <f aca="false">D43-E43</f>
        <v>-195.604679767974</v>
      </c>
    </row>
    <row r="46" customFormat="false" ht="15" hidden="false" customHeight="false" outlineLevel="0" collapsed="false">
      <c r="A46" s="3" t="s">
        <v>1996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customFormat="false" ht="15" hidden="false" customHeight="false" outlineLevel="0" collapsed="false">
      <c r="B47" s="8" t="s">
        <v>1997</v>
      </c>
      <c r="C47" s="28" t="n">
        <f aca="false">Base_PDF!$E$410</f>
        <v>4588736.5974151</v>
      </c>
    </row>
    <row r="48" customFormat="false" ht="15" hidden="false" customHeight="false" outlineLevel="0" collapsed="false">
      <c r="B48" s="8" t="s">
        <v>1998</v>
      </c>
      <c r="C48" s="28" t="n">
        <f aca="false">Base_PDF!$E$424</f>
        <v>7324739.63192807</v>
      </c>
    </row>
    <row r="49" customFormat="false" ht="15" hidden="false" customHeight="false" outlineLevel="0" collapsed="false">
      <c r="B49" s="8" t="s">
        <v>1999</v>
      </c>
      <c r="C49" s="28" t="n">
        <f aca="false">Base_PDF!$E$427</f>
        <v>3912957.61231469</v>
      </c>
    </row>
    <row r="50" customFormat="false" ht="15" hidden="false" customHeight="false" outlineLevel="0" collapsed="false">
      <c r="B50" s="8" t="s">
        <v>2000</v>
      </c>
      <c r="C50" s="82" t="n">
        <v>7617996.04433588</v>
      </c>
    </row>
    <row r="51" customFormat="false" ht="15" hidden="false" customHeight="false" outlineLevel="0" collapsed="false">
      <c r="B51" s="8" t="s">
        <v>2001</v>
      </c>
      <c r="C51" s="82" t="n">
        <v>6732540.92587864</v>
      </c>
    </row>
    <row r="52" customFormat="false" ht="15" hidden="false" customHeight="false" outlineLevel="0" collapsed="false">
      <c r="B52" s="2" t="s">
        <v>2002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N7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36"/>
  </cols>
  <sheetData>
    <row r="1" customFormat="false" ht="16.15" hidden="false" customHeight="false" outlineLevel="0" collapsed="false">
      <c r="A1" s="1" t="s">
        <v>2003</v>
      </c>
    </row>
    <row r="2" customFormat="false" ht="15" hidden="false" customHeight="false" outlineLevel="0" collapsed="false">
      <c r="A2" s="2" t="s">
        <v>2004</v>
      </c>
    </row>
    <row r="4" customFormat="false" ht="15" hidden="false" customHeight="false" outlineLevel="0" collapsed="false">
      <c r="A4" s="3" t="s">
        <v>2005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10" t="s">
        <v>147</v>
      </c>
      <c r="B5" s="10" t="s">
        <v>2006</v>
      </c>
      <c r="C5" s="10"/>
      <c r="D5" s="10" t="s">
        <v>150</v>
      </c>
      <c r="E5" s="10"/>
      <c r="F5" s="10" t="s">
        <v>2007</v>
      </c>
    </row>
    <row r="6" customFormat="false" ht="15" hidden="false" customHeight="false" outlineLevel="0" collapsed="false">
      <c r="A6" s="8" t="s">
        <v>2008</v>
      </c>
      <c r="B6" s="8" t="s">
        <v>2009</v>
      </c>
      <c r="D6" s="30"/>
      <c r="F6" s="8" t="s">
        <v>2010</v>
      </c>
    </row>
    <row r="7" customFormat="false" ht="15" hidden="false" customHeight="false" outlineLevel="0" collapsed="false">
      <c r="A7" s="8" t="s">
        <v>2011</v>
      </c>
      <c r="B7" s="8" t="s">
        <v>2012</v>
      </c>
      <c r="D7" s="86"/>
      <c r="F7" s="8" t="s">
        <v>2013</v>
      </c>
    </row>
    <row r="8" customFormat="false" ht="15" hidden="false" customHeight="false" outlineLevel="0" collapsed="false">
      <c r="A8" s="8" t="s">
        <v>2014</v>
      </c>
      <c r="B8" s="8" t="s">
        <v>2015</v>
      </c>
      <c r="D8" s="86"/>
      <c r="F8" s="8" t="s">
        <v>2016</v>
      </c>
    </row>
    <row r="9" customFormat="false" ht="15" hidden="false" customHeight="false" outlineLevel="0" collapsed="false">
      <c r="A9" s="8" t="s">
        <v>2017</v>
      </c>
      <c r="B9" s="8" t="s">
        <v>2018</v>
      </c>
      <c r="D9" s="30"/>
      <c r="F9" s="8" t="s">
        <v>2019</v>
      </c>
    </row>
    <row r="10" customFormat="false" ht="15" hidden="false" customHeight="false" outlineLevel="0" collapsed="false">
      <c r="B10" s="8" t="s">
        <v>2020</v>
      </c>
      <c r="D10" s="69"/>
    </row>
    <row r="12" customFormat="false" ht="15" hidden="false" customHeight="false" outlineLevel="0" collapsed="false">
      <c r="A12" s="3" t="s">
        <v>2021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0" t="s">
        <v>147</v>
      </c>
      <c r="B13" s="10" t="s">
        <v>2022</v>
      </c>
      <c r="C13" s="10" t="s">
        <v>37</v>
      </c>
      <c r="D13" s="10" t="s">
        <v>2023</v>
      </c>
      <c r="E13" s="10" t="s">
        <v>701</v>
      </c>
      <c r="F13" s="10" t="s">
        <v>2024</v>
      </c>
      <c r="G13" s="10" t="s">
        <v>406</v>
      </c>
      <c r="H13" s="10" t="s">
        <v>2025</v>
      </c>
    </row>
    <row r="14" customFormat="false" ht="15" hidden="false" customHeight="false" outlineLevel="0" collapsed="false">
      <c r="A14" s="8" t="s">
        <v>2026</v>
      </c>
      <c r="B14" s="8" t="s">
        <v>2027</v>
      </c>
      <c r="C14" s="69" t="s">
        <v>255</v>
      </c>
      <c r="D14" s="44"/>
      <c r="E14" s="44"/>
      <c r="F14" s="13" t="str">
        <f aca="false">IF(D14="","",IF(C14="PYG",IF(N(E14)=0,"FALTA TC",D14/E14),D14))</f>
        <v/>
      </c>
      <c r="G14" s="69"/>
      <c r="H14" s="69"/>
    </row>
    <row r="15" customFormat="false" ht="15" hidden="false" customHeight="false" outlineLevel="0" collapsed="false">
      <c r="A15" s="8" t="s">
        <v>2028</v>
      </c>
      <c r="B15" s="8" t="s">
        <v>2029</v>
      </c>
      <c r="C15" s="69" t="s">
        <v>255</v>
      </c>
      <c r="D15" s="44"/>
      <c r="E15" s="44"/>
      <c r="F15" s="13" t="str">
        <f aca="false">IF(D15="","",IF(C15="PYG",IF(N(E15)=0,"FALTA TC",D15/E15),D15))</f>
        <v/>
      </c>
      <c r="G15" s="69"/>
      <c r="H15" s="69"/>
    </row>
    <row r="16" customFormat="false" ht="15" hidden="false" customHeight="false" outlineLevel="0" collapsed="false">
      <c r="A16" s="8" t="s">
        <v>2030</v>
      </c>
      <c r="B16" s="8" t="s">
        <v>2031</v>
      </c>
      <c r="C16" s="69" t="s">
        <v>255</v>
      </c>
      <c r="D16" s="44"/>
      <c r="E16" s="44"/>
      <c r="F16" s="13" t="str">
        <f aca="false">IF(D16="","",IF(C16="PYG",IF(N(E16)=0,"FALTA TC",D16/E16),D16))</f>
        <v/>
      </c>
      <c r="G16" s="69"/>
      <c r="H16" s="69"/>
    </row>
    <row r="17" customFormat="false" ht="15" hidden="false" customHeight="false" outlineLevel="0" collapsed="false">
      <c r="A17" s="8" t="s">
        <v>2032</v>
      </c>
      <c r="B17" s="8" t="s">
        <v>2033</v>
      </c>
      <c r="C17" s="69" t="s">
        <v>255</v>
      </c>
      <c r="D17" s="44"/>
      <c r="E17" s="44"/>
      <c r="F17" s="13" t="str">
        <f aca="false">IF(D17="","",IF(C17="PYG",IF(N(E17)=0,"FALTA TC",D17/E17),D17))</f>
        <v/>
      </c>
      <c r="G17" s="69"/>
      <c r="H17" s="69"/>
    </row>
    <row r="18" customFormat="false" ht="15" hidden="false" customHeight="false" outlineLevel="0" collapsed="false">
      <c r="A18" s="8" t="s">
        <v>2034</v>
      </c>
      <c r="B18" s="8" t="s">
        <v>1854</v>
      </c>
      <c r="C18" s="69" t="s">
        <v>255</v>
      </c>
      <c r="D18" s="44"/>
      <c r="E18" s="44"/>
      <c r="F18" s="13" t="str">
        <f aca="false">IF(D18="","",IF(C18="PYG",IF(N(E18)=0,"FALTA TC",D18/E18),D18))</f>
        <v/>
      </c>
      <c r="G18" s="69"/>
      <c r="H18" s="69"/>
    </row>
    <row r="19" customFormat="false" ht="15" hidden="false" customHeight="false" outlineLevel="0" collapsed="false">
      <c r="A19" s="8" t="s">
        <v>2035</v>
      </c>
      <c r="B19" s="8" t="s">
        <v>2036</v>
      </c>
      <c r="C19" s="69" t="s">
        <v>255</v>
      </c>
      <c r="D19" s="44"/>
      <c r="E19" s="44"/>
      <c r="F19" s="13" t="str">
        <f aca="false">IF(D19="","",IF(C19="PYG",IF(N(E19)=0,"FALTA TC",D19/E19),D19))</f>
        <v/>
      </c>
      <c r="G19" s="69"/>
      <c r="H19" s="69"/>
    </row>
    <row r="20" customFormat="false" ht="15" hidden="false" customHeight="false" outlineLevel="0" collapsed="false">
      <c r="A20" s="8" t="s">
        <v>2037</v>
      </c>
      <c r="B20" s="8" t="s">
        <v>2038</v>
      </c>
      <c r="C20" s="69" t="s">
        <v>255</v>
      </c>
      <c r="D20" s="44"/>
      <c r="E20" s="44"/>
      <c r="F20" s="13" t="str">
        <f aca="false">IF(D20="","",IF(C20="PYG",IF(N(E20)=0,"FALTA TC",D20/E20),D20))</f>
        <v/>
      </c>
      <c r="G20" s="69"/>
      <c r="H20" s="69"/>
    </row>
    <row r="21" customFormat="false" ht="15" hidden="false" customHeight="false" outlineLevel="0" collapsed="false">
      <c r="A21" s="8" t="s">
        <v>2039</v>
      </c>
      <c r="B21" s="8" t="s">
        <v>2040</v>
      </c>
      <c r="C21" s="69" t="s">
        <v>255</v>
      </c>
      <c r="D21" s="44"/>
      <c r="E21" s="44"/>
      <c r="F21" s="13" t="str">
        <f aca="false">IF(D21="","",IF(C21="PYG",IF(N(E21)=0,"FALTA TC",D21/E21),D21))</f>
        <v/>
      </c>
      <c r="G21" s="69"/>
      <c r="H21" s="69"/>
    </row>
    <row r="22" customFormat="false" ht="15" hidden="false" customHeight="false" outlineLevel="0" collapsed="false">
      <c r="A22" s="8" t="s">
        <v>2041</v>
      </c>
      <c r="B22" s="8" t="s">
        <v>2042</v>
      </c>
      <c r="C22" s="69" t="s">
        <v>255</v>
      </c>
      <c r="D22" s="44"/>
      <c r="E22" s="44"/>
      <c r="F22" s="13" t="str">
        <f aca="false">IF(D22="","",IF(C22="PYG",IF(N(E22)=0,"FALTA TC",D22/E22),D22))</f>
        <v/>
      </c>
      <c r="G22" s="69"/>
      <c r="H22" s="69"/>
    </row>
    <row r="29" customFormat="false" ht="15" hidden="false" customHeight="false" outlineLevel="0" collapsed="false">
      <c r="A29" s="3" t="s">
        <v>2043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36" hidden="false" customHeight="true" outlineLevel="0" collapsed="false">
      <c r="A30" s="10" t="s">
        <v>2044</v>
      </c>
      <c r="B30" s="10" t="s">
        <v>1144</v>
      </c>
      <c r="C30" s="10" t="s">
        <v>2045</v>
      </c>
      <c r="D30" s="10" t="s">
        <v>2046</v>
      </c>
      <c r="E30" s="10" t="s">
        <v>2047</v>
      </c>
      <c r="F30" s="10" t="s">
        <v>2048</v>
      </c>
      <c r="G30" s="10" t="s">
        <v>2049</v>
      </c>
      <c r="H30" s="10" t="s">
        <v>406</v>
      </c>
      <c r="I30" s="10" t="s">
        <v>2025</v>
      </c>
    </row>
    <row r="31" customFormat="false" ht="15" hidden="false" customHeight="false" outlineLevel="0" collapsed="false">
      <c r="A31" s="68" t="str">
        <f aca="false">Inversion_Activos!$A$6</f>
        <v>INF</v>
      </c>
      <c r="B31" s="68" t="str">
        <f aca="false">Inversion_Activos!$B$6</f>
        <v>Adecuación de infraestructura</v>
      </c>
      <c r="C31" s="44"/>
      <c r="D31" s="44"/>
      <c r="E31" s="44"/>
      <c r="F31" s="44"/>
      <c r="G31" s="29"/>
      <c r="H31" s="69"/>
      <c r="I31" s="69"/>
    </row>
    <row r="32" customFormat="false" ht="15" hidden="false" customHeight="false" outlineLevel="0" collapsed="false">
      <c r="A32" s="68" t="str">
        <f aca="false">Inversion_Activos!$A$7</f>
        <v>M01</v>
      </c>
      <c r="B32" s="68" t="str">
        <f aca="false">Inversion_Activos!$B$7</f>
        <v>Conjunto línea de pintura</v>
      </c>
      <c r="C32" s="44"/>
      <c r="D32" s="44"/>
      <c r="E32" s="44"/>
      <c r="F32" s="44"/>
      <c r="G32" s="29"/>
      <c r="H32" s="69"/>
      <c r="I32" s="69"/>
    </row>
    <row r="33" customFormat="false" ht="15" hidden="false" customHeight="false" outlineLevel="0" collapsed="false">
      <c r="A33" s="68" t="str">
        <f aca="false">Inversion_Activos!$A$8</f>
        <v>M02</v>
      </c>
      <c r="B33" s="68" t="str">
        <f aca="false">Inversion_Activos!$B$8</f>
        <v>Cortadoras láser (2)</v>
      </c>
      <c r="C33" s="44"/>
      <c r="D33" s="44"/>
      <c r="E33" s="44"/>
      <c r="F33" s="44"/>
      <c r="G33" s="29"/>
      <c r="H33" s="69"/>
      <c r="I33" s="69"/>
    </row>
    <row r="34" customFormat="false" ht="15" hidden="false" customHeight="false" outlineLevel="0" collapsed="false">
      <c r="A34" s="68" t="str">
        <f aca="false">Inversion_Activos!$A$9</f>
        <v>M03</v>
      </c>
      <c r="B34" s="68" t="str">
        <f aca="false">Inversion_Activos!$B$9</f>
        <v>Manipulador</v>
      </c>
      <c r="C34" s="44"/>
      <c r="D34" s="44"/>
      <c r="E34" s="44"/>
      <c r="F34" s="44"/>
      <c r="G34" s="29"/>
      <c r="H34" s="69"/>
      <c r="I34" s="69"/>
    </row>
    <row r="35" customFormat="false" ht="15" hidden="false" customHeight="false" outlineLevel="0" collapsed="false">
      <c r="A35" s="68" t="str">
        <f aca="false">Inversion_Activos!$A$10</f>
        <v>M04</v>
      </c>
      <c r="B35" s="68" t="str">
        <f aca="false">Inversion_Activos!$B$10</f>
        <v>Dobladoras (4)</v>
      </c>
      <c r="C35" s="44"/>
      <c r="D35" s="44"/>
      <c r="E35" s="44"/>
      <c r="F35" s="44"/>
      <c r="G35" s="29"/>
      <c r="H35" s="69"/>
      <c r="I35" s="69"/>
    </row>
    <row r="36" customFormat="false" ht="15" hidden="false" customHeight="false" outlineLevel="0" collapsed="false">
      <c r="A36" s="68" t="str">
        <f aca="false">Inversion_Activos!$A$11</f>
        <v>M05</v>
      </c>
      <c r="B36" s="68" t="str">
        <f aca="false">Inversion_Activos!$B$11</f>
        <v>Soldadoras (6)</v>
      </c>
      <c r="C36" s="44"/>
      <c r="D36" s="44"/>
      <c r="E36" s="44"/>
      <c r="F36" s="44"/>
      <c r="G36" s="29"/>
      <c r="H36" s="69"/>
      <c r="I36" s="69"/>
    </row>
    <row r="37" customFormat="false" ht="15" hidden="false" customHeight="false" outlineLevel="0" collapsed="false">
      <c r="A37" s="68" t="str">
        <f aca="false">Inversion_Activos!$A$12</f>
        <v>M06</v>
      </c>
      <c r="B37" s="68" t="str">
        <f aca="false">Inversion_Activos!$B$12</f>
        <v>Lijadoras (4)</v>
      </c>
      <c r="C37" s="44"/>
      <c r="D37" s="44"/>
      <c r="E37" s="44"/>
      <c r="F37" s="44"/>
      <c r="G37" s="29"/>
      <c r="H37" s="69"/>
      <c r="I37" s="69"/>
    </row>
    <row r="38" customFormat="false" ht="15" hidden="false" customHeight="false" outlineLevel="0" collapsed="false">
      <c r="A38" s="68" t="str">
        <f aca="false">Inversion_Activos!$A$13</f>
        <v>M07</v>
      </c>
      <c r="B38" s="68" t="str">
        <f aca="false">Inversion_Activos!$B$13</f>
        <v>Conjunto baño</v>
      </c>
      <c r="C38" s="44"/>
      <c r="D38" s="44"/>
      <c r="E38" s="44"/>
      <c r="F38" s="44"/>
      <c r="G38" s="29"/>
      <c r="H38" s="69"/>
      <c r="I38" s="69"/>
    </row>
    <row r="39" customFormat="false" ht="15" hidden="false" customHeight="false" outlineLevel="0" collapsed="false">
      <c r="A39" s="68" t="str">
        <f aca="false">Inversion_Activos!$A$14</f>
        <v>M08</v>
      </c>
      <c r="B39" s="68" t="str">
        <f aca="false">Inversion_Activos!$B$14</f>
        <v>Línea de montaje</v>
      </c>
      <c r="C39" s="44"/>
      <c r="D39" s="44"/>
      <c r="E39" s="44"/>
      <c r="F39" s="44"/>
      <c r="G39" s="29"/>
      <c r="H39" s="69"/>
      <c r="I39" s="69"/>
    </row>
    <row r="40" customFormat="false" ht="15" hidden="false" customHeight="false" outlineLevel="0" collapsed="false">
      <c r="A40" s="68" t="str">
        <f aca="false">Inversion_Activos!$A$15</f>
        <v>M09</v>
      </c>
      <c r="B40" s="68" t="str">
        <f aca="false">Inversion_Activos!$B$15</f>
        <v>Montacargas</v>
      </c>
      <c r="C40" s="44"/>
      <c r="D40" s="44"/>
      <c r="E40" s="44"/>
      <c r="F40" s="44"/>
      <c r="G40" s="29"/>
      <c r="H40" s="69"/>
      <c r="I40" s="69"/>
    </row>
    <row r="41" customFormat="false" ht="15" hidden="false" customHeight="false" outlineLevel="0" collapsed="false">
      <c r="A41" s="68" t="str">
        <f aca="false">Inversion_Activos!$A$16</f>
        <v>M10</v>
      </c>
      <c r="B41" s="68" t="str">
        <f aca="false">Inversion_Activos!$B$16</f>
        <v>Soldadoras capacitivas (2)</v>
      </c>
      <c r="C41" s="44"/>
      <c r="D41" s="44"/>
      <c r="E41" s="44"/>
      <c r="F41" s="44"/>
      <c r="G41" s="29"/>
      <c r="H41" s="69"/>
      <c r="I41" s="69"/>
    </row>
    <row r="42" customFormat="false" ht="15" hidden="false" customHeight="false" outlineLevel="0" collapsed="false">
      <c r="A42" s="68" t="str">
        <f aca="false">Inversion_Activos!$A$17</f>
        <v>SOF</v>
      </c>
      <c r="B42" s="68" t="str">
        <f aca="false">Inversion_Activos!$B$17</f>
        <v>Software de gestión del negocio</v>
      </c>
      <c r="C42" s="44"/>
      <c r="D42" s="44"/>
      <c r="E42" s="44"/>
      <c r="F42" s="44"/>
      <c r="G42" s="29"/>
      <c r="H42" s="69"/>
      <c r="I42" s="69"/>
    </row>
    <row r="43" customFormat="false" ht="15" hidden="false" customHeight="false" outlineLevel="0" collapsed="false">
      <c r="A43" s="68" t="str">
        <f aca="false">Inversion_Activos!$A$18</f>
        <v>MOB</v>
      </c>
      <c r="B43" s="68" t="str">
        <f aca="false">Inversion_Activos!$B$18</f>
        <v>Mobiliario</v>
      </c>
      <c r="C43" s="44"/>
      <c r="D43" s="44"/>
      <c r="E43" s="44"/>
      <c r="F43" s="44"/>
      <c r="G43" s="29"/>
      <c r="H43" s="69"/>
      <c r="I43" s="69"/>
    </row>
    <row r="44" customFormat="false" ht="15" hidden="false" customHeight="false" outlineLevel="0" collapsed="false">
      <c r="A44" s="68" t="str">
        <f aca="false">Inversion_Activos!$A$19</f>
        <v>ADD</v>
      </c>
      <c r="B44" s="68" t="str">
        <f aca="false">Inversion_Activos!$B$19</f>
        <v>CAPEX adicional año 2 (naturaleza no desagregada)</v>
      </c>
      <c r="C44" s="44"/>
      <c r="D44" s="44"/>
      <c r="E44" s="44"/>
      <c r="F44" s="44"/>
      <c r="G44" s="29"/>
      <c r="H44" s="69"/>
      <c r="I44" s="69"/>
    </row>
    <row r="45" customFormat="false" ht="15" hidden="false" customHeight="false" outlineLevel="0" collapsed="false">
      <c r="A45" s="68" t="str">
        <f aca="false">Inversion_Activos!$A$20</f>
        <v>N01</v>
      </c>
      <c r="B45" s="68" t="str">
        <f aca="false">Inversion_Activos!$B$20</f>
        <v>Nuevo ítem / reposición 1</v>
      </c>
      <c r="C45" s="44"/>
      <c r="D45" s="44"/>
      <c r="E45" s="44"/>
      <c r="F45" s="44"/>
      <c r="G45" s="29"/>
      <c r="H45" s="69"/>
      <c r="I45" s="69"/>
    </row>
    <row r="46" customFormat="false" ht="15" hidden="false" customHeight="false" outlineLevel="0" collapsed="false">
      <c r="A46" s="68" t="str">
        <f aca="false">Inversion_Activos!$A$21</f>
        <v>N02</v>
      </c>
      <c r="B46" s="68" t="str">
        <f aca="false">Inversion_Activos!$B$21</f>
        <v>Nuevo ítem / reposición 2</v>
      </c>
      <c r="C46" s="44"/>
      <c r="D46" s="44"/>
      <c r="E46" s="44"/>
      <c r="F46" s="44"/>
      <c r="G46" s="29"/>
      <c r="H46" s="69"/>
      <c r="I46" s="69"/>
    </row>
    <row r="47" customFormat="false" ht="15" hidden="false" customHeight="false" outlineLevel="0" collapsed="false">
      <c r="A47" s="68" t="str">
        <f aca="false">Inversion_Activos!$A$22</f>
        <v>N03</v>
      </c>
      <c r="B47" s="68" t="str">
        <f aca="false">Inversion_Activos!$B$22</f>
        <v>Nuevo ítem / expansión 3</v>
      </c>
      <c r="C47" s="44"/>
      <c r="D47" s="44"/>
      <c r="E47" s="44"/>
      <c r="F47" s="44"/>
      <c r="G47" s="29"/>
      <c r="H47" s="69"/>
      <c r="I47" s="69"/>
    </row>
    <row r="49" customFormat="false" ht="15" hidden="false" customHeight="false" outlineLevel="0" collapsed="false">
      <c r="A49" s="3" t="s">
        <v>2050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customFormat="false" ht="15" hidden="false" customHeight="false" outlineLevel="0" collapsed="false">
      <c r="A50" s="10" t="s">
        <v>2051</v>
      </c>
      <c r="B50" s="10" t="s">
        <v>2052</v>
      </c>
      <c r="C50" s="10" t="s">
        <v>435</v>
      </c>
      <c r="D50" s="10" t="s">
        <v>2053</v>
      </c>
      <c r="E50" s="10" t="s">
        <v>2054</v>
      </c>
    </row>
    <row r="51" customFormat="false" ht="15" hidden="false" customHeight="false" outlineLevel="0" collapsed="false">
      <c r="A51" s="5" t="s">
        <v>2055</v>
      </c>
      <c r="B51" s="8" t="s">
        <v>2056</v>
      </c>
      <c r="C51" s="8" t="s">
        <v>2057</v>
      </c>
      <c r="D51" s="8" t="s">
        <v>2058</v>
      </c>
      <c r="E51" s="8" t="s">
        <v>2059</v>
      </c>
    </row>
    <row r="52" customFormat="false" ht="15" hidden="false" customHeight="false" outlineLevel="0" collapsed="false">
      <c r="A52" s="5" t="s">
        <v>2060</v>
      </c>
      <c r="B52" s="8" t="s">
        <v>2061</v>
      </c>
      <c r="C52" s="8" t="s">
        <v>2057</v>
      </c>
      <c r="D52" s="8" t="s">
        <v>2058</v>
      </c>
      <c r="E52" s="8" t="s">
        <v>2059</v>
      </c>
    </row>
    <row r="53" customFormat="false" ht="15" hidden="false" customHeight="false" outlineLevel="0" collapsed="false">
      <c r="A53" s="5" t="s">
        <v>2062</v>
      </c>
      <c r="B53" s="8" t="s">
        <v>2063</v>
      </c>
      <c r="C53" s="8" t="s">
        <v>2057</v>
      </c>
      <c r="D53" s="8" t="s">
        <v>2058</v>
      </c>
      <c r="E53" s="8" t="s">
        <v>2064</v>
      </c>
    </row>
    <row r="54" customFormat="false" ht="15" hidden="false" customHeight="false" outlineLevel="0" collapsed="false">
      <c r="A54" s="5" t="s">
        <v>2065</v>
      </c>
      <c r="B54" s="8" t="s">
        <v>2066</v>
      </c>
      <c r="C54" s="8" t="s">
        <v>2057</v>
      </c>
      <c r="D54" s="8" t="s">
        <v>2058</v>
      </c>
      <c r="E54" s="8" t="s">
        <v>2064</v>
      </c>
    </row>
    <row r="55" customFormat="false" ht="15" hidden="false" customHeight="false" outlineLevel="0" collapsed="false">
      <c r="A55" s="5" t="s">
        <v>2067</v>
      </c>
      <c r="B55" s="8" t="s">
        <v>2068</v>
      </c>
      <c r="C55" s="8" t="s">
        <v>2057</v>
      </c>
      <c r="D55" s="8" t="s">
        <v>2058</v>
      </c>
      <c r="E55" s="8" t="s">
        <v>2069</v>
      </c>
    </row>
    <row r="56" customFormat="false" ht="15" hidden="false" customHeight="false" outlineLevel="0" collapsed="false">
      <c r="A56" s="5" t="s">
        <v>2070</v>
      </c>
      <c r="B56" s="8" t="s">
        <v>2071</v>
      </c>
      <c r="C56" s="8" t="s">
        <v>2057</v>
      </c>
      <c r="D56" s="8" t="s">
        <v>2058</v>
      </c>
      <c r="E56" s="8" t="s">
        <v>2069</v>
      </c>
    </row>
    <row r="57" customFormat="false" ht="15" hidden="false" customHeight="false" outlineLevel="0" collapsed="false">
      <c r="A57" s="5" t="s">
        <v>2072</v>
      </c>
      <c r="B57" s="8" t="s">
        <v>2073</v>
      </c>
      <c r="C57" s="8" t="s">
        <v>255</v>
      </c>
      <c r="D57" s="8" t="s">
        <v>2074</v>
      </c>
      <c r="E57" s="8" t="s">
        <v>1449</v>
      </c>
    </row>
    <row r="58" customFormat="false" ht="15" hidden="false" customHeight="false" outlineLevel="0" collapsed="false">
      <c r="A58" s="5" t="s">
        <v>2075</v>
      </c>
      <c r="B58" s="8" t="s">
        <v>2076</v>
      </c>
      <c r="C58" s="8" t="s">
        <v>255</v>
      </c>
      <c r="D58" s="8" t="s">
        <v>2074</v>
      </c>
      <c r="E58" s="8" t="s">
        <v>1451</v>
      </c>
    </row>
    <row r="59" customFormat="false" ht="15" hidden="false" customHeight="false" outlineLevel="0" collapsed="false">
      <c r="A59" s="5" t="s">
        <v>2077</v>
      </c>
      <c r="B59" s="8" t="s">
        <v>1453</v>
      </c>
      <c r="C59" s="8" t="s">
        <v>255</v>
      </c>
      <c r="D59" s="8" t="s">
        <v>2078</v>
      </c>
      <c r="E59" s="8" t="s">
        <v>2079</v>
      </c>
    </row>
    <row r="60" customFormat="false" ht="15" hidden="false" customHeight="false" outlineLevel="0" collapsed="false">
      <c r="A60" s="5" t="s">
        <v>2080</v>
      </c>
      <c r="B60" s="8" t="s">
        <v>2081</v>
      </c>
      <c r="C60" s="8" t="s">
        <v>255</v>
      </c>
      <c r="D60" s="8" t="s">
        <v>2082</v>
      </c>
      <c r="E60" s="8" t="s">
        <v>2083</v>
      </c>
    </row>
    <row r="61" customFormat="false" ht="15" hidden="false" customHeight="false" outlineLevel="0" collapsed="false">
      <c r="A61" s="5" t="s">
        <v>2084</v>
      </c>
      <c r="B61" s="8" t="s">
        <v>2085</v>
      </c>
      <c r="C61" s="8" t="s">
        <v>255</v>
      </c>
      <c r="D61" s="8" t="s">
        <v>2074</v>
      </c>
      <c r="E61" s="8" t="s">
        <v>2086</v>
      </c>
    </row>
    <row r="62" customFormat="false" ht="15" hidden="false" customHeight="false" outlineLevel="0" collapsed="false">
      <c r="A62" s="5" t="s">
        <v>2087</v>
      </c>
      <c r="B62" s="8" t="s">
        <v>2088</v>
      </c>
      <c r="C62" s="8" t="s">
        <v>255</v>
      </c>
      <c r="D62" s="8" t="s">
        <v>2074</v>
      </c>
      <c r="E62" s="8" t="s">
        <v>2086</v>
      </c>
    </row>
    <row r="63" customFormat="false" ht="15" hidden="false" customHeight="false" outlineLevel="0" collapsed="false">
      <c r="A63" s="5" t="s">
        <v>995</v>
      </c>
      <c r="B63" s="8" t="s">
        <v>1074</v>
      </c>
      <c r="C63" s="8" t="s">
        <v>255</v>
      </c>
      <c r="D63" s="8" t="s">
        <v>2074</v>
      </c>
      <c r="E63" s="8" t="s">
        <v>2086</v>
      </c>
    </row>
    <row r="64" customFormat="false" ht="15" hidden="false" customHeight="false" outlineLevel="0" collapsed="false">
      <c r="A64" s="5" t="s">
        <v>2089</v>
      </c>
      <c r="B64" s="8" t="s">
        <v>1459</v>
      </c>
      <c r="C64" s="8" t="s">
        <v>255</v>
      </c>
      <c r="D64" s="8" t="s">
        <v>2074</v>
      </c>
      <c r="E64" s="8" t="s">
        <v>2086</v>
      </c>
    </row>
    <row r="65" customFormat="false" ht="15" hidden="false" customHeight="false" outlineLevel="0" collapsed="false">
      <c r="A65" s="5" t="s">
        <v>998</v>
      </c>
      <c r="B65" s="8" t="s">
        <v>1461</v>
      </c>
      <c r="C65" s="8" t="s">
        <v>255</v>
      </c>
      <c r="D65" s="8" t="s">
        <v>2074</v>
      </c>
      <c r="E65" s="8" t="s">
        <v>2086</v>
      </c>
    </row>
    <row r="66" customFormat="false" ht="15" hidden="false" customHeight="false" outlineLevel="0" collapsed="false">
      <c r="A66" s="5" t="s">
        <v>1000</v>
      </c>
      <c r="B66" s="8" t="s">
        <v>1001</v>
      </c>
      <c r="C66" s="8" t="s">
        <v>255</v>
      </c>
      <c r="D66" s="8" t="s">
        <v>2074</v>
      </c>
      <c r="E66" s="8" t="s">
        <v>2086</v>
      </c>
    </row>
    <row r="67" customFormat="false" ht="15" hidden="false" customHeight="false" outlineLevel="0" collapsed="false">
      <c r="A67" s="5" t="s">
        <v>2090</v>
      </c>
      <c r="B67" s="8" t="s">
        <v>2091</v>
      </c>
      <c r="C67" s="8" t="s">
        <v>255</v>
      </c>
      <c r="D67" s="8" t="s">
        <v>2074</v>
      </c>
      <c r="E67" s="8" t="s">
        <v>1849</v>
      </c>
    </row>
    <row r="68" customFormat="false" ht="15" hidden="false" customHeight="false" outlineLevel="0" collapsed="false">
      <c r="A68" s="5" t="s">
        <v>2092</v>
      </c>
      <c r="B68" s="8" t="s">
        <v>2093</v>
      </c>
      <c r="C68" s="8" t="s">
        <v>255</v>
      </c>
      <c r="D68" s="8" t="s">
        <v>2082</v>
      </c>
      <c r="E68" s="8" t="s">
        <v>18</v>
      </c>
    </row>
    <row r="69" customFormat="false" ht="15" hidden="false" customHeight="false" outlineLevel="0" collapsed="false">
      <c r="A69" s="5" t="s">
        <v>2094</v>
      </c>
      <c r="B69" s="8" t="s">
        <v>2095</v>
      </c>
      <c r="C69" s="8" t="s">
        <v>255</v>
      </c>
      <c r="D69" s="8" t="s">
        <v>2096</v>
      </c>
      <c r="E69" s="8" t="s">
        <v>14</v>
      </c>
    </row>
    <row r="70" customFormat="false" ht="15" hidden="false" customHeight="false" outlineLevel="0" collapsed="false">
      <c r="A70" s="5" t="s">
        <v>2097</v>
      </c>
      <c r="B70" s="8" t="s">
        <v>2098</v>
      </c>
      <c r="C70" s="8" t="s">
        <v>255</v>
      </c>
      <c r="D70" s="8" t="s">
        <v>2096</v>
      </c>
      <c r="E70" s="8" t="s">
        <v>14</v>
      </c>
    </row>
    <row r="71" customFormat="false" ht="15" hidden="false" customHeight="false" outlineLevel="0" collapsed="false">
      <c r="A71" s="5" t="s">
        <v>2099</v>
      </c>
      <c r="B71" s="8" t="s">
        <v>2100</v>
      </c>
      <c r="C71" s="8" t="s">
        <v>255</v>
      </c>
      <c r="D71" s="8" t="s">
        <v>2096</v>
      </c>
      <c r="E71" s="8" t="s">
        <v>14</v>
      </c>
    </row>
    <row r="72" customFormat="false" ht="15" hidden="false" customHeight="false" outlineLevel="0" collapsed="false">
      <c r="A72" s="5" t="s">
        <v>965</v>
      </c>
      <c r="B72" s="8" t="s">
        <v>966</v>
      </c>
      <c r="C72" s="8" t="s">
        <v>255</v>
      </c>
      <c r="D72" s="8" t="s">
        <v>2074</v>
      </c>
      <c r="E72" s="8" t="s">
        <v>2101</v>
      </c>
    </row>
    <row r="73" customFormat="false" ht="15" hidden="false" customHeight="false" outlineLevel="0" collapsed="false">
      <c r="A73" s="5" t="s">
        <v>972</v>
      </c>
      <c r="B73" s="8" t="s">
        <v>2102</v>
      </c>
      <c r="C73" s="8" t="s">
        <v>255</v>
      </c>
      <c r="D73" s="8" t="s">
        <v>2074</v>
      </c>
      <c r="E73" s="8" t="s">
        <v>2101</v>
      </c>
    </row>
    <row r="74" customFormat="false" ht="15" hidden="false" customHeight="false" outlineLevel="0" collapsed="false">
      <c r="A74" s="5" t="s">
        <v>2103</v>
      </c>
      <c r="B74" s="8" t="s">
        <v>2104</v>
      </c>
      <c r="C74" s="8" t="s">
        <v>255</v>
      </c>
      <c r="D74" s="8" t="s">
        <v>2074</v>
      </c>
      <c r="E74" s="8" t="s">
        <v>2101</v>
      </c>
    </row>
    <row r="75" customFormat="false" ht="15" hidden="false" customHeight="false" outlineLevel="0" collapsed="false">
      <c r="A75" s="5" t="s">
        <v>1002</v>
      </c>
      <c r="B75" s="8" t="s">
        <v>1003</v>
      </c>
      <c r="C75" s="8" t="s">
        <v>255</v>
      </c>
      <c r="D75" s="8" t="s">
        <v>2074</v>
      </c>
      <c r="E75" s="8" t="s">
        <v>2105</v>
      </c>
    </row>
    <row r="76" customFormat="false" ht="15" hidden="false" customHeight="false" outlineLevel="0" collapsed="false">
      <c r="A76" s="5" t="s">
        <v>2106</v>
      </c>
      <c r="B76" s="8" t="s">
        <v>310</v>
      </c>
      <c r="C76" s="8" t="s">
        <v>255</v>
      </c>
      <c r="D76" s="8" t="s">
        <v>2074</v>
      </c>
      <c r="E76" s="8" t="s">
        <v>2105</v>
      </c>
    </row>
    <row r="77" customFormat="false" ht="15" hidden="false" customHeight="false" outlineLevel="0" collapsed="false">
      <c r="A77" s="5" t="s">
        <v>2107</v>
      </c>
      <c r="B77" s="8" t="s">
        <v>1100</v>
      </c>
      <c r="C77" s="8" t="s">
        <v>255</v>
      </c>
      <c r="D77" s="8" t="s">
        <v>2074</v>
      </c>
      <c r="E77" s="8" t="s">
        <v>2105</v>
      </c>
    </row>
    <row r="78" customFormat="false" ht="15" hidden="false" customHeight="false" outlineLevel="0" collapsed="false">
      <c r="A78" s="5" t="s">
        <v>1004</v>
      </c>
      <c r="B78" s="8" t="s">
        <v>1108</v>
      </c>
      <c r="C78" s="8" t="s">
        <v>255</v>
      </c>
      <c r="D78" s="8" t="s">
        <v>2074</v>
      </c>
      <c r="E78" s="8" t="s">
        <v>927</v>
      </c>
    </row>
    <row r="79" customFormat="false" ht="15" hidden="false" customHeight="false" outlineLevel="0" collapsed="false">
      <c r="A79" s="5" t="s">
        <v>1006</v>
      </c>
      <c r="B79" s="8" t="s">
        <v>301</v>
      </c>
      <c r="C79" s="8" t="s">
        <v>255</v>
      </c>
      <c r="D79" s="8" t="s">
        <v>2074</v>
      </c>
      <c r="E79" s="8" t="s">
        <v>927</v>
      </c>
    </row>
    <row r="80" customFormat="false" ht="15" hidden="false" customHeight="false" outlineLevel="0" collapsed="false">
      <c r="A80" s="5" t="s">
        <v>976</v>
      </c>
      <c r="B80" s="8" t="s">
        <v>2108</v>
      </c>
      <c r="C80" s="8" t="s">
        <v>255</v>
      </c>
      <c r="D80" s="8" t="s">
        <v>2074</v>
      </c>
      <c r="E80" s="8" t="s">
        <v>927</v>
      </c>
    </row>
    <row r="81" customFormat="false" ht="15" hidden="false" customHeight="false" outlineLevel="0" collapsed="false">
      <c r="A81" s="5" t="s">
        <v>981</v>
      </c>
      <c r="B81" s="8" t="s">
        <v>2109</v>
      </c>
      <c r="C81" s="8" t="s">
        <v>255</v>
      </c>
      <c r="D81" s="8" t="s">
        <v>2074</v>
      </c>
      <c r="E81" s="8" t="s">
        <v>927</v>
      </c>
    </row>
    <row r="82" customFormat="false" ht="15" hidden="false" customHeight="false" outlineLevel="0" collapsed="false">
      <c r="A82" s="5" t="s">
        <v>984</v>
      </c>
      <c r="B82" s="8" t="s">
        <v>2110</v>
      </c>
      <c r="C82" s="8" t="s">
        <v>255</v>
      </c>
      <c r="D82" s="8" t="s">
        <v>2074</v>
      </c>
      <c r="E82" s="8" t="s">
        <v>927</v>
      </c>
    </row>
    <row r="83" customFormat="false" ht="15" hidden="false" customHeight="false" outlineLevel="0" collapsed="false">
      <c r="A83" s="5" t="s">
        <v>987</v>
      </c>
      <c r="B83" s="8" t="s">
        <v>988</v>
      </c>
      <c r="C83" s="8" t="s">
        <v>255</v>
      </c>
      <c r="D83" s="8" t="s">
        <v>2074</v>
      </c>
      <c r="E83" s="8" t="s">
        <v>927</v>
      </c>
    </row>
    <row r="84" customFormat="false" ht="15" hidden="false" customHeight="false" outlineLevel="0" collapsed="false">
      <c r="A84" s="5" t="s">
        <v>989</v>
      </c>
      <c r="B84" s="8" t="s">
        <v>990</v>
      </c>
      <c r="C84" s="8" t="s">
        <v>255</v>
      </c>
      <c r="D84" s="8" t="s">
        <v>2074</v>
      </c>
      <c r="E84" s="8" t="s">
        <v>927</v>
      </c>
    </row>
    <row r="85" customFormat="false" ht="15" hidden="false" customHeight="false" outlineLevel="0" collapsed="false">
      <c r="A85" s="5" t="s">
        <v>2111</v>
      </c>
      <c r="B85" s="8" t="s">
        <v>2112</v>
      </c>
      <c r="C85" s="8" t="s">
        <v>255</v>
      </c>
      <c r="D85" s="8" t="s">
        <v>2074</v>
      </c>
      <c r="E85" s="8" t="s">
        <v>927</v>
      </c>
    </row>
    <row r="86" customFormat="false" ht="15" hidden="false" customHeight="false" outlineLevel="0" collapsed="false">
      <c r="A86" s="5" t="s">
        <v>2113</v>
      </c>
      <c r="B86" s="8" t="s">
        <v>2114</v>
      </c>
      <c r="C86" s="8" t="s">
        <v>255</v>
      </c>
      <c r="D86" s="8" t="s">
        <v>2074</v>
      </c>
      <c r="E86" s="8" t="s">
        <v>2115</v>
      </c>
    </row>
    <row r="87" customFormat="false" ht="15" hidden="false" customHeight="false" outlineLevel="0" collapsed="false">
      <c r="A87" s="5" t="s">
        <v>2116</v>
      </c>
      <c r="B87" s="8" t="s">
        <v>2117</v>
      </c>
      <c r="C87" s="8" t="s">
        <v>255</v>
      </c>
      <c r="D87" s="8" t="s">
        <v>2082</v>
      </c>
      <c r="E87" s="8" t="s">
        <v>18</v>
      </c>
    </row>
    <row r="88" customFormat="false" ht="15" hidden="false" customHeight="false" outlineLevel="0" collapsed="false">
      <c r="A88" s="5" t="s">
        <v>2118</v>
      </c>
      <c r="B88" s="8" t="s">
        <v>2119</v>
      </c>
      <c r="C88" s="8" t="s">
        <v>255</v>
      </c>
      <c r="D88" s="8" t="s">
        <v>2082</v>
      </c>
      <c r="E88" s="8" t="s">
        <v>20</v>
      </c>
    </row>
    <row r="89" customFormat="false" ht="15" hidden="false" customHeight="false" outlineLevel="0" collapsed="false">
      <c r="A89" s="5" t="s">
        <v>2120</v>
      </c>
      <c r="B89" s="8" t="s">
        <v>2121</v>
      </c>
      <c r="C89" s="8" t="s">
        <v>255</v>
      </c>
      <c r="D89" s="8" t="s">
        <v>2074</v>
      </c>
      <c r="E89" s="8" t="s">
        <v>16</v>
      </c>
    </row>
    <row r="90" customFormat="false" ht="15" hidden="false" customHeight="false" outlineLevel="0" collapsed="false">
      <c r="A90" s="5" t="s">
        <v>2122</v>
      </c>
      <c r="B90" s="8" t="s">
        <v>2123</v>
      </c>
      <c r="C90" s="8" t="s">
        <v>255</v>
      </c>
      <c r="D90" s="8" t="s">
        <v>2082</v>
      </c>
      <c r="E90" s="8" t="s">
        <v>16</v>
      </c>
    </row>
    <row r="91" customFormat="false" ht="15" hidden="false" customHeight="false" outlineLevel="0" collapsed="false">
      <c r="A91" s="5" t="s">
        <v>2124</v>
      </c>
      <c r="B91" s="8" t="s">
        <v>2125</v>
      </c>
      <c r="C91" s="8" t="s">
        <v>255</v>
      </c>
      <c r="D91" s="8" t="s">
        <v>2082</v>
      </c>
      <c r="E91" s="8" t="s">
        <v>20</v>
      </c>
    </row>
    <row r="92" customFormat="false" ht="15" hidden="false" customHeight="false" outlineLevel="0" collapsed="false">
      <c r="A92" s="5" t="s">
        <v>2126</v>
      </c>
      <c r="B92" s="8" t="s">
        <v>2127</v>
      </c>
      <c r="C92" s="8" t="s">
        <v>255</v>
      </c>
      <c r="D92" s="8" t="s">
        <v>2082</v>
      </c>
      <c r="E92" s="8" t="s">
        <v>20</v>
      </c>
    </row>
    <row r="93" customFormat="false" ht="15" hidden="false" customHeight="false" outlineLevel="0" collapsed="false">
      <c r="A93" s="5" t="s">
        <v>2128</v>
      </c>
      <c r="B93" s="8" t="s">
        <v>2129</v>
      </c>
      <c r="C93" s="8" t="s">
        <v>255</v>
      </c>
      <c r="D93" s="8" t="s">
        <v>2082</v>
      </c>
      <c r="E93" s="8" t="s">
        <v>20</v>
      </c>
    </row>
    <row r="94" customFormat="false" ht="15" hidden="false" customHeight="false" outlineLevel="0" collapsed="false">
      <c r="A94" s="5" t="s">
        <v>2130</v>
      </c>
      <c r="B94" s="8" t="s">
        <v>2131</v>
      </c>
      <c r="C94" s="8" t="s">
        <v>255</v>
      </c>
      <c r="D94" s="8" t="s">
        <v>2082</v>
      </c>
      <c r="E94" s="8" t="s">
        <v>20</v>
      </c>
    </row>
    <row r="95" customFormat="false" ht="15" hidden="false" customHeight="false" outlineLevel="0" collapsed="false">
      <c r="A95" s="5" t="s">
        <v>2132</v>
      </c>
      <c r="B95" s="8" t="s">
        <v>2133</v>
      </c>
      <c r="C95" s="8" t="s">
        <v>255</v>
      </c>
      <c r="D95" s="8" t="s">
        <v>2082</v>
      </c>
      <c r="E95" s="8" t="s">
        <v>20</v>
      </c>
    </row>
    <row r="96" customFormat="false" ht="15" hidden="false" customHeight="false" outlineLevel="0" collapsed="false">
      <c r="A96" s="5" t="s">
        <v>2134</v>
      </c>
      <c r="B96" s="8" t="s">
        <v>2135</v>
      </c>
      <c r="C96" s="8" t="s">
        <v>255</v>
      </c>
      <c r="D96" s="8" t="s">
        <v>2082</v>
      </c>
      <c r="E96" s="8" t="s">
        <v>20</v>
      </c>
    </row>
    <row r="97" customFormat="false" ht="15" hidden="false" customHeight="false" outlineLevel="0" collapsed="false">
      <c r="A97" s="5" t="s">
        <v>2136</v>
      </c>
      <c r="B97" s="8" t="s">
        <v>1546</v>
      </c>
      <c r="C97" s="8" t="s">
        <v>255</v>
      </c>
      <c r="D97" s="8" t="s">
        <v>2082</v>
      </c>
      <c r="E97" s="8" t="s">
        <v>2137</v>
      </c>
    </row>
    <row r="98" customFormat="false" ht="15" hidden="false" customHeight="false" outlineLevel="0" collapsed="false">
      <c r="A98" s="5" t="s">
        <v>2138</v>
      </c>
      <c r="B98" s="8" t="s">
        <v>1837</v>
      </c>
      <c r="C98" s="8" t="s">
        <v>255</v>
      </c>
      <c r="D98" s="8" t="s">
        <v>2082</v>
      </c>
      <c r="E98" s="8" t="s">
        <v>2139</v>
      </c>
    </row>
    <row r="100" customFormat="false" ht="15" hidden="false" customHeight="false" outlineLevel="0" collapsed="false">
      <c r="A100" s="3" t="s">
        <v>2140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customFormat="false" ht="15" hidden="false" customHeight="false" outlineLevel="0" collapsed="false">
      <c r="A101" s="10" t="s">
        <v>694</v>
      </c>
      <c r="B101" s="10" t="s">
        <v>2141</v>
      </c>
      <c r="C101" s="10" t="s">
        <v>153</v>
      </c>
      <c r="D101" s="10" t="s">
        <v>811</v>
      </c>
      <c r="E101" s="10" t="s">
        <v>406</v>
      </c>
      <c r="F101" s="10" t="s">
        <v>2142</v>
      </c>
    </row>
    <row r="102" customFormat="false" ht="15" hidden="false" customHeight="false" outlineLevel="0" collapsed="false">
      <c r="A102" s="31" t="n">
        <v>1</v>
      </c>
      <c r="B102" s="8" t="s">
        <v>2143</v>
      </c>
      <c r="C102" s="87" t="s">
        <v>76</v>
      </c>
      <c r="D102" s="88"/>
      <c r="E102" s="69"/>
      <c r="F102" s="8" t="s">
        <v>2144</v>
      </c>
    </row>
    <row r="103" customFormat="false" ht="15" hidden="false" customHeight="false" outlineLevel="0" collapsed="false">
      <c r="A103" s="31" t="n">
        <v>2</v>
      </c>
      <c r="B103" s="8" t="s">
        <v>2145</v>
      </c>
      <c r="C103" s="87" t="s">
        <v>76</v>
      </c>
      <c r="D103" s="88"/>
      <c r="E103" s="69"/>
      <c r="F103" s="8" t="s">
        <v>2146</v>
      </c>
    </row>
    <row r="104" customFormat="false" ht="15" hidden="false" customHeight="false" outlineLevel="0" collapsed="false">
      <c r="A104" s="31" t="n">
        <v>3</v>
      </c>
      <c r="B104" s="8" t="s">
        <v>2147</v>
      </c>
      <c r="C104" s="87" t="s">
        <v>76</v>
      </c>
      <c r="D104" s="88"/>
      <c r="E104" s="69"/>
      <c r="F104" s="8" t="s">
        <v>2148</v>
      </c>
    </row>
    <row r="105" customFormat="false" ht="15" hidden="false" customHeight="false" outlineLevel="0" collapsed="false">
      <c r="A105" s="31" t="n">
        <v>4</v>
      </c>
      <c r="B105" s="8" t="s">
        <v>2149</v>
      </c>
      <c r="C105" s="87" t="s">
        <v>76</v>
      </c>
      <c r="D105" s="88"/>
      <c r="E105" s="69"/>
      <c r="F105" s="8" t="s">
        <v>2150</v>
      </c>
    </row>
    <row r="106" customFormat="false" ht="15" hidden="false" customHeight="false" outlineLevel="0" collapsed="false">
      <c r="A106" s="31" t="n">
        <v>5</v>
      </c>
      <c r="B106" s="8" t="s">
        <v>2151</v>
      </c>
      <c r="C106" s="87" t="s">
        <v>76</v>
      </c>
      <c r="D106" s="88"/>
      <c r="E106" s="69"/>
      <c r="F106" s="8" t="s">
        <v>2152</v>
      </c>
    </row>
    <row r="107" customFormat="false" ht="15" hidden="false" customHeight="false" outlineLevel="0" collapsed="false">
      <c r="A107" s="31" t="n">
        <v>6</v>
      </c>
      <c r="B107" s="8" t="s">
        <v>2153</v>
      </c>
      <c r="C107" s="87" t="s">
        <v>76</v>
      </c>
      <c r="D107" s="88"/>
      <c r="E107" s="69"/>
      <c r="F107" s="8" t="s">
        <v>2154</v>
      </c>
    </row>
    <row r="108" customFormat="false" ht="15" hidden="false" customHeight="false" outlineLevel="0" collapsed="false">
      <c r="A108" s="31" t="n">
        <v>7</v>
      </c>
      <c r="B108" s="8" t="s">
        <v>2155</v>
      </c>
      <c r="C108" s="87" t="s">
        <v>76</v>
      </c>
      <c r="D108" s="88"/>
      <c r="E108" s="69"/>
      <c r="F108" s="8" t="s">
        <v>2156</v>
      </c>
    </row>
    <row r="109" customFormat="false" ht="15" hidden="false" customHeight="false" outlineLevel="0" collapsed="false">
      <c r="A109" s="31" t="n">
        <v>8</v>
      </c>
      <c r="B109" s="8" t="s">
        <v>2157</v>
      </c>
      <c r="C109" s="87" t="s">
        <v>76</v>
      </c>
      <c r="D109" s="88"/>
      <c r="E109" s="69"/>
      <c r="F109" s="8" t="s">
        <v>2158</v>
      </c>
    </row>
    <row r="110" customFormat="false" ht="15" hidden="false" customHeight="false" outlineLevel="0" collapsed="false">
      <c r="A110" s="31" t="n">
        <v>9</v>
      </c>
      <c r="B110" s="8" t="s">
        <v>2159</v>
      </c>
      <c r="C110" s="87" t="s">
        <v>76</v>
      </c>
      <c r="D110" s="88"/>
      <c r="E110" s="69"/>
      <c r="F110" s="8" t="s">
        <v>2160</v>
      </c>
    </row>
    <row r="111" customFormat="false" ht="15" hidden="false" customHeight="false" outlineLevel="0" collapsed="false">
      <c r="A111" s="31" t="n">
        <v>10</v>
      </c>
      <c r="B111" s="8" t="s">
        <v>2161</v>
      </c>
      <c r="C111" s="87" t="s">
        <v>76</v>
      </c>
      <c r="D111" s="88"/>
      <c r="E111" s="69"/>
      <c r="F111" s="8" t="s">
        <v>2162</v>
      </c>
    </row>
    <row r="113" customFormat="false" ht="15" hidden="false" customHeight="false" outlineLevel="0" collapsed="false">
      <c r="A113" s="3" t="s">
        <v>2163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customFormat="false" ht="15" hidden="false" customHeight="false" outlineLevel="0" collapsed="false">
      <c r="A114" s="10" t="s">
        <v>694</v>
      </c>
      <c r="B114" s="10" t="s">
        <v>2164</v>
      </c>
      <c r="C114" s="10" t="s">
        <v>2165</v>
      </c>
      <c r="D114" s="10"/>
      <c r="E114" s="10"/>
      <c r="F114" s="10" t="s">
        <v>2166</v>
      </c>
    </row>
    <row r="115" customFormat="false" ht="15" hidden="false" customHeight="false" outlineLevel="0" collapsed="false">
      <c r="A115" s="31" t="n">
        <v>1</v>
      </c>
      <c r="B115" s="8" t="s">
        <v>2167</v>
      </c>
      <c r="C115" s="31" t="n">
        <f aca="false">IF(ISNUMBER(r_Corte),1,0)</f>
        <v>0</v>
      </c>
      <c r="F115" s="8" t="s">
        <v>2168</v>
      </c>
    </row>
    <row r="116" customFormat="false" ht="15" hidden="false" customHeight="false" outlineLevel="0" collapsed="false">
      <c r="A116" s="31" t="n">
        <v>2</v>
      </c>
      <c r="B116" s="8" t="s">
        <v>2169</v>
      </c>
      <c r="C116" s="31" t="n">
        <f aca="false">IF(ISNUMBER(r_Arranque),1,0)</f>
        <v>0</v>
      </c>
      <c r="F116" s="8" t="s">
        <v>2168</v>
      </c>
    </row>
    <row r="117" customFormat="false" ht="15" hidden="false" customHeight="false" outlineLevel="0" collapsed="false">
      <c r="A117" s="31" t="n">
        <v>3</v>
      </c>
      <c r="B117" s="8" t="s">
        <v>2170</v>
      </c>
      <c r="C117" s="31" t="n">
        <f aca="false">IF(ISNUMBER(p_FechaInicio),1,0)</f>
        <v>0</v>
      </c>
      <c r="F117" s="8" t="s">
        <v>2171</v>
      </c>
    </row>
    <row r="118" customFormat="false" ht="15" hidden="false" customHeight="false" outlineLevel="0" collapsed="false">
      <c r="A118" s="31" t="n">
        <v>4</v>
      </c>
      <c r="B118" s="8" t="s">
        <v>2172</v>
      </c>
      <c r="C118" s="31" t="n">
        <f aca="false">IF(AND(ISNUMBER(r_S_CAJA),ISNUMBER(r_S_CXC),ISNUMBER(r_S_PROVMAT),ISNUMBER(r_S_PROVMEN),ISNUMBER(r_S_INVMAT)),1,0)</f>
        <v>0</v>
      </c>
      <c r="F118" s="8" t="s">
        <v>2173</v>
      </c>
    </row>
    <row r="119" customFormat="false" ht="15" hidden="false" customHeight="false" outlineLevel="0" collapsed="false">
      <c r="A119" s="31" t="n">
        <v>5</v>
      </c>
      <c r="B119" s="8" t="s">
        <v>2174</v>
      </c>
      <c r="C119" s="31" t="n">
        <f aca="false">IF(ISNUMBER(r_S_DEUDA1),1,0)</f>
        <v>0</v>
      </c>
      <c r="F119" s="8" t="s">
        <v>2173</v>
      </c>
    </row>
    <row r="120" customFormat="false" ht="15" hidden="false" customHeight="false" outlineLevel="0" collapsed="false">
      <c r="A120" s="31" t="n">
        <v>6</v>
      </c>
      <c r="B120" s="8" t="s">
        <v>2175</v>
      </c>
      <c r="C120" s="31" t="n">
        <f aca="false">IF(COUNT(C31:E47)&gt;0,1,0)</f>
        <v>0</v>
      </c>
      <c r="F120" s="8" t="s">
        <v>2176</v>
      </c>
    </row>
    <row r="121" customFormat="false" ht="15" hidden="false" customHeight="false" outlineLevel="0" collapsed="false">
      <c r="A121" s="31" t="n">
        <v>7</v>
      </c>
      <c r="B121" s="8" t="s">
        <v>2177</v>
      </c>
      <c r="C121" s="31" t="n">
        <f aca="false">IF(COUNTIFS(dr_Cod,"&lt;&gt;",dr_Mes,"&gt;=0")&gt;0,1,0)</f>
        <v>0</v>
      </c>
      <c r="F121" s="8" t="s">
        <v>2178</v>
      </c>
    </row>
    <row r="122" customFormat="false" ht="15" hidden="false" customHeight="false" outlineLevel="0" collapsed="false">
      <c r="A122" s="31" t="n">
        <v>8</v>
      </c>
      <c r="B122" s="8" t="s">
        <v>2179</v>
      </c>
      <c r="C122" s="31" t="n">
        <f aca="false">IF(OR(C102="Validado",C102="Recibido"),1,0)</f>
        <v>0</v>
      </c>
      <c r="F122" s="8" t="s">
        <v>2180</v>
      </c>
    </row>
    <row r="123" customFormat="false" ht="15" hidden="false" customHeight="false" outlineLevel="0" collapsed="false">
      <c r="A123" s="31" t="n">
        <v>9</v>
      </c>
      <c r="B123" s="8" t="s">
        <v>2181</v>
      </c>
      <c r="C123" s="31" t="n">
        <f aca="false">IF(Supuestos!$E$147&lt;&gt;Supuestos!$D$147,1,0)</f>
        <v>0</v>
      </c>
      <c r="F123" s="8" t="s">
        <v>2182</v>
      </c>
    </row>
    <row r="124" customFormat="false" ht="15" hidden="false" customHeight="false" outlineLevel="0" collapsed="false">
      <c r="A124" s="31" t="n">
        <v>10</v>
      </c>
      <c r="B124" s="8" t="s">
        <v>2183</v>
      </c>
      <c r="C124" s="29" t="n">
        <v>0</v>
      </c>
      <c r="F124" s="8" t="s">
        <v>2184</v>
      </c>
    </row>
    <row r="125" customFormat="false" ht="15" hidden="false" customHeight="false" outlineLevel="0" collapsed="false">
      <c r="B125" s="5" t="s">
        <v>2185</v>
      </c>
      <c r="C125" s="5" t="str">
        <f aca="false">SUM(C115:C124)&amp;" de 10"</f>
        <v>0 de 10</v>
      </c>
    </row>
    <row r="126" customFormat="false" ht="15" hidden="false" customHeight="false" outlineLevel="0" collapsed="false">
      <c r="B126" s="8" t="s">
        <v>2186</v>
      </c>
      <c r="C126" s="31" t="n">
        <f aca="false">SUM(C115:C124)</f>
        <v>0</v>
      </c>
    </row>
    <row r="128" customFormat="false" ht="15" hidden="false" customHeight="false" outlineLevel="0" collapsed="false">
      <c r="A128" s="3" t="s">
        <v>2187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customFormat="false" ht="15" hidden="false" customHeight="false" outlineLevel="0" collapsed="false">
      <c r="A129" s="7" t="s">
        <v>2188</v>
      </c>
    </row>
    <row r="130" customFormat="false" ht="15" hidden="false" customHeight="false" outlineLevel="0" collapsed="false">
      <c r="A130" s="10" t="s">
        <v>2189</v>
      </c>
      <c r="B130" s="10" t="s">
        <v>738</v>
      </c>
      <c r="C130" s="10" t="s">
        <v>811</v>
      </c>
      <c r="D130" s="10" t="s">
        <v>2051</v>
      </c>
      <c r="E130" s="10" t="s">
        <v>2190</v>
      </c>
      <c r="F130" s="10" t="s">
        <v>2053</v>
      </c>
      <c r="G130" s="10" t="s">
        <v>37</v>
      </c>
      <c r="H130" s="10" t="s">
        <v>2023</v>
      </c>
      <c r="I130" s="10" t="s">
        <v>2058</v>
      </c>
      <c r="J130" s="10" t="s">
        <v>701</v>
      </c>
      <c r="K130" s="10" t="s">
        <v>2024</v>
      </c>
      <c r="L130" s="10" t="s">
        <v>406</v>
      </c>
      <c r="M130" s="10" t="s">
        <v>153</v>
      </c>
      <c r="N130" s="10" t="s">
        <v>2191</v>
      </c>
    </row>
    <row r="131" customFormat="false" ht="15" hidden="false" customHeight="false" outlineLevel="0" collapsed="false">
      <c r="A131" s="2" t="s">
        <v>2192</v>
      </c>
      <c r="B131" s="2" t="n">
        <v>3</v>
      </c>
      <c r="C131" s="2"/>
      <c r="D131" s="2" t="s">
        <v>2094</v>
      </c>
      <c r="E131" s="2"/>
      <c r="F131" s="2" t="s">
        <v>2096</v>
      </c>
      <c r="G131" s="2" t="s">
        <v>969</v>
      </c>
      <c r="H131" s="89" t="n">
        <v>1250000000</v>
      </c>
      <c r="I131" s="2"/>
      <c r="J131" s="2" t="n">
        <v>7300</v>
      </c>
      <c r="K131" s="89" t="n">
        <f aca="false">H131/J131</f>
        <v>171232.876712329</v>
      </c>
      <c r="L131" s="2" t="s">
        <v>2193</v>
      </c>
      <c r="M131" s="2" t="s">
        <v>2194</v>
      </c>
      <c r="N131" s="2" t="s">
        <v>2195</v>
      </c>
    </row>
    <row r="133" customFormat="false" ht="15" hidden="false" customHeight="false" outlineLevel="0" collapsed="false">
      <c r="A133" s="10" t="s">
        <v>2189</v>
      </c>
      <c r="B133" s="10" t="s">
        <v>738</v>
      </c>
      <c r="C133" s="10" t="s">
        <v>811</v>
      </c>
      <c r="D133" s="10" t="s">
        <v>2051</v>
      </c>
      <c r="E133" s="10" t="s">
        <v>2190</v>
      </c>
      <c r="F133" s="10" t="s">
        <v>2053</v>
      </c>
      <c r="G133" s="10" t="s">
        <v>37</v>
      </c>
      <c r="H133" s="10" t="s">
        <v>2023</v>
      </c>
      <c r="I133" s="10" t="s">
        <v>2058</v>
      </c>
      <c r="J133" s="10" t="s">
        <v>701</v>
      </c>
      <c r="K133" s="10" t="s">
        <v>2024</v>
      </c>
      <c r="L133" s="10" t="s">
        <v>406</v>
      </c>
      <c r="M133" s="10" t="s">
        <v>153</v>
      </c>
      <c r="N133" s="10" t="s">
        <v>2191</v>
      </c>
    </row>
    <row r="134" customFormat="false" ht="15" hidden="false" customHeight="false" outlineLevel="0" collapsed="false">
      <c r="A134" s="69"/>
      <c r="B134" s="29"/>
      <c r="C134" s="88"/>
      <c r="D134" s="69"/>
      <c r="E134" s="69"/>
      <c r="F134" s="69"/>
      <c r="G134" s="69"/>
      <c r="H134" s="55"/>
      <c r="I134" s="44"/>
      <c r="J134" s="44"/>
      <c r="K134" s="19" t="str">
        <f aca="false">IF(H134="","",IF(G134="PYG",IF(N(J134)=0,"FALTA TC",H134/J134),H134))</f>
        <v/>
      </c>
      <c r="L134" s="69"/>
      <c r="M134" s="69"/>
      <c r="N134" s="69"/>
    </row>
    <row r="135" customFormat="false" ht="15" hidden="false" customHeight="false" outlineLevel="0" collapsed="false">
      <c r="A135" s="69"/>
      <c r="B135" s="29"/>
      <c r="C135" s="88"/>
      <c r="D135" s="69"/>
      <c r="E135" s="69"/>
      <c r="F135" s="69"/>
      <c r="G135" s="69"/>
      <c r="H135" s="55"/>
      <c r="I135" s="44"/>
      <c r="J135" s="44"/>
      <c r="K135" s="19" t="str">
        <f aca="false">IF(H135="","",IF(G135="PYG",IF(N(J135)=0,"FALTA TC",H135/J135),H135))</f>
        <v/>
      </c>
      <c r="L135" s="69"/>
      <c r="M135" s="69"/>
      <c r="N135" s="69"/>
    </row>
    <row r="136" customFormat="false" ht="15" hidden="false" customHeight="false" outlineLevel="0" collapsed="false">
      <c r="A136" s="69"/>
      <c r="B136" s="29"/>
      <c r="C136" s="88"/>
      <c r="D136" s="69"/>
      <c r="E136" s="69"/>
      <c r="F136" s="69"/>
      <c r="G136" s="69"/>
      <c r="H136" s="55"/>
      <c r="I136" s="44"/>
      <c r="J136" s="44"/>
      <c r="K136" s="19" t="str">
        <f aca="false">IF(H136="","",IF(G136="PYG",IF(N(J136)=0,"FALTA TC",H136/J136),H136))</f>
        <v/>
      </c>
      <c r="L136" s="69"/>
      <c r="M136" s="69"/>
      <c r="N136" s="69"/>
    </row>
    <row r="137" customFormat="false" ht="15" hidden="false" customHeight="false" outlineLevel="0" collapsed="false">
      <c r="A137" s="69"/>
      <c r="B137" s="29"/>
      <c r="C137" s="88"/>
      <c r="D137" s="69"/>
      <c r="E137" s="69"/>
      <c r="F137" s="69"/>
      <c r="G137" s="69"/>
      <c r="H137" s="55"/>
      <c r="I137" s="44"/>
      <c r="J137" s="44"/>
      <c r="K137" s="19" t="str">
        <f aca="false">IF(H137="","",IF(G137="PYG",IF(N(J137)=0,"FALTA TC",H137/J137),H137))</f>
        <v/>
      </c>
      <c r="L137" s="69"/>
      <c r="M137" s="69"/>
      <c r="N137" s="69"/>
    </row>
    <row r="138" customFormat="false" ht="15" hidden="false" customHeight="false" outlineLevel="0" collapsed="false">
      <c r="A138" s="69"/>
      <c r="B138" s="29"/>
      <c r="C138" s="88"/>
      <c r="D138" s="69"/>
      <c r="E138" s="69"/>
      <c r="F138" s="69"/>
      <c r="G138" s="69"/>
      <c r="H138" s="55"/>
      <c r="I138" s="44"/>
      <c r="J138" s="44"/>
      <c r="K138" s="19" t="str">
        <f aca="false">IF(H138="","",IF(G138="PYG",IF(N(J138)=0,"FALTA TC",H138/J138),H138))</f>
        <v/>
      </c>
      <c r="L138" s="69"/>
      <c r="M138" s="69"/>
      <c r="N138" s="69"/>
    </row>
    <row r="139" customFormat="false" ht="15" hidden="false" customHeight="false" outlineLevel="0" collapsed="false">
      <c r="A139" s="69"/>
      <c r="B139" s="29"/>
      <c r="C139" s="88"/>
      <c r="D139" s="69"/>
      <c r="E139" s="69"/>
      <c r="F139" s="69"/>
      <c r="G139" s="69"/>
      <c r="H139" s="55"/>
      <c r="I139" s="44"/>
      <c r="J139" s="44"/>
      <c r="K139" s="19" t="str">
        <f aca="false">IF(H139="","",IF(G139="PYG",IF(N(J139)=0,"FALTA TC",H139/J139),H139))</f>
        <v/>
      </c>
      <c r="L139" s="69"/>
      <c r="M139" s="69"/>
      <c r="N139" s="69"/>
    </row>
    <row r="140" customFormat="false" ht="15" hidden="false" customHeight="false" outlineLevel="0" collapsed="false">
      <c r="A140" s="69"/>
      <c r="B140" s="29"/>
      <c r="C140" s="88"/>
      <c r="D140" s="69"/>
      <c r="E140" s="69"/>
      <c r="F140" s="69"/>
      <c r="G140" s="69"/>
      <c r="H140" s="55"/>
      <c r="I140" s="44"/>
      <c r="J140" s="44"/>
      <c r="K140" s="19" t="str">
        <f aca="false">IF(H140="","",IF(G140="PYG",IF(N(J140)=0,"FALTA TC",H140/J140),H140))</f>
        <v/>
      </c>
      <c r="L140" s="69"/>
      <c r="M140" s="69"/>
      <c r="N140" s="69"/>
    </row>
    <row r="141" customFormat="false" ht="15" hidden="false" customHeight="false" outlineLevel="0" collapsed="false">
      <c r="A141" s="69"/>
      <c r="B141" s="29"/>
      <c r="C141" s="88"/>
      <c r="D141" s="69"/>
      <c r="E141" s="69"/>
      <c r="F141" s="69"/>
      <c r="G141" s="69"/>
      <c r="H141" s="55"/>
      <c r="I141" s="44"/>
      <c r="J141" s="44"/>
      <c r="K141" s="19" t="str">
        <f aca="false">IF(H141="","",IF(G141="PYG",IF(N(J141)=0,"FALTA TC",H141/J141),H141))</f>
        <v/>
      </c>
      <c r="L141" s="69"/>
      <c r="M141" s="69"/>
      <c r="N141" s="69"/>
    </row>
    <row r="142" customFormat="false" ht="15" hidden="false" customHeight="false" outlineLevel="0" collapsed="false">
      <c r="A142" s="69"/>
      <c r="B142" s="29"/>
      <c r="C142" s="88"/>
      <c r="D142" s="69"/>
      <c r="E142" s="69"/>
      <c r="F142" s="69"/>
      <c r="G142" s="69"/>
      <c r="H142" s="55"/>
      <c r="I142" s="44"/>
      <c r="J142" s="44"/>
      <c r="K142" s="19" t="str">
        <f aca="false">IF(H142="","",IF(G142="PYG",IF(N(J142)=0,"FALTA TC",H142/J142),H142))</f>
        <v/>
      </c>
      <c r="L142" s="69"/>
      <c r="M142" s="69"/>
      <c r="N142" s="69"/>
    </row>
    <row r="143" customFormat="false" ht="15" hidden="false" customHeight="false" outlineLevel="0" collapsed="false">
      <c r="A143" s="69"/>
      <c r="B143" s="29"/>
      <c r="C143" s="88"/>
      <c r="D143" s="69"/>
      <c r="E143" s="69"/>
      <c r="F143" s="69"/>
      <c r="G143" s="69"/>
      <c r="H143" s="55"/>
      <c r="I143" s="44"/>
      <c r="J143" s="44"/>
      <c r="K143" s="19" t="str">
        <f aca="false">IF(H143="","",IF(G143="PYG",IF(N(J143)=0,"FALTA TC",H143/J143),H143))</f>
        <v/>
      </c>
      <c r="L143" s="69"/>
      <c r="M143" s="69"/>
      <c r="N143" s="69"/>
    </row>
    <row r="144" customFormat="false" ht="15" hidden="false" customHeight="false" outlineLevel="0" collapsed="false">
      <c r="A144" s="69"/>
      <c r="B144" s="29"/>
      <c r="C144" s="88"/>
      <c r="D144" s="69"/>
      <c r="E144" s="69"/>
      <c r="F144" s="69"/>
      <c r="G144" s="69"/>
      <c r="H144" s="55"/>
      <c r="I144" s="44"/>
      <c r="J144" s="44"/>
      <c r="K144" s="19" t="str">
        <f aca="false">IF(H144="","",IF(G144="PYG",IF(N(J144)=0,"FALTA TC",H144/J144),H144))</f>
        <v/>
      </c>
      <c r="L144" s="69"/>
      <c r="M144" s="69"/>
      <c r="N144" s="69"/>
    </row>
    <row r="145" customFormat="false" ht="15" hidden="false" customHeight="false" outlineLevel="0" collapsed="false">
      <c r="A145" s="69"/>
      <c r="B145" s="29"/>
      <c r="C145" s="88"/>
      <c r="D145" s="69"/>
      <c r="E145" s="69"/>
      <c r="F145" s="69"/>
      <c r="G145" s="69"/>
      <c r="H145" s="55"/>
      <c r="I145" s="44"/>
      <c r="J145" s="44"/>
      <c r="K145" s="19" t="str">
        <f aca="false">IF(H145="","",IF(G145="PYG",IF(N(J145)=0,"FALTA TC",H145/J145),H145))</f>
        <v/>
      </c>
      <c r="L145" s="69"/>
      <c r="M145" s="69"/>
      <c r="N145" s="69"/>
    </row>
    <row r="146" customFormat="false" ht="15" hidden="false" customHeight="false" outlineLevel="0" collapsed="false">
      <c r="A146" s="69"/>
      <c r="B146" s="29"/>
      <c r="C146" s="88"/>
      <c r="D146" s="69"/>
      <c r="E146" s="69"/>
      <c r="F146" s="69"/>
      <c r="G146" s="69"/>
      <c r="H146" s="55"/>
      <c r="I146" s="44"/>
      <c r="J146" s="44"/>
      <c r="K146" s="19" t="str">
        <f aca="false">IF(H146="","",IF(G146="PYG",IF(N(J146)=0,"FALTA TC",H146/J146),H146))</f>
        <v/>
      </c>
      <c r="L146" s="69"/>
      <c r="M146" s="69"/>
      <c r="N146" s="69"/>
    </row>
    <row r="147" customFormat="false" ht="15" hidden="false" customHeight="false" outlineLevel="0" collapsed="false">
      <c r="A147" s="69"/>
      <c r="B147" s="29"/>
      <c r="C147" s="88"/>
      <c r="D147" s="69"/>
      <c r="E147" s="69"/>
      <c r="F147" s="69"/>
      <c r="G147" s="69"/>
      <c r="H147" s="55"/>
      <c r="I147" s="44"/>
      <c r="J147" s="44"/>
      <c r="K147" s="19" t="str">
        <f aca="false">IF(H147="","",IF(G147="PYG",IF(N(J147)=0,"FALTA TC",H147/J147),H147))</f>
        <v/>
      </c>
      <c r="L147" s="69"/>
      <c r="M147" s="69"/>
      <c r="N147" s="69"/>
    </row>
    <row r="148" customFormat="false" ht="15" hidden="false" customHeight="false" outlineLevel="0" collapsed="false">
      <c r="A148" s="69"/>
      <c r="B148" s="29"/>
      <c r="C148" s="88"/>
      <c r="D148" s="69"/>
      <c r="E148" s="69"/>
      <c r="F148" s="69"/>
      <c r="G148" s="69"/>
      <c r="H148" s="55"/>
      <c r="I148" s="44"/>
      <c r="J148" s="44"/>
      <c r="K148" s="19" t="str">
        <f aca="false">IF(H148="","",IF(G148="PYG",IF(N(J148)=0,"FALTA TC",H148/J148),H148))</f>
        <v/>
      </c>
      <c r="L148" s="69"/>
      <c r="M148" s="69"/>
      <c r="N148" s="69"/>
    </row>
    <row r="149" customFormat="false" ht="15" hidden="false" customHeight="false" outlineLevel="0" collapsed="false">
      <c r="A149" s="69"/>
      <c r="B149" s="29"/>
      <c r="C149" s="88"/>
      <c r="D149" s="69"/>
      <c r="E149" s="69"/>
      <c r="F149" s="69"/>
      <c r="G149" s="69"/>
      <c r="H149" s="55"/>
      <c r="I149" s="44"/>
      <c r="J149" s="44"/>
      <c r="K149" s="19" t="str">
        <f aca="false">IF(H149="","",IF(G149="PYG",IF(N(J149)=0,"FALTA TC",H149/J149),H149))</f>
        <v/>
      </c>
      <c r="L149" s="69"/>
      <c r="M149" s="69"/>
      <c r="N149" s="69"/>
    </row>
    <row r="150" customFormat="false" ht="15" hidden="false" customHeight="false" outlineLevel="0" collapsed="false">
      <c r="A150" s="69"/>
      <c r="B150" s="29"/>
      <c r="C150" s="88"/>
      <c r="D150" s="69"/>
      <c r="E150" s="69"/>
      <c r="F150" s="69"/>
      <c r="G150" s="69"/>
      <c r="H150" s="55"/>
      <c r="I150" s="44"/>
      <c r="J150" s="44"/>
      <c r="K150" s="19" t="str">
        <f aca="false">IF(H150="","",IF(G150="PYG",IF(N(J150)=0,"FALTA TC",H150/J150),H150))</f>
        <v/>
      </c>
      <c r="L150" s="69"/>
      <c r="M150" s="69"/>
      <c r="N150" s="69"/>
    </row>
    <row r="151" customFormat="false" ht="15" hidden="false" customHeight="false" outlineLevel="0" collapsed="false">
      <c r="A151" s="69"/>
      <c r="B151" s="29"/>
      <c r="C151" s="88"/>
      <c r="D151" s="69"/>
      <c r="E151" s="69"/>
      <c r="F151" s="69"/>
      <c r="G151" s="69"/>
      <c r="H151" s="55"/>
      <c r="I151" s="44"/>
      <c r="J151" s="44"/>
      <c r="K151" s="19" t="str">
        <f aca="false">IF(H151="","",IF(G151="PYG",IF(N(J151)=0,"FALTA TC",H151/J151),H151))</f>
        <v/>
      </c>
      <c r="L151" s="69"/>
      <c r="M151" s="69"/>
      <c r="N151" s="69"/>
    </row>
    <row r="152" customFormat="false" ht="15" hidden="false" customHeight="false" outlineLevel="0" collapsed="false">
      <c r="A152" s="69"/>
      <c r="B152" s="29"/>
      <c r="C152" s="88"/>
      <c r="D152" s="69"/>
      <c r="E152" s="69"/>
      <c r="F152" s="69"/>
      <c r="G152" s="69"/>
      <c r="H152" s="55"/>
      <c r="I152" s="44"/>
      <c r="J152" s="44"/>
      <c r="K152" s="19" t="str">
        <f aca="false">IF(H152="","",IF(G152="PYG",IF(N(J152)=0,"FALTA TC",H152/J152),H152))</f>
        <v/>
      </c>
      <c r="L152" s="69"/>
      <c r="M152" s="69"/>
      <c r="N152" s="69"/>
    </row>
    <row r="153" customFormat="false" ht="15" hidden="false" customHeight="false" outlineLevel="0" collapsed="false">
      <c r="A153" s="69"/>
      <c r="B153" s="29"/>
      <c r="C153" s="88"/>
      <c r="D153" s="69"/>
      <c r="E153" s="69"/>
      <c r="F153" s="69"/>
      <c r="G153" s="69"/>
      <c r="H153" s="55"/>
      <c r="I153" s="44"/>
      <c r="J153" s="44"/>
      <c r="K153" s="19" t="str">
        <f aca="false">IF(H153="","",IF(G153="PYG",IF(N(J153)=0,"FALTA TC",H153/J153),H153))</f>
        <v/>
      </c>
      <c r="L153" s="69"/>
      <c r="M153" s="69"/>
      <c r="N153" s="69"/>
    </row>
    <row r="154" customFormat="false" ht="15" hidden="false" customHeight="false" outlineLevel="0" collapsed="false">
      <c r="A154" s="69"/>
      <c r="B154" s="29"/>
      <c r="C154" s="88"/>
      <c r="D154" s="69"/>
      <c r="E154" s="69"/>
      <c r="F154" s="69"/>
      <c r="G154" s="69"/>
      <c r="H154" s="55"/>
      <c r="I154" s="44"/>
      <c r="J154" s="44"/>
      <c r="K154" s="19" t="str">
        <f aca="false">IF(H154="","",IF(G154="PYG",IF(N(J154)=0,"FALTA TC",H154/J154),H154))</f>
        <v/>
      </c>
      <c r="L154" s="69"/>
      <c r="M154" s="69"/>
      <c r="N154" s="69"/>
    </row>
    <row r="155" customFormat="false" ht="15" hidden="false" customHeight="false" outlineLevel="0" collapsed="false">
      <c r="A155" s="69"/>
      <c r="B155" s="29"/>
      <c r="C155" s="88"/>
      <c r="D155" s="69"/>
      <c r="E155" s="69"/>
      <c r="F155" s="69"/>
      <c r="G155" s="69"/>
      <c r="H155" s="55"/>
      <c r="I155" s="44"/>
      <c r="J155" s="44"/>
      <c r="K155" s="19" t="str">
        <f aca="false">IF(H155="","",IF(G155="PYG",IF(N(J155)=0,"FALTA TC",H155/J155),H155))</f>
        <v/>
      </c>
      <c r="L155" s="69"/>
      <c r="M155" s="69"/>
      <c r="N155" s="69"/>
    </row>
    <row r="156" customFormat="false" ht="15" hidden="false" customHeight="false" outlineLevel="0" collapsed="false">
      <c r="A156" s="69"/>
      <c r="B156" s="29"/>
      <c r="C156" s="88"/>
      <c r="D156" s="69"/>
      <c r="E156" s="69"/>
      <c r="F156" s="69"/>
      <c r="G156" s="69"/>
      <c r="H156" s="55"/>
      <c r="I156" s="44"/>
      <c r="J156" s="44"/>
      <c r="K156" s="19" t="str">
        <f aca="false">IF(H156="","",IF(G156="PYG",IF(N(J156)=0,"FALTA TC",H156/J156),H156))</f>
        <v/>
      </c>
      <c r="L156" s="69"/>
      <c r="M156" s="69"/>
      <c r="N156" s="69"/>
    </row>
    <row r="157" customFormat="false" ht="15" hidden="false" customHeight="false" outlineLevel="0" collapsed="false">
      <c r="A157" s="69"/>
      <c r="B157" s="29"/>
      <c r="C157" s="88"/>
      <c r="D157" s="69"/>
      <c r="E157" s="69"/>
      <c r="F157" s="69"/>
      <c r="G157" s="69"/>
      <c r="H157" s="55"/>
      <c r="I157" s="44"/>
      <c r="J157" s="44"/>
      <c r="K157" s="19" t="str">
        <f aca="false">IF(H157="","",IF(G157="PYG",IF(N(J157)=0,"FALTA TC",H157/J157),H157))</f>
        <v/>
      </c>
      <c r="L157" s="69"/>
      <c r="M157" s="69"/>
      <c r="N157" s="69"/>
    </row>
    <row r="158" customFormat="false" ht="15" hidden="false" customHeight="false" outlineLevel="0" collapsed="false">
      <c r="A158" s="69"/>
      <c r="B158" s="29"/>
      <c r="C158" s="88"/>
      <c r="D158" s="69"/>
      <c r="E158" s="69"/>
      <c r="F158" s="69"/>
      <c r="G158" s="69"/>
      <c r="H158" s="55"/>
      <c r="I158" s="44"/>
      <c r="J158" s="44"/>
      <c r="K158" s="19" t="str">
        <f aca="false">IF(H158="","",IF(G158="PYG",IF(N(J158)=0,"FALTA TC",H158/J158),H158))</f>
        <v/>
      </c>
      <c r="L158" s="69"/>
      <c r="M158" s="69"/>
      <c r="N158" s="69"/>
    </row>
    <row r="159" customFormat="false" ht="15" hidden="false" customHeight="false" outlineLevel="0" collapsed="false">
      <c r="A159" s="69"/>
      <c r="B159" s="29"/>
      <c r="C159" s="88"/>
      <c r="D159" s="69"/>
      <c r="E159" s="69"/>
      <c r="F159" s="69"/>
      <c r="G159" s="69"/>
      <c r="H159" s="55"/>
      <c r="I159" s="44"/>
      <c r="J159" s="44"/>
      <c r="K159" s="19" t="str">
        <f aca="false">IF(H159="","",IF(G159="PYG",IF(N(J159)=0,"FALTA TC",H159/J159),H159))</f>
        <v/>
      </c>
      <c r="L159" s="69"/>
      <c r="M159" s="69"/>
      <c r="N159" s="69"/>
    </row>
    <row r="160" customFormat="false" ht="15" hidden="false" customHeight="false" outlineLevel="0" collapsed="false">
      <c r="A160" s="69"/>
      <c r="B160" s="29"/>
      <c r="C160" s="88"/>
      <c r="D160" s="69"/>
      <c r="E160" s="69"/>
      <c r="F160" s="69"/>
      <c r="G160" s="69"/>
      <c r="H160" s="55"/>
      <c r="I160" s="44"/>
      <c r="J160" s="44"/>
      <c r="K160" s="19" t="str">
        <f aca="false">IF(H160="","",IF(G160="PYG",IF(N(J160)=0,"FALTA TC",H160/J160),H160))</f>
        <v/>
      </c>
      <c r="L160" s="69"/>
      <c r="M160" s="69"/>
      <c r="N160" s="69"/>
    </row>
    <row r="161" customFormat="false" ht="15" hidden="false" customHeight="false" outlineLevel="0" collapsed="false">
      <c r="A161" s="69"/>
      <c r="B161" s="29"/>
      <c r="C161" s="88"/>
      <c r="D161" s="69"/>
      <c r="E161" s="69"/>
      <c r="F161" s="69"/>
      <c r="G161" s="69"/>
      <c r="H161" s="55"/>
      <c r="I161" s="44"/>
      <c r="J161" s="44"/>
      <c r="K161" s="19" t="str">
        <f aca="false">IF(H161="","",IF(G161="PYG",IF(N(J161)=0,"FALTA TC",H161/J161),H161))</f>
        <v/>
      </c>
      <c r="L161" s="69"/>
      <c r="M161" s="69"/>
      <c r="N161" s="69"/>
    </row>
    <row r="162" customFormat="false" ht="15" hidden="false" customHeight="false" outlineLevel="0" collapsed="false">
      <c r="A162" s="69"/>
      <c r="B162" s="29"/>
      <c r="C162" s="88"/>
      <c r="D162" s="69"/>
      <c r="E162" s="69"/>
      <c r="F162" s="69"/>
      <c r="G162" s="69"/>
      <c r="H162" s="55"/>
      <c r="I162" s="44"/>
      <c r="J162" s="44"/>
      <c r="K162" s="19" t="str">
        <f aca="false">IF(H162="","",IF(G162="PYG",IF(N(J162)=0,"FALTA TC",H162/J162),H162))</f>
        <v/>
      </c>
      <c r="L162" s="69"/>
      <c r="M162" s="69"/>
      <c r="N162" s="69"/>
    </row>
    <row r="163" customFormat="false" ht="15" hidden="false" customHeight="false" outlineLevel="0" collapsed="false">
      <c r="A163" s="69"/>
      <c r="B163" s="29"/>
      <c r="C163" s="88"/>
      <c r="D163" s="69"/>
      <c r="E163" s="69"/>
      <c r="F163" s="69"/>
      <c r="G163" s="69"/>
      <c r="H163" s="55"/>
      <c r="I163" s="44"/>
      <c r="J163" s="44"/>
      <c r="K163" s="19" t="str">
        <f aca="false">IF(H163="","",IF(G163="PYG",IF(N(J163)=0,"FALTA TC",H163/J163),H163))</f>
        <v/>
      </c>
      <c r="L163" s="69"/>
      <c r="M163" s="69"/>
      <c r="N163" s="69"/>
    </row>
    <row r="164" customFormat="false" ht="15" hidden="false" customHeight="false" outlineLevel="0" collapsed="false">
      <c r="A164" s="69"/>
      <c r="B164" s="29"/>
      <c r="C164" s="88"/>
      <c r="D164" s="69"/>
      <c r="E164" s="69"/>
      <c r="F164" s="69"/>
      <c r="G164" s="69"/>
      <c r="H164" s="55"/>
      <c r="I164" s="44"/>
      <c r="J164" s="44"/>
      <c r="K164" s="19" t="str">
        <f aca="false">IF(H164="","",IF(G164="PYG",IF(N(J164)=0,"FALTA TC",H164/J164),H164))</f>
        <v/>
      </c>
      <c r="L164" s="69"/>
      <c r="M164" s="69"/>
      <c r="N164" s="69"/>
    </row>
    <row r="165" customFormat="false" ht="15" hidden="false" customHeight="false" outlineLevel="0" collapsed="false">
      <c r="A165" s="69"/>
      <c r="B165" s="29"/>
      <c r="C165" s="88"/>
      <c r="D165" s="69"/>
      <c r="E165" s="69"/>
      <c r="F165" s="69"/>
      <c r="G165" s="69"/>
      <c r="H165" s="55"/>
      <c r="I165" s="44"/>
      <c r="J165" s="44"/>
      <c r="K165" s="19" t="str">
        <f aca="false">IF(H165="","",IF(G165="PYG",IF(N(J165)=0,"FALTA TC",H165/J165),H165))</f>
        <v/>
      </c>
      <c r="L165" s="69"/>
      <c r="M165" s="69"/>
      <c r="N165" s="69"/>
    </row>
    <row r="166" customFormat="false" ht="15" hidden="false" customHeight="false" outlineLevel="0" collapsed="false">
      <c r="A166" s="69"/>
      <c r="B166" s="29"/>
      <c r="C166" s="88"/>
      <c r="D166" s="69"/>
      <c r="E166" s="69"/>
      <c r="F166" s="69"/>
      <c r="G166" s="69"/>
      <c r="H166" s="55"/>
      <c r="I166" s="44"/>
      <c r="J166" s="44"/>
      <c r="K166" s="19" t="str">
        <f aca="false">IF(H166="","",IF(G166="PYG",IF(N(J166)=0,"FALTA TC",H166/J166),H166))</f>
        <v/>
      </c>
      <c r="L166" s="69"/>
      <c r="M166" s="69"/>
      <c r="N166" s="69"/>
    </row>
    <row r="167" customFormat="false" ht="15" hidden="false" customHeight="false" outlineLevel="0" collapsed="false">
      <c r="A167" s="69"/>
      <c r="B167" s="29"/>
      <c r="C167" s="88"/>
      <c r="D167" s="69"/>
      <c r="E167" s="69"/>
      <c r="F167" s="69"/>
      <c r="G167" s="69"/>
      <c r="H167" s="55"/>
      <c r="I167" s="44"/>
      <c r="J167" s="44"/>
      <c r="K167" s="19" t="str">
        <f aca="false">IF(H167="","",IF(G167="PYG",IF(N(J167)=0,"FALTA TC",H167/J167),H167))</f>
        <v/>
      </c>
      <c r="L167" s="69"/>
      <c r="M167" s="69"/>
      <c r="N167" s="69"/>
    </row>
    <row r="168" customFormat="false" ht="15" hidden="false" customHeight="false" outlineLevel="0" collapsed="false">
      <c r="A168" s="69"/>
      <c r="B168" s="29"/>
      <c r="C168" s="88"/>
      <c r="D168" s="69"/>
      <c r="E168" s="69"/>
      <c r="F168" s="69"/>
      <c r="G168" s="69"/>
      <c r="H168" s="55"/>
      <c r="I168" s="44"/>
      <c r="J168" s="44"/>
      <c r="K168" s="19" t="str">
        <f aca="false">IF(H168="","",IF(G168="PYG",IF(N(J168)=0,"FALTA TC",H168/J168),H168))</f>
        <v/>
      </c>
      <c r="L168" s="69"/>
      <c r="M168" s="69"/>
      <c r="N168" s="69"/>
    </row>
    <row r="169" customFormat="false" ht="15" hidden="false" customHeight="false" outlineLevel="0" collapsed="false">
      <c r="A169" s="69"/>
      <c r="B169" s="29"/>
      <c r="C169" s="88"/>
      <c r="D169" s="69"/>
      <c r="E169" s="69"/>
      <c r="F169" s="69"/>
      <c r="G169" s="69"/>
      <c r="H169" s="55"/>
      <c r="I169" s="44"/>
      <c r="J169" s="44"/>
      <c r="K169" s="19" t="str">
        <f aca="false">IF(H169="","",IF(G169="PYG",IF(N(J169)=0,"FALTA TC",H169/J169),H169))</f>
        <v/>
      </c>
      <c r="L169" s="69"/>
      <c r="M169" s="69"/>
      <c r="N169" s="69"/>
    </row>
    <row r="170" customFormat="false" ht="15" hidden="false" customHeight="false" outlineLevel="0" collapsed="false">
      <c r="A170" s="69"/>
      <c r="B170" s="29"/>
      <c r="C170" s="88"/>
      <c r="D170" s="69"/>
      <c r="E170" s="69"/>
      <c r="F170" s="69"/>
      <c r="G170" s="69"/>
      <c r="H170" s="55"/>
      <c r="I170" s="44"/>
      <c r="J170" s="44"/>
      <c r="K170" s="19" t="str">
        <f aca="false">IF(H170="","",IF(G170="PYG",IF(N(J170)=0,"FALTA TC",H170/J170),H170))</f>
        <v/>
      </c>
      <c r="L170" s="69"/>
      <c r="M170" s="69"/>
      <c r="N170" s="69"/>
    </row>
    <row r="171" customFormat="false" ht="15" hidden="false" customHeight="false" outlineLevel="0" collapsed="false">
      <c r="A171" s="69"/>
      <c r="B171" s="29"/>
      <c r="C171" s="88"/>
      <c r="D171" s="69"/>
      <c r="E171" s="69"/>
      <c r="F171" s="69"/>
      <c r="G171" s="69"/>
      <c r="H171" s="55"/>
      <c r="I171" s="44"/>
      <c r="J171" s="44"/>
      <c r="K171" s="19" t="str">
        <f aca="false">IF(H171="","",IF(G171="PYG",IF(N(J171)=0,"FALTA TC",H171/J171),H171))</f>
        <v/>
      </c>
      <c r="L171" s="69"/>
      <c r="M171" s="69"/>
      <c r="N171" s="69"/>
    </row>
    <row r="172" customFormat="false" ht="15" hidden="false" customHeight="false" outlineLevel="0" collapsed="false">
      <c r="A172" s="69"/>
      <c r="B172" s="29"/>
      <c r="C172" s="88"/>
      <c r="D172" s="69"/>
      <c r="E172" s="69"/>
      <c r="F172" s="69"/>
      <c r="G172" s="69"/>
      <c r="H172" s="55"/>
      <c r="I172" s="44"/>
      <c r="J172" s="44"/>
      <c r="K172" s="19" t="str">
        <f aca="false">IF(H172="","",IF(G172="PYG",IF(N(J172)=0,"FALTA TC",H172/J172),H172))</f>
        <v/>
      </c>
      <c r="L172" s="69"/>
      <c r="M172" s="69"/>
      <c r="N172" s="69"/>
    </row>
    <row r="173" customFormat="false" ht="15" hidden="false" customHeight="false" outlineLevel="0" collapsed="false">
      <c r="A173" s="69"/>
      <c r="B173" s="29"/>
      <c r="C173" s="88"/>
      <c r="D173" s="69"/>
      <c r="E173" s="69"/>
      <c r="F173" s="69"/>
      <c r="G173" s="69"/>
      <c r="H173" s="55"/>
      <c r="I173" s="44"/>
      <c r="J173" s="44"/>
      <c r="K173" s="19" t="str">
        <f aca="false">IF(H173="","",IF(G173="PYG",IF(N(J173)=0,"FALTA TC",H173/J173),H173))</f>
        <v/>
      </c>
      <c r="L173" s="69"/>
      <c r="M173" s="69"/>
      <c r="N173" s="69"/>
    </row>
    <row r="174" customFormat="false" ht="15" hidden="false" customHeight="false" outlineLevel="0" collapsed="false">
      <c r="A174" s="69"/>
      <c r="B174" s="29"/>
      <c r="C174" s="88"/>
      <c r="D174" s="69"/>
      <c r="E174" s="69"/>
      <c r="F174" s="69"/>
      <c r="G174" s="69"/>
      <c r="H174" s="55"/>
      <c r="I174" s="44"/>
      <c r="J174" s="44"/>
      <c r="K174" s="19" t="str">
        <f aca="false">IF(H174="","",IF(G174="PYG",IF(N(J174)=0,"FALTA TC",H174/J174),H174))</f>
        <v/>
      </c>
      <c r="L174" s="69"/>
      <c r="M174" s="69"/>
      <c r="N174" s="69"/>
    </row>
    <row r="175" customFormat="false" ht="15" hidden="false" customHeight="false" outlineLevel="0" collapsed="false">
      <c r="A175" s="69"/>
      <c r="B175" s="29"/>
      <c r="C175" s="88"/>
      <c r="D175" s="69"/>
      <c r="E175" s="69"/>
      <c r="F175" s="69"/>
      <c r="G175" s="69"/>
      <c r="H175" s="55"/>
      <c r="I175" s="44"/>
      <c r="J175" s="44"/>
      <c r="K175" s="19" t="str">
        <f aca="false">IF(H175="","",IF(G175="PYG",IF(N(J175)=0,"FALTA TC",H175/J175),H175))</f>
        <v/>
      </c>
      <c r="L175" s="69"/>
      <c r="M175" s="69"/>
      <c r="N175" s="69"/>
    </row>
    <row r="176" customFormat="false" ht="15" hidden="false" customHeight="false" outlineLevel="0" collapsed="false">
      <c r="A176" s="69"/>
      <c r="B176" s="29"/>
      <c r="C176" s="88"/>
      <c r="D176" s="69"/>
      <c r="E176" s="69"/>
      <c r="F176" s="69"/>
      <c r="G176" s="69"/>
      <c r="H176" s="55"/>
      <c r="I176" s="44"/>
      <c r="J176" s="44"/>
      <c r="K176" s="19" t="str">
        <f aca="false">IF(H176="","",IF(G176="PYG",IF(N(J176)=0,"FALTA TC",H176/J176),H176))</f>
        <v/>
      </c>
      <c r="L176" s="69"/>
      <c r="M176" s="69"/>
      <c r="N176" s="69"/>
    </row>
    <row r="177" customFormat="false" ht="15" hidden="false" customHeight="false" outlineLevel="0" collapsed="false">
      <c r="A177" s="69"/>
      <c r="B177" s="29"/>
      <c r="C177" s="88"/>
      <c r="D177" s="69"/>
      <c r="E177" s="69"/>
      <c r="F177" s="69"/>
      <c r="G177" s="69"/>
      <c r="H177" s="55"/>
      <c r="I177" s="44"/>
      <c r="J177" s="44"/>
      <c r="K177" s="19" t="str">
        <f aca="false">IF(H177="","",IF(G177="PYG",IF(N(J177)=0,"FALTA TC",H177/J177),H177))</f>
        <v/>
      </c>
      <c r="L177" s="69"/>
      <c r="M177" s="69"/>
      <c r="N177" s="69"/>
    </row>
    <row r="178" customFormat="false" ht="15" hidden="false" customHeight="false" outlineLevel="0" collapsed="false">
      <c r="A178" s="69"/>
      <c r="B178" s="29"/>
      <c r="C178" s="88"/>
      <c r="D178" s="69"/>
      <c r="E178" s="69"/>
      <c r="F178" s="69"/>
      <c r="G178" s="69"/>
      <c r="H178" s="55"/>
      <c r="I178" s="44"/>
      <c r="J178" s="44"/>
      <c r="K178" s="19" t="str">
        <f aca="false">IF(H178="","",IF(G178="PYG",IF(N(J178)=0,"FALTA TC",H178/J178),H178))</f>
        <v/>
      </c>
      <c r="L178" s="69"/>
      <c r="M178" s="69"/>
      <c r="N178" s="69"/>
    </row>
    <row r="179" customFormat="false" ht="15" hidden="false" customHeight="false" outlineLevel="0" collapsed="false">
      <c r="A179" s="69"/>
      <c r="B179" s="29"/>
      <c r="C179" s="88"/>
      <c r="D179" s="69"/>
      <c r="E179" s="69"/>
      <c r="F179" s="69"/>
      <c r="G179" s="69"/>
      <c r="H179" s="55"/>
      <c r="I179" s="44"/>
      <c r="J179" s="44"/>
      <c r="K179" s="19" t="str">
        <f aca="false">IF(H179="","",IF(G179="PYG",IF(N(J179)=0,"FALTA TC",H179/J179),H179))</f>
        <v/>
      </c>
      <c r="L179" s="69"/>
      <c r="M179" s="69"/>
      <c r="N179" s="69"/>
    </row>
    <row r="180" customFormat="false" ht="15" hidden="false" customHeight="false" outlineLevel="0" collapsed="false">
      <c r="A180" s="69"/>
      <c r="B180" s="29"/>
      <c r="C180" s="88"/>
      <c r="D180" s="69"/>
      <c r="E180" s="69"/>
      <c r="F180" s="69"/>
      <c r="G180" s="69"/>
      <c r="H180" s="55"/>
      <c r="I180" s="44"/>
      <c r="J180" s="44"/>
      <c r="K180" s="19" t="str">
        <f aca="false">IF(H180="","",IF(G180="PYG",IF(N(J180)=0,"FALTA TC",H180/J180),H180))</f>
        <v/>
      </c>
      <c r="L180" s="69"/>
      <c r="M180" s="69"/>
      <c r="N180" s="69"/>
    </row>
    <row r="181" customFormat="false" ht="15" hidden="false" customHeight="false" outlineLevel="0" collapsed="false">
      <c r="A181" s="69"/>
      <c r="B181" s="29"/>
      <c r="C181" s="88"/>
      <c r="D181" s="69"/>
      <c r="E181" s="69"/>
      <c r="F181" s="69"/>
      <c r="G181" s="69"/>
      <c r="H181" s="55"/>
      <c r="I181" s="44"/>
      <c r="J181" s="44"/>
      <c r="K181" s="19" t="str">
        <f aca="false">IF(H181="","",IF(G181="PYG",IF(N(J181)=0,"FALTA TC",H181/J181),H181))</f>
        <v/>
      </c>
      <c r="L181" s="69"/>
      <c r="M181" s="69"/>
      <c r="N181" s="69"/>
    </row>
    <row r="182" customFormat="false" ht="15" hidden="false" customHeight="false" outlineLevel="0" collapsed="false">
      <c r="A182" s="69"/>
      <c r="B182" s="29"/>
      <c r="C182" s="88"/>
      <c r="D182" s="69"/>
      <c r="E182" s="69"/>
      <c r="F182" s="69"/>
      <c r="G182" s="69"/>
      <c r="H182" s="55"/>
      <c r="I182" s="44"/>
      <c r="J182" s="44"/>
      <c r="K182" s="19" t="str">
        <f aca="false">IF(H182="","",IF(G182="PYG",IF(N(J182)=0,"FALTA TC",H182/J182),H182))</f>
        <v/>
      </c>
      <c r="L182" s="69"/>
      <c r="M182" s="69"/>
      <c r="N182" s="69"/>
    </row>
    <row r="183" customFormat="false" ht="15" hidden="false" customHeight="false" outlineLevel="0" collapsed="false">
      <c r="A183" s="69"/>
      <c r="B183" s="29"/>
      <c r="C183" s="88"/>
      <c r="D183" s="69"/>
      <c r="E183" s="69"/>
      <c r="F183" s="69"/>
      <c r="G183" s="69"/>
      <c r="H183" s="55"/>
      <c r="I183" s="44"/>
      <c r="J183" s="44"/>
      <c r="K183" s="19" t="str">
        <f aca="false">IF(H183="","",IF(G183="PYG",IF(N(J183)=0,"FALTA TC",H183/J183),H183))</f>
        <v/>
      </c>
      <c r="L183" s="69"/>
      <c r="M183" s="69"/>
      <c r="N183" s="69"/>
    </row>
    <row r="184" customFormat="false" ht="15" hidden="false" customHeight="false" outlineLevel="0" collapsed="false">
      <c r="A184" s="69"/>
      <c r="B184" s="29"/>
      <c r="C184" s="88"/>
      <c r="D184" s="69"/>
      <c r="E184" s="69"/>
      <c r="F184" s="69"/>
      <c r="G184" s="69"/>
      <c r="H184" s="55"/>
      <c r="I184" s="44"/>
      <c r="J184" s="44"/>
      <c r="K184" s="19" t="str">
        <f aca="false">IF(H184="","",IF(G184="PYG",IF(N(J184)=0,"FALTA TC",H184/J184),H184))</f>
        <v/>
      </c>
      <c r="L184" s="69"/>
      <c r="M184" s="69"/>
      <c r="N184" s="69"/>
    </row>
    <row r="185" customFormat="false" ht="15" hidden="false" customHeight="false" outlineLevel="0" collapsed="false">
      <c r="A185" s="69"/>
      <c r="B185" s="29"/>
      <c r="C185" s="88"/>
      <c r="D185" s="69"/>
      <c r="E185" s="69"/>
      <c r="F185" s="69"/>
      <c r="G185" s="69"/>
      <c r="H185" s="55"/>
      <c r="I185" s="44"/>
      <c r="J185" s="44"/>
      <c r="K185" s="19" t="str">
        <f aca="false">IF(H185="","",IF(G185="PYG",IF(N(J185)=0,"FALTA TC",H185/J185),H185))</f>
        <v/>
      </c>
      <c r="L185" s="69"/>
      <c r="M185" s="69"/>
      <c r="N185" s="69"/>
    </row>
    <row r="186" customFormat="false" ht="15" hidden="false" customHeight="false" outlineLevel="0" collapsed="false">
      <c r="A186" s="69"/>
      <c r="B186" s="29"/>
      <c r="C186" s="88"/>
      <c r="D186" s="69"/>
      <c r="E186" s="69"/>
      <c r="F186" s="69"/>
      <c r="G186" s="69"/>
      <c r="H186" s="55"/>
      <c r="I186" s="44"/>
      <c r="J186" s="44"/>
      <c r="K186" s="19" t="str">
        <f aca="false">IF(H186="","",IF(G186="PYG",IF(N(J186)=0,"FALTA TC",H186/J186),H186))</f>
        <v/>
      </c>
      <c r="L186" s="69"/>
      <c r="M186" s="69"/>
      <c r="N186" s="69"/>
    </row>
    <row r="187" customFormat="false" ht="15" hidden="false" customHeight="false" outlineLevel="0" collapsed="false">
      <c r="A187" s="69"/>
      <c r="B187" s="29"/>
      <c r="C187" s="88"/>
      <c r="D187" s="69"/>
      <c r="E187" s="69"/>
      <c r="F187" s="69"/>
      <c r="G187" s="69"/>
      <c r="H187" s="55"/>
      <c r="I187" s="44"/>
      <c r="J187" s="44"/>
      <c r="K187" s="19" t="str">
        <f aca="false">IF(H187="","",IF(G187="PYG",IF(N(J187)=0,"FALTA TC",H187/J187),H187))</f>
        <v/>
      </c>
      <c r="L187" s="69"/>
      <c r="M187" s="69"/>
      <c r="N187" s="69"/>
    </row>
    <row r="188" customFormat="false" ht="15" hidden="false" customHeight="false" outlineLevel="0" collapsed="false">
      <c r="A188" s="69"/>
      <c r="B188" s="29"/>
      <c r="C188" s="88"/>
      <c r="D188" s="69"/>
      <c r="E188" s="69"/>
      <c r="F188" s="69"/>
      <c r="G188" s="69"/>
      <c r="H188" s="55"/>
      <c r="I188" s="44"/>
      <c r="J188" s="44"/>
      <c r="K188" s="19" t="str">
        <f aca="false">IF(H188="","",IF(G188="PYG",IF(N(J188)=0,"FALTA TC",H188/J188),H188))</f>
        <v/>
      </c>
      <c r="L188" s="69"/>
      <c r="M188" s="69"/>
      <c r="N188" s="69"/>
    </row>
    <row r="189" customFormat="false" ht="15" hidden="false" customHeight="false" outlineLevel="0" collapsed="false">
      <c r="A189" s="69"/>
      <c r="B189" s="29"/>
      <c r="C189" s="88"/>
      <c r="D189" s="69"/>
      <c r="E189" s="69"/>
      <c r="F189" s="69"/>
      <c r="G189" s="69"/>
      <c r="H189" s="55"/>
      <c r="I189" s="44"/>
      <c r="J189" s="44"/>
      <c r="K189" s="19" t="str">
        <f aca="false">IF(H189="","",IF(G189="PYG",IF(N(J189)=0,"FALTA TC",H189/J189),H189))</f>
        <v/>
      </c>
      <c r="L189" s="69"/>
      <c r="M189" s="69"/>
      <c r="N189" s="69"/>
    </row>
    <row r="190" customFormat="false" ht="15" hidden="false" customHeight="false" outlineLevel="0" collapsed="false">
      <c r="A190" s="69"/>
      <c r="B190" s="29"/>
      <c r="C190" s="88"/>
      <c r="D190" s="69"/>
      <c r="E190" s="69"/>
      <c r="F190" s="69"/>
      <c r="G190" s="69"/>
      <c r="H190" s="55"/>
      <c r="I190" s="44"/>
      <c r="J190" s="44"/>
      <c r="K190" s="19" t="str">
        <f aca="false">IF(H190="","",IF(G190="PYG",IF(N(J190)=0,"FALTA TC",H190/J190),H190))</f>
        <v/>
      </c>
      <c r="L190" s="69"/>
      <c r="M190" s="69"/>
      <c r="N190" s="69"/>
    </row>
    <row r="191" customFormat="false" ht="15" hidden="false" customHeight="false" outlineLevel="0" collapsed="false">
      <c r="A191" s="69"/>
      <c r="B191" s="29"/>
      <c r="C191" s="88"/>
      <c r="D191" s="69"/>
      <c r="E191" s="69"/>
      <c r="F191" s="69"/>
      <c r="G191" s="69"/>
      <c r="H191" s="55"/>
      <c r="I191" s="44"/>
      <c r="J191" s="44"/>
      <c r="K191" s="19" t="str">
        <f aca="false">IF(H191="","",IF(G191="PYG",IF(N(J191)=0,"FALTA TC",H191/J191),H191))</f>
        <v/>
      </c>
      <c r="L191" s="69"/>
      <c r="M191" s="69"/>
      <c r="N191" s="69"/>
    </row>
    <row r="192" customFormat="false" ht="15" hidden="false" customHeight="false" outlineLevel="0" collapsed="false">
      <c r="A192" s="69"/>
      <c r="B192" s="29"/>
      <c r="C192" s="88"/>
      <c r="D192" s="69"/>
      <c r="E192" s="69"/>
      <c r="F192" s="69"/>
      <c r="G192" s="69"/>
      <c r="H192" s="55"/>
      <c r="I192" s="44"/>
      <c r="J192" s="44"/>
      <c r="K192" s="19" t="str">
        <f aca="false">IF(H192="","",IF(G192="PYG",IF(N(J192)=0,"FALTA TC",H192/J192),H192))</f>
        <v/>
      </c>
      <c r="L192" s="69"/>
      <c r="M192" s="69"/>
      <c r="N192" s="69"/>
    </row>
    <row r="193" customFormat="false" ht="15" hidden="false" customHeight="false" outlineLevel="0" collapsed="false">
      <c r="A193" s="69"/>
      <c r="B193" s="29"/>
      <c r="C193" s="88"/>
      <c r="D193" s="69"/>
      <c r="E193" s="69"/>
      <c r="F193" s="69"/>
      <c r="G193" s="69"/>
      <c r="H193" s="55"/>
      <c r="I193" s="44"/>
      <c r="J193" s="44"/>
      <c r="K193" s="19" t="str">
        <f aca="false">IF(H193="","",IF(G193="PYG",IF(N(J193)=0,"FALTA TC",H193/J193),H193))</f>
        <v/>
      </c>
      <c r="L193" s="69"/>
      <c r="M193" s="69"/>
      <c r="N193" s="69"/>
    </row>
    <row r="194" customFormat="false" ht="15" hidden="false" customHeight="false" outlineLevel="0" collapsed="false">
      <c r="A194" s="69"/>
      <c r="B194" s="29"/>
      <c r="C194" s="88"/>
      <c r="D194" s="69"/>
      <c r="E194" s="69"/>
      <c r="F194" s="69"/>
      <c r="G194" s="69"/>
      <c r="H194" s="55"/>
      <c r="I194" s="44"/>
      <c r="J194" s="44"/>
      <c r="K194" s="19" t="str">
        <f aca="false">IF(H194="","",IF(G194="PYG",IF(N(J194)=0,"FALTA TC",H194/J194),H194))</f>
        <v/>
      </c>
      <c r="L194" s="69"/>
      <c r="M194" s="69"/>
      <c r="N194" s="69"/>
    </row>
    <row r="195" customFormat="false" ht="15" hidden="false" customHeight="false" outlineLevel="0" collapsed="false">
      <c r="A195" s="69"/>
      <c r="B195" s="29"/>
      <c r="C195" s="88"/>
      <c r="D195" s="69"/>
      <c r="E195" s="69"/>
      <c r="F195" s="69"/>
      <c r="G195" s="69"/>
      <c r="H195" s="55"/>
      <c r="I195" s="44"/>
      <c r="J195" s="44"/>
      <c r="K195" s="19" t="str">
        <f aca="false">IF(H195="","",IF(G195="PYG",IF(N(J195)=0,"FALTA TC",H195/J195),H195))</f>
        <v/>
      </c>
      <c r="L195" s="69"/>
      <c r="M195" s="69"/>
      <c r="N195" s="69"/>
    </row>
    <row r="196" customFormat="false" ht="15" hidden="false" customHeight="false" outlineLevel="0" collapsed="false">
      <c r="A196" s="69"/>
      <c r="B196" s="29"/>
      <c r="C196" s="88"/>
      <c r="D196" s="69"/>
      <c r="E196" s="69"/>
      <c r="F196" s="69"/>
      <c r="G196" s="69"/>
      <c r="H196" s="55"/>
      <c r="I196" s="44"/>
      <c r="J196" s="44"/>
      <c r="K196" s="19" t="str">
        <f aca="false">IF(H196="","",IF(G196="PYG",IF(N(J196)=0,"FALTA TC",H196/J196),H196))</f>
        <v/>
      </c>
      <c r="L196" s="69"/>
      <c r="M196" s="69"/>
      <c r="N196" s="69"/>
    </row>
    <row r="197" customFormat="false" ht="15" hidden="false" customHeight="false" outlineLevel="0" collapsed="false">
      <c r="A197" s="69"/>
      <c r="B197" s="29"/>
      <c r="C197" s="88"/>
      <c r="D197" s="69"/>
      <c r="E197" s="69"/>
      <c r="F197" s="69"/>
      <c r="G197" s="69"/>
      <c r="H197" s="55"/>
      <c r="I197" s="44"/>
      <c r="J197" s="44"/>
      <c r="K197" s="19" t="str">
        <f aca="false">IF(H197="","",IF(G197="PYG",IF(N(J197)=0,"FALTA TC",H197/J197),H197))</f>
        <v/>
      </c>
      <c r="L197" s="69"/>
      <c r="M197" s="69"/>
      <c r="N197" s="69"/>
    </row>
    <row r="198" customFormat="false" ht="15" hidden="false" customHeight="false" outlineLevel="0" collapsed="false">
      <c r="A198" s="69"/>
      <c r="B198" s="29"/>
      <c r="C198" s="88"/>
      <c r="D198" s="69"/>
      <c r="E198" s="69"/>
      <c r="F198" s="69"/>
      <c r="G198" s="69"/>
      <c r="H198" s="55"/>
      <c r="I198" s="44"/>
      <c r="J198" s="44"/>
      <c r="K198" s="19" t="str">
        <f aca="false">IF(H198="","",IF(G198="PYG",IF(N(J198)=0,"FALTA TC",H198/J198),H198))</f>
        <v/>
      </c>
      <c r="L198" s="69"/>
      <c r="M198" s="69"/>
      <c r="N198" s="69"/>
    </row>
    <row r="199" customFormat="false" ht="15" hidden="false" customHeight="false" outlineLevel="0" collapsed="false">
      <c r="A199" s="69"/>
      <c r="B199" s="29"/>
      <c r="C199" s="88"/>
      <c r="D199" s="69"/>
      <c r="E199" s="69"/>
      <c r="F199" s="69"/>
      <c r="G199" s="69"/>
      <c r="H199" s="55"/>
      <c r="I199" s="44"/>
      <c r="J199" s="44"/>
      <c r="K199" s="19" t="str">
        <f aca="false">IF(H199="","",IF(G199="PYG",IF(N(J199)=0,"FALTA TC",H199/J199),H199))</f>
        <v/>
      </c>
      <c r="L199" s="69"/>
      <c r="M199" s="69"/>
      <c r="N199" s="69"/>
    </row>
    <row r="200" customFormat="false" ht="15" hidden="false" customHeight="false" outlineLevel="0" collapsed="false">
      <c r="A200" s="69"/>
      <c r="B200" s="29"/>
      <c r="C200" s="88"/>
      <c r="D200" s="69"/>
      <c r="E200" s="69"/>
      <c r="F200" s="69"/>
      <c r="G200" s="69"/>
      <c r="H200" s="55"/>
      <c r="I200" s="44"/>
      <c r="J200" s="44"/>
      <c r="K200" s="19" t="str">
        <f aca="false">IF(H200="","",IF(G200="PYG",IF(N(J200)=0,"FALTA TC",H200/J200),H200))</f>
        <v/>
      </c>
      <c r="L200" s="69"/>
      <c r="M200" s="69"/>
      <c r="N200" s="69"/>
    </row>
    <row r="201" customFormat="false" ht="15" hidden="false" customHeight="false" outlineLevel="0" collapsed="false">
      <c r="A201" s="69"/>
      <c r="B201" s="29"/>
      <c r="C201" s="88"/>
      <c r="D201" s="69"/>
      <c r="E201" s="69"/>
      <c r="F201" s="69"/>
      <c r="G201" s="69"/>
      <c r="H201" s="55"/>
      <c r="I201" s="44"/>
      <c r="J201" s="44"/>
      <c r="K201" s="19" t="str">
        <f aca="false">IF(H201="","",IF(G201="PYG",IF(N(J201)=0,"FALTA TC",H201/J201),H201))</f>
        <v/>
      </c>
      <c r="L201" s="69"/>
      <c r="M201" s="69"/>
      <c r="N201" s="69"/>
    </row>
    <row r="202" customFormat="false" ht="15" hidden="false" customHeight="false" outlineLevel="0" collapsed="false">
      <c r="A202" s="69"/>
      <c r="B202" s="29"/>
      <c r="C202" s="88"/>
      <c r="D202" s="69"/>
      <c r="E202" s="69"/>
      <c r="F202" s="69"/>
      <c r="G202" s="69"/>
      <c r="H202" s="55"/>
      <c r="I202" s="44"/>
      <c r="J202" s="44"/>
      <c r="K202" s="19" t="str">
        <f aca="false">IF(H202="","",IF(G202="PYG",IF(N(J202)=0,"FALTA TC",H202/J202),H202))</f>
        <v/>
      </c>
      <c r="L202" s="69"/>
      <c r="M202" s="69"/>
      <c r="N202" s="69"/>
    </row>
    <row r="203" customFormat="false" ht="15" hidden="false" customHeight="false" outlineLevel="0" collapsed="false">
      <c r="A203" s="69"/>
      <c r="B203" s="29"/>
      <c r="C203" s="88"/>
      <c r="D203" s="69"/>
      <c r="E203" s="69"/>
      <c r="F203" s="69"/>
      <c r="G203" s="69"/>
      <c r="H203" s="55"/>
      <c r="I203" s="44"/>
      <c r="J203" s="44"/>
      <c r="K203" s="19" t="str">
        <f aca="false">IF(H203="","",IF(G203="PYG",IF(N(J203)=0,"FALTA TC",H203/J203),H203))</f>
        <v/>
      </c>
      <c r="L203" s="69"/>
      <c r="M203" s="69"/>
      <c r="N203" s="69"/>
    </row>
    <row r="204" customFormat="false" ht="15" hidden="false" customHeight="false" outlineLevel="0" collapsed="false">
      <c r="A204" s="69"/>
      <c r="B204" s="29"/>
      <c r="C204" s="88"/>
      <c r="D204" s="69"/>
      <c r="E204" s="69"/>
      <c r="F204" s="69"/>
      <c r="G204" s="69"/>
      <c r="H204" s="55"/>
      <c r="I204" s="44"/>
      <c r="J204" s="44"/>
      <c r="K204" s="19" t="str">
        <f aca="false">IF(H204="","",IF(G204="PYG",IF(N(J204)=0,"FALTA TC",H204/J204),H204))</f>
        <v/>
      </c>
      <c r="L204" s="69"/>
      <c r="M204" s="69"/>
      <c r="N204" s="69"/>
    </row>
    <row r="205" customFormat="false" ht="15" hidden="false" customHeight="false" outlineLevel="0" collapsed="false">
      <c r="A205" s="69"/>
      <c r="B205" s="29"/>
      <c r="C205" s="88"/>
      <c r="D205" s="69"/>
      <c r="E205" s="69"/>
      <c r="F205" s="69"/>
      <c r="G205" s="69"/>
      <c r="H205" s="55"/>
      <c r="I205" s="44"/>
      <c r="J205" s="44"/>
      <c r="K205" s="19" t="str">
        <f aca="false">IF(H205="","",IF(G205="PYG",IF(N(J205)=0,"FALTA TC",H205/J205),H205))</f>
        <v/>
      </c>
      <c r="L205" s="69"/>
      <c r="M205" s="69"/>
      <c r="N205" s="69"/>
    </row>
    <row r="206" customFormat="false" ht="15" hidden="false" customHeight="false" outlineLevel="0" collapsed="false">
      <c r="A206" s="69"/>
      <c r="B206" s="29"/>
      <c r="C206" s="88"/>
      <c r="D206" s="69"/>
      <c r="E206" s="69"/>
      <c r="F206" s="69"/>
      <c r="G206" s="69"/>
      <c r="H206" s="55"/>
      <c r="I206" s="44"/>
      <c r="J206" s="44"/>
      <c r="K206" s="19" t="str">
        <f aca="false">IF(H206="","",IF(G206="PYG",IF(N(J206)=0,"FALTA TC",H206/J206),H206))</f>
        <v/>
      </c>
      <c r="L206" s="69"/>
      <c r="M206" s="69"/>
      <c r="N206" s="69"/>
    </row>
    <row r="207" customFormat="false" ht="15" hidden="false" customHeight="false" outlineLevel="0" collapsed="false">
      <c r="A207" s="69"/>
      <c r="B207" s="29"/>
      <c r="C207" s="88"/>
      <c r="D207" s="69"/>
      <c r="E207" s="69"/>
      <c r="F207" s="69"/>
      <c r="G207" s="69"/>
      <c r="H207" s="55"/>
      <c r="I207" s="44"/>
      <c r="J207" s="44"/>
      <c r="K207" s="19" t="str">
        <f aca="false">IF(H207="","",IF(G207="PYG",IF(N(J207)=0,"FALTA TC",H207/J207),H207))</f>
        <v/>
      </c>
      <c r="L207" s="69"/>
      <c r="M207" s="69"/>
      <c r="N207" s="69"/>
    </row>
    <row r="208" customFormat="false" ht="15" hidden="false" customHeight="false" outlineLevel="0" collapsed="false">
      <c r="A208" s="69"/>
      <c r="B208" s="29"/>
      <c r="C208" s="88"/>
      <c r="D208" s="69"/>
      <c r="E208" s="69"/>
      <c r="F208" s="69"/>
      <c r="G208" s="69"/>
      <c r="H208" s="55"/>
      <c r="I208" s="44"/>
      <c r="J208" s="44"/>
      <c r="K208" s="19" t="str">
        <f aca="false">IF(H208="","",IF(G208="PYG",IF(N(J208)=0,"FALTA TC",H208/J208),H208))</f>
        <v/>
      </c>
      <c r="L208" s="69"/>
      <c r="M208" s="69"/>
      <c r="N208" s="69"/>
    </row>
    <row r="209" customFormat="false" ht="15" hidden="false" customHeight="false" outlineLevel="0" collapsed="false">
      <c r="A209" s="69"/>
      <c r="B209" s="29"/>
      <c r="C209" s="88"/>
      <c r="D209" s="69"/>
      <c r="E209" s="69"/>
      <c r="F209" s="69"/>
      <c r="G209" s="69"/>
      <c r="H209" s="55"/>
      <c r="I209" s="44"/>
      <c r="J209" s="44"/>
      <c r="K209" s="19" t="str">
        <f aca="false">IF(H209="","",IF(G209="PYG",IF(N(J209)=0,"FALTA TC",H209/J209),H209))</f>
        <v/>
      </c>
      <c r="L209" s="69"/>
      <c r="M209" s="69"/>
      <c r="N209" s="69"/>
    </row>
    <row r="210" customFormat="false" ht="15" hidden="false" customHeight="false" outlineLevel="0" collapsed="false">
      <c r="A210" s="69"/>
      <c r="B210" s="29"/>
      <c r="C210" s="88"/>
      <c r="D210" s="69"/>
      <c r="E210" s="69"/>
      <c r="F210" s="69"/>
      <c r="G210" s="69"/>
      <c r="H210" s="55"/>
      <c r="I210" s="44"/>
      <c r="J210" s="44"/>
      <c r="K210" s="19" t="str">
        <f aca="false">IF(H210="","",IF(G210="PYG",IF(N(J210)=0,"FALTA TC",H210/J210),H210))</f>
        <v/>
      </c>
      <c r="L210" s="69"/>
      <c r="M210" s="69"/>
      <c r="N210" s="69"/>
    </row>
    <row r="211" customFormat="false" ht="15" hidden="false" customHeight="false" outlineLevel="0" collapsed="false">
      <c r="A211" s="69"/>
      <c r="B211" s="29"/>
      <c r="C211" s="88"/>
      <c r="D211" s="69"/>
      <c r="E211" s="69"/>
      <c r="F211" s="69"/>
      <c r="G211" s="69"/>
      <c r="H211" s="55"/>
      <c r="I211" s="44"/>
      <c r="J211" s="44"/>
      <c r="K211" s="19" t="str">
        <f aca="false">IF(H211="","",IF(G211="PYG",IF(N(J211)=0,"FALTA TC",H211/J211),H211))</f>
        <v/>
      </c>
      <c r="L211" s="69"/>
      <c r="M211" s="69"/>
      <c r="N211" s="69"/>
    </row>
    <row r="212" customFormat="false" ht="15" hidden="false" customHeight="false" outlineLevel="0" collapsed="false">
      <c r="A212" s="69"/>
      <c r="B212" s="29"/>
      <c r="C212" s="88"/>
      <c r="D212" s="69"/>
      <c r="E212" s="69"/>
      <c r="F212" s="69"/>
      <c r="G212" s="69"/>
      <c r="H212" s="55"/>
      <c r="I212" s="44"/>
      <c r="J212" s="44"/>
      <c r="K212" s="19" t="str">
        <f aca="false">IF(H212="","",IF(G212="PYG",IF(N(J212)=0,"FALTA TC",H212/J212),H212))</f>
        <v/>
      </c>
      <c r="L212" s="69"/>
      <c r="M212" s="69"/>
      <c r="N212" s="69"/>
    </row>
    <row r="213" customFormat="false" ht="15" hidden="false" customHeight="false" outlineLevel="0" collapsed="false">
      <c r="A213" s="69"/>
      <c r="B213" s="29"/>
      <c r="C213" s="88"/>
      <c r="D213" s="69"/>
      <c r="E213" s="69"/>
      <c r="F213" s="69"/>
      <c r="G213" s="69"/>
      <c r="H213" s="55"/>
      <c r="I213" s="44"/>
      <c r="J213" s="44"/>
      <c r="K213" s="19" t="str">
        <f aca="false">IF(H213="","",IF(G213="PYG",IF(N(J213)=0,"FALTA TC",H213/J213),H213))</f>
        <v/>
      </c>
      <c r="L213" s="69"/>
      <c r="M213" s="69"/>
      <c r="N213" s="69"/>
    </row>
    <row r="214" customFormat="false" ht="15" hidden="false" customHeight="false" outlineLevel="0" collapsed="false">
      <c r="A214" s="69"/>
      <c r="B214" s="29"/>
      <c r="C214" s="88"/>
      <c r="D214" s="69"/>
      <c r="E214" s="69"/>
      <c r="F214" s="69"/>
      <c r="G214" s="69"/>
      <c r="H214" s="55"/>
      <c r="I214" s="44"/>
      <c r="J214" s="44"/>
      <c r="K214" s="19" t="str">
        <f aca="false">IF(H214="","",IF(G214="PYG",IF(N(J214)=0,"FALTA TC",H214/J214),H214))</f>
        <v/>
      </c>
      <c r="L214" s="69"/>
      <c r="M214" s="69"/>
      <c r="N214" s="69"/>
    </row>
    <row r="215" customFormat="false" ht="15" hidden="false" customHeight="false" outlineLevel="0" collapsed="false">
      <c r="A215" s="69"/>
      <c r="B215" s="29"/>
      <c r="C215" s="88"/>
      <c r="D215" s="69"/>
      <c r="E215" s="69"/>
      <c r="F215" s="69"/>
      <c r="G215" s="69"/>
      <c r="H215" s="55"/>
      <c r="I215" s="44"/>
      <c r="J215" s="44"/>
      <c r="K215" s="19" t="str">
        <f aca="false">IF(H215="","",IF(G215="PYG",IF(N(J215)=0,"FALTA TC",H215/J215),H215))</f>
        <v/>
      </c>
      <c r="L215" s="69"/>
      <c r="M215" s="69"/>
      <c r="N215" s="69"/>
    </row>
    <row r="216" customFormat="false" ht="15" hidden="false" customHeight="false" outlineLevel="0" collapsed="false">
      <c r="A216" s="69"/>
      <c r="B216" s="29"/>
      <c r="C216" s="88"/>
      <c r="D216" s="69"/>
      <c r="E216" s="69"/>
      <c r="F216" s="69"/>
      <c r="G216" s="69"/>
      <c r="H216" s="55"/>
      <c r="I216" s="44"/>
      <c r="J216" s="44"/>
      <c r="K216" s="19" t="str">
        <f aca="false">IF(H216="","",IF(G216="PYG",IF(N(J216)=0,"FALTA TC",H216/J216),H216))</f>
        <v/>
      </c>
      <c r="L216" s="69"/>
      <c r="M216" s="69"/>
      <c r="N216" s="69"/>
    </row>
    <row r="217" customFormat="false" ht="15" hidden="false" customHeight="false" outlineLevel="0" collapsed="false">
      <c r="A217" s="69"/>
      <c r="B217" s="29"/>
      <c r="C217" s="88"/>
      <c r="D217" s="69"/>
      <c r="E217" s="69"/>
      <c r="F217" s="69"/>
      <c r="G217" s="69"/>
      <c r="H217" s="55"/>
      <c r="I217" s="44"/>
      <c r="J217" s="44"/>
      <c r="K217" s="19" t="str">
        <f aca="false">IF(H217="","",IF(G217="PYG",IF(N(J217)=0,"FALTA TC",H217/J217),H217))</f>
        <v/>
      </c>
      <c r="L217" s="69"/>
      <c r="M217" s="69"/>
      <c r="N217" s="69"/>
    </row>
    <row r="218" customFormat="false" ht="15" hidden="false" customHeight="false" outlineLevel="0" collapsed="false">
      <c r="A218" s="69"/>
      <c r="B218" s="29"/>
      <c r="C218" s="88"/>
      <c r="D218" s="69"/>
      <c r="E218" s="69"/>
      <c r="F218" s="69"/>
      <c r="G218" s="69"/>
      <c r="H218" s="55"/>
      <c r="I218" s="44"/>
      <c r="J218" s="44"/>
      <c r="K218" s="19" t="str">
        <f aca="false">IF(H218="","",IF(G218="PYG",IF(N(J218)=0,"FALTA TC",H218/J218),H218))</f>
        <v/>
      </c>
      <c r="L218" s="69"/>
      <c r="M218" s="69"/>
      <c r="N218" s="69"/>
    </row>
    <row r="219" customFormat="false" ht="15" hidden="false" customHeight="false" outlineLevel="0" collapsed="false">
      <c r="A219" s="69"/>
      <c r="B219" s="29"/>
      <c r="C219" s="88"/>
      <c r="D219" s="69"/>
      <c r="E219" s="69"/>
      <c r="F219" s="69"/>
      <c r="G219" s="69"/>
      <c r="H219" s="55"/>
      <c r="I219" s="44"/>
      <c r="J219" s="44"/>
      <c r="K219" s="19" t="str">
        <f aca="false">IF(H219="","",IF(G219="PYG",IF(N(J219)=0,"FALTA TC",H219/J219),H219))</f>
        <v/>
      </c>
      <c r="L219" s="69"/>
      <c r="M219" s="69"/>
      <c r="N219" s="69"/>
    </row>
    <row r="220" customFormat="false" ht="15" hidden="false" customHeight="false" outlineLevel="0" collapsed="false">
      <c r="A220" s="69"/>
      <c r="B220" s="29"/>
      <c r="C220" s="88"/>
      <c r="D220" s="69"/>
      <c r="E220" s="69"/>
      <c r="F220" s="69"/>
      <c r="G220" s="69"/>
      <c r="H220" s="55"/>
      <c r="I220" s="44"/>
      <c r="J220" s="44"/>
      <c r="K220" s="19" t="str">
        <f aca="false">IF(H220="","",IF(G220="PYG",IF(N(J220)=0,"FALTA TC",H220/J220),H220))</f>
        <v/>
      </c>
      <c r="L220" s="69"/>
      <c r="M220" s="69"/>
      <c r="N220" s="69"/>
    </row>
    <row r="221" customFormat="false" ht="15" hidden="false" customHeight="false" outlineLevel="0" collapsed="false">
      <c r="A221" s="69"/>
      <c r="B221" s="29"/>
      <c r="C221" s="88"/>
      <c r="D221" s="69"/>
      <c r="E221" s="69"/>
      <c r="F221" s="69"/>
      <c r="G221" s="69"/>
      <c r="H221" s="55"/>
      <c r="I221" s="44"/>
      <c r="J221" s="44"/>
      <c r="K221" s="19" t="str">
        <f aca="false">IF(H221="","",IF(G221="PYG",IF(N(J221)=0,"FALTA TC",H221/J221),H221))</f>
        <v/>
      </c>
      <c r="L221" s="69"/>
      <c r="M221" s="69"/>
      <c r="N221" s="69"/>
    </row>
    <row r="222" customFormat="false" ht="15" hidden="false" customHeight="false" outlineLevel="0" collapsed="false">
      <c r="A222" s="69"/>
      <c r="B222" s="29"/>
      <c r="C222" s="88"/>
      <c r="D222" s="69"/>
      <c r="E222" s="69"/>
      <c r="F222" s="69"/>
      <c r="G222" s="69"/>
      <c r="H222" s="55"/>
      <c r="I222" s="44"/>
      <c r="J222" s="44"/>
      <c r="K222" s="19" t="str">
        <f aca="false">IF(H222="","",IF(G222="PYG",IF(N(J222)=0,"FALTA TC",H222/J222),H222))</f>
        <v/>
      </c>
      <c r="L222" s="69"/>
      <c r="M222" s="69"/>
      <c r="N222" s="69"/>
    </row>
    <row r="223" customFormat="false" ht="15" hidden="false" customHeight="false" outlineLevel="0" collapsed="false">
      <c r="A223" s="69"/>
      <c r="B223" s="29"/>
      <c r="C223" s="88"/>
      <c r="D223" s="69"/>
      <c r="E223" s="69"/>
      <c r="F223" s="69"/>
      <c r="G223" s="69"/>
      <c r="H223" s="55"/>
      <c r="I223" s="44"/>
      <c r="J223" s="44"/>
      <c r="K223" s="19" t="str">
        <f aca="false">IF(H223="","",IF(G223="PYG",IF(N(J223)=0,"FALTA TC",H223/J223),H223))</f>
        <v/>
      </c>
      <c r="L223" s="69"/>
      <c r="M223" s="69"/>
      <c r="N223" s="69"/>
    </row>
    <row r="224" customFormat="false" ht="15" hidden="false" customHeight="false" outlineLevel="0" collapsed="false">
      <c r="A224" s="69"/>
      <c r="B224" s="29"/>
      <c r="C224" s="88"/>
      <c r="D224" s="69"/>
      <c r="E224" s="69"/>
      <c r="F224" s="69"/>
      <c r="G224" s="69"/>
      <c r="H224" s="55"/>
      <c r="I224" s="44"/>
      <c r="J224" s="44"/>
      <c r="K224" s="19" t="str">
        <f aca="false">IF(H224="","",IF(G224="PYG",IF(N(J224)=0,"FALTA TC",H224/J224),H224))</f>
        <v/>
      </c>
      <c r="L224" s="69"/>
      <c r="M224" s="69"/>
      <c r="N224" s="69"/>
    </row>
    <row r="225" customFormat="false" ht="15" hidden="false" customHeight="false" outlineLevel="0" collapsed="false">
      <c r="A225" s="69"/>
      <c r="B225" s="29"/>
      <c r="C225" s="88"/>
      <c r="D225" s="69"/>
      <c r="E225" s="69"/>
      <c r="F225" s="69"/>
      <c r="G225" s="69"/>
      <c r="H225" s="55"/>
      <c r="I225" s="44"/>
      <c r="J225" s="44"/>
      <c r="K225" s="19" t="str">
        <f aca="false">IF(H225="","",IF(G225="PYG",IF(N(J225)=0,"FALTA TC",H225/J225),H225))</f>
        <v/>
      </c>
      <c r="L225" s="69"/>
      <c r="M225" s="69"/>
      <c r="N225" s="69"/>
    </row>
    <row r="226" customFormat="false" ht="15" hidden="false" customHeight="false" outlineLevel="0" collapsed="false">
      <c r="A226" s="69"/>
      <c r="B226" s="29"/>
      <c r="C226" s="88"/>
      <c r="D226" s="69"/>
      <c r="E226" s="69"/>
      <c r="F226" s="69"/>
      <c r="G226" s="69"/>
      <c r="H226" s="55"/>
      <c r="I226" s="44"/>
      <c r="J226" s="44"/>
      <c r="K226" s="19" t="str">
        <f aca="false">IF(H226="","",IF(G226="PYG",IF(N(J226)=0,"FALTA TC",H226/J226),H226))</f>
        <v/>
      </c>
      <c r="L226" s="69"/>
      <c r="M226" s="69"/>
      <c r="N226" s="69"/>
    </row>
    <row r="227" customFormat="false" ht="15" hidden="false" customHeight="false" outlineLevel="0" collapsed="false">
      <c r="A227" s="69"/>
      <c r="B227" s="29"/>
      <c r="C227" s="88"/>
      <c r="D227" s="69"/>
      <c r="E227" s="69"/>
      <c r="F227" s="69"/>
      <c r="G227" s="69"/>
      <c r="H227" s="55"/>
      <c r="I227" s="44"/>
      <c r="J227" s="44"/>
      <c r="K227" s="19" t="str">
        <f aca="false">IF(H227="","",IF(G227="PYG",IF(N(J227)=0,"FALTA TC",H227/J227),H227))</f>
        <v/>
      </c>
      <c r="L227" s="69"/>
      <c r="M227" s="69"/>
      <c r="N227" s="69"/>
    </row>
    <row r="228" customFormat="false" ht="15" hidden="false" customHeight="false" outlineLevel="0" collapsed="false">
      <c r="A228" s="69"/>
      <c r="B228" s="29"/>
      <c r="C228" s="88"/>
      <c r="D228" s="69"/>
      <c r="E228" s="69"/>
      <c r="F228" s="69"/>
      <c r="G228" s="69"/>
      <c r="H228" s="55"/>
      <c r="I228" s="44"/>
      <c r="J228" s="44"/>
      <c r="K228" s="19" t="str">
        <f aca="false">IF(H228="","",IF(G228="PYG",IF(N(J228)=0,"FALTA TC",H228/J228),H228))</f>
        <v/>
      </c>
      <c r="L228" s="69"/>
      <c r="M228" s="69"/>
      <c r="N228" s="69"/>
    </row>
    <row r="229" customFormat="false" ht="15" hidden="false" customHeight="false" outlineLevel="0" collapsed="false">
      <c r="A229" s="69"/>
      <c r="B229" s="29"/>
      <c r="C229" s="88"/>
      <c r="D229" s="69"/>
      <c r="E229" s="69"/>
      <c r="F229" s="69"/>
      <c r="G229" s="69"/>
      <c r="H229" s="55"/>
      <c r="I229" s="44"/>
      <c r="J229" s="44"/>
      <c r="K229" s="19" t="str">
        <f aca="false">IF(H229="","",IF(G229="PYG",IF(N(J229)=0,"FALTA TC",H229/J229),H229))</f>
        <v/>
      </c>
      <c r="L229" s="69"/>
      <c r="M229" s="69"/>
      <c r="N229" s="69"/>
    </row>
    <row r="230" customFormat="false" ht="15" hidden="false" customHeight="false" outlineLevel="0" collapsed="false">
      <c r="A230" s="69"/>
      <c r="B230" s="29"/>
      <c r="C230" s="88"/>
      <c r="D230" s="69"/>
      <c r="E230" s="69"/>
      <c r="F230" s="69"/>
      <c r="G230" s="69"/>
      <c r="H230" s="55"/>
      <c r="I230" s="44"/>
      <c r="J230" s="44"/>
      <c r="K230" s="19" t="str">
        <f aca="false">IF(H230="","",IF(G230="PYG",IF(N(J230)=0,"FALTA TC",H230/J230),H230))</f>
        <v/>
      </c>
      <c r="L230" s="69"/>
      <c r="M230" s="69"/>
      <c r="N230" s="69"/>
    </row>
    <row r="231" customFormat="false" ht="15" hidden="false" customHeight="false" outlineLevel="0" collapsed="false">
      <c r="A231" s="69"/>
      <c r="B231" s="29"/>
      <c r="C231" s="88"/>
      <c r="D231" s="69"/>
      <c r="E231" s="69"/>
      <c r="F231" s="69"/>
      <c r="G231" s="69"/>
      <c r="H231" s="55"/>
      <c r="I231" s="44"/>
      <c r="J231" s="44"/>
      <c r="K231" s="19" t="str">
        <f aca="false">IF(H231="","",IF(G231="PYG",IF(N(J231)=0,"FALTA TC",H231/J231),H231))</f>
        <v/>
      </c>
      <c r="L231" s="69"/>
      <c r="M231" s="69"/>
      <c r="N231" s="69"/>
    </row>
    <row r="232" customFormat="false" ht="15" hidden="false" customHeight="false" outlineLevel="0" collapsed="false">
      <c r="A232" s="69"/>
      <c r="B232" s="29"/>
      <c r="C232" s="88"/>
      <c r="D232" s="69"/>
      <c r="E232" s="69"/>
      <c r="F232" s="69"/>
      <c r="G232" s="69"/>
      <c r="H232" s="55"/>
      <c r="I232" s="44"/>
      <c r="J232" s="44"/>
      <c r="K232" s="19" t="str">
        <f aca="false">IF(H232="","",IF(G232="PYG",IF(N(J232)=0,"FALTA TC",H232/J232),H232))</f>
        <v/>
      </c>
      <c r="L232" s="69"/>
      <c r="M232" s="69"/>
      <c r="N232" s="69"/>
    </row>
    <row r="233" customFormat="false" ht="15" hidden="false" customHeight="false" outlineLevel="0" collapsed="false">
      <c r="A233" s="69"/>
      <c r="B233" s="29"/>
      <c r="C233" s="88"/>
      <c r="D233" s="69"/>
      <c r="E233" s="69"/>
      <c r="F233" s="69"/>
      <c r="G233" s="69"/>
      <c r="H233" s="55"/>
      <c r="I233" s="44"/>
      <c r="J233" s="44"/>
      <c r="K233" s="19" t="str">
        <f aca="false">IF(H233="","",IF(G233="PYG",IF(N(J233)=0,"FALTA TC",H233/J233),H233))</f>
        <v/>
      </c>
      <c r="L233" s="69"/>
      <c r="M233" s="69"/>
      <c r="N233" s="69"/>
    </row>
    <row r="234" customFormat="false" ht="15" hidden="false" customHeight="false" outlineLevel="0" collapsed="false">
      <c r="A234" s="69"/>
      <c r="B234" s="29"/>
      <c r="C234" s="88"/>
      <c r="D234" s="69"/>
      <c r="E234" s="69"/>
      <c r="F234" s="69"/>
      <c r="G234" s="69"/>
      <c r="H234" s="55"/>
      <c r="I234" s="44"/>
      <c r="J234" s="44"/>
      <c r="K234" s="19" t="str">
        <f aca="false">IF(H234="","",IF(G234="PYG",IF(N(J234)=0,"FALTA TC",H234/J234),H234))</f>
        <v/>
      </c>
      <c r="L234" s="69"/>
      <c r="M234" s="69"/>
      <c r="N234" s="69"/>
    </row>
    <row r="235" customFormat="false" ht="15" hidden="false" customHeight="false" outlineLevel="0" collapsed="false">
      <c r="A235" s="69"/>
      <c r="B235" s="29"/>
      <c r="C235" s="88"/>
      <c r="D235" s="69"/>
      <c r="E235" s="69"/>
      <c r="F235" s="69"/>
      <c r="G235" s="69"/>
      <c r="H235" s="55"/>
      <c r="I235" s="44"/>
      <c r="J235" s="44"/>
      <c r="K235" s="19" t="str">
        <f aca="false">IF(H235="","",IF(G235="PYG",IF(N(J235)=0,"FALTA TC",H235/J235),H235))</f>
        <v/>
      </c>
      <c r="L235" s="69"/>
      <c r="M235" s="69"/>
      <c r="N235" s="69"/>
    </row>
    <row r="236" customFormat="false" ht="15" hidden="false" customHeight="false" outlineLevel="0" collapsed="false">
      <c r="A236" s="69"/>
      <c r="B236" s="29"/>
      <c r="C236" s="88"/>
      <c r="D236" s="69"/>
      <c r="E236" s="69"/>
      <c r="F236" s="69"/>
      <c r="G236" s="69"/>
      <c r="H236" s="55"/>
      <c r="I236" s="44"/>
      <c r="J236" s="44"/>
      <c r="K236" s="19" t="str">
        <f aca="false">IF(H236="","",IF(G236="PYG",IF(N(J236)=0,"FALTA TC",H236/J236),H236))</f>
        <v/>
      </c>
      <c r="L236" s="69"/>
      <c r="M236" s="69"/>
      <c r="N236" s="69"/>
    </row>
    <row r="237" customFormat="false" ht="15" hidden="false" customHeight="false" outlineLevel="0" collapsed="false">
      <c r="A237" s="69"/>
      <c r="B237" s="29"/>
      <c r="C237" s="88"/>
      <c r="D237" s="69"/>
      <c r="E237" s="69"/>
      <c r="F237" s="69"/>
      <c r="G237" s="69"/>
      <c r="H237" s="55"/>
      <c r="I237" s="44"/>
      <c r="J237" s="44"/>
      <c r="K237" s="19" t="str">
        <f aca="false">IF(H237="","",IF(G237="PYG",IF(N(J237)=0,"FALTA TC",H237/J237),H237))</f>
        <v/>
      </c>
      <c r="L237" s="69"/>
      <c r="M237" s="69"/>
      <c r="N237" s="69"/>
    </row>
    <row r="238" customFormat="false" ht="15" hidden="false" customHeight="false" outlineLevel="0" collapsed="false">
      <c r="A238" s="69"/>
      <c r="B238" s="29"/>
      <c r="C238" s="88"/>
      <c r="D238" s="69"/>
      <c r="E238" s="69"/>
      <c r="F238" s="69"/>
      <c r="G238" s="69"/>
      <c r="H238" s="55"/>
      <c r="I238" s="44"/>
      <c r="J238" s="44"/>
      <c r="K238" s="19" t="str">
        <f aca="false">IF(H238="","",IF(G238="PYG",IF(N(J238)=0,"FALTA TC",H238/J238),H238))</f>
        <v/>
      </c>
      <c r="L238" s="69"/>
      <c r="M238" s="69"/>
      <c r="N238" s="69"/>
    </row>
    <row r="239" customFormat="false" ht="15" hidden="false" customHeight="false" outlineLevel="0" collapsed="false">
      <c r="A239" s="69"/>
      <c r="B239" s="29"/>
      <c r="C239" s="88"/>
      <c r="D239" s="69"/>
      <c r="E239" s="69"/>
      <c r="F239" s="69"/>
      <c r="G239" s="69"/>
      <c r="H239" s="55"/>
      <c r="I239" s="44"/>
      <c r="J239" s="44"/>
      <c r="K239" s="19" t="str">
        <f aca="false">IF(H239="","",IF(G239="PYG",IF(N(J239)=0,"FALTA TC",H239/J239),H239))</f>
        <v/>
      </c>
      <c r="L239" s="69"/>
      <c r="M239" s="69"/>
      <c r="N239" s="69"/>
    </row>
    <row r="240" customFormat="false" ht="15" hidden="false" customHeight="false" outlineLevel="0" collapsed="false">
      <c r="A240" s="69"/>
      <c r="B240" s="29"/>
      <c r="C240" s="88"/>
      <c r="D240" s="69"/>
      <c r="E240" s="69"/>
      <c r="F240" s="69"/>
      <c r="G240" s="69"/>
      <c r="H240" s="55"/>
      <c r="I240" s="44"/>
      <c r="J240" s="44"/>
      <c r="K240" s="19" t="str">
        <f aca="false">IF(H240="","",IF(G240="PYG",IF(N(J240)=0,"FALTA TC",H240/J240),H240))</f>
        <v/>
      </c>
      <c r="L240" s="69"/>
      <c r="M240" s="69"/>
      <c r="N240" s="69"/>
    </row>
    <row r="241" customFormat="false" ht="15" hidden="false" customHeight="false" outlineLevel="0" collapsed="false">
      <c r="A241" s="69"/>
      <c r="B241" s="29"/>
      <c r="C241" s="88"/>
      <c r="D241" s="69"/>
      <c r="E241" s="69"/>
      <c r="F241" s="69"/>
      <c r="G241" s="69"/>
      <c r="H241" s="55"/>
      <c r="I241" s="44"/>
      <c r="J241" s="44"/>
      <c r="K241" s="19" t="str">
        <f aca="false">IF(H241="","",IF(G241="PYG",IF(N(J241)=0,"FALTA TC",H241/J241),H241))</f>
        <v/>
      </c>
      <c r="L241" s="69"/>
      <c r="M241" s="69"/>
      <c r="N241" s="69"/>
    </row>
    <row r="242" customFormat="false" ht="15" hidden="false" customHeight="false" outlineLevel="0" collapsed="false">
      <c r="A242" s="69"/>
      <c r="B242" s="29"/>
      <c r="C242" s="88"/>
      <c r="D242" s="69"/>
      <c r="E242" s="69"/>
      <c r="F242" s="69"/>
      <c r="G242" s="69"/>
      <c r="H242" s="55"/>
      <c r="I242" s="44"/>
      <c r="J242" s="44"/>
      <c r="K242" s="19" t="str">
        <f aca="false">IF(H242="","",IF(G242="PYG",IF(N(J242)=0,"FALTA TC",H242/J242),H242))</f>
        <v/>
      </c>
      <c r="L242" s="69"/>
      <c r="M242" s="69"/>
      <c r="N242" s="69"/>
    </row>
    <row r="243" customFormat="false" ht="15" hidden="false" customHeight="false" outlineLevel="0" collapsed="false">
      <c r="A243" s="69"/>
      <c r="B243" s="29"/>
      <c r="C243" s="88"/>
      <c r="D243" s="69"/>
      <c r="E243" s="69"/>
      <c r="F243" s="69"/>
      <c r="G243" s="69"/>
      <c r="H243" s="55"/>
      <c r="I243" s="44"/>
      <c r="J243" s="44"/>
      <c r="K243" s="19" t="str">
        <f aca="false">IF(H243="","",IF(G243="PYG",IF(N(J243)=0,"FALTA TC",H243/J243),H243))</f>
        <v/>
      </c>
      <c r="L243" s="69"/>
      <c r="M243" s="69"/>
      <c r="N243" s="69"/>
    </row>
    <row r="244" customFormat="false" ht="15" hidden="false" customHeight="false" outlineLevel="0" collapsed="false">
      <c r="A244" s="69"/>
      <c r="B244" s="29"/>
      <c r="C244" s="88"/>
      <c r="D244" s="69"/>
      <c r="E244" s="69"/>
      <c r="F244" s="69"/>
      <c r="G244" s="69"/>
      <c r="H244" s="55"/>
      <c r="I244" s="44"/>
      <c r="J244" s="44"/>
      <c r="K244" s="19" t="str">
        <f aca="false">IF(H244="","",IF(G244="PYG",IF(N(J244)=0,"FALTA TC",H244/J244),H244))</f>
        <v/>
      </c>
      <c r="L244" s="69"/>
      <c r="M244" s="69"/>
      <c r="N244" s="69"/>
    </row>
    <row r="245" customFormat="false" ht="15" hidden="false" customHeight="false" outlineLevel="0" collapsed="false">
      <c r="A245" s="69"/>
      <c r="B245" s="29"/>
      <c r="C245" s="88"/>
      <c r="D245" s="69"/>
      <c r="E245" s="69"/>
      <c r="F245" s="69"/>
      <c r="G245" s="69"/>
      <c r="H245" s="55"/>
      <c r="I245" s="44"/>
      <c r="J245" s="44"/>
      <c r="K245" s="19" t="str">
        <f aca="false">IF(H245="","",IF(G245="PYG",IF(N(J245)=0,"FALTA TC",H245/J245),H245))</f>
        <v/>
      </c>
      <c r="L245" s="69"/>
      <c r="M245" s="69"/>
      <c r="N245" s="69"/>
    </row>
    <row r="246" customFormat="false" ht="15" hidden="false" customHeight="false" outlineLevel="0" collapsed="false">
      <c r="A246" s="69"/>
      <c r="B246" s="29"/>
      <c r="C246" s="88"/>
      <c r="D246" s="69"/>
      <c r="E246" s="69"/>
      <c r="F246" s="69"/>
      <c r="G246" s="69"/>
      <c r="H246" s="55"/>
      <c r="I246" s="44"/>
      <c r="J246" s="44"/>
      <c r="K246" s="19" t="str">
        <f aca="false">IF(H246="","",IF(G246="PYG",IF(N(J246)=0,"FALTA TC",H246/J246),H246))</f>
        <v/>
      </c>
      <c r="L246" s="69"/>
      <c r="M246" s="69"/>
      <c r="N246" s="69"/>
    </row>
    <row r="247" customFormat="false" ht="15" hidden="false" customHeight="false" outlineLevel="0" collapsed="false">
      <c r="A247" s="69"/>
      <c r="B247" s="29"/>
      <c r="C247" s="88"/>
      <c r="D247" s="69"/>
      <c r="E247" s="69"/>
      <c r="F247" s="69"/>
      <c r="G247" s="69"/>
      <c r="H247" s="55"/>
      <c r="I247" s="44"/>
      <c r="J247" s="44"/>
      <c r="K247" s="19" t="str">
        <f aca="false">IF(H247="","",IF(G247="PYG",IF(N(J247)=0,"FALTA TC",H247/J247),H247))</f>
        <v/>
      </c>
      <c r="L247" s="69"/>
      <c r="M247" s="69"/>
      <c r="N247" s="69"/>
    </row>
    <row r="248" customFormat="false" ht="15" hidden="false" customHeight="false" outlineLevel="0" collapsed="false">
      <c r="A248" s="69"/>
      <c r="B248" s="29"/>
      <c r="C248" s="88"/>
      <c r="D248" s="69"/>
      <c r="E248" s="69"/>
      <c r="F248" s="69"/>
      <c r="G248" s="69"/>
      <c r="H248" s="55"/>
      <c r="I248" s="44"/>
      <c r="J248" s="44"/>
      <c r="K248" s="19" t="str">
        <f aca="false">IF(H248="","",IF(G248="PYG",IF(N(J248)=0,"FALTA TC",H248/J248),H248))</f>
        <v/>
      </c>
      <c r="L248" s="69"/>
      <c r="M248" s="69"/>
      <c r="N248" s="69"/>
    </row>
    <row r="249" customFormat="false" ht="15" hidden="false" customHeight="false" outlineLevel="0" collapsed="false">
      <c r="A249" s="69"/>
      <c r="B249" s="29"/>
      <c r="C249" s="88"/>
      <c r="D249" s="69"/>
      <c r="E249" s="69"/>
      <c r="F249" s="69"/>
      <c r="G249" s="69"/>
      <c r="H249" s="55"/>
      <c r="I249" s="44"/>
      <c r="J249" s="44"/>
      <c r="K249" s="19" t="str">
        <f aca="false">IF(H249="","",IF(G249="PYG",IF(N(J249)=0,"FALTA TC",H249/J249),H249))</f>
        <v/>
      </c>
      <c r="L249" s="69"/>
      <c r="M249" s="69"/>
      <c r="N249" s="69"/>
    </row>
    <row r="250" customFormat="false" ht="15" hidden="false" customHeight="false" outlineLevel="0" collapsed="false">
      <c r="A250" s="69"/>
      <c r="B250" s="29"/>
      <c r="C250" s="88"/>
      <c r="D250" s="69"/>
      <c r="E250" s="69"/>
      <c r="F250" s="69"/>
      <c r="G250" s="69"/>
      <c r="H250" s="55"/>
      <c r="I250" s="44"/>
      <c r="J250" s="44"/>
      <c r="K250" s="19" t="str">
        <f aca="false">IF(H250="","",IF(G250="PYG",IF(N(J250)=0,"FALTA TC",H250/J250),H250))</f>
        <v/>
      </c>
      <c r="L250" s="69"/>
      <c r="M250" s="69"/>
      <c r="N250" s="69"/>
    </row>
    <row r="251" customFormat="false" ht="15" hidden="false" customHeight="false" outlineLevel="0" collapsed="false">
      <c r="A251" s="69"/>
      <c r="B251" s="29"/>
      <c r="C251" s="88"/>
      <c r="D251" s="69"/>
      <c r="E251" s="69"/>
      <c r="F251" s="69"/>
      <c r="G251" s="69"/>
      <c r="H251" s="55"/>
      <c r="I251" s="44"/>
      <c r="J251" s="44"/>
      <c r="K251" s="19" t="str">
        <f aca="false">IF(H251="","",IF(G251="PYG",IF(N(J251)=0,"FALTA TC",H251/J251),H251))</f>
        <v/>
      </c>
      <c r="L251" s="69"/>
      <c r="M251" s="69"/>
      <c r="N251" s="69"/>
    </row>
    <row r="252" customFormat="false" ht="15" hidden="false" customHeight="false" outlineLevel="0" collapsed="false">
      <c r="A252" s="69"/>
      <c r="B252" s="29"/>
      <c r="C252" s="88"/>
      <c r="D252" s="69"/>
      <c r="E252" s="69"/>
      <c r="F252" s="69"/>
      <c r="G252" s="69"/>
      <c r="H252" s="55"/>
      <c r="I252" s="44"/>
      <c r="J252" s="44"/>
      <c r="K252" s="19" t="str">
        <f aca="false">IF(H252="","",IF(G252="PYG",IF(N(J252)=0,"FALTA TC",H252/J252),H252))</f>
        <v/>
      </c>
      <c r="L252" s="69"/>
      <c r="M252" s="69"/>
      <c r="N252" s="69"/>
    </row>
    <row r="253" customFormat="false" ht="15" hidden="false" customHeight="false" outlineLevel="0" collapsed="false">
      <c r="A253" s="69"/>
      <c r="B253" s="29"/>
      <c r="C253" s="88"/>
      <c r="D253" s="69"/>
      <c r="E253" s="69"/>
      <c r="F253" s="69"/>
      <c r="G253" s="69"/>
      <c r="H253" s="55"/>
      <c r="I253" s="44"/>
      <c r="J253" s="44"/>
      <c r="K253" s="19" t="str">
        <f aca="false">IF(H253="","",IF(G253="PYG",IF(N(J253)=0,"FALTA TC",H253/J253),H253))</f>
        <v/>
      </c>
      <c r="L253" s="69"/>
      <c r="M253" s="69"/>
      <c r="N253" s="69"/>
    </row>
    <row r="254" customFormat="false" ht="15" hidden="false" customHeight="false" outlineLevel="0" collapsed="false">
      <c r="A254" s="69"/>
      <c r="B254" s="29"/>
      <c r="C254" s="88"/>
      <c r="D254" s="69"/>
      <c r="E254" s="69"/>
      <c r="F254" s="69"/>
      <c r="G254" s="69"/>
      <c r="H254" s="55"/>
      <c r="I254" s="44"/>
      <c r="J254" s="44"/>
      <c r="K254" s="19" t="str">
        <f aca="false">IF(H254="","",IF(G254="PYG",IF(N(J254)=0,"FALTA TC",H254/J254),H254))</f>
        <v/>
      </c>
      <c r="L254" s="69"/>
      <c r="M254" s="69"/>
      <c r="N254" s="69"/>
    </row>
    <row r="255" customFormat="false" ht="15" hidden="false" customHeight="false" outlineLevel="0" collapsed="false">
      <c r="A255" s="69"/>
      <c r="B255" s="29"/>
      <c r="C255" s="88"/>
      <c r="D255" s="69"/>
      <c r="E255" s="69"/>
      <c r="F255" s="69"/>
      <c r="G255" s="69"/>
      <c r="H255" s="55"/>
      <c r="I255" s="44"/>
      <c r="J255" s="44"/>
      <c r="K255" s="19" t="str">
        <f aca="false">IF(H255="","",IF(G255="PYG",IF(N(J255)=0,"FALTA TC",H255/J255),H255))</f>
        <v/>
      </c>
      <c r="L255" s="69"/>
      <c r="M255" s="69"/>
      <c r="N255" s="69"/>
    </row>
    <row r="256" customFormat="false" ht="15" hidden="false" customHeight="false" outlineLevel="0" collapsed="false">
      <c r="A256" s="69"/>
      <c r="B256" s="29"/>
      <c r="C256" s="88"/>
      <c r="D256" s="69"/>
      <c r="E256" s="69"/>
      <c r="F256" s="69"/>
      <c r="G256" s="69"/>
      <c r="H256" s="55"/>
      <c r="I256" s="44"/>
      <c r="J256" s="44"/>
      <c r="K256" s="19" t="str">
        <f aca="false">IF(H256="","",IF(G256="PYG",IF(N(J256)=0,"FALTA TC",H256/J256),H256))</f>
        <v/>
      </c>
      <c r="L256" s="69"/>
      <c r="M256" s="69"/>
      <c r="N256" s="69"/>
    </row>
    <row r="257" customFormat="false" ht="15" hidden="false" customHeight="false" outlineLevel="0" collapsed="false">
      <c r="A257" s="69"/>
      <c r="B257" s="29"/>
      <c r="C257" s="88"/>
      <c r="D257" s="69"/>
      <c r="E257" s="69"/>
      <c r="F257" s="69"/>
      <c r="G257" s="69"/>
      <c r="H257" s="55"/>
      <c r="I257" s="44"/>
      <c r="J257" s="44"/>
      <c r="K257" s="19" t="str">
        <f aca="false">IF(H257="","",IF(G257="PYG",IF(N(J257)=0,"FALTA TC",H257/J257),H257))</f>
        <v/>
      </c>
      <c r="L257" s="69"/>
      <c r="M257" s="69"/>
      <c r="N257" s="69"/>
    </row>
    <row r="258" customFormat="false" ht="15" hidden="false" customHeight="false" outlineLevel="0" collapsed="false">
      <c r="A258" s="69"/>
      <c r="B258" s="29"/>
      <c r="C258" s="88"/>
      <c r="D258" s="69"/>
      <c r="E258" s="69"/>
      <c r="F258" s="69"/>
      <c r="G258" s="69"/>
      <c r="H258" s="55"/>
      <c r="I258" s="44"/>
      <c r="J258" s="44"/>
      <c r="K258" s="19" t="str">
        <f aca="false">IF(H258="","",IF(G258="PYG",IF(N(J258)=0,"FALTA TC",H258/J258),H258))</f>
        <v/>
      </c>
      <c r="L258" s="69"/>
      <c r="M258" s="69"/>
      <c r="N258" s="69"/>
    </row>
    <row r="259" customFormat="false" ht="15" hidden="false" customHeight="false" outlineLevel="0" collapsed="false">
      <c r="A259" s="69"/>
      <c r="B259" s="29"/>
      <c r="C259" s="88"/>
      <c r="D259" s="69"/>
      <c r="E259" s="69"/>
      <c r="F259" s="69"/>
      <c r="G259" s="69"/>
      <c r="H259" s="55"/>
      <c r="I259" s="44"/>
      <c r="J259" s="44"/>
      <c r="K259" s="19" t="str">
        <f aca="false">IF(H259="","",IF(G259="PYG",IF(N(J259)=0,"FALTA TC",H259/J259),H259))</f>
        <v/>
      </c>
      <c r="L259" s="69"/>
      <c r="M259" s="69"/>
      <c r="N259" s="69"/>
    </row>
    <row r="260" customFormat="false" ht="15" hidden="false" customHeight="false" outlineLevel="0" collapsed="false">
      <c r="A260" s="69"/>
      <c r="B260" s="29"/>
      <c r="C260" s="88"/>
      <c r="D260" s="69"/>
      <c r="E260" s="69"/>
      <c r="F260" s="69"/>
      <c r="G260" s="69"/>
      <c r="H260" s="55"/>
      <c r="I260" s="44"/>
      <c r="J260" s="44"/>
      <c r="K260" s="19" t="str">
        <f aca="false">IF(H260="","",IF(G260="PYG",IF(N(J260)=0,"FALTA TC",H260/J260),H260))</f>
        <v/>
      </c>
      <c r="L260" s="69"/>
      <c r="M260" s="69"/>
      <c r="N260" s="69"/>
    </row>
    <row r="261" customFormat="false" ht="15" hidden="false" customHeight="false" outlineLevel="0" collapsed="false">
      <c r="A261" s="69"/>
      <c r="B261" s="29"/>
      <c r="C261" s="88"/>
      <c r="D261" s="69"/>
      <c r="E261" s="69"/>
      <c r="F261" s="69"/>
      <c r="G261" s="69"/>
      <c r="H261" s="55"/>
      <c r="I261" s="44"/>
      <c r="J261" s="44"/>
      <c r="K261" s="19" t="str">
        <f aca="false">IF(H261="","",IF(G261="PYG",IF(N(J261)=0,"FALTA TC",H261/J261),H261))</f>
        <v/>
      </c>
      <c r="L261" s="69"/>
      <c r="M261" s="69"/>
      <c r="N261" s="69"/>
    </row>
    <row r="262" customFormat="false" ht="15" hidden="false" customHeight="false" outlineLevel="0" collapsed="false">
      <c r="A262" s="69"/>
      <c r="B262" s="29"/>
      <c r="C262" s="88"/>
      <c r="D262" s="69"/>
      <c r="E262" s="69"/>
      <c r="F262" s="69"/>
      <c r="G262" s="69"/>
      <c r="H262" s="55"/>
      <c r="I262" s="44"/>
      <c r="J262" s="44"/>
      <c r="K262" s="19" t="str">
        <f aca="false">IF(H262="","",IF(G262="PYG",IF(N(J262)=0,"FALTA TC",H262/J262),H262))</f>
        <v/>
      </c>
      <c r="L262" s="69"/>
      <c r="M262" s="69"/>
      <c r="N262" s="69"/>
    </row>
    <row r="263" customFormat="false" ht="15" hidden="false" customHeight="false" outlineLevel="0" collapsed="false">
      <c r="A263" s="69"/>
      <c r="B263" s="29"/>
      <c r="C263" s="88"/>
      <c r="D263" s="69"/>
      <c r="E263" s="69"/>
      <c r="F263" s="69"/>
      <c r="G263" s="69"/>
      <c r="H263" s="55"/>
      <c r="I263" s="44"/>
      <c r="J263" s="44"/>
      <c r="K263" s="19" t="str">
        <f aca="false">IF(H263="","",IF(G263="PYG",IF(N(J263)=0,"FALTA TC",H263/J263),H263))</f>
        <v/>
      </c>
      <c r="L263" s="69"/>
      <c r="M263" s="69"/>
      <c r="N263" s="69"/>
    </row>
    <row r="264" customFormat="false" ht="15" hidden="false" customHeight="false" outlineLevel="0" collapsed="false">
      <c r="A264" s="69"/>
      <c r="B264" s="29"/>
      <c r="C264" s="88"/>
      <c r="D264" s="69"/>
      <c r="E264" s="69"/>
      <c r="F264" s="69"/>
      <c r="G264" s="69"/>
      <c r="H264" s="55"/>
      <c r="I264" s="44"/>
      <c r="J264" s="44"/>
      <c r="K264" s="19" t="str">
        <f aca="false">IF(H264="","",IF(G264="PYG",IF(N(J264)=0,"FALTA TC",H264/J264),H264))</f>
        <v/>
      </c>
      <c r="L264" s="69"/>
      <c r="M264" s="69"/>
      <c r="N264" s="69"/>
    </row>
    <row r="265" customFormat="false" ht="15" hidden="false" customHeight="false" outlineLevel="0" collapsed="false">
      <c r="A265" s="69"/>
      <c r="B265" s="29"/>
      <c r="C265" s="88"/>
      <c r="D265" s="69"/>
      <c r="E265" s="69"/>
      <c r="F265" s="69"/>
      <c r="G265" s="69"/>
      <c r="H265" s="55"/>
      <c r="I265" s="44"/>
      <c r="J265" s="44"/>
      <c r="K265" s="19" t="str">
        <f aca="false">IF(H265="","",IF(G265="PYG",IF(N(J265)=0,"FALTA TC",H265/J265),H265))</f>
        <v/>
      </c>
      <c r="L265" s="69"/>
      <c r="M265" s="69"/>
      <c r="N265" s="69"/>
    </row>
    <row r="266" customFormat="false" ht="15" hidden="false" customHeight="false" outlineLevel="0" collapsed="false">
      <c r="A266" s="69"/>
      <c r="B266" s="29"/>
      <c r="C266" s="88"/>
      <c r="D266" s="69"/>
      <c r="E266" s="69"/>
      <c r="F266" s="69"/>
      <c r="G266" s="69"/>
      <c r="H266" s="55"/>
      <c r="I266" s="44"/>
      <c r="J266" s="44"/>
      <c r="K266" s="19" t="str">
        <f aca="false">IF(H266="","",IF(G266="PYG",IF(N(J266)=0,"FALTA TC",H266/J266),H266))</f>
        <v/>
      </c>
      <c r="L266" s="69"/>
      <c r="M266" s="69"/>
      <c r="N266" s="69"/>
    </row>
    <row r="267" customFormat="false" ht="15" hidden="false" customHeight="false" outlineLevel="0" collapsed="false">
      <c r="A267" s="69"/>
      <c r="B267" s="29"/>
      <c r="C267" s="88"/>
      <c r="D267" s="69"/>
      <c r="E267" s="69"/>
      <c r="F267" s="69"/>
      <c r="G267" s="69"/>
      <c r="H267" s="55"/>
      <c r="I267" s="44"/>
      <c r="J267" s="44"/>
      <c r="K267" s="19" t="str">
        <f aca="false">IF(H267="","",IF(G267="PYG",IF(N(J267)=0,"FALTA TC",H267/J267),H267))</f>
        <v/>
      </c>
      <c r="L267" s="69"/>
      <c r="M267" s="69"/>
      <c r="N267" s="69"/>
    </row>
    <row r="268" customFormat="false" ht="15" hidden="false" customHeight="false" outlineLevel="0" collapsed="false">
      <c r="A268" s="69"/>
      <c r="B268" s="29"/>
      <c r="C268" s="88"/>
      <c r="D268" s="69"/>
      <c r="E268" s="69"/>
      <c r="F268" s="69"/>
      <c r="G268" s="69"/>
      <c r="H268" s="55"/>
      <c r="I268" s="44"/>
      <c r="J268" s="44"/>
      <c r="K268" s="19" t="str">
        <f aca="false">IF(H268="","",IF(G268="PYG",IF(N(J268)=0,"FALTA TC",H268/J268),H268))</f>
        <v/>
      </c>
      <c r="L268" s="69"/>
      <c r="M268" s="69"/>
      <c r="N268" s="69"/>
    </row>
    <row r="269" customFormat="false" ht="15" hidden="false" customHeight="false" outlineLevel="0" collapsed="false">
      <c r="A269" s="69"/>
      <c r="B269" s="29"/>
      <c r="C269" s="88"/>
      <c r="D269" s="69"/>
      <c r="E269" s="69"/>
      <c r="F269" s="69"/>
      <c r="G269" s="69"/>
      <c r="H269" s="55"/>
      <c r="I269" s="44"/>
      <c r="J269" s="44"/>
      <c r="K269" s="19" t="str">
        <f aca="false">IF(H269="","",IF(G269="PYG",IF(N(J269)=0,"FALTA TC",H269/J269),H269))</f>
        <v/>
      </c>
      <c r="L269" s="69"/>
      <c r="M269" s="69"/>
      <c r="N269" s="69"/>
    </row>
    <row r="270" customFormat="false" ht="15" hidden="false" customHeight="false" outlineLevel="0" collapsed="false">
      <c r="A270" s="69"/>
      <c r="B270" s="29"/>
      <c r="C270" s="88"/>
      <c r="D270" s="69"/>
      <c r="E270" s="69"/>
      <c r="F270" s="69"/>
      <c r="G270" s="69"/>
      <c r="H270" s="55"/>
      <c r="I270" s="44"/>
      <c r="J270" s="44"/>
      <c r="K270" s="19" t="str">
        <f aca="false">IF(H270="","",IF(G270="PYG",IF(N(J270)=0,"FALTA TC",H270/J270),H270))</f>
        <v/>
      </c>
      <c r="L270" s="69"/>
      <c r="M270" s="69"/>
      <c r="N270" s="69"/>
    </row>
    <row r="271" customFormat="false" ht="15" hidden="false" customHeight="false" outlineLevel="0" collapsed="false">
      <c r="A271" s="69"/>
      <c r="B271" s="29"/>
      <c r="C271" s="88"/>
      <c r="D271" s="69"/>
      <c r="E271" s="69"/>
      <c r="F271" s="69"/>
      <c r="G271" s="69"/>
      <c r="H271" s="55"/>
      <c r="I271" s="44"/>
      <c r="J271" s="44"/>
      <c r="K271" s="19" t="str">
        <f aca="false">IF(H271="","",IF(G271="PYG",IF(N(J271)=0,"FALTA TC",H271/J271),H271))</f>
        <v/>
      </c>
      <c r="L271" s="69"/>
      <c r="M271" s="69"/>
      <c r="N271" s="69"/>
    </row>
    <row r="272" customFormat="false" ht="15" hidden="false" customHeight="false" outlineLevel="0" collapsed="false">
      <c r="A272" s="69"/>
      <c r="B272" s="29"/>
      <c r="C272" s="88"/>
      <c r="D272" s="69"/>
      <c r="E272" s="69"/>
      <c r="F272" s="69"/>
      <c r="G272" s="69"/>
      <c r="H272" s="55"/>
      <c r="I272" s="44"/>
      <c r="J272" s="44"/>
      <c r="K272" s="19" t="str">
        <f aca="false">IF(H272="","",IF(G272="PYG",IF(N(J272)=0,"FALTA TC",H272/J272),H272))</f>
        <v/>
      </c>
      <c r="L272" s="69"/>
      <c r="M272" s="69"/>
      <c r="N272" s="69"/>
    </row>
    <row r="273" customFormat="false" ht="15" hidden="false" customHeight="false" outlineLevel="0" collapsed="false">
      <c r="A273" s="69"/>
      <c r="B273" s="29"/>
      <c r="C273" s="88"/>
      <c r="D273" s="69"/>
      <c r="E273" s="69"/>
      <c r="F273" s="69"/>
      <c r="G273" s="69"/>
      <c r="H273" s="55"/>
      <c r="I273" s="44"/>
      <c r="J273" s="44"/>
      <c r="K273" s="19" t="str">
        <f aca="false">IF(H273="","",IF(G273="PYG",IF(N(J273)=0,"FALTA TC",H273/J273),H273))</f>
        <v/>
      </c>
      <c r="L273" s="69"/>
      <c r="M273" s="69"/>
      <c r="N273" s="69"/>
    </row>
    <row r="274" customFormat="false" ht="15" hidden="false" customHeight="false" outlineLevel="0" collapsed="false">
      <c r="A274" s="69"/>
      <c r="B274" s="29"/>
      <c r="C274" s="88"/>
      <c r="D274" s="69"/>
      <c r="E274" s="69"/>
      <c r="F274" s="69"/>
      <c r="G274" s="69"/>
      <c r="H274" s="55"/>
      <c r="I274" s="44"/>
      <c r="J274" s="44"/>
      <c r="K274" s="19" t="str">
        <f aca="false">IF(H274="","",IF(G274="PYG",IF(N(J274)=0,"FALTA TC",H274/J274),H274))</f>
        <v/>
      </c>
      <c r="L274" s="69"/>
      <c r="M274" s="69"/>
      <c r="N274" s="69"/>
    </row>
    <row r="275" customFormat="false" ht="15" hidden="false" customHeight="false" outlineLevel="0" collapsed="false">
      <c r="A275" s="69"/>
      <c r="B275" s="29"/>
      <c r="C275" s="88"/>
      <c r="D275" s="69"/>
      <c r="E275" s="69"/>
      <c r="F275" s="69"/>
      <c r="G275" s="69"/>
      <c r="H275" s="55"/>
      <c r="I275" s="44"/>
      <c r="J275" s="44"/>
      <c r="K275" s="19" t="str">
        <f aca="false">IF(H275="","",IF(G275="PYG",IF(N(J275)=0,"FALTA TC",H275/J275),H275))</f>
        <v/>
      </c>
      <c r="L275" s="69"/>
      <c r="M275" s="69"/>
      <c r="N275" s="69"/>
    </row>
    <row r="276" customFormat="false" ht="15" hidden="false" customHeight="false" outlineLevel="0" collapsed="false">
      <c r="A276" s="69"/>
      <c r="B276" s="29"/>
      <c r="C276" s="88"/>
      <c r="D276" s="69"/>
      <c r="E276" s="69"/>
      <c r="F276" s="69"/>
      <c r="G276" s="69"/>
      <c r="H276" s="55"/>
      <c r="I276" s="44"/>
      <c r="J276" s="44"/>
      <c r="K276" s="19" t="str">
        <f aca="false">IF(H276="","",IF(G276="PYG",IF(N(J276)=0,"FALTA TC",H276/J276),H276))</f>
        <v/>
      </c>
      <c r="L276" s="69"/>
      <c r="M276" s="69"/>
      <c r="N276" s="69"/>
    </row>
    <row r="277" customFormat="false" ht="15" hidden="false" customHeight="false" outlineLevel="0" collapsed="false">
      <c r="A277" s="69"/>
      <c r="B277" s="29"/>
      <c r="C277" s="88"/>
      <c r="D277" s="69"/>
      <c r="E277" s="69"/>
      <c r="F277" s="69"/>
      <c r="G277" s="69"/>
      <c r="H277" s="55"/>
      <c r="I277" s="44"/>
      <c r="J277" s="44"/>
      <c r="K277" s="19" t="str">
        <f aca="false">IF(H277="","",IF(G277="PYG",IF(N(J277)=0,"FALTA TC",H277/J277),H277))</f>
        <v/>
      </c>
      <c r="L277" s="69"/>
      <c r="M277" s="69"/>
      <c r="N277" s="69"/>
    </row>
    <row r="278" customFormat="false" ht="15" hidden="false" customHeight="false" outlineLevel="0" collapsed="false">
      <c r="A278" s="69"/>
      <c r="B278" s="29"/>
      <c r="C278" s="88"/>
      <c r="D278" s="69"/>
      <c r="E278" s="69"/>
      <c r="F278" s="69"/>
      <c r="G278" s="69"/>
      <c r="H278" s="55"/>
      <c r="I278" s="44"/>
      <c r="J278" s="44"/>
      <c r="K278" s="19" t="str">
        <f aca="false">IF(H278="","",IF(G278="PYG",IF(N(J278)=0,"FALTA TC",H278/J278),H278))</f>
        <v/>
      </c>
      <c r="L278" s="69"/>
      <c r="M278" s="69"/>
      <c r="N278" s="69"/>
    </row>
    <row r="279" customFormat="false" ht="15" hidden="false" customHeight="false" outlineLevel="0" collapsed="false">
      <c r="A279" s="69"/>
      <c r="B279" s="29"/>
      <c r="C279" s="88"/>
      <c r="D279" s="69"/>
      <c r="E279" s="69"/>
      <c r="F279" s="69"/>
      <c r="G279" s="69"/>
      <c r="H279" s="55"/>
      <c r="I279" s="44"/>
      <c r="J279" s="44"/>
      <c r="K279" s="19" t="str">
        <f aca="false">IF(H279="","",IF(G279="PYG",IF(N(J279)=0,"FALTA TC",H279/J279),H279))</f>
        <v/>
      </c>
      <c r="L279" s="69"/>
      <c r="M279" s="69"/>
      <c r="N279" s="69"/>
    </row>
    <row r="280" customFormat="false" ht="15" hidden="false" customHeight="false" outlineLevel="0" collapsed="false">
      <c r="A280" s="69"/>
      <c r="B280" s="29"/>
      <c r="C280" s="88"/>
      <c r="D280" s="69"/>
      <c r="E280" s="69"/>
      <c r="F280" s="69"/>
      <c r="G280" s="69"/>
      <c r="H280" s="55"/>
      <c r="I280" s="44"/>
      <c r="J280" s="44"/>
      <c r="K280" s="19" t="str">
        <f aca="false">IF(H280="","",IF(G280="PYG",IF(N(J280)=0,"FALTA TC",H280/J280),H280))</f>
        <v/>
      </c>
      <c r="L280" s="69"/>
      <c r="M280" s="69"/>
      <c r="N280" s="69"/>
    </row>
    <row r="281" customFormat="false" ht="15" hidden="false" customHeight="false" outlineLevel="0" collapsed="false">
      <c r="A281" s="69"/>
      <c r="B281" s="29"/>
      <c r="C281" s="88"/>
      <c r="D281" s="69"/>
      <c r="E281" s="69"/>
      <c r="F281" s="69"/>
      <c r="G281" s="69"/>
      <c r="H281" s="55"/>
      <c r="I281" s="44"/>
      <c r="J281" s="44"/>
      <c r="K281" s="19" t="str">
        <f aca="false">IF(H281="","",IF(G281="PYG",IF(N(J281)=0,"FALTA TC",H281/J281),H281))</f>
        <v/>
      </c>
      <c r="L281" s="69"/>
      <c r="M281" s="69"/>
      <c r="N281" s="69"/>
    </row>
    <row r="282" customFormat="false" ht="15" hidden="false" customHeight="false" outlineLevel="0" collapsed="false">
      <c r="A282" s="69"/>
      <c r="B282" s="29"/>
      <c r="C282" s="88"/>
      <c r="D282" s="69"/>
      <c r="E282" s="69"/>
      <c r="F282" s="69"/>
      <c r="G282" s="69"/>
      <c r="H282" s="55"/>
      <c r="I282" s="44"/>
      <c r="J282" s="44"/>
      <c r="K282" s="19" t="str">
        <f aca="false">IF(H282="","",IF(G282="PYG",IF(N(J282)=0,"FALTA TC",H282/J282),H282))</f>
        <v/>
      </c>
      <c r="L282" s="69"/>
      <c r="M282" s="69"/>
      <c r="N282" s="69"/>
    </row>
    <row r="283" customFormat="false" ht="15" hidden="false" customHeight="false" outlineLevel="0" collapsed="false">
      <c r="A283" s="69"/>
      <c r="B283" s="29"/>
      <c r="C283" s="88"/>
      <c r="D283" s="69"/>
      <c r="E283" s="69"/>
      <c r="F283" s="69"/>
      <c r="G283" s="69"/>
      <c r="H283" s="55"/>
      <c r="I283" s="44"/>
      <c r="J283" s="44"/>
      <c r="K283" s="19" t="str">
        <f aca="false">IF(H283="","",IF(G283="PYG",IF(N(J283)=0,"FALTA TC",H283/J283),H283))</f>
        <v/>
      </c>
      <c r="L283" s="69"/>
      <c r="M283" s="69"/>
      <c r="N283" s="69"/>
    </row>
    <row r="284" customFormat="false" ht="15" hidden="false" customHeight="false" outlineLevel="0" collapsed="false">
      <c r="A284" s="69"/>
      <c r="B284" s="29"/>
      <c r="C284" s="88"/>
      <c r="D284" s="69"/>
      <c r="E284" s="69"/>
      <c r="F284" s="69"/>
      <c r="G284" s="69"/>
      <c r="H284" s="55"/>
      <c r="I284" s="44"/>
      <c r="J284" s="44"/>
      <c r="K284" s="19" t="str">
        <f aca="false">IF(H284="","",IF(G284="PYG",IF(N(J284)=0,"FALTA TC",H284/J284),H284))</f>
        <v/>
      </c>
      <c r="L284" s="69"/>
      <c r="M284" s="69"/>
      <c r="N284" s="69"/>
    </row>
    <row r="285" customFormat="false" ht="15" hidden="false" customHeight="false" outlineLevel="0" collapsed="false">
      <c r="A285" s="69"/>
      <c r="B285" s="29"/>
      <c r="C285" s="88"/>
      <c r="D285" s="69"/>
      <c r="E285" s="69"/>
      <c r="F285" s="69"/>
      <c r="G285" s="69"/>
      <c r="H285" s="55"/>
      <c r="I285" s="44"/>
      <c r="J285" s="44"/>
      <c r="K285" s="19" t="str">
        <f aca="false">IF(H285="","",IF(G285="PYG",IF(N(J285)=0,"FALTA TC",H285/J285),H285))</f>
        <v/>
      </c>
      <c r="L285" s="69"/>
      <c r="M285" s="69"/>
      <c r="N285" s="69"/>
    </row>
    <row r="286" customFormat="false" ht="15" hidden="false" customHeight="false" outlineLevel="0" collapsed="false">
      <c r="A286" s="69"/>
      <c r="B286" s="29"/>
      <c r="C286" s="88"/>
      <c r="D286" s="69"/>
      <c r="E286" s="69"/>
      <c r="F286" s="69"/>
      <c r="G286" s="69"/>
      <c r="H286" s="55"/>
      <c r="I286" s="44"/>
      <c r="J286" s="44"/>
      <c r="K286" s="19" t="str">
        <f aca="false">IF(H286="","",IF(G286="PYG",IF(N(J286)=0,"FALTA TC",H286/J286),H286))</f>
        <v/>
      </c>
      <c r="L286" s="69"/>
      <c r="M286" s="69"/>
      <c r="N286" s="69"/>
    </row>
    <row r="287" customFormat="false" ht="15" hidden="false" customHeight="false" outlineLevel="0" collapsed="false">
      <c r="A287" s="69"/>
      <c r="B287" s="29"/>
      <c r="C287" s="88"/>
      <c r="D287" s="69"/>
      <c r="E287" s="69"/>
      <c r="F287" s="69"/>
      <c r="G287" s="69"/>
      <c r="H287" s="55"/>
      <c r="I287" s="44"/>
      <c r="J287" s="44"/>
      <c r="K287" s="19" t="str">
        <f aca="false">IF(H287="","",IF(G287="PYG",IF(N(J287)=0,"FALTA TC",H287/J287),H287))</f>
        <v/>
      </c>
      <c r="L287" s="69"/>
      <c r="M287" s="69"/>
      <c r="N287" s="69"/>
    </row>
    <row r="288" customFormat="false" ht="15" hidden="false" customHeight="false" outlineLevel="0" collapsed="false">
      <c r="A288" s="69"/>
      <c r="B288" s="29"/>
      <c r="C288" s="88"/>
      <c r="D288" s="69"/>
      <c r="E288" s="69"/>
      <c r="F288" s="69"/>
      <c r="G288" s="69"/>
      <c r="H288" s="55"/>
      <c r="I288" s="44"/>
      <c r="J288" s="44"/>
      <c r="K288" s="19" t="str">
        <f aca="false">IF(H288="","",IF(G288="PYG",IF(N(J288)=0,"FALTA TC",H288/J288),H288))</f>
        <v/>
      </c>
      <c r="L288" s="69"/>
      <c r="M288" s="69"/>
      <c r="N288" s="69"/>
    </row>
    <row r="289" customFormat="false" ht="15" hidden="false" customHeight="false" outlineLevel="0" collapsed="false">
      <c r="A289" s="69"/>
      <c r="B289" s="29"/>
      <c r="C289" s="88"/>
      <c r="D289" s="69"/>
      <c r="E289" s="69"/>
      <c r="F289" s="69"/>
      <c r="G289" s="69"/>
      <c r="H289" s="55"/>
      <c r="I289" s="44"/>
      <c r="J289" s="44"/>
      <c r="K289" s="19" t="str">
        <f aca="false">IF(H289="","",IF(G289="PYG",IF(N(J289)=0,"FALTA TC",H289/J289),H289))</f>
        <v/>
      </c>
      <c r="L289" s="69"/>
      <c r="M289" s="69"/>
      <c r="N289" s="69"/>
    </row>
    <row r="290" customFormat="false" ht="15" hidden="false" customHeight="false" outlineLevel="0" collapsed="false">
      <c r="A290" s="69"/>
      <c r="B290" s="29"/>
      <c r="C290" s="88"/>
      <c r="D290" s="69"/>
      <c r="E290" s="69"/>
      <c r="F290" s="69"/>
      <c r="G290" s="69"/>
      <c r="H290" s="55"/>
      <c r="I290" s="44"/>
      <c r="J290" s="44"/>
      <c r="K290" s="19" t="str">
        <f aca="false">IF(H290="","",IF(G290="PYG",IF(N(J290)=0,"FALTA TC",H290/J290),H290))</f>
        <v/>
      </c>
      <c r="L290" s="69"/>
      <c r="M290" s="69"/>
      <c r="N290" s="69"/>
    </row>
    <row r="291" customFormat="false" ht="15" hidden="false" customHeight="false" outlineLevel="0" collapsed="false">
      <c r="A291" s="69"/>
      <c r="B291" s="29"/>
      <c r="C291" s="88"/>
      <c r="D291" s="69"/>
      <c r="E291" s="69"/>
      <c r="F291" s="69"/>
      <c r="G291" s="69"/>
      <c r="H291" s="55"/>
      <c r="I291" s="44"/>
      <c r="J291" s="44"/>
      <c r="K291" s="19" t="str">
        <f aca="false">IF(H291="","",IF(G291="PYG",IF(N(J291)=0,"FALTA TC",H291/J291),H291))</f>
        <v/>
      </c>
      <c r="L291" s="69"/>
      <c r="M291" s="69"/>
      <c r="N291" s="69"/>
    </row>
    <row r="292" customFormat="false" ht="15" hidden="false" customHeight="false" outlineLevel="0" collapsed="false">
      <c r="A292" s="69"/>
      <c r="B292" s="29"/>
      <c r="C292" s="88"/>
      <c r="D292" s="69"/>
      <c r="E292" s="69"/>
      <c r="F292" s="69"/>
      <c r="G292" s="69"/>
      <c r="H292" s="55"/>
      <c r="I292" s="44"/>
      <c r="J292" s="44"/>
      <c r="K292" s="19" t="str">
        <f aca="false">IF(H292="","",IF(G292="PYG",IF(N(J292)=0,"FALTA TC",H292/J292),H292))</f>
        <v/>
      </c>
      <c r="L292" s="69"/>
      <c r="M292" s="69"/>
      <c r="N292" s="69"/>
    </row>
    <row r="293" customFormat="false" ht="15" hidden="false" customHeight="false" outlineLevel="0" collapsed="false">
      <c r="A293" s="69"/>
      <c r="B293" s="29"/>
      <c r="C293" s="88"/>
      <c r="D293" s="69"/>
      <c r="E293" s="69"/>
      <c r="F293" s="69"/>
      <c r="G293" s="69"/>
      <c r="H293" s="55"/>
      <c r="I293" s="44"/>
      <c r="J293" s="44"/>
      <c r="K293" s="19" t="str">
        <f aca="false">IF(H293="","",IF(G293="PYG",IF(N(J293)=0,"FALTA TC",H293/J293),H293))</f>
        <v/>
      </c>
      <c r="L293" s="69"/>
      <c r="M293" s="69"/>
      <c r="N293" s="69"/>
    </row>
    <row r="294" customFormat="false" ht="15" hidden="false" customHeight="false" outlineLevel="0" collapsed="false">
      <c r="A294" s="69"/>
      <c r="B294" s="29"/>
      <c r="C294" s="88"/>
      <c r="D294" s="69"/>
      <c r="E294" s="69"/>
      <c r="F294" s="69"/>
      <c r="G294" s="69"/>
      <c r="H294" s="55"/>
      <c r="I294" s="44"/>
      <c r="J294" s="44"/>
      <c r="K294" s="19" t="str">
        <f aca="false">IF(H294="","",IF(G294="PYG",IF(N(J294)=0,"FALTA TC",H294/J294),H294))</f>
        <v/>
      </c>
      <c r="L294" s="69"/>
      <c r="M294" s="69"/>
      <c r="N294" s="69"/>
    </row>
    <row r="295" customFormat="false" ht="15" hidden="false" customHeight="false" outlineLevel="0" collapsed="false">
      <c r="A295" s="69"/>
      <c r="B295" s="29"/>
      <c r="C295" s="88"/>
      <c r="D295" s="69"/>
      <c r="E295" s="69"/>
      <c r="F295" s="69"/>
      <c r="G295" s="69"/>
      <c r="H295" s="55"/>
      <c r="I295" s="44"/>
      <c r="J295" s="44"/>
      <c r="K295" s="19" t="str">
        <f aca="false">IF(H295="","",IF(G295="PYG",IF(N(J295)=0,"FALTA TC",H295/J295),H295))</f>
        <v/>
      </c>
      <c r="L295" s="69"/>
      <c r="M295" s="69"/>
      <c r="N295" s="69"/>
    </row>
    <row r="296" customFormat="false" ht="15" hidden="false" customHeight="false" outlineLevel="0" collapsed="false">
      <c r="A296" s="69"/>
      <c r="B296" s="29"/>
      <c r="C296" s="88"/>
      <c r="D296" s="69"/>
      <c r="E296" s="69"/>
      <c r="F296" s="69"/>
      <c r="G296" s="69"/>
      <c r="H296" s="55"/>
      <c r="I296" s="44"/>
      <c r="J296" s="44"/>
      <c r="K296" s="19" t="str">
        <f aca="false">IF(H296="","",IF(G296="PYG",IF(N(J296)=0,"FALTA TC",H296/J296),H296))</f>
        <v/>
      </c>
      <c r="L296" s="69"/>
      <c r="M296" s="69"/>
      <c r="N296" s="69"/>
    </row>
    <row r="297" customFormat="false" ht="15" hidden="false" customHeight="false" outlineLevel="0" collapsed="false">
      <c r="A297" s="69"/>
      <c r="B297" s="29"/>
      <c r="C297" s="88"/>
      <c r="D297" s="69"/>
      <c r="E297" s="69"/>
      <c r="F297" s="69"/>
      <c r="G297" s="69"/>
      <c r="H297" s="55"/>
      <c r="I297" s="44"/>
      <c r="J297" s="44"/>
      <c r="K297" s="19" t="str">
        <f aca="false">IF(H297="","",IF(G297="PYG",IF(N(J297)=0,"FALTA TC",H297/J297),H297))</f>
        <v/>
      </c>
      <c r="L297" s="69"/>
      <c r="M297" s="69"/>
      <c r="N297" s="69"/>
    </row>
    <row r="298" customFormat="false" ht="15" hidden="false" customHeight="false" outlineLevel="0" collapsed="false">
      <c r="A298" s="69"/>
      <c r="B298" s="29"/>
      <c r="C298" s="88"/>
      <c r="D298" s="69"/>
      <c r="E298" s="69"/>
      <c r="F298" s="69"/>
      <c r="G298" s="69"/>
      <c r="H298" s="55"/>
      <c r="I298" s="44"/>
      <c r="J298" s="44"/>
      <c r="K298" s="19" t="str">
        <f aca="false">IF(H298="","",IF(G298="PYG",IF(N(J298)=0,"FALTA TC",H298/J298),H298))</f>
        <v/>
      </c>
      <c r="L298" s="69"/>
      <c r="M298" s="69"/>
      <c r="N298" s="69"/>
    </row>
    <row r="299" customFormat="false" ht="15" hidden="false" customHeight="false" outlineLevel="0" collapsed="false">
      <c r="A299" s="69"/>
      <c r="B299" s="29"/>
      <c r="C299" s="88"/>
      <c r="D299" s="69"/>
      <c r="E299" s="69"/>
      <c r="F299" s="69"/>
      <c r="G299" s="69"/>
      <c r="H299" s="55"/>
      <c r="I299" s="44"/>
      <c r="J299" s="44"/>
      <c r="K299" s="19" t="str">
        <f aca="false">IF(H299="","",IF(G299="PYG",IF(N(J299)=0,"FALTA TC",H299/J299),H299))</f>
        <v/>
      </c>
      <c r="L299" s="69"/>
      <c r="M299" s="69"/>
      <c r="N299" s="69"/>
    </row>
    <row r="300" customFormat="false" ht="15" hidden="false" customHeight="false" outlineLevel="0" collapsed="false">
      <c r="A300" s="69"/>
      <c r="B300" s="29"/>
      <c r="C300" s="88"/>
      <c r="D300" s="69"/>
      <c r="E300" s="69"/>
      <c r="F300" s="69"/>
      <c r="G300" s="69"/>
      <c r="H300" s="55"/>
      <c r="I300" s="44"/>
      <c r="J300" s="44"/>
      <c r="K300" s="19" t="str">
        <f aca="false">IF(H300="","",IF(G300="PYG",IF(N(J300)=0,"FALTA TC",H300/J300),H300))</f>
        <v/>
      </c>
      <c r="L300" s="69"/>
      <c r="M300" s="69"/>
      <c r="N300" s="69"/>
    </row>
    <row r="301" customFormat="false" ht="15" hidden="false" customHeight="false" outlineLevel="0" collapsed="false">
      <c r="A301" s="69"/>
      <c r="B301" s="29"/>
      <c r="C301" s="88"/>
      <c r="D301" s="69"/>
      <c r="E301" s="69"/>
      <c r="F301" s="69"/>
      <c r="G301" s="69"/>
      <c r="H301" s="55"/>
      <c r="I301" s="44"/>
      <c r="J301" s="44"/>
      <c r="K301" s="19" t="str">
        <f aca="false">IF(H301="","",IF(G301="PYG",IF(N(J301)=0,"FALTA TC",H301/J301),H301))</f>
        <v/>
      </c>
      <c r="L301" s="69"/>
      <c r="M301" s="69"/>
      <c r="N301" s="69"/>
    </row>
    <row r="302" customFormat="false" ht="15" hidden="false" customHeight="false" outlineLevel="0" collapsed="false">
      <c r="A302" s="69"/>
      <c r="B302" s="29"/>
      <c r="C302" s="88"/>
      <c r="D302" s="69"/>
      <c r="E302" s="69"/>
      <c r="F302" s="69"/>
      <c r="G302" s="69"/>
      <c r="H302" s="55"/>
      <c r="I302" s="44"/>
      <c r="J302" s="44"/>
      <c r="K302" s="19" t="str">
        <f aca="false">IF(H302="","",IF(G302="PYG",IF(N(J302)=0,"FALTA TC",H302/J302),H302))</f>
        <v/>
      </c>
      <c r="L302" s="69"/>
      <c r="M302" s="69"/>
      <c r="N302" s="69"/>
    </row>
    <row r="303" customFormat="false" ht="15" hidden="false" customHeight="false" outlineLevel="0" collapsed="false">
      <c r="A303" s="69"/>
      <c r="B303" s="29"/>
      <c r="C303" s="88"/>
      <c r="D303" s="69"/>
      <c r="E303" s="69"/>
      <c r="F303" s="69"/>
      <c r="G303" s="69"/>
      <c r="H303" s="55"/>
      <c r="I303" s="44"/>
      <c r="J303" s="44"/>
      <c r="K303" s="19" t="str">
        <f aca="false">IF(H303="","",IF(G303="PYG",IF(N(J303)=0,"FALTA TC",H303/J303),H303))</f>
        <v/>
      </c>
      <c r="L303" s="69"/>
      <c r="M303" s="69"/>
      <c r="N303" s="69"/>
    </row>
    <row r="304" customFormat="false" ht="15" hidden="false" customHeight="false" outlineLevel="0" collapsed="false">
      <c r="A304" s="69"/>
      <c r="B304" s="29"/>
      <c r="C304" s="88"/>
      <c r="D304" s="69"/>
      <c r="E304" s="69"/>
      <c r="F304" s="69"/>
      <c r="G304" s="69"/>
      <c r="H304" s="55"/>
      <c r="I304" s="44"/>
      <c r="J304" s="44"/>
      <c r="K304" s="19" t="str">
        <f aca="false">IF(H304="","",IF(G304="PYG",IF(N(J304)=0,"FALTA TC",H304/J304),H304))</f>
        <v/>
      </c>
      <c r="L304" s="69"/>
      <c r="M304" s="69"/>
      <c r="N304" s="69"/>
    </row>
    <row r="305" customFormat="false" ht="15" hidden="false" customHeight="false" outlineLevel="0" collapsed="false">
      <c r="A305" s="69"/>
      <c r="B305" s="29"/>
      <c r="C305" s="88"/>
      <c r="D305" s="69"/>
      <c r="E305" s="69"/>
      <c r="F305" s="69"/>
      <c r="G305" s="69"/>
      <c r="H305" s="55"/>
      <c r="I305" s="44"/>
      <c r="J305" s="44"/>
      <c r="K305" s="19" t="str">
        <f aca="false">IF(H305="","",IF(G305="PYG",IF(N(J305)=0,"FALTA TC",H305/J305),H305))</f>
        <v/>
      </c>
      <c r="L305" s="69"/>
      <c r="M305" s="69"/>
      <c r="N305" s="69"/>
    </row>
    <row r="306" customFormat="false" ht="15" hidden="false" customHeight="false" outlineLevel="0" collapsed="false">
      <c r="A306" s="69"/>
      <c r="B306" s="29"/>
      <c r="C306" s="88"/>
      <c r="D306" s="69"/>
      <c r="E306" s="69"/>
      <c r="F306" s="69"/>
      <c r="G306" s="69"/>
      <c r="H306" s="55"/>
      <c r="I306" s="44"/>
      <c r="J306" s="44"/>
      <c r="K306" s="19" t="str">
        <f aca="false">IF(H306="","",IF(G306="PYG",IF(N(J306)=0,"FALTA TC",H306/J306),H306))</f>
        <v/>
      </c>
      <c r="L306" s="69"/>
      <c r="M306" s="69"/>
      <c r="N306" s="69"/>
    </row>
    <row r="307" customFormat="false" ht="15" hidden="false" customHeight="false" outlineLevel="0" collapsed="false">
      <c r="A307" s="69"/>
      <c r="B307" s="29"/>
      <c r="C307" s="88"/>
      <c r="D307" s="69"/>
      <c r="E307" s="69"/>
      <c r="F307" s="69"/>
      <c r="G307" s="69"/>
      <c r="H307" s="55"/>
      <c r="I307" s="44"/>
      <c r="J307" s="44"/>
      <c r="K307" s="19" t="str">
        <f aca="false">IF(H307="","",IF(G307="PYG",IF(N(J307)=0,"FALTA TC",H307/J307),H307))</f>
        <v/>
      </c>
      <c r="L307" s="69"/>
      <c r="M307" s="69"/>
      <c r="N307" s="69"/>
    </row>
    <row r="308" customFormat="false" ht="15" hidden="false" customHeight="false" outlineLevel="0" collapsed="false">
      <c r="A308" s="69"/>
      <c r="B308" s="29"/>
      <c r="C308" s="88"/>
      <c r="D308" s="69"/>
      <c r="E308" s="69"/>
      <c r="F308" s="69"/>
      <c r="G308" s="69"/>
      <c r="H308" s="55"/>
      <c r="I308" s="44"/>
      <c r="J308" s="44"/>
      <c r="K308" s="19" t="str">
        <f aca="false">IF(H308="","",IF(G308="PYG",IF(N(J308)=0,"FALTA TC",H308/J308),H308))</f>
        <v/>
      </c>
      <c r="L308" s="69"/>
      <c r="M308" s="69"/>
      <c r="N308" s="69"/>
    </row>
    <row r="309" customFormat="false" ht="15" hidden="false" customHeight="false" outlineLevel="0" collapsed="false">
      <c r="A309" s="69"/>
      <c r="B309" s="29"/>
      <c r="C309" s="88"/>
      <c r="D309" s="69"/>
      <c r="E309" s="69"/>
      <c r="F309" s="69"/>
      <c r="G309" s="69"/>
      <c r="H309" s="55"/>
      <c r="I309" s="44"/>
      <c r="J309" s="44"/>
      <c r="K309" s="19" t="str">
        <f aca="false">IF(H309="","",IF(G309="PYG",IF(N(J309)=0,"FALTA TC",H309/J309),H309))</f>
        <v/>
      </c>
      <c r="L309" s="69"/>
      <c r="M309" s="69"/>
      <c r="N309" s="69"/>
    </row>
    <row r="310" customFormat="false" ht="15" hidden="false" customHeight="false" outlineLevel="0" collapsed="false">
      <c r="A310" s="69"/>
      <c r="B310" s="29"/>
      <c r="C310" s="88"/>
      <c r="D310" s="69"/>
      <c r="E310" s="69"/>
      <c r="F310" s="69"/>
      <c r="G310" s="69"/>
      <c r="H310" s="55"/>
      <c r="I310" s="44"/>
      <c r="J310" s="44"/>
      <c r="K310" s="19" t="str">
        <f aca="false">IF(H310="","",IF(G310="PYG",IF(N(J310)=0,"FALTA TC",H310/J310),H310))</f>
        <v/>
      </c>
      <c r="L310" s="69"/>
      <c r="M310" s="69"/>
      <c r="N310" s="69"/>
    </row>
    <row r="311" customFormat="false" ht="15" hidden="false" customHeight="false" outlineLevel="0" collapsed="false">
      <c r="A311" s="69"/>
      <c r="B311" s="29"/>
      <c r="C311" s="88"/>
      <c r="D311" s="69"/>
      <c r="E311" s="69"/>
      <c r="F311" s="69"/>
      <c r="G311" s="69"/>
      <c r="H311" s="55"/>
      <c r="I311" s="44"/>
      <c r="J311" s="44"/>
      <c r="K311" s="19" t="str">
        <f aca="false">IF(H311="","",IF(G311="PYG",IF(N(J311)=0,"FALTA TC",H311/J311),H311))</f>
        <v/>
      </c>
      <c r="L311" s="69"/>
      <c r="M311" s="69"/>
      <c r="N311" s="69"/>
    </row>
    <row r="312" customFormat="false" ht="15" hidden="false" customHeight="false" outlineLevel="0" collapsed="false">
      <c r="A312" s="69"/>
      <c r="B312" s="29"/>
      <c r="C312" s="88"/>
      <c r="D312" s="69"/>
      <c r="E312" s="69"/>
      <c r="F312" s="69"/>
      <c r="G312" s="69"/>
      <c r="H312" s="55"/>
      <c r="I312" s="44"/>
      <c r="J312" s="44"/>
      <c r="K312" s="19" t="str">
        <f aca="false">IF(H312="","",IF(G312="PYG",IF(N(J312)=0,"FALTA TC",H312/J312),H312))</f>
        <v/>
      </c>
      <c r="L312" s="69"/>
      <c r="M312" s="69"/>
      <c r="N312" s="69"/>
    </row>
    <row r="313" customFormat="false" ht="15" hidden="false" customHeight="false" outlineLevel="0" collapsed="false">
      <c r="A313" s="69"/>
      <c r="B313" s="29"/>
      <c r="C313" s="88"/>
      <c r="D313" s="69"/>
      <c r="E313" s="69"/>
      <c r="F313" s="69"/>
      <c r="G313" s="69"/>
      <c r="H313" s="55"/>
      <c r="I313" s="44"/>
      <c r="J313" s="44"/>
      <c r="K313" s="19" t="str">
        <f aca="false">IF(H313="","",IF(G313="PYG",IF(N(J313)=0,"FALTA TC",H313/J313),H313))</f>
        <v/>
      </c>
      <c r="L313" s="69"/>
      <c r="M313" s="69"/>
      <c r="N313" s="69"/>
    </row>
    <row r="314" customFormat="false" ht="15" hidden="false" customHeight="false" outlineLevel="0" collapsed="false">
      <c r="A314" s="69"/>
      <c r="B314" s="29"/>
      <c r="C314" s="88"/>
      <c r="D314" s="69"/>
      <c r="E314" s="69"/>
      <c r="F314" s="69"/>
      <c r="G314" s="69"/>
      <c r="H314" s="55"/>
      <c r="I314" s="44"/>
      <c r="J314" s="44"/>
      <c r="K314" s="19" t="str">
        <f aca="false">IF(H314="","",IF(G314="PYG",IF(N(J314)=0,"FALTA TC",H314/J314),H314))</f>
        <v/>
      </c>
      <c r="L314" s="69"/>
      <c r="M314" s="69"/>
      <c r="N314" s="69"/>
    </row>
    <row r="315" customFormat="false" ht="15" hidden="false" customHeight="false" outlineLevel="0" collapsed="false">
      <c r="A315" s="69"/>
      <c r="B315" s="29"/>
      <c r="C315" s="88"/>
      <c r="D315" s="69"/>
      <c r="E315" s="69"/>
      <c r="F315" s="69"/>
      <c r="G315" s="69"/>
      <c r="H315" s="55"/>
      <c r="I315" s="44"/>
      <c r="J315" s="44"/>
      <c r="K315" s="19" t="str">
        <f aca="false">IF(H315="","",IF(G315="PYG",IF(N(J315)=0,"FALTA TC",H315/J315),H315))</f>
        <v/>
      </c>
      <c r="L315" s="69"/>
      <c r="M315" s="69"/>
      <c r="N315" s="69"/>
    </row>
    <row r="316" customFormat="false" ht="15" hidden="false" customHeight="false" outlineLevel="0" collapsed="false">
      <c r="A316" s="69"/>
      <c r="B316" s="29"/>
      <c r="C316" s="88"/>
      <c r="D316" s="69"/>
      <c r="E316" s="69"/>
      <c r="F316" s="69"/>
      <c r="G316" s="69"/>
      <c r="H316" s="55"/>
      <c r="I316" s="44"/>
      <c r="J316" s="44"/>
      <c r="K316" s="19" t="str">
        <f aca="false">IF(H316="","",IF(G316="PYG",IF(N(J316)=0,"FALTA TC",H316/J316),H316))</f>
        <v/>
      </c>
      <c r="L316" s="69"/>
      <c r="M316" s="69"/>
      <c r="N316" s="69"/>
    </row>
    <row r="317" customFormat="false" ht="15" hidden="false" customHeight="false" outlineLevel="0" collapsed="false">
      <c r="A317" s="69"/>
      <c r="B317" s="29"/>
      <c r="C317" s="88"/>
      <c r="D317" s="69"/>
      <c r="E317" s="69"/>
      <c r="F317" s="69"/>
      <c r="G317" s="69"/>
      <c r="H317" s="55"/>
      <c r="I317" s="44"/>
      <c r="J317" s="44"/>
      <c r="K317" s="19" t="str">
        <f aca="false">IF(H317="","",IF(G317="PYG",IF(N(J317)=0,"FALTA TC",H317/J317),H317))</f>
        <v/>
      </c>
      <c r="L317" s="69"/>
      <c r="M317" s="69"/>
      <c r="N317" s="69"/>
    </row>
    <row r="318" customFormat="false" ht="15" hidden="false" customHeight="false" outlineLevel="0" collapsed="false">
      <c r="A318" s="69"/>
      <c r="B318" s="29"/>
      <c r="C318" s="88"/>
      <c r="D318" s="69"/>
      <c r="E318" s="69"/>
      <c r="F318" s="69"/>
      <c r="G318" s="69"/>
      <c r="H318" s="55"/>
      <c r="I318" s="44"/>
      <c r="J318" s="44"/>
      <c r="K318" s="19" t="str">
        <f aca="false">IF(H318="","",IF(G318="PYG",IF(N(J318)=0,"FALTA TC",H318/J318),H318))</f>
        <v/>
      </c>
      <c r="L318" s="69"/>
      <c r="M318" s="69"/>
      <c r="N318" s="69"/>
    </row>
    <row r="319" customFormat="false" ht="15" hidden="false" customHeight="false" outlineLevel="0" collapsed="false">
      <c r="A319" s="69"/>
      <c r="B319" s="29"/>
      <c r="C319" s="88"/>
      <c r="D319" s="69"/>
      <c r="E319" s="69"/>
      <c r="F319" s="69"/>
      <c r="G319" s="69"/>
      <c r="H319" s="55"/>
      <c r="I319" s="44"/>
      <c r="J319" s="44"/>
      <c r="K319" s="19" t="str">
        <f aca="false">IF(H319="","",IF(G319="PYG",IF(N(J319)=0,"FALTA TC",H319/J319),H319))</f>
        <v/>
      </c>
      <c r="L319" s="69"/>
      <c r="M319" s="69"/>
      <c r="N319" s="69"/>
    </row>
    <row r="320" customFormat="false" ht="15" hidden="false" customHeight="false" outlineLevel="0" collapsed="false">
      <c r="A320" s="69"/>
      <c r="B320" s="29"/>
      <c r="C320" s="88"/>
      <c r="D320" s="69"/>
      <c r="E320" s="69"/>
      <c r="F320" s="69"/>
      <c r="G320" s="69"/>
      <c r="H320" s="55"/>
      <c r="I320" s="44"/>
      <c r="J320" s="44"/>
      <c r="K320" s="19" t="str">
        <f aca="false">IF(H320="","",IF(G320="PYG",IF(N(J320)=0,"FALTA TC",H320/J320),H320))</f>
        <v/>
      </c>
      <c r="L320" s="69"/>
      <c r="M320" s="69"/>
      <c r="N320" s="69"/>
    </row>
    <row r="321" customFormat="false" ht="15" hidden="false" customHeight="false" outlineLevel="0" collapsed="false">
      <c r="A321" s="69"/>
      <c r="B321" s="29"/>
      <c r="C321" s="88"/>
      <c r="D321" s="69"/>
      <c r="E321" s="69"/>
      <c r="F321" s="69"/>
      <c r="G321" s="69"/>
      <c r="H321" s="55"/>
      <c r="I321" s="44"/>
      <c r="J321" s="44"/>
      <c r="K321" s="19" t="str">
        <f aca="false">IF(H321="","",IF(G321="PYG",IF(N(J321)=0,"FALTA TC",H321/J321),H321))</f>
        <v/>
      </c>
      <c r="L321" s="69"/>
      <c r="M321" s="69"/>
      <c r="N321" s="69"/>
    </row>
    <row r="322" customFormat="false" ht="15" hidden="false" customHeight="false" outlineLevel="0" collapsed="false">
      <c r="A322" s="69"/>
      <c r="B322" s="29"/>
      <c r="C322" s="88"/>
      <c r="D322" s="69"/>
      <c r="E322" s="69"/>
      <c r="F322" s="69"/>
      <c r="G322" s="69"/>
      <c r="H322" s="55"/>
      <c r="I322" s="44"/>
      <c r="J322" s="44"/>
      <c r="K322" s="19" t="str">
        <f aca="false">IF(H322="","",IF(G322="PYG",IF(N(J322)=0,"FALTA TC",H322/J322),H322))</f>
        <v/>
      </c>
      <c r="L322" s="69"/>
      <c r="M322" s="69"/>
      <c r="N322" s="69"/>
    </row>
    <row r="323" customFormat="false" ht="15" hidden="false" customHeight="false" outlineLevel="0" collapsed="false">
      <c r="A323" s="69"/>
      <c r="B323" s="29"/>
      <c r="C323" s="88"/>
      <c r="D323" s="69"/>
      <c r="E323" s="69"/>
      <c r="F323" s="69"/>
      <c r="G323" s="69"/>
      <c r="H323" s="55"/>
      <c r="I323" s="44"/>
      <c r="J323" s="44"/>
      <c r="K323" s="19" t="str">
        <f aca="false">IF(H323="","",IF(G323="PYG",IF(N(J323)=0,"FALTA TC",H323/J323),H323))</f>
        <v/>
      </c>
      <c r="L323" s="69"/>
      <c r="M323" s="69"/>
      <c r="N323" s="69"/>
    </row>
    <row r="324" customFormat="false" ht="15" hidden="false" customHeight="false" outlineLevel="0" collapsed="false">
      <c r="A324" s="69"/>
      <c r="B324" s="29"/>
      <c r="C324" s="88"/>
      <c r="D324" s="69"/>
      <c r="E324" s="69"/>
      <c r="F324" s="69"/>
      <c r="G324" s="69"/>
      <c r="H324" s="55"/>
      <c r="I324" s="44"/>
      <c r="J324" s="44"/>
      <c r="K324" s="19" t="str">
        <f aca="false">IF(H324="","",IF(G324="PYG",IF(N(J324)=0,"FALTA TC",H324/J324),H324))</f>
        <v/>
      </c>
      <c r="L324" s="69"/>
      <c r="M324" s="69"/>
      <c r="N324" s="69"/>
    </row>
    <row r="325" customFormat="false" ht="15" hidden="false" customHeight="false" outlineLevel="0" collapsed="false">
      <c r="A325" s="69"/>
      <c r="B325" s="29"/>
      <c r="C325" s="88"/>
      <c r="D325" s="69"/>
      <c r="E325" s="69"/>
      <c r="F325" s="69"/>
      <c r="G325" s="69"/>
      <c r="H325" s="55"/>
      <c r="I325" s="44"/>
      <c r="J325" s="44"/>
      <c r="K325" s="19" t="str">
        <f aca="false">IF(H325="","",IF(G325="PYG",IF(N(J325)=0,"FALTA TC",H325/J325),H325))</f>
        <v/>
      </c>
      <c r="L325" s="69"/>
      <c r="M325" s="69"/>
      <c r="N325" s="69"/>
    </row>
    <row r="326" customFormat="false" ht="15" hidden="false" customHeight="false" outlineLevel="0" collapsed="false">
      <c r="A326" s="69"/>
      <c r="B326" s="29"/>
      <c r="C326" s="88"/>
      <c r="D326" s="69"/>
      <c r="E326" s="69"/>
      <c r="F326" s="69"/>
      <c r="G326" s="69"/>
      <c r="H326" s="55"/>
      <c r="I326" s="44"/>
      <c r="J326" s="44"/>
      <c r="K326" s="19" t="str">
        <f aca="false">IF(H326="","",IF(G326="PYG",IF(N(J326)=0,"FALTA TC",H326/J326),H326))</f>
        <v/>
      </c>
      <c r="L326" s="69"/>
      <c r="M326" s="69"/>
      <c r="N326" s="69"/>
    </row>
    <row r="327" customFormat="false" ht="15" hidden="false" customHeight="false" outlineLevel="0" collapsed="false">
      <c r="A327" s="69"/>
      <c r="B327" s="29"/>
      <c r="C327" s="88"/>
      <c r="D327" s="69"/>
      <c r="E327" s="69"/>
      <c r="F327" s="69"/>
      <c r="G327" s="69"/>
      <c r="H327" s="55"/>
      <c r="I327" s="44"/>
      <c r="J327" s="44"/>
      <c r="K327" s="19" t="str">
        <f aca="false">IF(H327="","",IF(G327="PYG",IF(N(J327)=0,"FALTA TC",H327/J327),H327))</f>
        <v/>
      </c>
      <c r="L327" s="69"/>
      <c r="M327" s="69"/>
      <c r="N327" s="69"/>
    </row>
    <row r="328" customFormat="false" ht="15" hidden="false" customHeight="false" outlineLevel="0" collapsed="false">
      <c r="A328" s="69"/>
      <c r="B328" s="29"/>
      <c r="C328" s="88"/>
      <c r="D328" s="69"/>
      <c r="E328" s="69"/>
      <c r="F328" s="69"/>
      <c r="G328" s="69"/>
      <c r="H328" s="55"/>
      <c r="I328" s="44"/>
      <c r="J328" s="44"/>
      <c r="K328" s="19" t="str">
        <f aca="false">IF(H328="","",IF(G328="PYG",IF(N(J328)=0,"FALTA TC",H328/J328),H328))</f>
        <v/>
      </c>
      <c r="L328" s="69"/>
      <c r="M328" s="69"/>
      <c r="N328" s="69"/>
    </row>
    <row r="329" customFormat="false" ht="15" hidden="false" customHeight="false" outlineLevel="0" collapsed="false">
      <c r="A329" s="69"/>
      <c r="B329" s="29"/>
      <c r="C329" s="88"/>
      <c r="D329" s="69"/>
      <c r="E329" s="69"/>
      <c r="F329" s="69"/>
      <c r="G329" s="69"/>
      <c r="H329" s="55"/>
      <c r="I329" s="44"/>
      <c r="J329" s="44"/>
      <c r="K329" s="19" t="str">
        <f aca="false">IF(H329="","",IF(G329="PYG",IF(N(J329)=0,"FALTA TC",H329/J329),H329))</f>
        <v/>
      </c>
      <c r="L329" s="69"/>
      <c r="M329" s="69"/>
      <c r="N329" s="69"/>
    </row>
    <row r="330" customFormat="false" ht="15" hidden="false" customHeight="false" outlineLevel="0" collapsed="false">
      <c r="A330" s="69"/>
      <c r="B330" s="29"/>
      <c r="C330" s="88"/>
      <c r="D330" s="69"/>
      <c r="E330" s="69"/>
      <c r="F330" s="69"/>
      <c r="G330" s="69"/>
      <c r="H330" s="55"/>
      <c r="I330" s="44"/>
      <c r="J330" s="44"/>
      <c r="K330" s="19" t="str">
        <f aca="false">IF(H330="","",IF(G330="PYG",IF(N(J330)=0,"FALTA TC",H330/J330),H330))</f>
        <v/>
      </c>
      <c r="L330" s="69"/>
      <c r="M330" s="69"/>
      <c r="N330" s="69"/>
    </row>
    <row r="331" customFormat="false" ht="15" hidden="false" customHeight="false" outlineLevel="0" collapsed="false">
      <c r="A331" s="69"/>
      <c r="B331" s="29"/>
      <c r="C331" s="88"/>
      <c r="D331" s="69"/>
      <c r="E331" s="69"/>
      <c r="F331" s="69"/>
      <c r="G331" s="69"/>
      <c r="H331" s="55"/>
      <c r="I331" s="44"/>
      <c r="J331" s="44"/>
      <c r="K331" s="19" t="str">
        <f aca="false">IF(H331="","",IF(G331="PYG",IF(N(J331)=0,"FALTA TC",H331/J331),H331))</f>
        <v/>
      </c>
      <c r="L331" s="69"/>
      <c r="M331" s="69"/>
      <c r="N331" s="69"/>
    </row>
    <row r="332" customFormat="false" ht="15" hidden="false" customHeight="false" outlineLevel="0" collapsed="false">
      <c r="A332" s="69"/>
      <c r="B332" s="29"/>
      <c r="C332" s="88"/>
      <c r="D332" s="69"/>
      <c r="E332" s="69"/>
      <c r="F332" s="69"/>
      <c r="G332" s="69"/>
      <c r="H332" s="55"/>
      <c r="I332" s="44"/>
      <c r="J332" s="44"/>
      <c r="K332" s="19" t="str">
        <f aca="false">IF(H332="","",IF(G332="PYG",IF(N(J332)=0,"FALTA TC",H332/J332),H332))</f>
        <v/>
      </c>
      <c r="L332" s="69"/>
      <c r="M332" s="69"/>
      <c r="N332" s="69"/>
    </row>
    <row r="333" customFormat="false" ht="15" hidden="false" customHeight="false" outlineLevel="0" collapsed="false">
      <c r="A333" s="69"/>
      <c r="B333" s="29"/>
      <c r="C333" s="88"/>
      <c r="D333" s="69"/>
      <c r="E333" s="69"/>
      <c r="F333" s="69"/>
      <c r="G333" s="69"/>
      <c r="H333" s="55"/>
      <c r="I333" s="44"/>
      <c r="J333" s="44"/>
      <c r="K333" s="19" t="str">
        <f aca="false">IF(H333="","",IF(G333="PYG",IF(N(J333)=0,"FALTA TC",H333/J333),H333))</f>
        <v/>
      </c>
      <c r="L333" s="69"/>
      <c r="M333" s="69"/>
      <c r="N333" s="69"/>
    </row>
    <row r="334" customFormat="false" ht="15" hidden="false" customHeight="false" outlineLevel="0" collapsed="false">
      <c r="A334" s="69"/>
      <c r="B334" s="29"/>
      <c r="C334" s="88"/>
      <c r="D334" s="69"/>
      <c r="E334" s="69"/>
      <c r="F334" s="69"/>
      <c r="G334" s="69"/>
      <c r="H334" s="55"/>
      <c r="I334" s="44"/>
      <c r="J334" s="44"/>
      <c r="K334" s="19" t="str">
        <f aca="false">IF(H334="","",IF(G334="PYG",IF(N(J334)=0,"FALTA TC",H334/J334),H334))</f>
        <v/>
      </c>
      <c r="L334" s="69"/>
      <c r="M334" s="69"/>
      <c r="N334" s="69"/>
    </row>
    <row r="335" customFormat="false" ht="15" hidden="false" customHeight="false" outlineLevel="0" collapsed="false">
      <c r="A335" s="69"/>
      <c r="B335" s="29"/>
      <c r="C335" s="88"/>
      <c r="D335" s="69"/>
      <c r="E335" s="69"/>
      <c r="F335" s="69"/>
      <c r="G335" s="69"/>
      <c r="H335" s="55"/>
      <c r="I335" s="44"/>
      <c r="J335" s="44"/>
      <c r="K335" s="19" t="str">
        <f aca="false">IF(H335="","",IF(G335="PYG",IF(N(J335)=0,"FALTA TC",H335/J335),H335))</f>
        <v/>
      </c>
      <c r="L335" s="69"/>
      <c r="M335" s="69"/>
      <c r="N335" s="69"/>
    </row>
    <row r="336" customFormat="false" ht="15" hidden="false" customHeight="false" outlineLevel="0" collapsed="false">
      <c r="A336" s="69"/>
      <c r="B336" s="29"/>
      <c r="C336" s="88"/>
      <c r="D336" s="69"/>
      <c r="E336" s="69"/>
      <c r="F336" s="69"/>
      <c r="G336" s="69"/>
      <c r="H336" s="55"/>
      <c r="I336" s="44"/>
      <c r="J336" s="44"/>
      <c r="K336" s="19" t="str">
        <f aca="false">IF(H336="","",IF(G336="PYG",IF(N(J336)=0,"FALTA TC",H336/J336),H336))</f>
        <v/>
      </c>
      <c r="L336" s="69"/>
      <c r="M336" s="69"/>
      <c r="N336" s="69"/>
    </row>
    <row r="337" customFormat="false" ht="15" hidden="false" customHeight="false" outlineLevel="0" collapsed="false">
      <c r="A337" s="69"/>
      <c r="B337" s="29"/>
      <c r="C337" s="88"/>
      <c r="D337" s="69"/>
      <c r="E337" s="69"/>
      <c r="F337" s="69"/>
      <c r="G337" s="69"/>
      <c r="H337" s="55"/>
      <c r="I337" s="44"/>
      <c r="J337" s="44"/>
      <c r="K337" s="19" t="str">
        <f aca="false">IF(H337="","",IF(G337="PYG",IF(N(J337)=0,"FALTA TC",H337/J337),H337))</f>
        <v/>
      </c>
      <c r="L337" s="69"/>
      <c r="M337" s="69"/>
      <c r="N337" s="69"/>
    </row>
    <row r="338" customFormat="false" ht="15" hidden="false" customHeight="false" outlineLevel="0" collapsed="false">
      <c r="A338" s="69"/>
      <c r="B338" s="29"/>
      <c r="C338" s="88"/>
      <c r="D338" s="69"/>
      <c r="E338" s="69"/>
      <c r="F338" s="69"/>
      <c r="G338" s="69"/>
      <c r="H338" s="55"/>
      <c r="I338" s="44"/>
      <c r="J338" s="44"/>
      <c r="K338" s="19" t="str">
        <f aca="false">IF(H338="","",IF(G338="PYG",IF(N(J338)=0,"FALTA TC",H338/J338),H338))</f>
        <v/>
      </c>
      <c r="L338" s="69"/>
      <c r="M338" s="69"/>
      <c r="N338" s="69"/>
    </row>
    <row r="339" customFormat="false" ht="15" hidden="false" customHeight="false" outlineLevel="0" collapsed="false">
      <c r="A339" s="69"/>
      <c r="B339" s="29"/>
      <c r="C339" s="88"/>
      <c r="D339" s="69"/>
      <c r="E339" s="69"/>
      <c r="F339" s="69"/>
      <c r="G339" s="69"/>
      <c r="H339" s="55"/>
      <c r="I339" s="44"/>
      <c r="J339" s="44"/>
      <c r="K339" s="19" t="str">
        <f aca="false">IF(H339="","",IF(G339="PYG",IF(N(J339)=0,"FALTA TC",H339/J339),H339))</f>
        <v/>
      </c>
      <c r="L339" s="69"/>
      <c r="M339" s="69"/>
      <c r="N339" s="69"/>
    </row>
    <row r="340" customFormat="false" ht="15" hidden="false" customHeight="false" outlineLevel="0" collapsed="false">
      <c r="A340" s="69"/>
      <c r="B340" s="29"/>
      <c r="C340" s="88"/>
      <c r="D340" s="69"/>
      <c r="E340" s="69"/>
      <c r="F340" s="69"/>
      <c r="G340" s="69"/>
      <c r="H340" s="55"/>
      <c r="I340" s="44"/>
      <c r="J340" s="44"/>
      <c r="K340" s="19" t="str">
        <f aca="false">IF(H340="","",IF(G340="PYG",IF(N(J340)=0,"FALTA TC",H340/J340),H340))</f>
        <v/>
      </c>
      <c r="L340" s="69"/>
      <c r="M340" s="69"/>
      <c r="N340" s="69"/>
    </row>
    <row r="341" customFormat="false" ht="15" hidden="false" customHeight="false" outlineLevel="0" collapsed="false">
      <c r="A341" s="69"/>
      <c r="B341" s="29"/>
      <c r="C341" s="88"/>
      <c r="D341" s="69"/>
      <c r="E341" s="69"/>
      <c r="F341" s="69"/>
      <c r="G341" s="69"/>
      <c r="H341" s="55"/>
      <c r="I341" s="44"/>
      <c r="J341" s="44"/>
      <c r="K341" s="19" t="str">
        <f aca="false">IF(H341="","",IF(G341="PYG",IF(N(J341)=0,"FALTA TC",H341/J341),H341))</f>
        <v/>
      </c>
      <c r="L341" s="69"/>
      <c r="M341" s="69"/>
      <c r="N341" s="69"/>
    </row>
    <row r="342" customFormat="false" ht="15" hidden="false" customHeight="false" outlineLevel="0" collapsed="false">
      <c r="A342" s="69"/>
      <c r="B342" s="29"/>
      <c r="C342" s="88"/>
      <c r="D342" s="69"/>
      <c r="E342" s="69"/>
      <c r="F342" s="69"/>
      <c r="G342" s="69"/>
      <c r="H342" s="55"/>
      <c r="I342" s="44"/>
      <c r="J342" s="44"/>
      <c r="K342" s="19" t="str">
        <f aca="false">IF(H342="","",IF(G342="PYG",IF(N(J342)=0,"FALTA TC",H342/J342),H342))</f>
        <v/>
      </c>
      <c r="L342" s="69"/>
      <c r="M342" s="69"/>
      <c r="N342" s="69"/>
    </row>
    <row r="343" customFormat="false" ht="15" hidden="false" customHeight="false" outlineLevel="0" collapsed="false">
      <c r="A343" s="69"/>
      <c r="B343" s="29"/>
      <c r="C343" s="88"/>
      <c r="D343" s="69"/>
      <c r="E343" s="69"/>
      <c r="F343" s="69"/>
      <c r="G343" s="69"/>
      <c r="H343" s="55"/>
      <c r="I343" s="44"/>
      <c r="J343" s="44"/>
      <c r="K343" s="19" t="str">
        <f aca="false">IF(H343="","",IF(G343="PYG",IF(N(J343)=0,"FALTA TC",H343/J343),H343))</f>
        <v/>
      </c>
      <c r="L343" s="69"/>
      <c r="M343" s="69"/>
      <c r="N343" s="69"/>
    </row>
    <row r="344" customFormat="false" ht="15" hidden="false" customHeight="false" outlineLevel="0" collapsed="false">
      <c r="A344" s="69"/>
      <c r="B344" s="29"/>
      <c r="C344" s="88"/>
      <c r="D344" s="69"/>
      <c r="E344" s="69"/>
      <c r="F344" s="69"/>
      <c r="G344" s="69"/>
      <c r="H344" s="55"/>
      <c r="I344" s="44"/>
      <c r="J344" s="44"/>
      <c r="K344" s="19" t="str">
        <f aca="false">IF(H344="","",IF(G344="PYG",IF(N(J344)=0,"FALTA TC",H344/J344),H344))</f>
        <v/>
      </c>
      <c r="L344" s="69"/>
      <c r="M344" s="69"/>
      <c r="N344" s="69"/>
    </row>
    <row r="345" customFormat="false" ht="15" hidden="false" customHeight="false" outlineLevel="0" collapsed="false">
      <c r="A345" s="69"/>
      <c r="B345" s="29"/>
      <c r="C345" s="88"/>
      <c r="D345" s="69"/>
      <c r="E345" s="69"/>
      <c r="F345" s="69"/>
      <c r="G345" s="69"/>
      <c r="H345" s="55"/>
      <c r="I345" s="44"/>
      <c r="J345" s="44"/>
      <c r="K345" s="19" t="str">
        <f aca="false">IF(H345="","",IF(G345="PYG",IF(N(J345)=0,"FALTA TC",H345/J345),H345))</f>
        <v/>
      </c>
      <c r="L345" s="69"/>
      <c r="M345" s="69"/>
      <c r="N345" s="69"/>
    </row>
    <row r="346" customFormat="false" ht="15" hidden="false" customHeight="false" outlineLevel="0" collapsed="false">
      <c r="A346" s="69"/>
      <c r="B346" s="29"/>
      <c r="C346" s="88"/>
      <c r="D346" s="69"/>
      <c r="E346" s="69"/>
      <c r="F346" s="69"/>
      <c r="G346" s="69"/>
      <c r="H346" s="55"/>
      <c r="I346" s="44"/>
      <c r="J346" s="44"/>
      <c r="K346" s="19" t="str">
        <f aca="false">IF(H346="","",IF(G346="PYG",IF(N(J346)=0,"FALTA TC",H346/J346),H346))</f>
        <v/>
      </c>
      <c r="L346" s="69"/>
      <c r="M346" s="69"/>
      <c r="N346" s="69"/>
    </row>
    <row r="347" customFormat="false" ht="15" hidden="false" customHeight="false" outlineLevel="0" collapsed="false">
      <c r="A347" s="69"/>
      <c r="B347" s="29"/>
      <c r="C347" s="88"/>
      <c r="D347" s="69"/>
      <c r="E347" s="69"/>
      <c r="F347" s="69"/>
      <c r="G347" s="69"/>
      <c r="H347" s="55"/>
      <c r="I347" s="44"/>
      <c r="J347" s="44"/>
      <c r="K347" s="19" t="str">
        <f aca="false">IF(H347="","",IF(G347="PYG",IF(N(J347)=0,"FALTA TC",H347/J347),H347))</f>
        <v/>
      </c>
      <c r="L347" s="69"/>
      <c r="M347" s="69"/>
      <c r="N347" s="69"/>
    </row>
    <row r="348" customFormat="false" ht="15" hidden="false" customHeight="false" outlineLevel="0" collapsed="false">
      <c r="A348" s="69"/>
      <c r="B348" s="29"/>
      <c r="C348" s="88"/>
      <c r="D348" s="69"/>
      <c r="E348" s="69"/>
      <c r="F348" s="69"/>
      <c r="G348" s="69"/>
      <c r="H348" s="55"/>
      <c r="I348" s="44"/>
      <c r="J348" s="44"/>
      <c r="K348" s="19" t="str">
        <f aca="false">IF(H348="","",IF(G348="PYG",IF(N(J348)=0,"FALTA TC",H348/J348),H348))</f>
        <v/>
      </c>
      <c r="L348" s="69"/>
      <c r="M348" s="69"/>
      <c r="N348" s="69"/>
    </row>
    <row r="349" customFormat="false" ht="15" hidden="false" customHeight="false" outlineLevel="0" collapsed="false">
      <c r="A349" s="69"/>
      <c r="B349" s="29"/>
      <c r="C349" s="88"/>
      <c r="D349" s="69"/>
      <c r="E349" s="69"/>
      <c r="F349" s="69"/>
      <c r="G349" s="69"/>
      <c r="H349" s="55"/>
      <c r="I349" s="44"/>
      <c r="J349" s="44"/>
      <c r="K349" s="19" t="str">
        <f aca="false">IF(H349="","",IF(G349="PYG",IF(N(J349)=0,"FALTA TC",H349/J349),H349))</f>
        <v/>
      </c>
      <c r="L349" s="69"/>
      <c r="M349" s="69"/>
      <c r="N349" s="69"/>
    </row>
    <row r="350" customFormat="false" ht="15" hidden="false" customHeight="false" outlineLevel="0" collapsed="false">
      <c r="A350" s="69"/>
      <c r="B350" s="29"/>
      <c r="C350" s="88"/>
      <c r="D350" s="69"/>
      <c r="E350" s="69"/>
      <c r="F350" s="69"/>
      <c r="G350" s="69"/>
      <c r="H350" s="55"/>
      <c r="I350" s="44"/>
      <c r="J350" s="44"/>
      <c r="K350" s="19" t="str">
        <f aca="false">IF(H350="","",IF(G350="PYG",IF(N(J350)=0,"FALTA TC",H350/J350),H350))</f>
        <v/>
      </c>
      <c r="L350" s="69"/>
      <c r="M350" s="69"/>
      <c r="N350" s="69"/>
    </row>
    <row r="351" customFormat="false" ht="15" hidden="false" customHeight="false" outlineLevel="0" collapsed="false">
      <c r="A351" s="69"/>
      <c r="B351" s="29"/>
      <c r="C351" s="88"/>
      <c r="D351" s="69"/>
      <c r="E351" s="69"/>
      <c r="F351" s="69"/>
      <c r="G351" s="69"/>
      <c r="H351" s="55"/>
      <c r="I351" s="44"/>
      <c r="J351" s="44"/>
      <c r="K351" s="19" t="str">
        <f aca="false">IF(H351="","",IF(G351="PYG",IF(N(J351)=0,"FALTA TC",H351/J351),H351))</f>
        <v/>
      </c>
      <c r="L351" s="69"/>
      <c r="M351" s="69"/>
      <c r="N351" s="69"/>
    </row>
    <row r="352" customFormat="false" ht="15" hidden="false" customHeight="false" outlineLevel="0" collapsed="false">
      <c r="A352" s="69"/>
      <c r="B352" s="29"/>
      <c r="C352" s="88"/>
      <c r="D352" s="69"/>
      <c r="E352" s="69"/>
      <c r="F352" s="69"/>
      <c r="G352" s="69"/>
      <c r="H352" s="55"/>
      <c r="I352" s="44"/>
      <c r="J352" s="44"/>
      <c r="K352" s="19" t="str">
        <f aca="false">IF(H352="","",IF(G352="PYG",IF(N(J352)=0,"FALTA TC",H352/J352),H352))</f>
        <v/>
      </c>
      <c r="L352" s="69"/>
      <c r="M352" s="69"/>
      <c r="N352" s="69"/>
    </row>
    <row r="353" customFormat="false" ht="15" hidden="false" customHeight="false" outlineLevel="0" collapsed="false">
      <c r="A353" s="69"/>
      <c r="B353" s="29"/>
      <c r="C353" s="88"/>
      <c r="D353" s="69"/>
      <c r="E353" s="69"/>
      <c r="F353" s="69"/>
      <c r="G353" s="69"/>
      <c r="H353" s="55"/>
      <c r="I353" s="44"/>
      <c r="J353" s="44"/>
      <c r="K353" s="19" t="str">
        <f aca="false">IF(H353="","",IF(G353="PYG",IF(N(J353)=0,"FALTA TC",H353/J353),H353))</f>
        <v/>
      </c>
      <c r="L353" s="69"/>
      <c r="M353" s="69"/>
      <c r="N353" s="69"/>
    </row>
    <row r="354" customFormat="false" ht="15" hidden="false" customHeight="false" outlineLevel="0" collapsed="false">
      <c r="A354" s="69"/>
      <c r="B354" s="29"/>
      <c r="C354" s="88"/>
      <c r="D354" s="69"/>
      <c r="E354" s="69"/>
      <c r="F354" s="69"/>
      <c r="G354" s="69"/>
      <c r="H354" s="55"/>
      <c r="I354" s="44"/>
      <c r="J354" s="44"/>
      <c r="K354" s="19" t="str">
        <f aca="false">IF(H354="","",IF(G354="PYG",IF(N(J354)=0,"FALTA TC",H354/J354),H354))</f>
        <v/>
      </c>
      <c r="L354" s="69"/>
      <c r="M354" s="69"/>
      <c r="N354" s="69"/>
    </row>
    <row r="355" customFormat="false" ht="15" hidden="false" customHeight="false" outlineLevel="0" collapsed="false">
      <c r="A355" s="69"/>
      <c r="B355" s="29"/>
      <c r="C355" s="88"/>
      <c r="D355" s="69"/>
      <c r="E355" s="69"/>
      <c r="F355" s="69"/>
      <c r="G355" s="69"/>
      <c r="H355" s="55"/>
      <c r="I355" s="44"/>
      <c r="J355" s="44"/>
      <c r="K355" s="19" t="str">
        <f aca="false">IF(H355="","",IF(G355="PYG",IF(N(J355)=0,"FALTA TC",H355/J355),H355))</f>
        <v/>
      </c>
      <c r="L355" s="69"/>
      <c r="M355" s="69"/>
      <c r="N355" s="69"/>
    </row>
    <row r="356" customFormat="false" ht="15" hidden="false" customHeight="false" outlineLevel="0" collapsed="false">
      <c r="A356" s="69"/>
      <c r="B356" s="29"/>
      <c r="C356" s="88"/>
      <c r="D356" s="69"/>
      <c r="E356" s="69"/>
      <c r="F356" s="69"/>
      <c r="G356" s="69"/>
      <c r="H356" s="55"/>
      <c r="I356" s="44"/>
      <c r="J356" s="44"/>
      <c r="K356" s="19" t="str">
        <f aca="false">IF(H356="","",IF(G356="PYG",IF(N(J356)=0,"FALTA TC",H356/J356),H356))</f>
        <v/>
      </c>
      <c r="L356" s="69"/>
      <c r="M356" s="69"/>
      <c r="N356" s="69"/>
    </row>
    <row r="357" customFormat="false" ht="15" hidden="false" customHeight="false" outlineLevel="0" collapsed="false">
      <c r="A357" s="69"/>
      <c r="B357" s="29"/>
      <c r="C357" s="88"/>
      <c r="D357" s="69"/>
      <c r="E357" s="69"/>
      <c r="F357" s="69"/>
      <c r="G357" s="69"/>
      <c r="H357" s="55"/>
      <c r="I357" s="44"/>
      <c r="J357" s="44"/>
      <c r="K357" s="19" t="str">
        <f aca="false">IF(H357="","",IF(G357="PYG",IF(N(J357)=0,"FALTA TC",H357/J357),H357))</f>
        <v/>
      </c>
      <c r="L357" s="69"/>
      <c r="M357" s="69"/>
      <c r="N357" s="69"/>
    </row>
    <row r="358" customFormat="false" ht="15" hidden="false" customHeight="false" outlineLevel="0" collapsed="false">
      <c r="A358" s="69"/>
      <c r="B358" s="29"/>
      <c r="C358" s="88"/>
      <c r="D358" s="69"/>
      <c r="E358" s="69"/>
      <c r="F358" s="69"/>
      <c r="G358" s="69"/>
      <c r="H358" s="55"/>
      <c r="I358" s="44"/>
      <c r="J358" s="44"/>
      <c r="K358" s="19" t="str">
        <f aca="false">IF(H358="","",IF(G358="PYG",IF(N(J358)=0,"FALTA TC",H358/J358),H358))</f>
        <v/>
      </c>
      <c r="L358" s="69"/>
      <c r="M358" s="69"/>
      <c r="N358" s="69"/>
    </row>
    <row r="359" customFormat="false" ht="15" hidden="false" customHeight="false" outlineLevel="0" collapsed="false">
      <c r="A359" s="69"/>
      <c r="B359" s="29"/>
      <c r="C359" s="88"/>
      <c r="D359" s="69"/>
      <c r="E359" s="69"/>
      <c r="F359" s="69"/>
      <c r="G359" s="69"/>
      <c r="H359" s="55"/>
      <c r="I359" s="44"/>
      <c r="J359" s="44"/>
      <c r="K359" s="19" t="str">
        <f aca="false">IF(H359="","",IF(G359="PYG",IF(N(J359)=0,"FALTA TC",H359/J359),H359))</f>
        <v/>
      </c>
      <c r="L359" s="69"/>
      <c r="M359" s="69"/>
      <c r="N359" s="69"/>
    </row>
    <row r="360" customFormat="false" ht="15" hidden="false" customHeight="false" outlineLevel="0" collapsed="false">
      <c r="A360" s="69"/>
      <c r="B360" s="29"/>
      <c r="C360" s="88"/>
      <c r="D360" s="69"/>
      <c r="E360" s="69"/>
      <c r="F360" s="69"/>
      <c r="G360" s="69"/>
      <c r="H360" s="55"/>
      <c r="I360" s="44"/>
      <c r="J360" s="44"/>
      <c r="K360" s="19" t="str">
        <f aca="false">IF(H360="","",IF(G360="PYG",IF(N(J360)=0,"FALTA TC",H360/J360),H360))</f>
        <v/>
      </c>
      <c r="L360" s="69"/>
      <c r="M360" s="69"/>
      <c r="N360" s="69"/>
    </row>
    <row r="361" customFormat="false" ht="15" hidden="false" customHeight="false" outlineLevel="0" collapsed="false">
      <c r="A361" s="69"/>
      <c r="B361" s="29"/>
      <c r="C361" s="88"/>
      <c r="D361" s="69"/>
      <c r="E361" s="69"/>
      <c r="F361" s="69"/>
      <c r="G361" s="69"/>
      <c r="H361" s="55"/>
      <c r="I361" s="44"/>
      <c r="J361" s="44"/>
      <c r="K361" s="19" t="str">
        <f aca="false">IF(H361="","",IF(G361="PYG",IF(N(J361)=0,"FALTA TC",H361/J361),H361))</f>
        <v/>
      </c>
      <c r="L361" s="69"/>
      <c r="M361" s="69"/>
      <c r="N361" s="69"/>
    </row>
    <row r="362" customFormat="false" ht="15" hidden="false" customHeight="false" outlineLevel="0" collapsed="false">
      <c r="A362" s="69"/>
      <c r="B362" s="29"/>
      <c r="C362" s="88"/>
      <c r="D362" s="69"/>
      <c r="E362" s="69"/>
      <c r="F362" s="69"/>
      <c r="G362" s="69"/>
      <c r="H362" s="55"/>
      <c r="I362" s="44"/>
      <c r="J362" s="44"/>
      <c r="K362" s="19" t="str">
        <f aca="false">IF(H362="","",IF(G362="PYG",IF(N(J362)=0,"FALTA TC",H362/J362),H362))</f>
        <v/>
      </c>
      <c r="L362" s="69"/>
      <c r="M362" s="69"/>
      <c r="N362" s="69"/>
    </row>
    <row r="363" customFormat="false" ht="15" hidden="false" customHeight="false" outlineLevel="0" collapsed="false">
      <c r="A363" s="69"/>
      <c r="B363" s="29"/>
      <c r="C363" s="88"/>
      <c r="D363" s="69"/>
      <c r="E363" s="69"/>
      <c r="F363" s="69"/>
      <c r="G363" s="69"/>
      <c r="H363" s="55"/>
      <c r="I363" s="44"/>
      <c r="J363" s="44"/>
      <c r="K363" s="19" t="str">
        <f aca="false">IF(H363="","",IF(G363="PYG",IF(N(J363)=0,"FALTA TC",H363/J363),H363))</f>
        <v/>
      </c>
      <c r="L363" s="69"/>
      <c r="M363" s="69"/>
      <c r="N363" s="69"/>
    </row>
    <row r="364" customFormat="false" ht="15" hidden="false" customHeight="false" outlineLevel="0" collapsed="false">
      <c r="A364" s="69"/>
      <c r="B364" s="29"/>
      <c r="C364" s="88"/>
      <c r="D364" s="69"/>
      <c r="E364" s="69"/>
      <c r="F364" s="69"/>
      <c r="G364" s="69"/>
      <c r="H364" s="55"/>
      <c r="I364" s="44"/>
      <c r="J364" s="44"/>
      <c r="K364" s="19" t="str">
        <f aca="false">IF(H364="","",IF(G364="PYG",IF(N(J364)=0,"FALTA TC",H364/J364),H364))</f>
        <v/>
      </c>
      <c r="L364" s="69"/>
      <c r="M364" s="69"/>
      <c r="N364" s="69"/>
    </row>
    <row r="365" customFormat="false" ht="15" hidden="false" customHeight="false" outlineLevel="0" collapsed="false">
      <c r="A365" s="69"/>
      <c r="B365" s="29"/>
      <c r="C365" s="88"/>
      <c r="D365" s="69"/>
      <c r="E365" s="69"/>
      <c r="F365" s="69"/>
      <c r="G365" s="69"/>
      <c r="H365" s="55"/>
      <c r="I365" s="44"/>
      <c r="J365" s="44"/>
      <c r="K365" s="19" t="str">
        <f aca="false">IF(H365="","",IF(G365="PYG",IF(N(J365)=0,"FALTA TC",H365/J365),H365))</f>
        <v/>
      </c>
      <c r="L365" s="69"/>
      <c r="M365" s="69"/>
      <c r="N365" s="69"/>
    </row>
    <row r="366" customFormat="false" ht="15" hidden="false" customHeight="false" outlineLevel="0" collapsed="false">
      <c r="A366" s="69"/>
      <c r="B366" s="29"/>
      <c r="C366" s="88"/>
      <c r="D366" s="69"/>
      <c r="E366" s="69"/>
      <c r="F366" s="69"/>
      <c r="G366" s="69"/>
      <c r="H366" s="55"/>
      <c r="I366" s="44"/>
      <c r="J366" s="44"/>
      <c r="K366" s="19" t="str">
        <f aca="false">IF(H366="","",IF(G366="PYG",IF(N(J366)=0,"FALTA TC",H366/J366),H366))</f>
        <v/>
      </c>
      <c r="L366" s="69"/>
      <c r="M366" s="69"/>
      <c r="N366" s="69"/>
    </row>
    <row r="367" customFormat="false" ht="15" hidden="false" customHeight="false" outlineLevel="0" collapsed="false">
      <c r="A367" s="69"/>
      <c r="B367" s="29"/>
      <c r="C367" s="88"/>
      <c r="D367" s="69"/>
      <c r="E367" s="69"/>
      <c r="F367" s="69"/>
      <c r="G367" s="69"/>
      <c r="H367" s="55"/>
      <c r="I367" s="44"/>
      <c r="J367" s="44"/>
      <c r="K367" s="19" t="str">
        <f aca="false">IF(H367="","",IF(G367="PYG",IF(N(J367)=0,"FALTA TC",H367/J367),H367))</f>
        <v/>
      </c>
      <c r="L367" s="69"/>
      <c r="M367" s="69"/>
      <c r="N367" s="69"/>
    </row>
    <row r="368" customFormat="false" ht="15" hidden="false" customHeight="false" outlineLevel="0" collapsed="false">
      <c r="A368" s="69"/>
      <c r="B368" s="29"/>
      <c r="C368" s="88"/>
      <c r="D368" s="69"/>
      <c r="E368" s="69"/>
      <c r="F368" s="69"/>
      <c r="G368" s="69"/>
      <c r="H368" s="55"/>
      <c r="I368" s="44"/>
      <c r="J368" s="44"/>
      <c r="K368" s="19" t="str">
        <f aca="false">IF(H368="","",IF(G368="PYG",IF(N(J368)=0,"FALTA TC",H368/J368),H368))</f>
        <v/>
      </c>
      <c r="L368" s="69"/>
      <c r="M368" s="69"/>
      <c r="N368" s="69"/>
    </row>
    <row r="369" customFormat="false" ht="15" hidden="false" customHeight="false" outlineLevel="0" collapsed="false">
      <c r="A369" s="69"/>
      <c r="B369" s="29"/>
      <c r="C369" s="88"/>
      <c r="D369" s="69"/>
      <c r="E369" s="69"/>
      <c r="F369" s="69"/>
      <c r="G369" s="69"/>
      <c r="H369" s="55"/>
      <c r="I369" s="44"/>
      <c r="J369" s="44"/>
      <c r="K369" s="19" t="str">
        <f aca="false">IF(H369="","",IF(G369="PYG",IF(N(J369)=0,"FALTA TC",H369/J369),H369))</f>
        <v/>
      </c>
      <c r="L369" s="69"/>
      <c r="M369" s="69"/>
      <c r="N369" s="69"/>
    </row>
    <row r="370" customFormat="false" ht="15" hidden="false" customHeight="false" outlineLevel="0" collapsed="false">
      <c r="A370" s="69"/>
      <c r="B370" s="29"/>
      <c r="C370" s="88"/>
      <c r="D370" s="69"/>
      <c r="E370" s="69"/>
      <c r="F370" s="69"/>
      <c r="G370" s="69"/>
      <c r="H370" s="55"/>
      <c r="I370" s="44"/>
      <c r="J370" s="44"/>
      <c r="K370" s="19" t="str">
        <f aca="false">IF(H370="","",IF(G370="PYG",IF(N(J370)=0,"FALTA TC",H370/J370),H370))</f>
        <v/>
      </c>
      <c r="L370" s="69"/>
      <c r="M370" s="69"/>
      <c r="N370" s="69"/>
    </row>
    <row r="371" customFormat="false" ht="15" hidden="false" customHeight="false" outlineLevel="0" collapsed="false">
      <c r="A371" s="69"/>
      <c r="B371" s="29"/>
      <c r="C371" s="88"/>
      <c r="D371" s="69"/>
      <c r="E371" s="69"/>
      <c r="F371" s="69"/>
      <c r="G371" s="69"/>
      <c r="H371" s="55"/>
      <c r="I371" s="44"/>
      <c r="J371" s="44"/>
      <c r="K371" s="19" t="str">
        <f aca="false">IF(H371="","",IF(G371="PYG",IF(N(J371)=0,"FALTA TC",H371/J371),H371))</f>
        <v/>
      </c>
      <c r="L371" s="69"/>
      <c r="M371" s="69"/>
      <c r="N371" s="69"/>
    </row>
    <row r="372" customFormat="false" ht="15" hidden="false" customHeight="false" outlineLevel="0" collapsed="false">
      <c r="A372" s="69"/>
      <c r="B372" s="29"/>
      <c r="C372" s="88"/>
      <c r="D372" s="69"/>
      <c r="E372" s="69"/>
      <c r="F372" s="69"/>
      <c r="G372" s="69"/>
      <c r="H372" s="55"/>
      <c r="I372" s="44"/>
      <c r="J372" s="44"/>
      <c r="K372" s="19" t="str">
        <f aca="false">IF(H372="","",IF(G372="PYG",IF(N(J372)=0,"FALTA TC",H372/J372),H372))</f>
        <v/>
      </c>
      <c r="L372" s="69"/>
      <c r="M372" s="69"/>
      <c r="N372" s="69"/>
    </row>
    <row r="373" customFormat="false" ht="15" hidden="false" customHeight="false" outlineLevel="0" collapsed="false">
      <c r="A373" s="69"/>
      <c r="B373" s="29"/>
      <c r="C373" s="88"/>
      <c r="D373" s="69"/>
      <c r="E373" s="69"/>
      <c r="F373" s="69"/>
      <c r="G373" s="69"/>
      <c r="H373" s="55"/>
      <c r="I373" s="44"/>
      <c r="J373" s="44"/>
      <c r="K373" s="19" t="str">
        <f aca="false">IF(H373="","",IF(G373="PYG",IF(N(J373)=0,"FALTA TC",H373/J373),H373))</f>
        <v/>
      </c>
      <c r="L373" s="69"/>
      <c r="M373" s="69"/>
      <c r="N373" s="69"/>
    </row>
    <row r="374" customFormat="false" ht="15" hidden="false" customHeight="false" outlineLevel="0" collapsed="false">
      <c r="A374" s="69"/>
      <c r="B374" s="29"/>
      <c r="C374" s="88"/>
      <c r="D374" s="69"/>
      <c r="E374" s="69"/>
      <c r="F374" s="69"/>
      <c r="G374" s="69"/>
      <c r="H374" s="55"/>
      <c r="I374" s="44"/>
      <c r="J374" s="44"/>
      <c r="K374" s="19" t="str">
        <f aca="false">IF(H374="","",IF(G374="PYG",IF(N(J374)=0,"FALTA TC",H374/J374),H374))</f>
        <v/>
      </c>
      <c r="L374" s="69"/>
      <c r="M374" s="69"/>
      <c r="N374" s="69"/>
    </row>
    <row r="375" customFormat="false" ht="15" hidden="false" customHeight="false" outlineLevel="0" collapsed="false">
      <c r="A375" s="69"/>
      <c r="B375" s="29"/>
      <c r="C375" s="88"/>
      <c r="D375" s="69"/>
      <c r="E375" s="69"/>
      <c r="F375" s="69"/>
      <c r="G375" s="69"/>
      <c r="H375" s="55"/>
      <c r="I375" s="44"/>
      <c r="J375" s="44"/>
      <c r="K375" s="19" t="str">
        <f aca="false">IF(H375="","",IF(G375="PYG",IF(N(J375)=0,"FALTA TC",H375/J375),H375))</f>
        <v/>
      </c>
      <c r="L375" s="69"/>
      <c r="M375" s="69"/>
      <c r="N375" s="69"/>
    </row>
    <row r="376" customFormat="false" ht="15" hidden="false" customHeight="false" outlineLevel="0" collapsed="false">
      <c r="A376" s="69"/>
      <c r="B376" s="29"/>
      <c r="C376" s="88"/>
      <c r="D376" s="69"/>
      <c r="E376" s="69"/>
      <c r="F376" s="69"/>
      <c r="G376" s="69"/>
      <c r="H376" s="55"/>
      <c r="I376" s="44"/>
      <c r="J376" s="44"/>
      <c r="K376" s="19" t="str">
        <f aca="false">IF(H376="","",IF(G376="PYG",IF(N(J376)=0,"FALTA TC",H376/J376),H376))</f>
        <v/>
      </c>
      <c r="L376" s="69"/>
      <c r="M376" s="69"/>
      <c r="N376" s="69"/>
    </row>
    <row r="377" customFormat="false" ht="15" hidden="false" customHeight="false" outlineLevel="0" collapsed="false">
      <c r="A377" s="69"/>
      <c r="B377" s="29"/>
      <c r="C377" s="88"/>
      <c r="D377" s="69"/>
      <c r="E377" s="69"/>
      <c r="F377" s="69"/>
      <c r="G377" s="69"/>
      <c r="H377" s="55"/>
      <c r="I377" s="44"/>
      <c r="J377" s="44"/>
      <c r="K377" s="19" t="str">
        <f aca="false">IF(H377="","",IF(G377="PYG",IF(N(J377)=0,"FALTA TC",H377/J377),H377))</f>
        <v/>
      </c>
      <c r="L377" s="69"/>
      <c r="M377" s="69"/>
      <c r="N377" s="69"/>
    </row>
    <row r="378" customFormat="false" ht="15" hidden="false" customHeight="false" outlineLevel="0" collapsed="false">
      <c r="A378" s="69"/>
      <c r="B378" s="29"/>
      <c r="C378" s="88"/>
      <c r="D378" s="69"/>
      <c r="E378" s="69"/>
      <c r="F378" s="69"/>
      <c r="G378" s="69"/>
      <c r="H378" s="55"/>
      <c r="I378" s="44"/>
      <c r="J378" s="44"/>
      <c r="K378" s="19" t="str">
        <f aca="false">IF(H378="","",IF(G378="PYG",IF(N(J378)=0,"FALTA TC",H378/J378),H378))</f>
        <v/>
      </c>
      <c r="L378" s="69"/>
      <c r="M378" s="69"/>
      <c r="N378" s="69"/>
    </row>
    <row r="379" customFormat="false" ht="15" hidden="false" customHeight="false" outlineLevel="0" collapsed="false">
      <c r="A379" s="69"/>
      <c r="B379" s="29"/>
      <c r="C379" s="88"/>
      <c r="D379" s="69"/>
      <c r="E379" s="69"/>
      <c r="F379" s="69"/>
      <c r="G379" s="69"/>
      <c r="H379" s="55"/>
      <c r="I379" s="44"/>
      <c r="J379" s="44"/>
      <c r="K379" s="19" t="str">
        <f aca="false">IF(H379="","",IF(G379="PYG",IF(N(J379)=0,"FALTA TC",H379/J379),H379))</f>
        <v/>
      </c>
      <c r="L379" s="69"/>
      <c r="M379" s="69"/>
      <c r="N379" s="69"/>
    </row>
    <row r="380" customFormat="false" ht="15" hidden="false" customHeight="false" outlineLevel="0" collapsed="false">
      <c r="A380" s="69"/>
      <c r="B380" s="29"/>
      <c r="C380" s="88"/>
      <c r="D380" s="69"/>
      <c r="E380" s="69"/>
      <c r="F380" s="69"/>
      <c r="G380" s="69"/>
      <c r="H380" s="55"/>
      <c r="I380" s="44"/>
      <c r="J380" s="44"/>
      <c r="K380" s="19" t="str">
        <f aca="false">IF(H380="","",IF(G380="PYG",IF(N(J380)=0,"FALTA TC",H380/J380),H380))</f>
        <v/>
      </c>
      <c r="L380" s="69"/>
      <c r="M380" s="69"/>
      <c r="N380" s="69"/>
    </row>
    <row r="381" customFormat="false" ht="15" hidden="false" customHeight="false" outlineLevel="0" collapsed="false">
      <c r="A381" s="69"/>
      <c r="B381" s="29"/>
      <c r="C381" s="88"/>
      <c r="D381" s="69"/>
      <c r="E381" s="69"/>
      <c r="F381" s="69"/>
      <c r="G381" s="69"/>
      <c r="H381" s="55"/>
      <c r="I381" s="44"/>
      <c r="J381" s="44"/>
      <c r="K381" s="19" t="str">
        <f aca="false">IF(H381="","",IF(G381="PYG",IF(N(J381)=0,"FALTA TC",H381/J381),H381))</f>
        <v/>
      </c>
      <c r="L381" s="69"/>
      <c r="M381" s="69"/>
      <c r="N381" s="69"/>
    </row>
    <row r="382" customFormat="false" ht="15" hidden="false" customHeight="false" outlineLevel="0" collapsed="false">
      <c r="A382" s="69"/>
      <c r="B382" s="29"/>
      <c r="C382" s="88"/>
      <c r="D382" s="69"/>
      <c r="E382" s="69"/>
      <c r="F382" s="69"/>
      <c r="G382" s="69"/>
      <c r="H382" s="55"/>
      <c r="I382" s="44"/>
      <c r="J382" s="44"/>
      <c r="K382" s="19" t="str">
        <f aca="false">IF(H382="","",IF(G382="PYG",IF(N(J382)=0,"FALTA TC",H382/J382),H382))</f>
        <v/>
      </c>
      <c r="L382" s="69"/>
      <c r="M382" s="69"/>
      <c r="N382" s="69"/>
    </row>
    <row r="383" customFormat="false" ht="15" hidden="false" customHeight="false" outlineLevel="0" collapsed="false">
      <c r="A383" s="69"/>
      <c r="B383" s="29"/>
      <c r="C383" s="88"/>
      <c r="D383" s="69"/>
      <c r="E383" s="69"/>
      <c r="F383" s="69"/>
      <c r="G383" s="69"/>
      <c r="H383" s="55"/>
      <c r="I383" s="44"/>
      <c r="J383" s="44"/>
      <c r="K383" s="19" t="str">
        <f aca="false">IF(H383="","",IF(G383="PYG",IF(N(J383)=0,"FALTA TC",H383/J383),H383))</f>
        <v/>
      </c>
      <c r="L383" s="69"/>
      <c r="M383" s="69"/>
      <c r="N383" s="69"/>
    </row>
    <row r="384" customFormat="false" ht="15" hidden="false" customHeight="false" outlineLevel="0" collapsed="false">
      <c r="A384" s="69"/>
      <c r="B384" s="29"/>
      <c r="C384" s="88"/>
      <c r="D384" s="69"/>
      <c r="E384" s="69"/>
      <c r="F384" s="69"/>
      <c r="G384" s="69"/>
      <c r="H384" s="55"/>
      <c r="I384" s="44"/>
      <c r="J384" s="44"/>
      <c r="K384" s="19" t="str">
        <f aca="false">IF(H384="","",IF(G384="PYG",IF(N(J384)=0,"FALTA TC",H384/J384),H384))</f>
        <v/>
      </c>
      <c r="L384" s="69"/>
      <c r="M384" s="69"/>
      <c r="N384" s="69"/>
    </row>
    <row r="385" customFormat="false" ht="15" hidden="false" customHeight="false" outlineLevel="0" collapsed="false">
      <c r="A385" s="69"/>
      <c r="B385" s="29"/>
      <c r="C385" s="88"/>
      <c r="D385" s="69"/>
      <c r="E385" s="69"/>
      <c r="F385" s="69"/>
      <c r="G385" s="69"/>
      <c r="H385" s="55"/>
      <c r="I385" s="44"/>
      <c r="J385" s="44"/>
      <c r="K385" s="19" t="str">
        <f aca="false">IF(H385="","",IF(G385="PYG",IF(N(J385)=0,"FALTA TC",H385/J385),H385))</f>
        <v/>
      </c>
      <c r="L385" s="69"/>
      <c r="M385" s="69"/>
      <c r="N385" s="69"/>
    </row>
    <row r="386" customFormat="false" ht="15" hidden="false" customHeight="false" outlineLevel="0" collapsed="false">
      <c r="A386" s="69"/>
      <c r="B386" s="29"/>
      <c r="C386" s="88"/>
      <c r="D386" s="69"/>
      <c r="E386" s="69"/>
      <c r="F386" s="69"/>
      <c r="G386" s="69"/>
      <c r="H386" s="55"/>
      <c r="I386" s="44"/>
      <c r="J386" s="44"/>
      <c r="K386" s="19" t="str">
        <f aca="false">IF(H386="","",IF(G386="PYG",IF(N(J386)=0,"FALTA TC",H386/J386),H386))</f>
        <v/>
      </c>
      <c r="L386" s="69"/>
      <c r="M386" s="69"/>
      <c r="N386" s="69"/>
    </row>
    <row r="387" customFormat="false" ht="15" hidden="false" customHeight="false" outlineLevel="0" collapsed="false">
      <c r="A387" s="69"/>
      <c r="B387" s="29"/>
      <c r="C387" s="88"/>
      <c r="D387" s="69"/>
      <c r="E387" s="69"/>
      <c r="F387" s="69"/>
      <c r="G387" s="69"/>
      <c r="H387" s="55"/>
      <c r="I387" s="44"/>
      <c r="J387" s="44"/>
      <c r="K387" s="19" t="str">
        <f aca="false">IF(H387="","",IF(G387="PYG",IF(N(J387)=0,"FALTA TC",H387/J387),H387))</f>
        <v/>
      </c>
      <c r="L387" s="69"/>
      <c r="M387" s="69"/>
      <c r="N387" s="69"/>
    </row>
    <row r="388" customFormat="false" ht="15" hidden="false" customHeight="false" outlineLevel="0" collapsed="false">
      <c r="A388" s="69"/>
      <c r="B388" s="29"/>
      <c r="C388" s="88"/>
      <c r="D388" s="69"/>
      <c r="E388" s="69"/>
      <c r="F388" s="69"/>
      <c r="G388" s="69"/>
      <c r="H388" s="55"/>
      <c r="I388" s="44"/>
      <c r="J388" s="44"/>
      <c r="K388" s="19" t="str">
        <f aca="false">IF(H388="","",IF(G388="PYG",IF(N(J388)=0,"FALTA TC",H388/J388),H388))</f>
        <v/>
      </c>
      <c r="L388" s="69"/>
      <c r="M388" s="69"/>
      <c r="N388" s="69"/>
    </row>
    <row r="389" customFormat="false" ht="15" hidden="false" customHeight="false" outlineLevel="0" collapsed="false">
      <c r="A389" s="69"/>
      <c r="B389" s="29"/>
      <c r="C389" s="88"/>
      <c r="D389" s="69"/>
      <c r="E389" s="69"/>
      <c r="F389" s="69"/>
      <c r="G389" s="69"/>
      <c r="H389" s="55"/>
      <c r="I389" s="44"/>
      <c r="J389" s="44"/>
      <c r="K389" s="19" t="str">
        <f aca="false">IF(H389="","",IF(G389="PYG",IF(N(J389)=0,"FALTA TC",H389/J389),H389))</f>
        <v/>
      </c>
      <c r="L389" s="69"/>
      <c r="M389" s="69"/>
      <c r="N389" s="69"/>
    </row>
    <row r="390" customFormat="false" ht="15" hidden="false" customHeight="false" outlineLevel="0" collapsed="false">
      <c r="A390" s="69"/>
      <c r="B390" s="29"/>
      <c r="C390" s="88"/>
      <c r="D390" s="69"/>
      <c r="E390" s="69"/>
      <c r="F390" s="69"/>
      <c r="G390" s="69"/>
      <c r="H390" s="55"/>
      <c r="I390" s="44"/>
      <c r="J390" s="44"/>
      <c r="K390" s="19" t="str">
        <f aca="false">IF(H390="","",IF(G390="PYG",IF(N(J390)=0,"FALTA TC",H390/J390),H390))</f>
        <v/>
      </c>
      <c r="L390" s="69"/>
      <c r="M390" s="69"/>
      <c r="N390" s="69"/>
    </row>
    <row r="391" customFormat="false" ht="15" hidden="false" customHeight="false" outlineLevel="0" collapsed="false">
      <c r="A391" s="69"/>
      <c r="B391" s="29"/>
      <c r="C391" s="88"/>
      <c r="D391" s="69"/>
      <c r="E391" s="69"/>
      <c r="F391" s="69"/>
      <c r="G391" s="69"/>
      <c r="H391" s="55"/>
      <c r="I391" s="44"/>
      <c r="J391" s="44"/>
      <c r="K391" s="19" t="str">
        <f aca="false">IF(H391="","",IF(G391="PYG",IF(N(J391)=0,"FALTA TC",H391/J391),H391))</f>
        <v/>
      </c>
      <c r="L391" s="69"/>
      <c r="M391" s="69"/>
      <c r="N391" s="69"/>
    </row>
    <row r="392" customFormat="false" ht="15" hidden="false" customHeight="false" outlineLevel="0" collapsed="false">
      <c r="A392" s="69"/>
      <c r="B392" s="29"/>
      <c r="C392" s="88"/>
      <c r="D392" s="69"/>
      <c r="E392" s="69"/>
      <c r="F392" s="69"/>
      <c r="G392" s="69"/>
      <c r="H392" s="55"/>
      <c r="I392" s="44"/>
      <c r="J392" s="44"/>
      <c r="K392" s="19" t="str">
        <f aca="false">IF(H392="","",IF(G392="PYG",IF(N(J392)=0,"FALTA TC",H392/J392),H392))</f>
        <v/>
      </c>
      <c r="L392" s="69"/>
      <c r="M392" s="69"/>
      <c r="N392" s="69"/>
    </row>
    <row r="393" customFormat="false" ht="15" hidden="false" customHeight="false" outlineLevel="0" collapsed="false">
      <c r="A393" s="69"/>
      <c r="B393" s="29"/>
      <c r="C393" s="88"/>
      <c r="D393" s="69"/>
      <c r="E393" s="69"/>
      <c r="F393" s="69"/>
      <c r="G393" s="69"/>
      <c r="H393" s="55"/>
      <c r="I393" s="44"/>
      <c r="J393" s="44"/>
      <c r="K393" s="19" t="str">
        <f aca="false">IF(H393="","",IF(G393="PYG",IF(N(J393)=0,"FALTA TC",H393/J393),H393))</f>
        <v/>
      </c>
      <c r="L393" s="69"/>
      <c r="M393" s="69"/>
      <c r="N393" s="69"/>
    </row>
    <row r="394" customFormat="false" ht="15" hidden="false" customHeight="false" outlineLevel="0" collapsed="false">
      <c r="A394" s="69"/>
      <c r="B394" s="29"/>
      <c r="C394" s="88"/>
      <c r="D394" s="69"/>
      <c r="E394" s="69"/>
      <c r="F394" s="69"/>
      <c r="G394" s="69"/>
      <c r="H394" s="55"/>
      <c r="I394" s="44"/>
      <c r="J394" s="44"/>
      <c r="K394" s="19" t="str">
        <f aca="false">IF(H394="","",IF(G394="PYG",IF(N(J394)=0,"FALTA TC",H394/J394),H394))</f>
        <v/>
      </c>
      <c r="L394" s="69"/>
      <c r="M394" s="69"/>
      <c r="N394" s="69"/>
    </row>
    <row r="395" customFormat="false" ht="15" hidden="false" customHeight="false" outlineLevel="0" collapsed="false">
      <c r="A395" s="69"/>
      <c r="B395" s="29"/>
      <c r="C395" s="88"/>
      <c r="D395" s="69"/>
      <c r="E395" s="69"/>
      <c r="F395" s="69"/>
      <c r="G395" s="69"/>
      <c r="H395" s="55"/>
      <c r="I395" s="44"/>
      <c r="J395" s="44"/>
      <c r="K395" s="19" t="str">
        <f aca="false">IF(H395="","",IF(G395="PYG",IF(N(J395)=0,"FALTA TC",H395/J395),H395))</f>
        <v/>
      </c>
      <c r="L395" s="69"/>
      <c r="M395" s="69"/>
      <c r="N395" s="69"/>
    </row>
    <row r="396" customFormat="false" ht="15" hidden="false" customHeight="false" outlineLevel="0" collapsed="false">
      <c r="A396" s="69"/>
      <c r="B396" s="29"/>
      <c r="C396" s="88"/>
      <c r="D396" s="69"/>
      <c r="E396" s="69"/>
      <c r="F396" s="69"/>
      <c r="G396" s="69"/>
      <c r="H396" s="55"/>
      <c r="I396" s="44"/>
      <c r="J396" s="44"/>
      <c r="K396" s="19" t="str">
        <f aca="false">IF(H396="","",IF(G396="PYG",IF(N(J396)=0,"FALTA TC",H396/J396),H396))</f>
        <v/>
      </c>
      <c r="L396" s="69"/>
      <c r="M396" s="69"/>
      <c r="N396" s="69"/>
    </row>
    <row r="397" customFormat="false" ht="15" hidden="false" customHeight="false" outlineLevel="0" collapsed="false">
      <c r="A397" s="69"/>
      <c r="B397" s="29"/>
      <c r="C397" s="88"/>
      <c r="D397" s="69"/>
      <c r="E397" s="69"/>
      <c r="F397" s="69"/>
      <c r="G397" s="69"/>
      <c r="H397" s="55"/>
      <c r="I397" s="44"/>
      <c r="J397" s="44"/>
      <c r="K397" s="19" t="str">
        <f aca="false">IF(H397="","",IF(G397="PYG",IF(N(J397)=0,"FALTA TC",H397/J397),H397))</f>
        <v/>
      </c>
      <c r="L397" s="69"/>
      <c r="M397" s="69"/>
      <c r="N397" s="69"/>
    </row>
    <row r="398" customFormat="false" ht="15" hidden="false" customHeight="false" outlineLevel="0" collapsed="false">
      <c r="A398" s="69"/>
      <c r="B398" s="29"/>
      <c r="C398" s="88"/>
      <c r="D398" s="69"/>
      <c r="E398" s="69"/>
      <c r="F398" s="69"/>
      <c r="G398" s="69"/>
      <c r="H398" s="55"/>
      <c r="I398" s="44"/>
      <c r="J398" s="44"/>
      <c r="K398" s="19" t="str">
        <f aca="false">IF(H398="","",IF(G398="PYG",IF(N(J398)=0,"FALTA TC",H398/J398),H398))</f>
        <v/>
      </c>
      <c r="L398" s="69"/>
      <c r="M398" s="69"/>
      <c r="N398" s="69"/>
    </row>
    <row r="399" customFormat="false" ht="15" hidden="false" customHeight="false" outlineLevel="0" collapsed="false">
      <c r="A399" s="69"/>
      <c r="B399" s="29"/>
      <c r="C399" s="88"/>
      <c r="D399" s="69"/>
      <c r="E399" s="69"/>
      <c r="F399" s="69"/>
      <c r="G399" s="69"/>
      <c r="H399" s="55"/>
      <c r="I399" s="44"/>
      <c r="J399" s="44"/>
      <c r="K399" s="19" t="str">
        <f aca="false">IF(H399="","",IF(G399="PYG",IF(N(J399)=0,"FALTA TC",H399/J399),H399))</f>
        <v/>
      </c>
      <c r="L399" s="69"/>
      <c r="M399" s="69"/>
      <c r="N399" s="69"/>
    </row>
    <row r="400" customFormat="false" ht="15" hidden="false" customHeight="false" outlineLevel="0" collapsed="false">
      <c r="A400" s="69"/>
      <c r="B400" s="29"/>
      <c r="C400" s="88"/>
      <c r="D400" s="69"/>
      <c r="E400" s="69"/>
      <c r="F400" s="69"/>
      <c r="G400" s="69"/>
      <c r="H400" s="55"/>
      <c r="I400" s="44"/>
      <c r="J400" s="44"/>
      <c r="K400" s="19" t="str">
        <f aca="false">IF(H400="","",IF(G400="PYG",IF(N(J400)=0,"FALTA TC",H400/J400),H400))</f>
        <v/>
      </c>
      <c r="L400" s="69"/>
      <c r="M400" s="69"/>
      <c r="N400" s="69"/>
    </row>
    <row r="401" customFormat="false" ht="15" hidden="false" customHeight="false" outlineLevel="0" collapsed="false">
      <c r="A401" s="69"/>
      <c r="B401" s="29"/>
      <c r="C401" s="88"/>
      <c r="D401" s="69"/>
      <c r="E401" s="69"/>
      <c r="F401" s="69"/>
      <c r="G401" s="69"/>
      <c r="H401" s="55"/>
      <c r="I401" s="44"/>
      <c r="J401" s="44"/>
      <c r="K401" s="19" t="str">
        <f aca="false">IF(H401="","",IF(G401="PYG",IF(N(J401)=0,"FALTA TC",H401/J401),H401))</f>
        <v/>
      </c>
      <c r="L401" s="69"/>
      <c r="M401" s="69"/>
      <c r="N401" s="69"/>
    </row>
    <row r="402" customFormat="false" ht="15" hidden="false" customHeight="false" outlineLevel="0" collapsed="false">
      <c r="A402" s="69"/>
      <c r="B402" s="29"/>
      <c r="C402" s="88"/>
      <c r="D402" s="69"/>
      <c r="E402" s="69"/>
      <c r="F402" s="69"/>
      <c r="G402" s="69"/>
      <c r="H402" s="55"/>
      <c r="I402" s="44"/>
      <c r="J402" s="44"/>
      <c r="K402" s="19" t="str">
        <f aca="false">IF(H402="","",IF(G402="PYG",IF(N(J402)=0,"FALTA TC",H402/J402),H402))</f>
        <v/>
      </c>
      <c r="L402" s="69"/>
      <c r="M402" s="69"/>
      <c r="N402" s="69"/>
    </row>
    <row r="403" customFormat="false" ht="15" hidden="false" customHeight="false" outlineLevel="0" collapsed="false">
      <c r="A403" s="69"/>
      <c r="B403" s="29"/>
      <c r="C403" s="88"/>
      <c r="D403" s="69"/>
      <c r="E403" s="69"/>
      <c r="F403" s="69"/>
      <c r="G403" s="69"/>
      <c r="H403" s="55"/>
      <c r="I403" s="44"/>
      <c r="J403" s="44"/>
      <c r="K403" s="19" t="str">
        <f aca="false">IF(H403="","",IF(G403="PYG",IF(N(J403)=0,"FALTA TC",H403/J403),H403))</f>
        <v/>
      </c>
      <c r="L403" s="69"/>
      <c r="M403" s="69"/>
      <c r="N403" s="69"/>
    </row>
    <row r="404" customFormat="false" ht="15" hidden="false" customHeight="false" outlineLevel="0" collapsed="false">
      <c r="A404" s="69"/>
      <c r="B404" s="29"/>
      <c r="C404" s="88"/>
      <c r="D404" s="69"/>
      <c r="E404" s="69"/>
      <c r="F404" s="69"/>
      <c r="G404" s="69"/>
      <c r="H404" s="55"/>
      <c r="I404" s="44"/>
      <c r="J404" s="44"/>
      <c r="K404" s="19" t="str">
        <f aca="false">IF(H404="","",IF(G404="PYG",IF(N(J404)=0,"FALTA TC",H404/J404),H404))</f>
        <v/>
      </c>
      <c r="L404" s="69"/>
      <c r="M404" s="69"/>
      <c r="N404" s="69"/>
    </row>
    <row r="405" customFormat="false" ht="15" hidden="false" customHeight="false" outlineLevel="0" collapsed="false">
      <c r="A405" s="69"/>
      <c r="B405" s="29"/>
      <c r="C405" s="88"/>
      <c r="D405" s="69"/>
      <c r="E405" s="69"/>
      <c r="F405" s="69"/>
      <c r="G405" s="69"/>
      <c r="H405" s="55"/>
      <c r="I405" s="44"/>
      <c r="J405" s="44"/>
      <c r="K405" s="19" t="str">
        <f aca="false">IF(H405="","",IF(G405="PYG",IF(N(J405)=0,"FALTA TC",H405/J405),H405))</f>
        <v/>
      </c>
      <c r="L405" s="69"/>
      <c r="M405" s="69"/>
      <c r="N405" s="69"/>
    </row>
    <row r="406" customFormat="false" ht="15" hidden="false" customHeight="false" outlineLevel="0" collapsed="false">
      <c r="A406" s="69"/>
      <c r="B406" s="29"/>
      <c r="C406" s="88"/>
      <c r="D406" s="69"/>
      <c r="E406" s="69"/>
      <c r="F406" s="69"/>
      <c r="G406" s="69"/>
      <c r="H406" s="55"/>
      <c r="I406" s="44"/>
      <c r="J406" s="44"/>
      <c r="K406" s="19" t="str">
        <f aca="false">IF(H406="","",IF(G406="PYG",IF(N(J406)=0,"FALTA TC",H406/J406),H406))</f>
        <v/>
      </c>
      <c r="L406" s="69"/>
      <c r="M406" s="69"/>
      <c r="N406" s="69"/>
    </row>
    <row r="407" customFormat="false" ht="15" hidden="false" customHeight="false" outlineLevel="0" collapsed="false">
      <c r="A407" s="69"/>
      <c r="B407" s="29"/>
      <c r="C407" s="88"/>
      <c r="D407" s="69"/>
      <c r="E407" s="69"/>
      <c r="F407" s="69"/>
      <c r="G407" s="69"/>
      <c r="H407" s="55"/>
      <c r="I407" s="44"/>
      <c r="J407" s="44"/>
      <c r="K407" s="19" t="str">
        <f aca="false">IF(H407="","",IF(G407="PYG",IF(N(J407)=0,"FALTA TC",H407/J407),H407))</f>
        <v/>
      </c>
      <c r="L407" s="69"/>
      <c r="M407" s="69"/>
      <c r="N407" s="69"/>
    </row>
    <row r="408" customFormat="false" ht="15" hidden="false" customHeight="false" outlineLevel="0" collapsed="false">
      <c r="A408" s="69"/>
      <c r="B408" s="29"/>
      <c r="C408" s="88"/>
      <c r="D408" s="69"/>
      <c r="E408" s="69"/>
      <c r="F408" s="69"/>
      <c r="G408" s="69"/>
      <c r="H408" s="55"/>
      <c r="I408" s="44"/>
      <c r="J408" s="44"/>
      <c r="K408" s="19" t="str">
        <f aca="false">IF(H408="","",IF(G408="PYG",IF(N(J408)=0,"FALTA TC",H408/J408),H408))</f>
        <v/>
      </c>
      <c r="L408" s="69"/>
      <c r="M408" s="69"/>
      <c r="N408" s="69"/>
    </row>
    <row r="409" customFormat="false" ht="15" hidden="false" customHeight="false" outlineLevel="0" collapsed="false">
      <c r="A409" s="69"/>
      <c r="B409" s="29"/>
      <c r="C409" s="88"/>
      <c r="D409" s="69"/>
      <c r="E409" s="69"/>
      <c r="F409" s="69"/>
      <c r="G409" s="69"/>
      <c r="H409" s="55"/>
      <c r="I409" s="44"/>
      <c r="J409" s="44"/>
      <c r="K409" s="19" t="str">
        <f aca="false">IF(H409="","",IF(G409="PYG",IF(N(J409)=0,"FALTA TC",H409/J409),H409))</f>
        <v/>
      </c>
      <c r="L409" s="69"/>
      <c r="M409" s="69"/>
      <c r="N409" s="69"/>
    </row>
    <row r="410" customFormat="false" ht="15" hidden="false" customHeight="false" outlineLevel="0" collapsed="false">
      <c r="A410" s="69"/>
      <c r="B410" s="29"/>
      <c r="C410" s="88"/>
      <c r="D410" s="69"/>
      <c r="E410" s="69"/>
      <c r="F410" s="69"/>
      <c r="G410" s="69"/>
      <c r="H410" s="55"/>
      <c r="I410" s="44"/>
      <c r="J410" s="44"/>
      <c r="K410" s="19" t="str">
        <f aca="false">IF(H410="","",IF(G410="PYG",IF(N(J410)=0,"FALTA TC",H410/J410),H410))</f>
        <v/>
      </c>
      <c r="L410" s="69"/>
      <c r="M410" s="69"/>
      <c r="N410" s="69"/>
    </row>
    <row r="411" customFormat="false" ht="15" hidden="false" customHeight="false" outlineLevel="0" collapsed="false">
      <c r="A411" s="69"/>
      <c r="B411" s="29"/>
      <c r="C411" s="88"/>
      <c r="D411" s="69"/>
      <c r="E411" s="69"/>
      <c r="F411" s="69"/>
      <c r="G411" s="69"/>
      <c r="H411" s="55"/>
      <c r="I411" s="44"/>
      <c r="J411" s="44"/>
      <c r="K411" s="19" t="str">
        <f aca="false">IF(H411="","",IF(G411="PYG",IF(N(J411)=0,"FALTA TC",H411/J411),H411))</f>
        <v/>
      </c>
      <c r="L411" s="69"/>
      <c r="M411" s="69"/>
      <c r="N411" s="69"/>
    </row>
    <row r="412" customFormat="false" ht="15" hidden="false" customHeight="false" outlineLevel="0" collapsed="false">
      <c r="A412" s="69"/>
      <c r="B412" s="29"/>
      <c r="C412" s="88"/>
      <c r="D412" s="69"/>
      <c r="E412" s="69"/>
      <c r="F412" s="69"/>
      <c r="G412" s="69"/>
      <c r="H412" s="55"/>
      <c r="I412" s="44"/>
      <c r="J412" s="44"/>
      <c r="K412" s="19" t="str">
        <f aca="false">IF(H412="","",IF(G412="PYG",IF(N(J412)=0,"FALTA TC",H412/J412),H412))</f>
        <v/>
      </c>
      <c r="L412" s="69"/>
      <c r="M412" s="69"/>
      <c r="N412" s="69"/>
    </row>
    <row r="413" customFormat="false" ht="15" hidden="false" customHeight="false" outlineLevel="0" collapsed="false">
      <c r="A413" s="69"/>
      <c r="B413" s="29"/>
      <c r="C413" s="88"/>
      <c r="D413" s="69"/>
      <c r="E413" s="69"/>
      <c r="F413" s="69"/>
      <c r="G413" s="69"/>
      <c r="H413" s="55"/>
      <c r="I413" s="44"/>
      <c r="J413" s="44"/>
      <c r="K413" s="19" t="str">
        <f aca="false">IF(H413="","",IF(G413="PYG",IF(N(J413)=0,"FALTA TC",H413/J413),H413))</f>
        <v/>
      </c>
      <c r="L413" s="69"/>
      <c r="M413" s="69"/>
      <c r="N413" s="69"/>
    </row>
    <row r="414" customFormat="false" ht="15" hidden="false" customHeight="false" outlineLevel="0" collapsed="false">
      <c r="A414" s="69"/>
      <c r="B414" s="29"/>
      <c r="C414" s="88"/>
      <c r="D414" s="69"/>
      <c r="E414" s="69"/>
      <c r="F414" s="69"/>
      <c r="G414" s="69"/>
      <c r="H414" s="55"/>
      <c r="I414" s="44"/>
      <c r="J414" s="44"/>
      <c r="K414" s="19" t="str">
        <f aca="false">IF(H414="","",IF(G414="PYG",IF(N(J414)=0,"FALTA TC",H414/J414),H414))</f>
        <v/>
      </c>
      <c r="L414" s="69"/>
      <c r="M414" s="69"/>
      <c r="N414" s="69"/>
    </row>
    <row r="415" customFormat="false" ht="15" hidden="false" customHeight="false" outlineLevel="0" collapsed="false">
      <c r="A415" s="69"/>
      <c r="B415" s="29"/>
      <c r="C415" s="88"/>
      <c r="D415" s="69"/>
      <c r="E415" s="69"/>
      <c r="F415" s="69"/>
      <c r="G415" s="69"/>
      <c r="H415" s="55"/>
      <c r="I415" s="44"/>
      <c r="J415" s="44"/>
      <c r="K415" s="19" t="str">
        <f aca="false">IF(H415="","",IF(G415="PYG",IF(N(J415)=0,"FALTA TC",H415/J415),H415))</f>
        <v/>
      </c>
      <c r="L415" s="69"/>
      <c r="M415" s="69"/>
      <c r="N415" s="69"/>
    </row>
    <row r="416" customFormat="false" ht="15" hidden="false" customHeight="false" outlineLevel="0" collapsed="false">
      <c r="A416" s="69"/>
      <c r="B416" s="29"/>
      <c r="C416" s="88"/>
      <c r="D416" s="69"/>
      <c r="E416" s="69"/>
      <c r="F416" s="69"/>
      <c r="G416" s="69"/>
      <c r="H416" s="55"/>
      <c r="I416" s="44"/>
      <c r="J416" s="44"/>
      <c r="K416" s="19" t="str">
        <f aca="false">IF(H416="","",IF(G416="PYG",IF(N(J416)=0,"FALTA TC",H416/J416),H416))</f>
        <v/>
      </c>
      <c r="L416" s="69"/>
      <c r="M416" s="69"/>
      <c r="N416" s="69"/>
    </row>
    <row r="417" customFormat="false" ht="15" hidden="false" customHeight="false" outlineLevel="0" collapsed="false">
      <c r="A417" s="69"/>
      <c r="B417" s="29"/>
      <c r="C417" s="88"/>
      <c r="D417" s="69"/>
      <c r="E417" s="69"/>
      <c r="F417" s="69"/>
      <c r="G417" s="69"/>
      <c r="H417" s="55"/>
      <c r="I417" s="44"/>
      <c r="J417" s="44"/>
      <c r="K417" s="19" t="str">
        <f aca="false">IF(H417="","",IF(G417="PYG",IF(N(J417)=0,"FALTA TC",H417/J417),H417))</f>
        <v/>
      </c>
      <c r="L417" s="69"/>
      <c r="M417" s="69"/>
      <c r="N417" s="69"/>
    </row>
    <row r="418" customFormat="false" ht="15" hidden="false" customHeight="false" outlineLevel="0" collapsed="false">
      <c r="A418" s="69"/>
      <c r="B418" s="29"/>
      <c r="C418" s="88"/>
      <c r="D418" s="69"/>
      <c r="E418" s="69"/>
      <c r="F418" s="69"/>
      <c r="G418" s="69"/>
      <c r="H418" s="55"/>
      <c r="I418" s="44"/>
      <c r="J418" s="44"/>
      <c r="K418" s="19" t="str">
        <f aca="false">IF(H418="","",IF(G418="PYG",IF(N(J418)=0,"FALTA TC",H418/J418),H418))</f>
        <v/>
      </c>
      <c r="L418" s="69"/>
      <c r="M418" s="69"/>
      <c r="N418" s="69"/>
    </row>
    <row r="419" customFormat="false" ht="15" hidden="false" customHeight="false" outlineLevel="0" collapsed="false">
      <c r="A419" s="69"/>
      <c r="B419" s="29"/>
      <c r="C419" s="88"/>
      <c r="D419" s="69"/>
      <c r="E419" s="69"/>
      <c r="F419" s="69"/>
      <c r="G419" s="69"/>
      <c r="H419" s="55"/>
      <c r="I419" s="44"/>
      <c r="J419" s="44"/>
      <c r="K419" s="19" t="str">
        <f aca="false">IF(H419="","",IF(G419="PYG",IF(N(J419)=0,"FALTA TC",H419/J419),H419))</f>
        <v/>
      </c>
      <c r="L419" s="69"/>
      <c r="M419" s="69"/>
      <c r="N419" s="69"/>
    </row>
    <row r="420" customFormat="false" ht="15" hidden="false" customHeight="false" outlineLevel="0" collapsed="false">
      <c r="A420" s="69"/>
      <c r="B420" s="29"/>
      <c r="C420" s="88"/>
      <c r="D420" s="69"/>
      <c r="E420" s="69"/>
      <c r="F420" s="69"/>
      <c r="G420" s="69"/>
      <c r="H420" s="55"/>
      <c r="I420" s="44"/>
      <c r="J420" s="44"/>
      <c r="K420" s="19" t="str">
        <f aca="false">IF(H420="","",IF(G420="PYG",IF(N(J420)=0,"FALTA TC",H420/J420),H420))</f>
        <v/>
      </c>
      <c r="L420" s="69"/>
      <c r="M420" s="69"/>
      <c r="N420" s="69"/>
    </row>
    <row r="421" customFormat="false" ht="15" hidden="false" customHeight="false" outlineLevel="0" collapsed="false">
      <c r="A421" s="69"/>
      <c r="B421" s="29"/>
      <c r="C421" s="88"/>
      <c r="D421" s="69"/>
      <c r="E421" s="69"/>
      <c r="F421" s="69"/>
      <c r="G421" s="69"/>
      <c r="H421" s="55"/>
      <c r="I421" s="44"/>
      <c r="J421" s="44"/>
      <c r="K421" s="19" t="str">
        <f aca="false">IF(H421="","",IF(G421="PYG",IF(N(J421)=0,"FALTA TC",H421/J421),H421))</f>
        <v/>
      </c>
      <c r="L421" s="69"/>
      <c r="M421" s="69"/>
      <c r="N421" s="69"/>
    </row>
    <row r="422" customFormat="false" ht="15" hidden="false" customHeight="false" outlineLevel="0" collapsed="false">
      <c r="A422" s="69"/>
      <c r="B422" s="29"/>
      <c r="C422" s="88"/>
      <c r="D422" s="69"/>
      <c r="E422" s="69"/>
      <c r="F422" s="69"/>
      <c r="G422" s="69"/>
      <c r="H422" s="55"/>
      <c r="I422" s="44"/>
      <c r="J422" s="44"/>
      <c r="K422" s="19" t="str">
        <f aca="false">IF(H422="","",IF(G422="PYG",IF(N(J422)=0,"FALTA TC",H422/J422),H422))</f>
        <v/>
      </c>
      <c r="L422" s="69"/>
      <c r="M422" s="69"/>
      <c r="N422" s="69"/>
    </row>
    <row r="423" customFormat="false" ht="15" hidden="false" customHeight="false" outlineLevel="0" collapsed="false">
      <c r="A423" s="69"/>
      <c r="B423" s="29"/>
      <c r="C423" s="88"/>
      <c r="D423" s="69"/>
      <c r="E423" s="69"/>
      <c r="F423" s="69"/>
      <c r="G423" s="69"/>
      <c r="H423" s="55"/>
      <c r="I423" s="44"/>
      <c r="J423" s="44"/>
      <c r="K423" s="19" t="str">
        <f aca="false">IF(H423="","",IF(G423="PYG",IF(N(J423)=0,"FALTA TC",H423/J423),H423))</f>
        <v/>
      </c>
      <c r="L423" s="69"/>
      <c r="M423" s="69"/>
      <c r="N423" s="69"/>
    </row>
    <row r="424" customFormat="false" ht="15" hidden="false" customHeight="false" outlineLevel="0" collapsed="false">
      <c r="A424" s="69"/>
      <c r="B424" s="29"/>
      <c r="C424" s="88"/>
      <c r="D424" s="69"/>
      <c r="E424" s="69"/>
      <c r="F424" s="69"/>
      <c r="G424" s="69"/>
      <c r="H424" s="55"/>
      <c r="I424" s="44"/>
      <c r="J424" s="44"/>
      <c r="K424" s="19" t="str">
        <f aca="false">IF(H424="","",IF(G424="PYG",IF(N(J424)=0,"FALTA TC",H424/J424),H424))</f>
        <v/>
      </c>
      <c r="L424" s="69"/>
      <c r="M424" s="69"/>
      <c r="N424" s="69"/>
    </row>
    <row r="425" customFormat="false" ht="15" hidden="false" customHeight="false" outlineLevel="0" collapsed="false">
      <c r="A425" s="69"/>
      <c r="B425" s="29"/>
      <c r="C425" s="88"/>
      <c r="D425" s="69"/>
      <c r="E425" s="69"/>
      <c r="F425" s="69"/>
      <c r="G425" s="69"/>
      <c r="H425" s="55"/>
      <c r="I425" s="44"/>
      <c r="J425" s="44"/>
      <c r="K425" s="19" t="str">
        <f aca="false">IF(H425="","",IF(G425="PYG",IF(N(J425)=0,"FALTA TC",H425/J425),H425))</f>
        <v/>
      </c>
      <c r="L425" s="69"/>
      <c r="M425" s="69"/>
      <c r="N425" s="69"/>
    </row>
    <row r="426" customFormat="false" ht="15" hidden="false" customHeight="false" outlineLevel="0" collapsed="false">
      <c r="A426" s="69"/>
      <c r="B426" s="29"/>
      <c r="C426" s="88"/>
      <c r="D426" s="69"/>
      <c r="E426" s="69"/>
      <c r="F426" s="69"/>
      <c r="G426" s="69"/>
      <c r="H426" s="55"/>
      <c r="I426" s="44"/>
      <c r="J426" s="44"/>
      <c r="K426" s="19" t="str">
        <f aca="false">IF(H426="","",IF(G426="PYG",IF(N(J426)=0,"FALTA TC",H426/J426),H426))</f>
        <v/>
      </c>
      <c r="L426" s="69"/>
      <c r="M426" s="69"/>
      <c r="N426" s="69"/>
    </row>
    <row r="427" customFormat="false" ht="15" hidden="false" customHeight="false" outlineLevel="0" collapsed="false">
      <c r="A427" s="69"/>
      <c r="B427" s="29"/>
      <c r="C427" s="88"/>
      <c r="D427" s="69"/>
      <c r="E427" s="69"/>
      <c r="F427" s="69"/>
      <c r="G427" s="69"/>
      <c r="H427" s="55"/>
      <c r="I427" s="44"/>
      <c r="J427" s="44"/>
      <c r="K427" s="19" t="str">
        <f aca="false">IF(H427="","",IF(G427="PYG",IF(N(J427)=0,"FALTA TC",H427/J427),H427))</f>
        <v/>
      </c>
      <c r="L427" s="69"/>
      <c r="M427" s="69"/>
      <c r="N427" s="69"/>
    </row>
    <row r="428" customFormat="false" ht="15" hidden="false" customHeight="false" outlineLevel="0" collapsed="false">
      <c r="A428" s="69"/>
      <c r="B428" s="29"/>
      <c r="C428" s="88"/>
      <c r="D428" s="69"/>
      <c r="E428" s="69"/>
      <c r="F428" s="69"/>
      <c r="G428" s="69"/>
      <c r="H428" s="55"/>
      <c r="I428" s="44"/>
      <c r="J428" s="44"/>
      <c r="K428" s="19" t="str">
        <f aca="false">IF(H428="","",IF(G428="PYG",IF(N(J428)=0,"FALTA TC",H428/J428),H428))</f>
        <v/>
      </c>
      <c r="L428" s="69"/>
      <c r="M428" s="69"/>
      <c r="N428" s="69"/>
    </row>
    <row r="429" customFormat="false" ht="15" hidden="false" customHeight="false" outlineLevel="0" collapsed="false">
      <c r="A429" s="69"/>
      <c r="B429" s="29"/>
      <c r="C429" s="88"/>
      <c r="D429" s="69"/>
      <c r="E429" s="69"/>
      <c r="F429" s="69"/>
      <c r="G429" s="69"/>
      <c r="H429" s="55"/>
      <c r="I429" s="44"/>
      <c r="J429" s="44"/>
      <c r="K429" s="19" t="str">
        <f aca="false">IF(H429="","",IF(G429="PYG",IF(N(J429)=0,"FALTA TC",H429/J429),H429))</f>
        <v/>
      </c>
      <c r="L429" s="69"/>
      <c r="M429" s="69"/>
      <c r="N429" s="69"/>
    </row>
    <row r="430" customFormat="false" ht="15" hidden="false" customHeight="false" outlineLevel="0" collapsed="false">
      <c r="A430" s="69"/>
      <c r="B430" s="29"/>
      <c r="C430" s="88"/>
      <c r="D430" s="69"/>
      <c r="E430" s="69"/>
      <c r="F430" s="69"/>
      <c r="G430" s="69"/>
      <c r="H430" s="55"/>
      <c r="I430" s="44"/>
      <c r="J430" s="44"/>
      <c r="K430" s="19" t="str">
        <f aca="false">IF(H430="","",IF(G430="PYG",IF(N(J430)=0,"FALTA TC",H430/J430),H430))</f>
        <v/>
      </c>
      <c r="L430" s="69"/>
      <c r="M430" s="69"/>
      <c r="N430" s="69"/>
    </row>
    <row r="431" customFormat="false" ht="15" hidden="false" customHeight="false" outlineLevel="0" collapsed="false">
      <c r="A431" s="69"/>
      <c r="B431" s="29"/>
      <c r="C431" s="88"/>
      <c r="D431" s="69"/>
      <c r="E431" s="69"/>
      <c r="F431" s="69"/>
      <c r="G431" s="69"/>
      <c r="H431" s="55"/>
      <c r="I431" s="44"/>
      <c r="J431" s="44"/>
      <c r="K431" s="19" t="str">
        <f aca="false">IF(H431="","",IF(G431="PYG",IF(N(J431)=0,"FALTA TC",H431/J431),H431))</f>
        <v/>
      </c>
      <c r="L431" s="69"/>
      <c r="M431" s="69"/>
      <c r="N431" s="69"/>
    </row>
    <row r="432" customFormat="false" ht="15" hidden="false" customHeight="false" outlineLevel="0" collapsed="false">
      <c r="A432" s="69"/>
      <c r="B432" s="29"/>
      <c r="C432" s="88"/>
      <c r="D432" s="69"/>
      <c r="E432" s="69"/>
      <c r="F432" s="69"/>
      <c r="G432" s="69"/>
      <c r="H432" s="55"/>
      <c r="I432" s="44"/>
      <c r="J432" s="44"/>
      <c r="K432" s="19" t="str">
        <f aca="false">IF(H432="","",IF(G432="PYG",IF(N(J432)=0,"FALTA TC",H432/J432),H432))</f>
        <v/>
      </c>
      <c r="L432" s="69"/>
      <c r="M432" s="69"/>
      <c r="N432" s="69"/>
    </row>
    <row r="433" customFormat="false" ht="15" hidden="false" customHeight="false" outlineLevel="0" collapsed="false">
      <c r="A433" s="69"/>
      <c r="B433" s="29"/>
      <c r="C433" s="88"/>
      <c r="D433" s="69"/>
      <c r="E433" s="69"/>
      <c r="F433" s="69"/>
      <c r="G433" s="69"/>
      <c r="H433" s="55"/>
      <c r="I433" s="44"/>
      <c r="J433" s="44"/>
      <c r="K433" s="19" t="str">
        <f aca="false">IF(H433="","",IF(G433="PYG",IF(N(J433)=0,"FALTA TC",H433/J433),H433))</f>
        <v/>
      </c>
      <c r="L433" s="69"/>
      <c r="M433" s="69"/>
      <c r="N433" s="69"/>
    </row>
    <row r="434" customFormat="false" ht="15" hidden="false" customHeight="false" outlineLevel="0" collapsed="false">
      <c r="A434" s="69"/>
      <c r="B434" s="29"/>
      <c r="C434" s="88"/>
      <c r="D434" s="69"/>
      <c r="E434" s="69"/>
      <c r="F434" s="69"/>
      <c r="G434" s="69"/>
      <c r="H434" s="55"/>
      <c r="I434" s="44"/>
      <c r="J434" s="44"/>
      <c r="K434" s="19" t="str">
        <f aca="false">IF(H434="","",IF(G434="PYG",IF(N(J434)=0,"FALTA TC",H434/J434),H434))</f>
        <v/>
      </c>
      <c r="L434" s="69"/>
      <c r="M434" s="69"/>
      <c r="N434" s="69"/>
    </row>
    <row r="435" customFormat="false" ht="15" hidden="false" customHeight="false" outlineLevel="0" collapsed="false">
      <c r="A435" s="69"/>
      <c r="B435" s="29"/>
      <c r="C435" s="88"/>
      <c r="D435" s="69"/>
      <c r="E435" s="69"/>
      <c r="F435" s="69"/>
      <c r="G435" s="69"/>
      <c r="H435" s="55"/>
      <c r="I435" s="44"/>
      <c r="J435" s="44"/>
      <c r="K435" s="19" t="str">
        <f aca="false">IF(H435="","",IF(G435="PYG",IF(N(J435)=0,"FALTA TC",H435/J435),H435))</f>
        <v/>
      </c>
      <c r="L435" s="69"/>
      <c r="M435" s="69"/>
      <c r="N435" s="69"/>
    </row>
    <row r="436" customFormat="false" ht="15" hidden="false" customHeight="false" outlineLevel="0" collapsed="false">
      <c r="A436" s="69"/>
      <c r="B436" s="29"/>
      <c r="C436" s="88"/>
      <c r="D436" s="69"/>
      <c r="E436" s="69"/>
      <c r="F436" s="69"/>
      <c r="G436" s="69"/>
      <c r="H436" s="55"/>
      <c r="I436" s="44"/>
      <c r="J436" s="44"/>
      <c r="K436" s="19" t="str">
        <f aca="false">IF(H436="","",IF(G436="PYG",IF(N(J436)=0,"FALTA TC",H436/J436),H436))</f>
        <v/>
      </c>
      <c r="L436" s="69"/>
      <c r="M436" s="69"/>
      <c r="N436" s="69"/>
    </row>
    <row r="437" customFormat="false" ht="15" hidden="false" customHeight="false" outlineLevel="0" collapsed="false">
      <c r="A437" s="69"/>
      <c r="B437" s="29"/>
      <c r="C437" s="88"/>
      <c r="D437" s="69"/>
      <c r="E437" s="69"/>
      <c r="F437" s="69"/>
      <c r="G437" s="69"/>
      <c r="H437" s="55"/>
      <c r="I437" s="44"/>
      <c r="J437" s="44"/>
      <c r="K437" s="19" t="str">
        <f aca="false">IF(H437="","",IF(G437="PYG",IF(N(J437)=0,"FALTA TC",H437/J437),H437))</f>
        <v/>
      </c>
      <c r="L437" s="69"/>
      <c r="M437" s="69"/>
      <c r="N437" s="69"/>
    </row>
    <row r="438" customFormat="false" ht="15" hidden="false" customHeight="false" outlineLevel="0" collapsed="false">
      <c r="A438" s="69"/>
      <c r="B438" s="29"/>
      <c r="C438" s="88"/>
      <c r="D438" s="69"/>
      <c r="E438" s="69"/>
      <c r="F438" s="69"/>
      <c r="G438" s="69"/>
      <c r="H438" s="55"/>
      <c r="I438" s="44"/>
      <c r="J438" s="44"/>
      <c r="K438" s="19" t="str">
        <f aca="false">IF(H438="","",IF(G438="PYG",IF(N(J438)=0,"FALTA TC",H438/J438),H438))</f>
        <v/>
      </c>
      <c r="L438" s="69"/>
      <c r="M438" s="69"/>
      <c r="N438" s="69"/>
    </row>
    <row r="439" customFormat="false" ht="15" hidden="false" customHeight="false" outlineLevel="0" collapsed="false">
      <c r="A439" s="69"/>
      <c r="B439" s="29"/>
      <c r="C439" s="88"/>
      <c r="D439" s="69"/>
      <c r="E439" s="69"/>
      <c r="F439" s="69"/>
      <c r="G439" s="69"/>
      <c r="H439" s="55"/>
      <c r="I439" s="44"/>
      <c r="J439" s="44"/>
      <c r="K439" s="19" t="str">
        <f aca="false">IF(H439="","",IF(G439="PYG",IF(N(J439)=0,"FALTA TC",H439/J439),H439))</f>
        <v/>
      </c>
      <c r="L439" s="69"/>
      <c r="M439" s="69"/>
      <c r="N439" s="69"/>
    </row>
    <row r="440" customFormat="false" ht="15" hidden="false" customHeight="false" outlineLevel="0" collapsed="false">
      <c r="A440" s="69"/>
      <c r="B440" s="29"/>
      <c r="C440" s="88"/>
      <c r="D440" s="69"/>
      <c r="E440" s="69"/>
      <c r="F440" s="69"/>
      <c r="G440" s="69"/>
      <c r="H440" s="55"/>
      <c r="I440" s="44"/>
      <c r="J440" s="44"/>
      <c r="K440" s="19" t="str">
        <f aca="false">IF(H440="","",IF(G440="PYG",IF(N(J440)=0,"FALTA TC",H440/J440),H440))</f>
        <v/>
      </c>
      <c r="L440" s="69"/>
      <c r="M440" s="69"/>
      <c r="N440" s="69"/>
    </row>
    <row r="441" customFormat="false" ht="15" hidden="false" customHeight="false" outlineLevel="0" collapsed="false">
      <c r="A441" s="69"/>
      <c r="B441" s="29"/>
      <c r="C441" s="88"/>
      <c r="D441" s="69"/>
      <c r="E441" s="69"/>
      <c r="F441" s="69"/>
      <c r="G441" s="69"/>
      <c r="H441" s="55"/>
      <c r="I441" s="44"/>
      <c r="J441" s="44"/>
      <c r="K441" s="19" t="str">
        <f aca="false">IF(H441="","",IF(G441="PYG",IF(N(J441)=0,"FALTA TC",H441/J441),H441))</f>
        <v/>
      </c>
      <c r="L441" s="69"/>
      <c r="M441" s="69"/>
      <c r="N441" s="69"/>
    </row>
    <row r="442" customFormat="false" ht="15" hidden="false" customHeight="false" outlineLevel="0" collapsed="false">
      <c r="A442" s="69"/>
      <c r="B442" s="29"/>
      <c r="C442" s="88"/>
      <c r="D442" s="69"/>
      <c r="E442" s="69"/>
      <c r="F442" s="69"/>
      <c r="G442" s="69"/>
      <c r="H442" s="55"/>
      <c r="I442" s="44"/>
      <c r="J442" s="44"/>
      <c r="K442" s="19" t="str">
        <f aca="false">IF(H442="","",IF(G442="PYG",IF(N(J442)=0,"FALTA TC",H442/J442),H442))</f>
        <v/>
      </c>
      <c r="L442" s="69"/>
      <c r="M442" s="69"/>
      <c r="N442" s="69"/>
    </row>
    <row r="443" customFormat="false" ht="15" hidden="false" customHeight="false" outlineLevel="0" collapsed="false">
      <c r="A443" s="69"/>
      <c r="B443" s="29"/>
      <c r="C443" s="88"/>
      <c r="D443" s="69"/>
      <c r="E443" s="69"/>
      <c r="F443" s="69"/>
      <c r="G443" s="69"/>
      <c r="H443" s="55"/>
      <c r="I443" s="44"/>
      <c r="J443" s="44"/>
      <c r="K443" s="19" t="str">
        <f aca="false">IF(H443="","",IF(G443="PYG",IF(N(J443)=0,"FALTA TC",H443/J443),H443))</f>
        <v/>
      </c>
      <c r="L443" s="69"/>
      <c r="M443" s="69"/>
      <c r="N443" s="69"/>
    </row>
    <row r="444" customFormat="false" ht="15" hidden="false" customHeight="false" outlineLevel="0" collapsed="false">
      <c r="A444" s="69"/>
      <c r="B444" s="29"/>
      <c r="C444" s="88"/>
      <c r="D444" s="69"/>
      <c r="E444" s="69"/>
      <c r="F444" s="69"/>
      <c r="G444" s="69"/>
      <c r="H444" s="55"/>
      <c r="I444" s="44"/>
      <c r="J444" s="44"/>
      <c r="K444" s="19" t="str">
        <f aca="false">IF(H444="","",IF(G444="PYG",IF(N(J444)=0,"FALTA TC",H444/J444),H444))</f>
        <v/>
      </c>
      <c r="L444" s="69"/>
      <c r="M444" s="69"/>
      <c r="N444" s="69"/>
    </row>
    <row r="445" customFormat="false" ht="15" hidden="false" customHeight="false" outlineLevel="0" collapsed="false">
      <c r="A445" s="69"/>
      <c r="B445" s="29"/>
      <c r="C445" s="88"/>
      <c r="D445" s="69"/>
      <c r="E445" s="69"/>
      <c r="F445" s="69"/>
      <c r="G445" s="69"/>
      <c r="H445" s="55"/>
      <c r="I445" s="44"/>
      <c r="J445" s="44"/>
      <c r="K445" s="19" t="str">
        <f aca="false">IF(H445="","",IF(G445="PYG",IF(N(J445)=0,"FALTA TC",H445/J445),H445))</f>
        <v/>
      </c>
      <c r="L445" s="69"/>
      <c r="M445" s="69"/>
      <c r="N445" s="69"/>
    </row>
    <row r="446" customFormat="false" ht="15" hidden="false" customHeight="false" outlineLevel="0" collapsed="false">
      <c r="A446" s="69"/>
      <c r="B446" s="29"/>
      <c r="C446" s="88"/>
      <c r="D446" s="69"/>
      <c r="E446" s="69"/>
      <c r="F446" s="69"/>
      <c r="G446" s="69"/>
      <c r="H446" s="55"/>
      <c r="I446" s="44"/>
      <c r="J446" s="44"/>
      <c r="K446" s="19" t="str">
        <f aca="false">IF(H446="","",IF(G446="PYG",IF(N(J446)=0,"FALTA TC",H446/J446),H446))</f>
        <v/>
      </c>
      <c r="L446" s="69"/>
      <c r="M446" s="69"/>
      <c r="N446" s="69"/>
    </row>
    <row r="447" customFormat="false" ht="15" hidden="false" customHeight="false" outlineLevel="0" collapsed="false">
      <c r="A447" s="69"/>
      <c r="B447" s="29"/>
      <c r="C447" s="88"/>
      <c r="D447" s="69"/>
      <c r="E447" s="69"/>
      <c r="F447" s="69"/>
      <c r="G447" s="69"/>
      <c r="H447" s="55"/>
      <c r="I447" s="44"/>
      <c r="J447" s="44"/>
      <c r="K447" s="19" t="str">
        <f aca="false">IF(H447="","",IF(G447="PYG",IF(N(J447)=0,"FALTA TC",H447/J447),H447))</f>
        <v/>
      </c>
      <c r="L447" s="69"/>
      <c r="M447" s="69"/>
      <c r="N447" s="69"/>
    </row>
    <row r="448" customFormat="false" ht="15" hidden="false" customHeight="false" outlineLevel="0" collapsed="false">
      <c r="A448" s="69"/>
      <c r="B448" s="29"/>
      <c r="C448" s="88"/>
      <c r="D448" s="69"/>
      <c r="E448" s="69"/>
      <c r="F448" s="69"/>
      <c r="G448" s="69"/>
      <c r="H448" s="55"/>
      <c r="I448" s="44"/>
      <c r="J448" s="44"/>
      <c r="K448" s="19" t="str">
        <f aca="false">IF(H448="","",IF(G448="PYG",IF(N(J448)=0,"FALTA TC",H448/J448),H448))</f>
        <v/>
      </c>
      <c r="L448" s="69"/>
      <c r="M448" s="69"/>
      <c r="N448" s="69"/>
    </row>
    <row r="449" customFormat="false" ht="15" hidden="false" customHeight="false" outlineLevel="0" collapsed="false">
      <c r="A449" s="69"/>
      <c r="B449" s="29"/>
      <c r="C449" s="88"/>
      <c r="D449" s="69"/>
      <c r="E449" s="69"/>
      <c r="F449" s="69"/>
      <c r="G449" s="69"/>
      <c r="H449" s="55"/>
      <c r="I449" s="44"/>
      <c r="J449" s="44"/>
      <c r="K449" s="19" t="str">
        <f aca="false">IF(H449="","",IF(G449="PYG",IF(N(J449)=0,"FALTA TC",H449/J449),H449))</f>
        <v/>
      </c>
      <c r="L449" s="69"/>
      <c r="M449" s="69"/>
      <c r="N449" s="69"/>
    </row>
    <row r="450" customFormat="false" ht="15" hidden="false" customHeight="false" outlineLevel="0" collapsed="false">
      <c r="A450" s="69"/>
      <c r="B450" s="29"/>
      <c r="C450" s="88"/>
      <c r="D450" s="69"/>
      <c r="E450" s="69"/>
      <c r="F450" s="69"/>
      <c r="G450" s="69"/>
      <c r="H450" s="55"/>
      <c r="I450" s="44"/>
      <c r="J450" s="44"/>
      <c r="K450" s="19" t="str">
        <f aca="false">IF(H450="","",IF(G450="PYG",IF(N(J450)=0,"FALTA TC",H450/J450),H450))</f>
        <v/>
      </c>
      <c r="L450" s="69"/>
      <c r="M450" s="69"/>
      <c r="N450" s="69"/>
    </row>
    <row r="451" customFormat="false" ht="15" hidden="false" customHeight="false" outlineLevel="0" collapsed="false">
      <c r="A451" s="69"/>
      <c r="B451" s="29"/>
      <c r="C451" s="88"/>
      <c r="D451" s="69"/>
      <c r="E451" s="69"/>
      <c r="F451" s="69"/>
      <c r="G451" s="69"/>
      <c r="H451" s="55"/>
      <c r="I451" s="44"/>
      <c r="J451" s="44"/>
      <c r="K451" s="19" t="str">
        <f aca="false">IF(H451="","",IF(G451="PYG",IF(N(J451)=0,"FALTA TC",H451/J451),H451))</f>
        <v/>
      </c>
      <c r="L451" s="69"/>
      <c r="M451" s="69"/>
      <c r="N451" s="69"/>
    </row>
    <row r="452" customFormat="false" ht="15" hidden="false" customHeight="false" outlineLevel="0" collapsed="false">
      <c r="A452" s="69"/>
      <c r="B452" s="29"/>
      <c r="C452" s="88"/>
      <c r="D452" s="69"/>
      <c r="E452" s="69"/>
      <c r="F452" s="69"/>
      <c r="G452" s="69"/>
      <c r="H452" s="55"/>
      <c r="I452" s="44"/>
      <c r="J452" s="44"/>
      <c r="K452" s="19" t="str">
        <f aca="false">IF(H452="","",IF(G452="PYG",IF(N(J452)=0,"FALTA TC",H452/J452),H452))</f>
        <v/>
      </c>
      <c r="L452" s="69"/>
      <c r="M452" s="69"/>
      <c r="N452" s="69"/>
    </row>
    <row r="453" customFormat="false" ht="15" hidden="false" customHeight="false" outlineLevel="0" collapsed="false">
      <c r="A453" s="69"/>
      <c r="B453" s="29"/>
      <c r="C453" s="88"/>
      <c r="D453" s="69"/>
      <c r="E453" s="69"/>
      <c r="F453" s="69"/>
      <c r="G453" s="69"/>
      <c r="H453" s="55"/>
      <c r="I453" s="44"/>
      <c r="J453" s="44"/>
      <c r="K453" s="19" t="str">
        <f aca="false">IF(H453="","",IF(G453="PYG",IF(N(J453)=0,"FALTA TC",H453/J453),H453))</f>
        <v/>
      </c>
      <c r="L453" s="69"/>
      <c r="M453" s="69"/>
      <c r="N453" s="69"/>
    </row>
    <row r="454" customFormat="false" ht="15" hidden="false" customHeight="false" outlineLevel="0" collapsed="false">
      <c r="A454" s="69"/>
      <c r="B454" s="29"/>
      <c r="C454" s="88"/>
      <c r="D454" s="69"/>
      <c r="E454" s="69"/>
      <c r="F454" s="69"/>
      <c r="G454" s="69"/>
      <c r="H454" s="55"/>
      <c r="I454" s="44"/>
      <c r="J454" s="44"/>
      <c r="K454" s="19" t="str">
        <f aca="false">IF(H454="","",IF(G454="PYG",IF(N(J454)=0,"FALTA TC",H454/J454),H454))</f>
        <v/>
      </c>
      <c r="L454" s="69"/>
      <c r="M454" s="69"/>
      <c r="N454" s="69"/>
    </row>
    <row r="455" customFormat="false" ht="15" hidden="false" customHeight="false" outlineLevel="0" collapsed="false">
      <c r="A455" s="69"/>
      <c r="B455" s="29"/>
      <c r="C455" s="88"/>
      <c r="D455" s="69"/>
      <c r="E455" s="69"/>
      <c r="F455" s="69"/>
      <c r="G455" s="69"/>
      <c r="H455" s="55"/>
      <c r="I455" s="44"/>
      <c r="J455" s="44"/>
      <c r="K455" s="19" t="str">
        <f aca="false">IF(H455="","",IF(G455="PYG",IF(N(J455)=0,"FALTA TC",H455/J455),H455))</f>
        <v/>
      </c>
      <c r="L455" s="69"/>
      <c r="M455" s="69"/>
      <c r="N455" s="69"/>
    </row>
    <row r="456" customFormat="false" ht="15" hidden="false" customHeight="false" outlineLevel="0" collapsed="false">
      <c r="A456" s="69"/>
      <c r="B456" s="29"/>
      <c r="C456" s="88"/>
      <c r="D456" s="69"/>
      <c r="E456" s="69"/>
      <c r="F456" s="69"/>
      <c r="G456" s="69"/>
      <c r="H456" s="55"/>
      <c r="I456" s="44"/>
      <c r="J456" s="44"/>
      <c r="K456" s="19" t="str">
        <f aca="false">IF(H456="","",IF(G456="PYG",IF(N(J456)=0,"FALTA TC",H456/J456),H456))</f>
        <v/>
      </c>
      <c r="L456" s="69"/>
      <c r="M456" s="69"/>
      <c r="N456" s="69"/>
    </row>
    <row r="457" customFormat="false" ht="15" hidden="false" customHeight="false" outlineLevel="0" collapsed="false">
      <c r="A457" s="69"/>
      <c r="B457" s="29"/>
      <c r="C457" s="88"/>
      <c r="D457" s="69"/>
      <c r="E457" s="69"/>
      <c r="F457" s="69"/>
      <c r="G457" s="69"/>
      <c r="H457" s="55"/>
      <c r="I457" s="44"/>
      <c r="J457" s="44"/>
      <c r="K457" s="19" t="str">
        <f aca="false">IF(H457="","",IF(G457="PYG",IF(N(J457)=0,"FALTA TC",H457/J457),H457))</f>
        <v/>
      </c>
      <c r="L457" s="69"/>
      <c r="M457" s="69"/>
      <c r="N457" s="69"/>
    </row>
    <row r="458" customFormat="false" ht="15" hidden="false" customHeight="false" outlineLevel="0" collapsed="false">
      <c r="A458" s="69"/>
      <c r="B458" s="29"/>
      <c r="C458" s="88"/>
      <c r="D458" s="69"/>
      <c r="E458" s="69"/>
      <c r="F458" s="69"/>
      <c r="G458" s="69"/>
      <c r="H458" s="55"/>
      <c r="I458" s="44"/>
      <c r="J458" s="44"/>
      <c r="K458" s="19" t="str">
        <f aca="false">IF(H458="","",IF(G458="PYG",IF(N(J458)=0,"FALTA TC",H458/J458),H458))</f>
        <v/>
      </c>
      <c r="L458" s="69"/>
      <c r="M458" s="69"/>
      <c r="N458" s="69"/>
    </row>
    <row r="459" customFormat="false" ht="15" hidden="false" customHeight="false" outlineLevel="0" collapsed="false">
      <c r="A459" s="69"/>
      <c r="B459" s="29"/>
      <c r="C459" s="88"/>
      <c r="D459" s="69"/>
      <c r="E459" s="69"/>
      <c r="F459" s="69"/>
      <c r="G459" s="69"/>
      <c r="H459" s="55"/>
      <c r="I459" s="44"/>
      <c r="J459" s="44"/>
      <c r="K459" s="19" t="str">
        <f aca="false">IF(H459="","",IF(G459="PYG",IF(N(J459)=0,"FALTA TC",H459/J459),H459))</f>
        <v/>
      </c>
      <c r="L459" s="69"/>
      <c r="M459" s="69"/>
      <c r="N459" s="69"/>
    </row>
    <row r="460" customFormat="false" ht="15" hidden="false" customHeight="false" outlineLevel="0" collapsed="false">
      <c r="A460" s="69"/>
      <c r="B460" s="29"/>
      <c r="C460" s="88"/>
      <c r="D460" s="69"/>
      <c r="E460" s="69"/>
      <c r="F460" s="69"/>
      <c r="G460" s="69"/>
      <c r="H460" s="55"/>
      <c r="I460" s="44"/>
      <c r="J460" s="44"/>
      <c r="K460" s="19" t="str">
        <f aca="false">IF(H460="","",IF(G460="PYG",IF(N(J460)=0,"FALTA TC",H460/J460),H460))</f>
        <v/>
      </c>
      <c r="L460" s="69"/>
      <c r="M460" s="69"/>
      <c r="N460" s="69"/>
    </row>
    <row r="461" customFormat="false" ht="15" hidden="false" customHeight="false" outlineLevel="0" collapsed="false">
      <c r="A461" s="69"/>
      <c r="B461" s="29"/>
      <c r="C461" s="88"/>
      <c r="D461" s="69"/>
      <c r="E461" s="69"/>
      <c r="F461" s="69"/>
      <c r="G461" s="69"/>
      <c r="H461" s="55"/>
      <c r="I461" s="44"/>
      <c r="J461" s="44"/>
      <c r="K461" s="19" t="str">
        <f aca="false">IF(H461="","",IF(G461="PYG",IF(N(J461)=0,"FALTA TC",H461/J461),H461))</f>
        <v/>
      </c>
      <c r="L461" s="69"/>
      <c r="M461" s="69"/>
      <c r="N461" s="69"/>
    </row>
    <row r="462" customFormat="false" ht="15" hidden="false" customHeight="false" outlineLevel="0" collapsed="false">
      <c r="A462" s="69"/>
      <c r="B462" s="29"/>
      <c r="C462" s="88"/>
      <c r="D462" s="69"/>
      <c r="E462" s="69"/>
      <c r="F462" s="69"/>
      <c r="G462" s="69"/>
      <c r="H462" s="55"/>
      <c r="I462" s="44"/>
      <c r="J462" s="44"/>
      <c r="K462" s="19" t="str">
        <f aca="false">IF(H462="","",IF(G462="PYG",IF(N(J462)=0,"FALTA TC",H462/J462),H462))</f>
        <v/>
      </c>
      <c r="L462" s="69"/>
      <c r="M462" s="69"/>
      <c r="N462" s="69"/>
    </row>
    <row r="463" customFormat="false" ht="15" hidden="false" customHeight="false" outlineLevel="0" collapsed="false">
      <c r="A463" s="69"/>
      <c r="B463" s="29"/>
      <c r="C463" s="88"/>
      <c r="D463" s="69"/>
      <c r="E463" s="69"/>
      <c r="F463" s="69"/>
      <c r="G463" s="69"/>
      <c r="H463" s="55"/>
      <c r="I463" s="44"/>
      <c r="J463" s="44"/>
      <c r="K463" s="19" t="str">
        <f aca="false">IF(H463="","",IF(G463="PYG",IF(N(J463)=0,"FALTA TC",H463/J463),H463))</f>
        <v/>
      </c>
      <c r="L463" s="69"/>
      <c r="M463" s="69"/>
      <c r="N463" s="69"/>
    </row>
    <row r="464" customFormat="false" ht="15" hidden="false" customHeight="false" outlineLevel="0" collapsed="false">
      <c r="A464" s="69"/>
      <c r="B464" s="29"/>
      <c r="C464" s="88"/>
      <c r="D464" s="69"/>
      <c r="E464" s="69"/>
      <c r="F464" s="69"/>
      <c r="G464" s="69"/>
      <c r="H464" s="55"/>
      <c r="I464" s="44"/>
      <c r="J464" s="44"/>
      <c r="K464" s="19" t="str">
        <f aca="false">IF(H464="","",IF(G464="PYG",IF(N(J464)=0,"FALTA TC",H464/J464),H464))</f>
        <v/>
      </c>
      <c r="L464" s="69"/>
      <c r="M464" s="69"/>
      <c r="N464" s="69"/>
    </row>
    <row r="465" customFormat="false" ht="15" hidden="false" customHeight="false" outlineLevel="0" collapsed="false">
      <c r="A465" s="69"/>
      <c r="B465" s="29"/>
      <c r="C465" s="88"/>
      <c r="D465" s="69"/>
      <c r="E465" s="69"/>
      <c r="F465" s="69"/>
      <c r="G465" s="69"/>
      <c r="H465" s="55"/>
      <c r="I465" s="44"/>
      <c r="J465" s="44"/>
      <c r="K465" s="19" t="str">
        <f aca="false">IF(H465="","",IF(G465="PYG",IF(N(J465)=0,"FALTA TC",H465/J465),H465))</f>
        <v/>
      </c>
      <c r="L465" s="69"/>
      <c r="M465" s="69"/>
      <c r="N465" s="69"/>
    </row>
    <row r="466" customFormat="false" ht="15" hidden="false" customHeight="false" outlineLevel="0" collapsed="false">
      <c r="A466" s="69"/>
      <c r="B466" s="29"/>
      <c r="C466" s="88"/>
      <c r="D466" s="69"/>
      <c r="E466" s="69"/>
      <c r="F466" s="69"/>
      <c r="G466" s="69"/>
      <c r="H466" s="55"/>
      <c r="I466" s="44"/>
      <c r="J466" s="44"/>
      <c r="K466" s="19" t="str">
        <f aca="false">IF(H466="","",IF(G466="PYG",IF(N(J466)=0,"FALTA TC",H466/J466),H466))</f>
        <v/>
      </c>
      <c r="L466" s="69"/>
      <c r="M466" s="69"/>
      <c r="N466" s="69"/>
    </row>
    <row r="467" customFormat="false" ht="15" hidden="false" customHeight="false" outlineLevel="0" collapsed="false">
      <c r="A467" s="69"/>
      <c r="B467" s="29"/>
      <c r="C467" s="88"/>
      <c r="D467" s="69"/>
      <c r="E467" s="69"/>
      <c r="F467" s="69"/>
      <c r="G467" s="69"/>
      <c r="H467" s="55"/>
      <c r="I467" s="44"/>
      <c r="J467" s="44"/>
      <c r="K467" s="19" t="str">
        <f aca="false">IF(H467="","",IF(G467="PYG",IF(N(J467)=0,"FALTA TC",H467/J467),H467))</f>
        <v/>
      </c>
      <c r="L467" s="69"/>
      <c r="M467" s="69"/>
      <c r="N467" s="69"/>
    </row>
    <row r="468" customFormat="false" ht="15" hidden="false" customHeight="false" outlineLevel="0" collapsed="false">
      <c r="A468" s="69"/>
      <c r="B468" s="29"/>
      <c r="C468" s="88"/>
      <c r="D468" s="69"/>
      <c r="E468" s="69"/>
      <c r="F468" s="69"/>
      <c r="G468" s="69"/>
      <c r="H468" s="55"/>
      <c r="I468" s="44"/>
      <c r="J468" s="44"/>
      <c r="K468" s="19" t="str">
        <f aca="false">IF(H468="","",IF(G468="PYG",IF(N(J468)=0,"FALTA TC",H468/J468),H468))</f>
        <v/>
      </c>
      <c r="L468" s="69"/>
      <c r="M468" s="69"/>
      <c r="N468" s="69"/>
    </row>
    <row r="469" customFormat="false" ht="15" hidden="false" customHeight="false" outlineLevel="0" collapsed="false">
      <c r="A469" s="69"/>
      <c r="B469" s="29"/>
      <c r="C469" s="88"/>
      <c r="D469" s="69"/>
      <c r="E469" s="69"/>
      <c r="F469" s="69"/>
      <c r="G469" s="69"/>
      <c r="H469" s="55"/>
      <c r="I469" s="44"/>
      <c r="J469" s="44"/>
      <c r="K469" s="19" t="str">
        <f aca="false">IF(H469="","",IF(G469="PYG",IF(N(J469)=0,"FALTA TC",H469/J469),H469))</f>
        <v/>
      </c>
      <c r="L469" s="69"/>
      <c r="M469" s="69"/>
      <c r="N469" s="69"/>
    </row>
    <row r="470" customFormat="false" ht="15" hidden="false" customHeight="false" outlineLevel="0" collapsed="false">
      <c r="A470" s="69"/>
      <c r="B470" s="29"/>
      <c r="C470" s="88"/>
      <c r="D470" s="69"/>
      <c r="E470" s="69"/>
      <c r="F470" s="69"/>
      <c r="G470" s="69"/>
      <c r="H470" s="55"/>
      <c r="I470" s="44"/>
      <c r="J470" s="44"/>
      <c r="K470" s="19" t="str">
        <f aca="false">IF(H470="","",IF(G470="PYG",IF(N(J470)=0,"FALTA TC",H470/J470),H470))</f>
        <v/>
      </c>
      <c r="L470" s="69"/>
      <c r="M470" s="69"/>
      <c r="N470" s="69"/>
    </row>
    <row r="471" customFormat="false" ht="15" hidden="false" customHeight="false" outlineLevel="0" collapsed="false">
      <c r="A471" s="69"/>
      <c r="B471" s="29"/>
      <c r="C471" s="88"/>
      <c r="D471" s="69"/>
      <c r="E471" s="69"/>
      <c r="F471" s="69"/>
      <c r="G471" s="69"/>
      <c r="H471" s="55"/>
      <c r="I471" s="44"/>
      <c r="J471" s="44"/>
      <c r="K471" s="19" t="str">
        <f aca="false">IF(H471="","",IF(G471="PYG",IF(N(J471)=0,"FALTA TC",H471/J471),H471))</f>
        <v/>
      </c>
      <c r="L471" s="69"/>
      <c r="M471" s="69"/>
      <c r="N471" s="69"/>
    </row>
    <row r="472" customFormat="false" ht="15" hidden="false" customHeight="false" outlineLevel="0" collapsed="false">
      <c r="A472" s="69"/>
      <c r="B472" s="29"/>
      <c r="C472" s="88"/>
      <c r="D472" s="69"/>
      <c r="E472" s="69"/>
      <c r="F472" s="69"/>
      <c r="G472" s="69"/>
      <c r="H472" s="55"/>
      <c r="I472" s="44"/>
      <c r="J472" s="44"/>
      <c r="K472" s="19" t="str">
        <f aca="false">IF(H472="","",IF(G472="PYG",IF(N(J472)=0,"FALTA TC",H472/J472),H472))</f>
        <v/>
      </c>
      <c r="L472" s="69"/>
      <c r="M472" s="69"/>
      <c r="N472" s="69"/>
    </row>
    <row r="473" customFormat="false" ht="15" hidden="false" customHeight="false" outlineLevel="0" collapsed="false">
      <c r="A473" s="69"/>
      <c r="B473" s="29"/>
      <c r="C473" s="88"/>
      <c r="D473" s="69"/>
      <c r="E473" s="69"/>
      <c r="F473" s="69"/>
      <c r="G473" s="69"/>
      <c r="H473" s="55"/>
      <c r="I473" s="44"/>
      <c r="J473" s="44"/>
      <c r="K473" s="19" t="str">
        <f aca="false">IF(H473="","",IF(G473="PYG",IF(N(J473)=0,"FALTA TC",H473/J473),H473))</f>
        <v/>
      </c>
      <c r="L473" s="69"/>
      <c r="M473" s="69"/>
      <c r="N473" s="69"/>
    </row>
    <row r="474" customFormat="false" ht="15" hidden="false" customHeight="false" outlineLevel="0" collapsed="false">
      <c r="A474" s="69"/>
      <c r="B474" s="29"/>
      <c r="C474" s="88"/>
      <c r="D474" s="69"/>
      <c r="E474" s="69"/>
      <c r="F474" s="69"/>
      <c r="G474" s="69"/>
      <c r="H474" s="55"/>
      <c r="I474" s="44"/>
      <c r="J474" s="44"/>
      <c r="K474" s="19" t="str">
        <f aca="false">IF(H474="","",IF(G474="PYG",IF(N(J474)=0,"FALTA TC",H474/J474),H474))</f>
        <v/>
      </c>
      <c r="L474" s="69"/>
      <c r="M474" s="69"/>
      <c r="N474" s="69"/>
    </row>
    <row r="475" customFormat="false" ht="15" hidden="false" customHeight="false" outlineLevel="0" collapsed="false">
      <c r="A475" s="69"/>
      <c r="B475" s="29"/>
      <c r="C475" s="88"/>
      <c r="D475" s="69"/>
      <c r="E475" s="69"/>
      <c r="F475" s="69"/>
      <c r="G475" s="69"/>
      <c r="H475" s="55"/>
      <c r="I475" s="44"/>
      <c r="J475" s="44"/>
      <c r="K475" s="19" t="str">
        <f aca="false">IF(H475="","",IF(G475="PYG",IF(N(J475)=0,"FALTA TC",H475/J475),H475))</f>
        <v/>
      </c>
      <c r="L475" s="69"/>
      <c r="M475" s="69"/>
      <c r="N475" s="69"/>
    </row>
    <row r="476" customFormat="false" ht="15" hidden="false" customHeight="false" outlineLevel="0" collapsed="false">
      <c r="A476" s="69"/>
      <c r="B476" s="29"/>
      <c r="C476" s="88"/>
      <c r="D476" s="69"/>
      <c r="E476" s="69"/>
      <c r="F476" s="69"/>
      <c r="G476" s="69"/>
      <c r="H476" s="55"/>
      <c r="I476" s="44"/>
      <c r="J476" s="44"/>
      <c r="K476" s="19" t="str">
        <f aca="false">IF(H476="","",IF(G476="PYG",IF(N(J476)=0,"FALTA TC",H476/J476),H476))</f>
        <v/>
      </c>
      <c r="L476" s="69"/>
      <c r="M476" s="69"/>
      <c r="N476" s="69"/>
    </row>
    <row r="477" customFormat="false" ht="15" hidden="false" customHeight="false" outlineLevel="0" collapsed="false">
      <c r="A477" s="69"/>
      <c r="B477" s="29"/>
      <c r="C477" s="88"/>
      <c r="D477" s="69"/>
      <c r="E477" s="69"/>
      <c r="F477" s="69"/>
      <c r="G477" s="69"/>
      <c r="H477" s="55"/>
      <c r="I477" s="44"/>
      <c r="J477" s="44"/>
      <c r="K477" s="19" t="str">
        <f aca="false">IF(H477="","",IF(G477="PYG",IF(N(J477)=0,"FALTA TC",H477/J477),H477))</f>
        <v/>
      </c>
      <c r="L477" s="69"/>
      <c r="M477" s="69"/>
      <c r="N477" s="69"/>
    </row>
    <row r="478" customFormat="false" ht="15" hidden="false" customHeight="false" outlineLevel="0" collapsed="false">
      <c r="A478" s="69"/>
      <c r="B478" s="29"/>
      <c r="C478" s="88"/>
      <c r="D478" s="69"/>
      <c r="E478" s="69"/>
      <c r="F478" s="69"/>
      <c r="G478" s="69"/>
      <c r="H478" s="55"/>
      <c r="I478" s="44"/>
      <c r="J478" s="44"/>
      <c r="K478" s="19" t="str">
        <f aca="false">IF(H478="","",IF(G478="PYG",IF(N(J478)=0,"FALTA TC",H478/J478),H478))</f>
        <v/>
      </c>
      <c r="L478" s="69"/>
      <c r="M478" s="69"/>
      <c r="N478" s="69"/>
    </row>
    <row r="479" customFormat="false" ht="15" hidden="false" customHeight="false" outlineLevel="0" collapsed="false">
      <c r="A479" s="69"/>
      <c r="B479" s="29"/>
      <c r="C479" s="88"/>
      <c r="D479" s="69"/>
      <c r="E479" s="69"/>
      <c r="F479" s="69"/>
      <c r="G479" s="69"/>
      <c r="H479" s="55"/>
      <c r="I479" s="44"/>
      <c r="J479" s="44"/>
      <c r="K479" s="19" t="str">
        <f aca="false">IF(H479="","",IF(G479="PYG",IF(N(J479)=0,"FALTA TC",H479/J479),H479))</f>
        <v/>
      </c>
      <c r="L479" s="69"/>
      <c r="M479" s="69"/>
      <c r="N479" s="69"/>
    </row>
    <row r="480" customFormat="false" ht="15" hidden="false" customHeight="false" outlineLevel="0" collapsed="false">
      <c r="A480" s="69"/>
      <c r="B480" s="29"/>
      <c r="C480" s="88"/>
      <c r="D480" s="69"/>
      <c r="E480" s="69"/>
      <c r="F480" s="69"/>
      <c r="G480" s="69"/>
      <c r="H480" s="55"/>
      <c r="I480" s="44"/>
      <c r="J480" s="44"/>
      <c r="K480" s="19" t="str">
        <f aca="false">IF(H480="","",IF(G480="PYG",IF(N(J480)=0,"FALTA TC",H480/J480),H480))</f>
        <v/>
      </c>
      <c r="L480" s="69"/>
      <c r="M480" s="69"/>
      <c r="N480" s="69"/>
    </row>
    <row r="481" customFormat="false" ht="15" hidden="false" customHeight="false" outlineLevel="0" collapsed="false">
      <c r="A481" s="69"/>
      <c r="B481" s="29"/>
      <c r="C481" s="88"/>
      <c r="D481" s="69"/>
      <c r="E481" s="69"/>
      <c r="F481" s="69"/>
      <c r="G481" s="69"/>
      <c r="H481" s="55"/>
      <c r="I481" s="44"/>
      <c r="J481" s="44"/>
      <c r="K481" s="19" t="str">
        <f aca="false">IF(H481="","",IF(G481="PYG",IF(N(J481)=0,"FALTA TC",H481/J481),H481))</f>
        <v/>
      </c>
      <c r="L481" s="69"/>
      <c r="M481" s="69"/>
      <c r="N481" s="69"/>
    </row>
    <row r="482" customFormat="false" ht="15" hidden="false" customHeight="false" outlineLevel="0" collapsed="false">
      <c r="A482" s="69"/>
      <c r="B482" s="29"/>
      <c r="C482" s="88"/>
      <c r="D482" s="69"/>
      <c r="E482" s="69"/>
      <c r="F482" s="69"/>
      <c r="G482" s="69"/>
      <c r="H482" s="55"/>
      <c r="I482" s="44"/>
      <c r="J482" s="44"/>
      <c r="K482" s="19" t="str">
        <f aca="false">IF(H482="","",IF(G482="PYG",IF(N(J482)=0,"FALTA TC",H482/J482),H482))</f>
        <v/>
      </c>
      <c r="L482" s="69"/>
      <c r="M482" s="69"/>
      <c r="N482" s="69"/>
    </row>
    <row r="483" customFormat="false" ht="15" hidden="false" customHeight="false" outlineLevel="0" collapsed="false">
      <c r="A483" s="69"/>
      <c r="B483" s="29"/>
      <c r="C483" s="88"/>
      <c r="D483" s="69"/>
      <c r="E483" s="69"/>
      <c r="F483" s="69"/>
      <c r="G483" s="69"/>
      <c r="H483" s="55"/>
      <c r="I483" s="44"/>
      <c r="J483" s="44"/>
      <c r="K483" s="19" t="str">
        <f aca="false">IF(H483="","",IF(G483="PYG",IF(N(J483)=0,"FALTA TC",H483/J483),H483))</f>
        <v/>
      </c>
      <c r="L483" s="69"/>
      <c r="M483" s="69"/>
      <c r="N483" s="69"/>
    </row>
    <row r="484" customFormat="false" ht="15" hidden="false" customHeight="false" outlineLevel="0" collapsed="false">
      <c r="A484" s="69"/>
      <c r="B484" s="29"/>
      <c r="C484" s="88"/>
      <c r="D484" s="69"/>
      <c r="E484" s="69"/>
      <c r="F484" s="69"/>
      <c r="G484" s="69"/>
      <c r="H484" s="55"/>
      <c r="I484" s="44"/>
      <c r="J484" s="44"/>
      <c r="K484" s="19" t="str">
        <f aca="false">IF(H484="","",IF(G484="PYG",IF(N(J484)=0,"FALTA TC",H484/J484),H484))</f>
        <v/>
      </c>
      <c r="L484" s="69"/>
      <c r="M484" s="69"/>
      <c r="N484" s="69"/>
    </row>
    <row r="485" customFormat="false" ht="15" hidden="false" customHeight="false" outlineLevel="0" collapsed="false">
      <c r="A485" s="69"/>
      <c r="B485" s="29"/>
      <c r="C485" s="88"/>
      <c r="D485" s="69"/>
      <c r="E485" s="69"/>
      <c r="F485" s="69"/>
      <c r="G485" s="69"/>
      <c r="H485" s="55"/>
      <c r="I485" s="44"/>
      <c r="J485" s="44"/>
      <c r="K485" s="19" t="str">
        <f aca="false">IF(H485="","",IF(G485="PYG",IF(N(J485)=0,"FALTA TC",H485/J485),H485))</f>
        <v/>
      </c>
      <c r="L485" s="69"/>
      <c r="M485" s="69"/>
      <c r="N485" s="69"/>
    </row>
    <row r="486" customFormat="false" ht="15" hidden="false" customHeight="false" outlineLevel="0" collapsed="false">
      <c r="A486" s="69"/>
      <c r="B486" s="29"/>
      <c r="C486" s="88"/>
      <c r="D486" s="69"/>
      <c r="E486" s="69"/>
      <c r="F486" s="69"/>
      <c r="G486" s="69"/>
      <c r="H486" s="55"/>
      <c r="I486" s="44"/>
      <c r="J486" s="44"/>
      <c r="K486" s="19" t="str">
        <f aca="false">IF(H486="","",IF(G486="PYG",IF(N(J486)=0,"FALTA TC",H486/J486),H486))</f>
        <v/>
      </c>
      <c r="L486" s="69"/>
      <c r="M486" s="69"/>
      <c r="N486" s="69"/>
    </row>
    <row r="487" customFormat="false" ht="15" hidden="false" customHeight="false" outlineLevel="0" collapsed="false">
      <c r="A487" s="69"/>
      <c r="B487" s="29"/>
      <c r="C487" s="88"/>
      <c r="D487" s="69"/>
      <c r="E487" s="69"/>
      <c r="F487" s="69"/>
      <c r="G487" s="69"/>
      <c r="H487" s="55"/>
      <c r="I487" s="44"/>
      <c r="J487" s="44"/>
      <c r="K487" s="19" t="str">
        <f aca="false">IF(H487="","",IF(G487="PYG",IF(N(J487)=0,"FALTA TC",H487/J487),H487))</f>
        <v/>
      </c>
      <c r="L487" s="69"/>
      <c r="M487" s="69"/>
      <c r="N487" s="69"/>
    </row>
    <row r="488" customFormat="false" ht="15" hidden="false" customHeight="false" outlineLevel="0" collapsed="false">
      <c r="A488" s="69"/>
      <c r="B488" s="29"/>
      <c r="C488" s="88"/>
      <c r="D488" s="69"/>
      <c r="E488" s="69"/>
      <c r="F488" s="69"/>
      <c r="G488" s="69"/>
      <c r="H488" s="55"/>
      <c r="I488" s="44"/>
      <c r="J488" s="44"/>
      <c r="K488" s="19" t="str">
        <f aca="false">IF(H488="","",IF(G488="PYG",IF(N(J488)=0,"FALTA TC",H488/J488),H488))</f>
        <v/>
      </c>
      <c r="L488" s="69"/>
      <c r="M488" s="69"/>
      <c r="N488" s="69"/>
    </row>
    <row r="489" customFormat="false" ht="15" hidden="false" customHeight="false" outlineLevel="0" collapsed="false">
      <c r="A489" s="69"/>
      <c r="B489" s="29"/>
      <c r="C489" s="88"/>
      <c r="D489" s="69"/>
      <c r="E489" s="69"/>
      <c r="F489" s="69"/>
      <c r="G489" s="69"/>
      <c r="H489" s="55"/>
      <c r="I489" s="44"/>
      <c r="J489" s="44"/>
      <c r="K489" s="19" t="str">
        <f aca="false">IF(H489="","",IF(G489="PYG",IF(N(J489)=0,"FALTA TC",H489/J489),H489))</f>
        <v/>
      </c>
      <c r="L489" s="69"/>
      <c r="M489" s="69"/>
      <c r="N489" s="69"/>
    </row>
    <row r="490" customFormat="false" ht="15" hidden="false" customHeight="false" outlineLevel="0" collapsed="false">
      <c r="A490" s="69"/>
      <c r="B490" s="29"/>
      <c r="C490" s="88"/>
      <c r="D490" s="69"/>
      <c r="E490" s="69"/>
      <c r="F490" s="69"/>
      <c r="G490" s="69"/>
      <c r="H490" s="55"/>
      <c r="I490" s="44"/>
      <c r="J490" s="44"/>
      <c r="K490" s="19" t="str">
        <f aca="false">IF(H490="","",IF(G490="PYG",IF(N(J490)=0,"FALTA TC",H490/J490),H490))</f>
        <v/>
      </c>
      <c r="L490" s="69"/>
      <c r="M490" s="69"/>
      <c r="N490" s="69"/>
    </row>
    <row r="491" customFormat="false" ht="15" hidden="false" customHeight="false" outlineLevel="0" collapsed="false">
      <c r="A491" s="69"/>
      <c r="B491" s="29"/>
      <c r="C491" s="88"/>
      <c r="D491" s="69"/>
      <c r="E491" s="69"/>
      <c r="F491" s="69"/>
      <c r="G491" s="69"/>
      <c r="H491" s="55"/>
      <c r="I491" s="44"/>
      <c r="J491" s="44"/>
      <c r="K491" s="19" t="str">
        <f aca="false">IF(H491="","",IF(G491="PYG",IF(N(J491)=0,"FALTA TC",H491/J491),H491))</f>
        <v/>
      </c>
      <c r="L491" s="69"/>
      <c r="M491" s="69"/>
      <c r="N491" s="69"/>
    </row>
    <row r="492" customFormat="false" ht="15" hidden="false" customHeight="false" outlineLevel="0" collapsed="false">
      <c r="A492" s="69"/>
      <c r="B492" s="29"/>
      <c r="C492" s="88"/>
      <c r="D492" s="69"/>
      <c r="E492" s="69"/>
      <c r="F492" s="69"/>
      <c r="G492" s="69"/>
      <c r="H492" s="55"/>
      <c r="I492" s="44"/>
      <c r="J492" s="44"/>
      <c r="K492" s="19" t="str">
        <f aca="false">IF(H492="","",IF(G492="PYG",IF(N(J492)=0,"FALTA TC",H492/J492),H492))</f>
        <v/>
      </c>
      <c r="L492" s="69"/>
      <c r="M492" s="69"/>
      <c r="N492" s="69"/>
    </row>
    <row r="493" customFormat="false" ht="15" hidden="false" customHeight="false" outlineLevel="0" collapsed="false">
      <c r="A493" s="69"/>
      <c r="B493" s="29"/>
      <c r="C493" s="88"/>
      <c r="D493" s="69"/>
      <c r="E493" s="69"/>
      <c r="F493" s="69"/>
      <c r="G493" s="69"/>
      <c r="H493" s="55"/>
      <c r="I493" s="44"/>
      <c r="J493" s="44"/>
      <c r="K493" s="19" t="str">
        <f aca="false">IF(H493="","",IF(G493="PYG",IF(N(J493)=0,"FALTA TC",H493/J493),H493))</f>
        <v/>
      </c>
      <c r="L493" s="69"/>
      <c r="M493" s="69"/>
      <c r="N493" s="69"/>
    </row>
    <row r="494" customFormat="false" ht="15" hidden="false" customHeight="false" outlineLevel="0" collapsed="false">
      <c r="A494" s="69"/>
      <c r="B494" s="29"/>
      <c r="C494" s="88"/>
      <c r="D494" s="69"/>
      <c r="E494" s="69"/>
      <c r="F494" s="69"/>
      <c r="G494" s="69"/>
      <c r="H494" s="55"/>
      <c r="I494" s="44"/>
      <c r="J494" s="44"/>
      <c r="K494" s="19" t="str">
        <f aca="false">IF(H494="","",IF(G494="PYG",IF(N(J494)=0,"FALTA TC",H494/J494),H494))</f>
        <v/>
      </c>
      <c r="L494" s="69"/>
      <c r="M494" s="69"/>
      <c r="N494" s="69"/>
    </row>
    <row r="495" customFormat="false" ht="15" hidden="false" customHeight="false" outlineLevel="0" collapsed="false">
      <c r="A495" s="69"/>
      <c r="B495" s="29"/>
      <c r="C495" s="88"/>
      <c r="D495" s="69"/>
      <c r="E495" s="69"/>
      <c r="F495" s="69"/>
      <c r="G495" s="69"/>
      <c r="H495" s="55"/>
      <c r="I495" s="44"/>
      <c r="J495" s="44"/>
      <c r="K495" s="19" t="str">
        <f aca="false">IF(H495="","",IF(G495="PYG",IF(N(J495)=0,"FALTA TC",H495/J495),H495))</f>
        <v/>
      </c>
      <c r="L495" s="69"/>
      <c r="M495" s="69"/>
      <c r="N495" s="69"/>
    </row>
    <row r="496" customFormat="false" ht="15" hidden="false" customHeight="false" outlineLevel="0" collapsed="false">
      <c r="A496" s="69"/>
      <c r="B496" s="29"/>
      <c r="C496" s="88"/>
      <c r="D496" s="69"/>
      <c r="E496" s="69"/>
      <c r="F496" s="69"/>
      <c r="G496" s="69"/>
      <c r="H496" s="55"/>
      <c r="I496" s="44"/>
      <c r="J496" s="44"/>
      <c r="K496" s="19" t="str">
        <f aca="false">IF(H496="","",IF(G496="PYG",IF(N(J496)=0,"FALTA TC",H496/J496),H496))</f>
        <v/>
      </c>
      <c r="L496" s="69"/>
      <c r="M496" s="69"/>
      <c r="N496" s="69"/>
    </row>
    <row r="497" customFormat="false" ht="15" hidden="false" customHeight="false" outlineLevel="0" collapsed="false">
      <c r="A497" s="69"/>
      <c r="B497" s="29"/>
      <c r="C497" s="88"/>
      <c r="D497" s="69"/>
      <c r="E497" s="69"/>
      <c r="F497" s="69"/>
      <c r="G497" s="69"/>
      <c r="H497" s="55"/>
      <c r="I497" s="44"/>
      <c r="J497" s="44"/>
      <c r="K497" s="19" t="str">
        <f aca="false">IF(H497="","",IF(G497="PYG",IF(N(J497)=0,"FALTA TC",H497/J497),H497))</f>
        <v/>
      </c>
      <c r="L497" s="69"/>
      <c r="M497" s="69"/>
      <c r="N497" s="69"/>
    </row>
    <row r="498" customFormat="false" ht="15" hidden="false" customHeight="false" outlineLevel="0" collapsed="false">
      <c r="A498" s="69"/>
      <c r="B498" s="29"/>
      <c r="C498" s="88"/>
      <c r="D498" s="69"/>
      <c r="E498" s="69"/>
      <c r="F498" s="69"/>
      <c r="G498" s="69"/>
      <c r="H498" s="55"/>
      <c r="I498" s="44"/>
      <c r="J498" s="44"/>
      <c r="K498" s="19" t="str">
        <f aca="false">IF(H498="","",IF(G498="PYG",IF(N(J498)=0,"FALTA TC",H498/J498),H498))</f>
        <v/>
      </c>
      <c r="L498" s="69"/>
      <c r="M498" s="69"/>
      <c r="N498" s="69"/>
    </row>
    <row r="499" customFormat="false" ht="15" hidden="false" customHeight="false" outlineLevel="0" collapsed="false">
      <c r="A499" s="69"/>
      <c r="B499" s="29"/>
      <c r="C499" s="88"/>
      <c r="D499" s="69"/>
      <c r="E499" s="69"/>
      <c r="F499" s="69"/>
      <c r="G499" s="69"/>
      <c r="H499" s="55"/>
      <c r="I499" s="44"/>
      <c r="J499" s="44"/>
      <c r="K499" s="19" t="str">
        <f aca="false">IF(H499="","",IF(G499="PYG",IF(N(J499)=0,"FALTA TC",H499/J499),H499))</f>
        <v/>
      </c>
      <c r="L499" s="69"/>
      <c r="M499" s="69"/>
      <c r="N499" s="69"/>
    </row>
    <row r="500" customFormat="false" ht="15" hidden="false" customHeight="false" outlineLevel="0" collapsed="false">
      <c r="A500" s="69"/>
      <c r="B500" s="29"/>
      <c r="C500" s="88"/>
      <c r="D500" s="69"/>
      <c r="E500" s="69"/>
      <c r="F500" s="69"/>
      <c r="G500" s="69"/>
      <c r="H500" s="55"/>
      <c r="I500" s="44"/>
      <c r="J500" s="44"/>
      <c r="K500" s="19" t="str">
        <f aca="false">IF(H500="","",IF(G500="PYG",IF(N(J500)=0,"FALTA TC",H500/J500),H500))</f>
        <v/>
      </c>
      <c r="L500" s="69"/>
      <c r="M500" s="69"/>
      <c r="N500" s="69"/>
    </row>
    <row r="501" customFormat="false" ht="15" hidden="false" customHeight="false" outlineLevel="0" collapsed="false">
      <c r="A501" s="69"/>
      <c r="B501" s="29"/>
      <c r="C501" s="88"/>
      <c r="D501" s="69"/>
      <c r="E501" s="69"/>
      <c r="F501" s="69"/>
      <c r="G501" s="69"/>
      <c r="H501" s="55"/>
      <c r="I501" s="44"/>
      <c r="J501" s="44"/>
      <c r="K501" s="19" t="str">
        <f aca="false">IF(H501="","",IF(G501="PYG",IF(N(J501)=0,"FALTA TC",H501/J501),H501))</f>
        <v/>
      </c>
      <c r="L501" s="69"/>
      <c r="M501" s="69"/>
      <c r="N501" s="69"/>
    </row>
    <row r="502" customFormat="false" ht="15" hidden="false" customHeight="false" outlineLevel="0" collapsed="false">
      <c r="A502" s="69"/>
      <c r="B502" s="29"/>
      <c r="C502" s="88"/>
      <c r="D502" s="69"/>
      <c r="E502" s="69"/>
      <c r="F502" s="69"/>
      <c r="G502" s="69"/>
      <c r="H502" s="55"/>
      <c r="I502" s="44"/>
      <c r="J502" s="44"/>
      <c r="K502" s="19" t="str">
        <f aca="false">IF(H502="","",IF(G502="PYG",IF(N(J502)=0,"FALTA TC",H502/J502),H502))</f>
        <v/>
      </c>
      <c r="L502" s="69"/>
      <c r="M502" s="69"/>
      <c r="N502" s="69"/>
    </row>
    <row r="503" customFormat="false" ht="15" hidden="false" customHeight="false" outlineLevel="0" collapsed="false">
      <c r="A503" s="69"/>
      <c r="B503" s="29"/>
      <c r="C503" s="88"/>
      <c r="D503" s="69"/>
      <c r="E503" s="69"/>
      <c r="F503" s="69"/>
      <c r="G503" s="69"/>
      <c r="H503" s="55"/>
      <c r="I503" s="44"/>
      <c r="J503" s="44"/>
      <c r="K503" s="19" t="str">
        <f aca="false">IF(H503="","",IF(G503="PYG",IF(N(J503)=0,"FALTA TC",H503/J503),H503))</f>
        <v/>
      </c>
      <c r="L503" s="69"/>
      <c r="M503" s="69"/>
      <c r="N503" s="69"/>
    </row>
    <row r="504" customFormat="false" ht="15" hidden="false" customHeight="false" outlineLevel="0" collapsed="false">
      <c r="A504" s="69"/>
      <c r="B504" s="29"/>
      <c r="C504" s="88"/>
      <c r="D504" s="69"/>
      <c r="E504" s="69"/>
      <c r="F504" s="69"/>
      <c r="G504" s="69"/>
      <c r="H504" s="55"/>
      <c r="I504" s="44"/>
      <c r="J504" s="44"/>
      <c r="K504" s="19" t="str">
        <f aca="false">IF(H504="","",IF(G504="PYG",IF(N(J504)=0,"FALTA TC",H504/J504),H504))</f>
        <v/>
      </c>
      <c r="L504" s="69"/>
      <c r="M504" s="69"/>
      <c r="N504" s="69"/>
    </row>
    <row r="505" customFormat="false" ht="15" hidden="false" customHeight="false" outlineLevel="0" collapsed="false">
      <c r="A505" s="69"/>
      <c r="B505" s="29"/>
      <c r="C505" s="88"/>
      <c r="D505" s="69"/>
      <c r="E505" s="69"/>
      <c r="F505" s="69"/>
      <c r="G505" s="69"/>
      <c r="H505" s="55"/>
      <c r="I505" s="44"/>
      <c r="J505" s="44"/>
      <c r="K505" s="19" t="str">
        <f aca="false">IF(H505="","",IF(G505="PYG",IF(N(J505)=0,"FALTA TC",H505/J505),H505))</f>
        <v/>
      </c>
      <c r="L505" s="69"/>
      <c r="M505" s="69"/>
      <c r="N505" s="69"/>
    </row>
    <row r="506" customFormat="false" ht="15" hidden="false" customHeight="false" outlineLevel="0" collapsed="false">
      <c r="A506" s="69"/>
      <c r="B506" s="29"/>
      <c r="C506" s="88"/>
      <c r="D506" s="69"/>
      <c r="E506" s="69"/>
      <c r="F506" s="69"/>
      <c r="G506" s="69"/>
      <c r="H506" s="55"/>
      <c r="I506" s="44"/>
      <c r="J506" s="44"/>
      <c r="K506" s="19" t="str">
        <f aca="false">IF(H506="","",IF(G506="PYG",IF(N(J506)=0,"FALTA TC",H506/J506),H506))</f>
        <v/>
      </c>
      <c r="L506" s="69"/>
      <c r="M506" s="69"/>
      <c r="N506" s="69"/>
    </row>
    <row r="507" customFormat="false" ht="15" hidden="false" customHeight="false" outlineLevel="0" collapsed="false">
      <c r="A507" s="69"/>
      <c r="B507" s="29"/>
      <c r="C507" s="88"/>
      <c r="D507" s="69"/>
      <c r="E507" s="69"/>
      <c r="F507" s="69"/>
      <c r="G507" s="69"/>
      <c r="H507" s="55"/>
      <c r="I507" s="44"/>
      <c r="J507" s="44"/>
      <c r="K507" s="19" t="str">
        <f aca="false">IF(H507="","",IF(G507="PYG",IF(N(J507)=0,"FALTA TC",H507/J507),H507))</f>
        <v/>
      </c>
      <c r="L507" s="69"/>
      <c r="M507" s="69"/>
      <c r="N507" s="69"/>
    </row>
    <row r="508" customFormat="false" ht="15" hidden="false" customHeight="false" outlineLevel="0" collapsed="false">
      <c r="A508" s="69"/>
      <c r="B508" s="29"/>
      <c r="C508" s="88"/>
      <c r="D508" s="69"/>
      <c r="E508" s="69"/>
      <c r="F508" s="69"/>
      <c r="G508" s="69"/>
      <c r="H508" s="55"/>
      <c r="I508" s="44"/>
      <c r="J508" s="44"/>
      <c r="K508" s="19" t="str">
        <f aca="false">IF(H508="","",IF(G508="PYG",IF(N(J508)=0,"FALTA TC",H508/J508),H508))</f>
        <v/>
      </c>
      <c r="L508" s="69"/>
      <c r="M508" s="69"/>
      <c r="N508" s="69"/>
    </row>
    <row r="509" customFormat="false" ht="15" hidden="false" customHeight="false" outlineLevel="0" collapsed="false">
      <c r="A509" s="69"/>
      <c r="B509" s="29"/>
      <c r="C509" s="88"/>
      <c r="D509" s="69"/>
      <c r="E509" s="69"/>
      <c r="F509" s="69"/>
      <c r="G509" s="69"/>
      <c r="H509" s="55"/>
      <c r="I509" s="44"/>
      <c r="J509" s="44"/>
      <c r="K509" s="19" t="str">
        <f aca="false">IF(H509="","",IF(G509="PYG",IF(N(J509)=0,"FALTA TC",H509/J509),H509))</f>
        <v/>
      </c>
      <c r="L509" s="69"/>
      <c r="M509" s="69"/>
      <c r="N509" s="69"/>
    </row>
    <row r="510" customFormat="false" ht="15" hidden="false" customHeight="false" outlineLevel="0" collapsed="false">
      <c r="A510" s="69"/>
      <c r="B510" s="29"/>
      <c r="C510" s="88"/>
      <c r="D510" s="69"/>
      <c r="E510" s="69"/>
      <c r="F510" s="69"/>
      <c r="G510" s="69"/>
      <c r="H510" s="55"/>
      <c r="I510" s="44"/>
      <c r="J510" s="44"/>
      <c r="K510" s="19" t="str">
        <f aca="false">IF(H510="","",IF(G510="PYG",IF(N(J510)=0,"FALTA TC",H510/J510),H510))</f>
        <v/>
      </c>
      <c r="L510" s="69"/>
      <c r="M510" s="69"/>
      <c r="N510" s="69"/>
    </row>
    <row r="511" customFormat="false" ht="15" hidden="false" customHeight="false" outlineLevel="0" collapsed="false">
      <c r="A511" s="69"/>
      <c r="B511" s="29"/>
      <c r="C511" s="88"/>
      <c r="D511" s="69"/>
      <c r="E511" s="69"/>
      <c r="F511" s="69"/>
      <c r="G511" s="69"/>
      <c r="H511" s="55"/>
      <c r="I511" s="44"/>
      <c r="J511" s="44"/>
      <c r="K511" s="19" t="str">
        <f aca="false">IF(H511="","",IF(G511="PYG",IF(N(J511)=0,"FALTA TC",H511/J511),H511))</f>
        <v/>
      </c>
      <c r="L511" s="69"/>
      <c r="M511" s="69"/>
      <c r="N511" s="69"/>
    </row>
    <row r="512" customFormat="false" ht="15" hidden="false" customHeight="false" outlineLevel="0" collapsed="false">
      <c r="A512" s="69"/>
      <c r="B512" s="29"/>
      <c r="C512" s="88"/>
      <c r="D512" s="69"/>
      <c r="E512" s="69"/>
      <c r="F512" s="69"/>
      <c r="G512" s="69"/>
      <c r="H512" s="55"/>
      <c r="I512" s="44"/>
      <c r="J512" s="44"/>
      <c r="K512" s="19" t="str">
        <f aca="false">IF(H512="","",IF(G512="PYG",IF(N(J512)=0,"FALTA TC",H512/J512),H512))</f>
        <v/>
      </c>
      <c r="L512" s="69"/>
      <c r="M512" s="69"/>
      <c r="N512" s="69"/>
    </row>
    <row r="513" customFormat="false" ht="15" hidden="false" customHeight="false" outlineLevel="0" collapsed="false">
      <c r="A513" s="69"/>
      <c r="B513" s="29"/>
      <c r="C513" s="88"/>
      <c r="D513" s="69"/>
      <c r="E513" s="69"/>
      <c r="F513" s="69"/>
      <c r="G513" s="69"/>
      <c r="H513" s="55"/>
      <c r="I513" s="44"/>
      <c r="J513" s="44"/>
      <c r="K513" s="19" t="str">
        <f aca="false">IF(H513="","",IF(G513="PYG",IF(N(J513)=0,"FALTA TC",H513/J513),H513))</f>
        <v/>
      </c>
      <c r="L513" s="69"/>
      <c r="M513" s="69"/>
      <c r="N513" s="69"/>
    </row>
    <row r="514" customFormat="false" ht="15" hidden="false" customHeight="false" outlineLevel="0" collapsed="false">
      <c r="A514" s="69"/>
      <c r="B514" s="29"/>
      <c r="C514" s="88"/>
      <c r="D514" s="69"/>
      <c r="E514" s="69"/>
      <c r="F514" s="69"/>
      <c r="G514" s="69"/>
      <c r="H514" s="55"/>
      <c r="I514" s="44"/>
      <c r="J514" s="44"/>
      <c r="K514" s="19" t="str">
        <f aca="false">IF(H514="","",IF(G514="PYG",IF(N(J514)=0,"FALTA TC",H514/J514),H514))</f>
        <v/>
      </c>
      <c r="L514" s="69"/>
      <c r="M514" s="69"/>
      <c r="N514" s="69"/>
    </row>
    <row r="515" customFormat="false" ht="15" hidden="false" customHeight="false" outlineLevel="0" collapsed="false">
      <c r="A515" s="69"/>
      <c r="B515" s="29"/>
      <c r="C515" s="88"/>
      <c r="D515" s="69"/>
      <c r="E515" s="69"/>
      <c r="F515" s="69"/>
      <c r="G515" s="69"/>
      <c r="H515" s="55"/>
      <c r="I515" s="44"/>
      <c r="J515" s="44"/>
      <c r="K515" s="19" t="str">
        <f aca="false">IF(H515="","",IF(G515="PYG",IF(N(J515)=0,"FALTA TC",H515/J515),H515))</f>
        <v/>
      </c>
      <c r="L515" s="69"/>
      <c r="M515" s="69"/>
      <c r="N515" s="69"/>
    </row>
    <row r="516" customFormat="false" ht="15" hidden="false" customHeight="false" outlineLevel="0" collapsed="false">
      <c r="A516" s="69"/>
      <c r="B516" s="29"/>
      <c r="C516" s="88"/>
      <c r="D516" s="69"/>
      <c r="E516" s="69"/>
      <c r="F516" s="69"/>
      <c r="G516" s="69"/>
      <c r="H516" s="55"/>
      <c r="I516" s="44"/>
      <c r="J516" s="44"/>
      <c r="K516" s="19" t="str">
        <f aca="false">IF(H516="","",IF(G516="PYG",IF(N(J516)=0,"FALTA TC",H516/J516),H516))</f>
        <v/>
      </c>
      <c r="L516" s="69"/>
      <c r="M516" s="69"/>
      <c r="N516" s="69"/>
    </row>
    <row r="517" customFormat="false" ht="15" hidden="false" customHeight="false" outlineLevel="0" collapsed="false">
      <c r="A517" s="69"/>
      <c r="B517" s="29"/>
      <c r="C517" s="88"/>
      <c r="D517" s="69"/>
      <c r="E517" s="69"/>
      <c r="F517" s="69"/>
      <c r="G517" s="69"/>
      <c r="H517" s="55"/>
      <c r="I517" s="44"/>
      <c r="J517" s="44"/>
      <c r="K517" s="19" t="str">
        <f aca="false">IF(H517="","",IF(G517="PYG",IF(N(J517)=0,"FALTA TC",H517/J517),H517))</f>
        <v/>
      </c>
      <c r="L517" s="69"/>
      <c r="M517" s="69"/>
      <c r="N517" s="69"/>
    </row>
    <row r="518" customFormat="false" ht="15" hidden="false" customHeight="false" outlineLevel="0" collapsed="false">
      <c r="A518" s="69"/>
      <c r="B518" s="29"/>
      <c r="C518" s="88"/>
      <c r="D518" s="69"/>
      <c r="E518" s="69"/>
      <c r="F518" s="69"/>
      <c r="G518" s="69"/>
      <c r="H518" s="55"/>
      <c r="I518" s="44"/>
      <c r="J518" s="44"/>
      <c r="K518" s="19" t="str">
        <f aca="false">IF(H518="","",IF(G518="PYG",IF(N(J518)=0,"FALTA TC",H518/J518),H518))</f>
        <v/>
      </c>
      <c r="L518" s="69"/>
      <c r="M518" s="69"/>
      <c r="N518" s="69"/>
    </row>
    <row r="519" customFormat="false" ht="15" hidden="false" customHeight="false" outlineLevel="0" collapsed="false">
      <c r="A519" s="69"/>
      <c r="B519" s="29"/>
      <c r="C519" s="88"/>
      <c r="D519" s="69"/>
      <c r="E519" s="69"/>
      <c r="F519" s="69"/>
      <c r="G519" s="69"/>
      <c r="H519" s="55"/>
      <c r="I519" s="44"/>
      <c r="J519" s="44"/>
      <c r="K519" s="19" t="str">
        <f aca="false">IF(H519="","",IF(G519="PYG",IF(N(J519)=0,"FALTA TC",H519/J519),H519))</f>
        <v/>
      </c>
      <c r="L519" s="69"/>
      <c r="M519" s="69"/>
      <c r="N519" s="69"/>
    </row>
    <row r="520" customFormat="false" ht="15" hidden="false" customHeight="false" outlineLevel="0" collapsed="false">
      <c r="A520" s="69"/>
      <c r="B520" s="29"/>
      <c r="C520" s="88"/>
      <c r="D520" s="69"/>
      <c r="E520" s="69"/>
      <c r="F520" s="69"/>
      <c r="G520" s="69"/>
      <c r="H520" s="55"/>
      <c r="I520" s="44"/>
      <c r="J520" s="44"/>
      <c r="K520" s="19" t="str">
        <f aca="false">IF(H520="","",IF(G520="PYG",IF(N(J520)=0,"FALTA TC",H520/J520),H520))</f>
        <v/>
      </c>
      <c r="L520" s="69"/>
      <c r="M520" s="69"/>
      <c r="N520" s="69"/>
    </row>
    <row r="521" customFormat="false" ht="15" hidden="false" customHeight="false" outlineLevel="0" collapsed="false">
      <c r="A521" s="69"/>
      <c r="B521" s="29"/>
      <c r="C521" s="88"/>
      <c r="D521" s="69"/>
      <c r="E521" s="69"/>
      <c r="F521" s="69"/>
      <c r="G521" s="69"/>
      <c r="H521" s="55"/>
      <c r="I521" s="44"/>
      <c r="J521" s="44"/>
      <c r="K521" s="19" t="str">
        <f aca="false">IF(H521="","",IF(G521="PYG",IF(N(J521)=0,"FALTA TC",H521/J521),H521))</f>
        <v/>
      </c>
      <c r="L521" s="69"/>
      <c r="M521" s="69"/>
      <c r="N521" s="69"/>
    </row>
    <row r="522" customFormat="false" ht="15" hidden="false" customHeight="false" outlineLevel="0" collapsed="false">
      <c r="A522" s="69"/>
      <c r="B522" s="29"/>
      <c r="C522" s="88"/>
      <c r="D522" s="69"/>
      <c r="E522" s="69"/>
      <c r="F522" s="69"/>
      <c r="G522" s="69"/>
      <c r="H522" s="55"/>
      <c r="I522" s="44"/>
      <c r="J522" s="44"/>
      <c r="K522" s="19" t="str">
        <f aca="false">IF(H522="","",IF(G522="PYG",IF(N(J522)=0,"FALTA TC",H522/J522),H522))</f>
        <v/>
      </c>
      <c r="L522" s="69"/>
      <c r="M522" s="69"/>
      <c r="N522" s="69"/>
    </row>
    <row r="523" customFormat="false" ht="15" hidden="false" customHeight="false" outlineLevel="0" collapsed="false">
      <c r="A523" s="69"/>
      <c r="B523" s="29"/>
      <c r="C523" s="88"/>
      <c r="D523" s="69"/>
      <c r="E523" s="69"/>
      <c r="F523" s="69"/>
      <c r="G523" s="69"/>
      <c r="H523" s="55"/>
      <c r="I523" s="44"/>
      <c r="J523" s="44"/>
      <c r="K523" s="19" t="str">
        <f aca="false">IF(H523="","",IF(G523="PYG",IF(N(J523)=0,"FALTA TC",H523/J523),H523))</f>
        <v/>
      </c>
      <c r="L523" s="69"/>
      <c r="M523" s="69"/>
      <c r="N523" s="69"/>
    </row>
    <row r="524" customFormat="false" ht="15" hidden="false" customHeight="false" outlineLevel="0" collapsed="false">
      <c r="A524" s="69"/>
      <c r="B524" s="29"/>
      <c r="C524" s="88"/>
      <c r="D524" s="69"/>
      <c r="E524" s="69"/>
      <c r="F524" s="69"/>
      <c r="G524" s="69"/>
      <c r="H524" s="55"/>
      <c r="I524" s="44"/>
      <c r="J524" s="44"/>
      <c r="K524" s="19" t="str">
        <f aca="false">IF(H524="","",IF(G524="PYG",IF(N(J524)=0,"FALTA TC",H524/J524),H524))</f>
        <v/>
      </c>
      <c r="L524" s="69"/>
      <c r="M524" s="69"/>
      <c r="N524" s="69"/>
    </row>
    <row r="525" customFormat="false" ht="15" hidden="false" customHeight="false" outlineLevel="0" collapsed="false">
      <c r="A525" s="69"/>
      <c r="B525" s="29"/>
      <c r="C525" s="88"/>
      <c r="D525" s="69"/>
      <c r="E525" s="69"/>
      <c r="F525" s="69"/>
      <c r="G525" s="69"/>
      <c r="H525" s="55"/>
      <c r="I525" s="44"/>
      <c r="J525" s="44"/>
      <c r="K525" s="19" t="str">
        <f aca="false">IF(H525="","",IF(G525="PYG",IF(N(J525)=0,"FALTA TC",H525/J525),H525))</f>
        <v/>
      </c>
      <c r="L525" s="69"/>
      <c r="M525" s="69"/>
      <c r="N525" s="69"/>
    </row>
    <row r="526" customFormat="false" ht="15" hidden="false" customHeight="false" outlineLevel="0" collapsed="false">
      <c r="A526" s="69"/>
      <c r="B526" s="29"/>
      <c r="C526" s="88"/>
      <c r="D526" s="69"/>
      <c r="E526" s="69"/>
      <c r="F526" s="69"/>
      <c r="G526" s="69"/>
      <c r="H526" s="55"/>
      <c r="I526" s="44"/>
      <c r="J526" s="44"/>
      <c r="K526" s="19" t="str">
        <f aca="false">IF(H526="","",IF(G526="PYG",IF(N(J526)=0,"FALTA TC",H526/J526),H526))</f>
        <v/>
      </c>
      <c r="L526" s="69"/>
      <c r="M526" s="69"/>
      <c r="N526" s="69"/>
    </row>
    <row r="527" customFormat="false" ht="15" hidden="false" customHeight="false" outlineLevel="0" collapsed="false">
      <c r="A527" s="69"/>
      <c r="B527" s="29"/>
      <c r="C527" s="88"/>
      <c r="D527" s="69"/>
      <c r="E527" s="69"/>
      <c r="F527" s="69"/>
      <c r="G527" s="69"/>
      <c r="H527" s="55"/>
      <c r="I527" s="44"/>
      <c r="J527" s="44"/>
      <c r="K527" s="19" t="str">
        <f aca="false">IF(H527="","",IF(G527="PYG",IF(N(J527)=0,"FALTA TC",H527/J527),H527))</f>
        <v/>
      </c>
      <c r="L527" s="69"/>
      <c r="M527" s="69"/>
      <c r="N527" s="69"/>
    </row>
    <row r="528" customFormat="false" ht="15" hidden="false" customHeight="false" outlineLevel="0" collapsed="false">
      <c r="A528" s="69"/>
      <c r="B528" s="29"/>
      <c r="C528" s="88"/>
      <c r="D528" s="69"/>
      <c r="E528" s="69"/>
      <c r="F528" s="69"/>
      <c r="G528" s="69"/>
      <c r="H528" s="55"/>
      <c r="I528" s="44"/>
      <c r="J528" s="44"/>
      <c r="K528" s="19" t="str">
        <f aca="false">IF(H528="","",IF(G528="PYG",IF(N(J528)=0,"FALTA TC",H528/J528),H528))</f>
        <v/>
      </c>
      <c r="L528" s="69"/>
      <c r="M528" s="69"/>
      <c r="N528" s="69"/>
    </row>
    <row r="529" customFormat="false" ht="15" hidden="false" customHeight="false" outlineLevel="0" collapsed="false">
      <c r="A529" s="69"/>
      <c r="B529" s="29"/>
      <c r="C529" s="88"/>
      <c r="D529" s="69"/>
      <c r="E529" s="69"/>
      <c r="F529" s="69"/>
      <c r="G529" s="69"/>
      <c r="H529" s="55"/>
      <c r="I529" s="44"/>
      <c r="J529" s="44"/>
      <c r="K529" s="19" t="str">
        <f aca="false">IF(H529="","",IF(G529="PYG",IF(N(J529)=0,"FALTA TC",H529/J529),H529))</f>
        <v/>
      </c>
      <c r="L529" s="69"/>
      <c r="M529" s="69"/>
      <c r="N529" s="69"/>
    </row>
    <row r="530" customFormat="false" ht="15" hidden="false" customHeight="false" outlineLevel="0" collapsed="false">
      <c r="A530" s="69"/>
      <c r="B530" s="29"/>
      <c r="C530" s="88"/>
      <c r="D530" s="69"/>
      <c r="E530" s="69"/>
      <c r="F530" s="69"/>
      <c r="G530" s="69"/>
      <c r="H530" s="55"/>
      <c r="I530" s="44"/>
      <c r="J530" s="44"/>
      <c r="K530" s="19" t="str">
        <f aca="false">IF(H530="","",IF(G530="PYG",IF(N(J530)=0,"FALTA TC",H530/J530),H530))</f>
        <v/>
      </c>
      <c r="L530" s="69"/>
      <c r="M530" s="69"/>
      <c r="N530" s="69"/>
    </row>
    <row r="531" customFormat="false" ht="15" hidden="false" customHeight="false" outlineLevel="0" collapsed="false">
      <c r="A531" s="69"/>
      <c r="B531" s="29"/>
      <c r="C531" s="88"/>
      <c r="D531" s="69"/>
      <c r="E531" s="69"/>
      <c r="F531" s="69"/>
      <c r="G531" s="69"/>
      <c r="H531" s="55"/>
      <c r="I531" s="44"/>
      <c r="J531" s="44"/>
      <c r="K531" s="19" t="str">
        <f aca="false">IF(H531="","",IF(G531="PYG",IF(N(J531)=0,"FALTA TC",H531/J531),H531))</f>
        <v/>
      </c>
      <c r="L531" s="69"/>
      <c r="M531" s="69"/>
      <c r="N531" s="69"/>
    </row>
    <row r="532" customFormat="false" ht="15" hidden="false" customHeight="false" outlineLevel="0" collapsed="false">
      <c r="A532" s="69"/>
      <c r="B532" s="29"/>
      <c r="C532" s="88"/>
      <c r="D532" s="69"/>
      <c r="E532" s="69"/>
      <c r="F532" s="69"/>
      <c r="G532" s="69"/>
      <c r="H532" s="55"/>
      <c r="I532" s="44"/>
      <c r="J532" s="44"/>
      <c r="K532" s="19" t="str">
        <f aca="false">IF(H532="","",IF(G532="PYG",IF(N(J532)=0,"FALTA TC",H532/J532),H532))</f>
        <v/>
      </c>
      <c r="L532" s="69"/>
      <c r="M532" s="69"/>
      <c r="N532" s="69"/>
    </row>
    <row r="533" customFormat="false" ht="15" hidden="false" customHeight="false" outlineLevel="0" collapsed="false">
      <c r="A533" s="69"/>
      <c r="B533" s="29"/>
      <c r="C533" s="88"/>
      <c r="D533" s="69"/>
      <c r="E533" s="69"/>
      <c r="F533" s="69"/>
      <c r="G533" s="69"/>
      <c r="H533" s="55"/>
      <c r="I533" s="44"/>
      <c r="J533" s="44"/>
      <c r="K533" s="19" t="str">
        <f aca="false">IF(H533="","",IF(G533="PYG",IF(N(J533)=0,"FALTA TC",H533/J533),H533))</f>
        <v/>
      </c>
      <c r="L533" s="69"/>
      <c r="M533" s="69"/>
      <c r="N533" s="69"/>
    </row>
    <row r="534" customFormat="false" ht="15" hidden="false" customHeight="false" outlineLevel="0" collapsed="false">
      <c r="A534" s="69"/>
      <c r="B534" s="29"/>
      <c r="C534" s="88"/>
      <c r="D534" s="69"/>
      <c r="E534" s="69"/>
      <c r="F534" s="69"/>
      <c r="G534" s="69"/>
      <c r="H534" s="55"/>
      <c r="I534" s="44"/>
      <c r="J534" s="44"/>
      <c r="K534" s="19" t="str">
        <f aca="false">IF(H534="","",IF(G534="PYG",IF(N(J534)=0,"FALTA TC",H534/J534),H534))</f>
        <v/>
      </c>
      <c r="L534" s="69"/>
      <c r="M534" s="69"/>
      <c r="N534" s="69"/>
    </row>
    <row r="535" customFormat="false" ht="15" hidden="false" customHeight="false" outlineLevel="0" collapsed="false">
      <c r="A535" s="69"/>
      <c r="B535" s="29"/>
      <c r="C535" s="88"/>
      <c r="D535" s="69"/>
      <c r="E535" s="69"/>
      <c r="F535" s="69"/>
      <c r="G535" s="69"/>
      <c r="H535" s="55"/>
      <c r="I535" s="44"/>
      <c r="J535" s="44"/>
      <c r="K535" s="19" t="str">
        <f aca="false">IF(H535="","",IF(G535="PYG",IF(N(J535)=0,"FALTA TC",H535/J535),H535))</f>
        <v/>
      </c>
      <c r="L535" s="69"/>
      <c r="M535" s="69"/>
      <c r="N535" s="69"/>
    </row>
    <row r="536" customFormat="false" ht="15" hidden="false" customHeight="false" outlineLevel="0" collapsed="false">
      <c r="A536" s="69"/>
      <c r="B536" s="29"/>
      <c r="C536" s="88"/>
      <c r="D536" s="69"/>
      <c r="E536" s="69"/>
      <c r="F536" s="69"/>
      <c r="G536" s="69"/>
      <c r="H536" s="55"/>
      <c r="I536" s="44"/>
      <c r="J536" s="44"/>
      <c r="K536" s="19" t="str">
        <f aca="false">IF(H536="","",IF(G536="PYG",IF(N(J536)=0,"FALTA TC",H536/J536),H536))</f>
        <v/>
      </c>
      <c r="L536" s="69"/>
      <c r="M536" s="69"/>
      <c r="N536" s="69"/>
    </row>
    <row r="537" customFormat="false" ht="15" hidden="false" customHeight="false" outlineLevel="0" collapsed="false">
      <c r="A537" s="69"/>
      <c r="B537" s="29"/>
      <c r="C537" s="88"/>
      <c r="D537" s="69"/>
      <c r="E537" s="69"/>
      <c r="F537" s="69"/>
      <c r="G537" s="69"/>
      <c r="H537" s="55"/>
      <c r="I537" s="44"/>
      <c r="J537" s="44"/>
      <c r="K537" s="19" t="str">
        <f aca="false">IF(H537="","",IF(G537="PYG",IF(N(J537)=0,"FALTA TC",H537/J537),H537))</f>
        <v/>
      </c>
      <c r="L537" s="69"/>
      <c r="M537" s="69"/>
      <c r="N537" s="69"/>
    </row>
    <row r="538" customFormat="false" ht="15" hidden="false" customHeight="false" outlineLevel="0" collapsed="false">
      <c r="A538" s="69"/>
      <c r="B538" s="29"/>
      <c r="C538" s="88"/>
      <c r="D538" s="69"/>
      <c r="E538" s="69"/>
      <c r="F538" s="69"/>
      <c r="G538" s="69"/>
      <c r="H538" s="55"/>
      <c r="I538" s="44"/>
      <c r="J538" s="44"/>
      <c r="K538" s="19" t="str">
        <f aca="false">IF(H538="","",IF(G538="PYG",IF(N(J538)=0,"FALTA TC",H538/J538),H538))</f>
        <v/>
      </c>
      <c r="L538" s="69"/>
      <c r="M538" s="69"/>
      <c r="N538" s="69"/>
    </row>
    <row r="539" customFormat="false" ht="15" hidden="false" customHeight="false" outlineLevel="0" collapsed="false">
      <c r="A539" s="69"/>
      <c r="B539" s="29"/>
      <c r="C539" s="88"/>
      <c r="D539" s="69"/>
      <c r="E539" s="69"/>
      <c r="F539" s="69"/>
      <c r="G539" s="69"/>
      <c r="H539" s="55"/>
      <c r="I539" s="44"/>
      <c r="J539" s="44"/>
      <c r="K539" s="19" t="str">
        <f aca="false">IF(H539="","",IF(G539="PYG",IF(N(J539)=0,"FALTA TC",H539/J539),H539))</f>
        <v/>
      </c>
      <c r="L539" s="69"/>
      <c r="M539" s="69"/>
      <c r="N539" s="69"/>
    </row>
    <row r="540" customFormat="false" ht="15" hidden="false" customHeight="false" outlineLevel="0" collapsed="false">
      <c r="A540" s="69"/>
      <c r="B540" s="29"/>
      <c r="C540" s="88"/>
      <c r="D540" s="69"/>
      <c r="E540" s="69"/>
      <c r="F540" s="69"/>
      <c r="G540" s="69"/>
      <c r="H540" s="55"/>
      <c r="I540" s="44"/>
      <c r="J540" s="44"/>
      <c r="K540" s="19" t="str">
        <f aca="false">IF(H540="","",IF(G540="PYG",IF(N(J540)=0,"FALTA TC",H540/J540),H540))</f>
        <v/>
      </c>
      <c r="L540" s="69"/>
      <c r="M540" s="69"/>
      <c r="N540" s="69"/>
    </row>
    <row r="541" customFormat="false" ht="15" hidden="false" customHeight="false" outlineLevel="0" collapsed="false">
      <c r="A541" s="69"/>
      <c r="B541" s="29"/>
      <c r="C541" s="88"/>
      <c r="D541" s="69"/>
      <c r="E541" s="69"/>
      <c r="F541" s="69"/>
      <c r="G541" s="69"/>
      <c r="H541" s="55"/>
      <c r="I541" s="44"/>
      <c r="J541" s="44"/>
      <c r="K541" s="19" t="str">
        <f aca="false">IF(H541="","",IF(G541="PYG",IF(N(J541)=0,"FALTA TC",H541/J541),H541))</f>
        <v/>
      </c>
      <c r="L541" s="69"/>
      <c r="M541" s="69"/>
      <c r="N541" s="69"/>
    </row>
    <row r="542" customFormat="false" ht="15" hidden="false" customHeight="false" outlineLevel="0" collapsed="false">
      <c r="A542" s="69"/>
      <c r="B542" s="29"/>
      <c r="C542" s="88"/>
      <c r="D542" s="69"/>
      <c r="E542" s="69"/>
      <c r="F542" s="69"/>
      <c r="G542" s="69"/>
      <c r="H542" s="55"/>
      <c r="I542" s="44"/>
      <c r="J542" s="44"/>
      <c r="K542" s="19" t="str">
        <f aca="false">IF(H542="","",IF(G542="PYG",IF(N(J542)=0,"FALTA TC",H542/J542),H542))</f>
        <v/>
      </c>
      <c r="L542" s="69"/>
      <c r="M542" s="69"/>
      <c r="N542" s="69"/>
    </row>
    <row r="543" customFormat="false" ht="15" hidden="false" customHeight="false" outlineLevel="0" collapsed="false">
      <c r="A543" s="69"/>
      <c r="B543" s="29"/>
      <c r="C543" s="88"/>
      <c r="D543" s="69"/>
      <c r="E543" s="69"/>
      <c r="F543" s="69"/>
      <c r="G543" s="69"/>
      <c r="H543" s="55"/>
      <c r="I543" s="44"/>
      <c r="J543" s="44"/>
      <c r="K543" s="19" t="str">
        <f aca="false">IF(H543="","",IF(G543="PYG",IF(N(J543)=0,"FALTA TC",H543/J543),H543))</f>
        <v/>
      </c>
      <c r="L543" s="69"/>
      <c r="M543" s="69"/>
      <c r="N543" s="69"/>
    </row>
    <row r="544" customFormat="false" ht="15" hidden="false" customHeight="false" outlineLevel="0" collapsed="false">
      <c r="A544" s="69"/>
      <c r="B544" s="29"/>
      <c r="C544" s="88"/>
      <c r="D544" s="69"/>
      <c r="E544" s="69"/>
      <c r="F544" s="69"/>
      <c r="G544" s="69"/>
      <c r="H544" s="55"/>
      <c r="I544" s="44"/>
      <c r="J544" s="44"/>
      <c r="K544" s="19" t="str">
        <f aca="false">IF(H544="","",IF(G544="PYG",IF(N(J544)=0,"FALTA TC",H544/J544),H544))</f>
        <v/>
      </c>
      <c r="L544" s="69"/>
      <c r="M544" s="69"/>
      <c r="N544" s="69"/>
    </row>
    <row r="545" customFormat="false" ht="15" hidden="false" customHeight="false" outlineLevel="0" collapsed="false">
      <c r="A545" s="69"/>
      <c r="B545" s="29"/>
      <c r="C545" s="88"/>
      <c r="D545" s="69"/>
      <c r="E545" s="69"/>
      <c r="F545" s="69"/>
      <c r="G545" s="69"/>
      <c r="H545" s="55"/>
      <c r="I545" s="44"/>
      <c r="J545" s="44"/>
      <c r="K545" s="19" t="str">
        <f aca="false">IF(H545="","",IF(G545="PYG",IF(N(J545)=0,"FALTA TC",H545/J545),H545))</f>
        <v/>
      </c>
      <c r="L545" s="69"/>
      <c r="M545" s="69"/>
      <c r="N545" s="69"/>
    </row>
    <row r="546" customFormat="false" ht="15" hidden="false" customHeight="false" outlineLevel="0" collapsed="false">
      <c r="A546" s="69"/>
      <c r="B546" s="29"/>
      <c r="C546" s="88"/>
      <c r="D546" s="69"/>
      <c r="E546" s="69"/>
      <c r="F546" s="69"/>
      <c r="G546" s="69"/>
      <c r="H546" s="55"/>
      <c r="I546" s="44"/>
      <c r="J546" s="44"/>
      <c r="K546" s="19" t="str">
        <f aca="false">IF(H546="","",IF(G546="PYG",IF(N(J546)=0,"FALTA TC",H546/J546),H546))</f>
        <v/>
      </c>
      <c r="L546" s="69"/>
      <c r="M546" s="69"/>
      <c r="N546" s="69"/>
    </row>
    <row r="547" customFormat="false" ht="15" hidden="false" customHeight="false" outlineLevel="0" collapsed="false">
      <c r="A547" s="69"/>
      <c r="B547" s="29"/>
      <c r="C547" s="88"/>
      <c r="D547" s="69"/>
      <c r="E547" s="69"/>
      <c r="F547" s="69"/>
      <c r="G547" s="69"/>
      <c r="H547" s="55"/>
      <c r="I547" s="44"/>
      <c r="J547" s="44"/>
      <c r="K547" s="19" t="str">
        <f aca="false">IF(H547="","",IF(G547="PYG",IF(N(J547)=0,"FALTA TC",H547/J547),H547))</f>
        <v/>
      </c>
      <c r="L547" s="69"/>
      <c r="M547" s="69"/>
      <c r="N547" s="69"/>
    </row>
    <row r="548" customFormat="false" ht="15" hidden="false" customHeight="false" outlineLevel="0" collapsed="false">
      <c r="A548" s="69"/>
      <c r="B548" s="29"/>
      <c r="C548" s="88"/>
      <c r="D548" s="69"/>
      <c r="E548" s="69"/>
      <c r="F548" s="69"/>
      <c r="G548" s="69"/>
      <c r="H548" s="55"/>
      <c r="I548" s="44"/>
      <c r="J548" s="44"/>
      <c r="K548" s="19" t="str">
        <f aca="false">IF(H548="","",IF(G548="PYG",IF(N(J548)=0,"FALTA TC",H548/J548),H548))</f>
        <v/>
      </c>
      <c r="L548" s="69"/>
      <c r="M548" s="69"/>
      <c r="N548" s="69"/>
    </row>
    <row r="549" customFormat="false" ht="15" hidden="false" customHeight="false" outlineLevel="0" collapsed="false">
      <c r="A549" s="69"/>
      <c r="B549" s="29"/>
      <c r="C549" s="88"/>
      <c r="D549" s="69"/>
      <c r="E549" s="69"/>
      <c r="F549" s="69"/>
      <c r="G549" s="69"/>
      <c r="H549" s="55"/>
      <c r="I549" s="44"/>
      <c r="J549" s="44"/>
      <c r="K549" s="19" t="str">
        <f aca="false">IF(H549="","",IF(G549="PYG",IF(N(J549)=0,"FALTA TC",H549/J549),H549))</f>
        <v/>
      </c>
      <c r="L549" s="69"/>
      <c r="M549" s="69"/>
      <c r="N549" s="69"/>
    </row>
    <row r="550" customFormat="false" ht="15" hidden="false" customHeight="false" outlineLevel="0" collapsed="false">
      <c r="A550" s="69"/>
      <c r="B550" s="29"/>
      <c r="C550" s="88"/>
      <c r="D550" s="69"/>
      <c r="E550" s="69"/>
      <c r="F550" s="69"/>
      <c r="G550" s="69"/>
      <c r="H550" s="55"/>
      <c r="I550" s="44"/>
      <c r="J550" s="44"/>
      <c r="K550" s="19" t="str">
        <f aca="false">IF(H550="","",IF(G550="PYG",IF(N(J550)=0,"FALTA TC",H550/J550),H550))</f>
        <v/>
      </c>
      <c r="L550" s="69"/>
      <c r="M550" s="69"/>
      <c r="N550" s="69"/>
    </row>
    <row r="551" customFormat="false" ht="15" hidden="false" customHeight="false" outlineLevel="0" collapsed="false">
      <c r="A551" s="69"/>
      <c r="B551" s="29"/>
      <c r="C551" s="88"/>
      <c r="D551" s="69"/>
      <c r="E551" s="69"/>
      <c r="F551" s="69"/>
      <c r="G551" s="69"/>
      <c r="H551" s="55"/>
      <c r="I551" s="44"/>
      <c r="J551" s="44"/>
      <c r="K551" s="19" t="str">
        <f aca="false">IF(H551="","",IF(G551="PYG",IF(N(J551)=0,"FALTA TC",H551/J551),H551))</f>
        <v/>
      </c>
      <c r="L551" s="69"/>
      <c r="M551" s="69"/>
      <c r="N551" s="69"/>
    </row>
    <row r="552" customFormat="false" ht="15" hidden="false" customHeight="false" outlineLevel="0" collapsed="false">
      <c r="A552" s="69"/>
      <c r="B552" s="29"/>
      <c r="C552" s="88"/>
      <c r="D552" s="69"/>
      <c r="E552" s="69"/>
      <c r="F552" s="69"/>
      <c r="G552" s="69"/>
      <c r="H552" s="55"/>
      <c r="I552" s="44"/>
      <c r="J552" s="44"/>
      <c r="K552" s="19" t="str">
        <f aca="false">IF(H552="","",IF(G552="PYG",IF(N(J552)=0,"FALTA TC",H552/J552),H552))</f>
        <v/>
      </c>
      <c r="L552" s="69"/>
      <c r="M552" s="69"/>
      <c r="N552" s="69"/>
    </row>
    <row r="553" customFormat="false" ht="15" hidden="false" customHeight="false" outlineLevel="0" collapsed="false">
      <c r="A553" s="69"/>
      <c r="B553" s="29"/>
      <c r="C553" s="88"/>
      <c r="D553" s="69"/>
      <c r="E553" s="69"/>
      <c r="F553" s="69"/>
      <c r="G553" s="69"/>
      <c r="H553" s="55"/>
      <c r="I553" s="44"/>
      <c r="J553" s="44"/>
      <c r="K553" s="19" t="str">
        <f aca="false">IF(H553="","",IF(G553="PYG",IF(N(J553)=0,"FALTA TC",H553/J553),H553))</f>
        <v/>
      </c>
      <c r="L553" s="69"/>
      <c r="M553" s="69"/>
      <c r="N553" s="69"/>
    </row>
    <row r="554" customFormat="false" ht="15" hidden="false" customHeight="false" outlineLevel="0" collapsed="false">
      <c r="A554" s="69"/>
      <c r="B554" s="29"/>
      <c r="C554" s="88"/>
      <c r="D554" s="69"/>
      <c r="E554" s="69"/>
      <c r="F554" s="69"/>
      <c r="G554" s="69"/>
      <c r="H554" s="55"/>
      <c r="I554" s="44"/>
      <c r="J554" s="44"/>
      <c r="K554" s="19" t="str">
        <f aca="false">IF(H554="","",IF(G554="PYG",IF(N(J554)=0,"FALTA TC",H554/J554),H554))</f>
        <v/>
      </c>
      <c r="L554" s="69"/>
      <c r="M554" s="69"/>
      <c r="N554" s="69"/>
    </row>
    <row r="555" customFormat="false" ht="15" hidden="false" customHeight="false" outlineLevel="0" collapsed="false">
      <c r="A555" s="69"/>
      <c r="B555" s="29"/>
      <c r="C555" s="88"/>
      <c r="D555" s="69"/>
      <c r="E555" s="69"/>
      <c r="F555" s="69"/>
      <c r="G555" s="69"/>
      <c r="H555" s="55"/>
      <c r="I555" s="44"/>
      <c r="J555" s="44"/>
      <c r="K555" s="19" t="str">
        <f aca="false">IF(H555="","",IF(G555="PYG",IF(N(J555)=0,"FALTA TC",H555/J555),H555))</f>
        <v/>
      </c>
      <c r="L555" s="69"/>
      <c r="M555" s="69"/>
      <c r="N555" s="69"/>
    </row>
    <row r="556" customFormat="false" ht="15" hidden="false" customHeight="false" outlineLevel="0" collapsed="false">
      <c r="A556" s="69"/>
      <c r="B556" s="29"/>
      <c r="C556" s="88"/>
      <c r="D556" s="69"/>
      <c r="E556" s="69"/>
      <c r="F556" s="69"/>
      <c r="G556" s="69"/>
      <c r="H556" s="55"/>
      <c r="I556" s="44"/>
      <c r="J556" s="44"/>
      <c r="K556" s="19" t="str">
        <f aca="false">IF(H556="","",IF(G556="PYG",IF(N(J556)=0,"FALTA TC",H556/J556),H556))</f>
        <v/>
      </c>
      <c r="L556" s="69"/>
      <c r="M556" s="69"/>
      <c r="N556" s="69"/>
    </row>
    <row r="557" customFormat="false" ht="15" hidden="false" customHeight="false" outlineLevel="0" collapsed="false">
      <c r="A557" s="69"/>
      <c r="B557" s="29"/>
      <c r="C557" s="88"/>
      <c r="D557" s="69"/>
      <c r="E557" s="69"/>
      <c r="F557" s="69"/>
      <c r="G557" s="69"/>
      <c r="H557" s="55"/>
      <c r="I557" s="44"/>
      <c r="J557" s="44"/>
      <c r="K557" s="19" t="str">
        <f aca="false">IF(H557="","",IF(G557="PYG",IF(N(J557)=0,"FALTA TC",H557/J557),H557))</f>
        <v/>
      </c>
      <c r="L557" s="69"/>
      <c r="M557" s="69"/>
      <c r="N557" s="69"/>
    </row>
    <row r="558" customFormat="false" ht="15" hidden="false" customHeight="false" outlineLevel="0" collapsed="false">
      <c r="A558" s="69"/>
      <c r="B558" s="29"/>
      <c r="C558" s="88"/>
      <c r="D558" s="69"/>
      <c r="E558" s="69"/>
      <c r="F558" s="69"/>
      <c r="G558" s="69"/>
      <c r="H558" s="55"/>
      <c r="I558" s="44"/>
      <c r="J558" s="44"/>
      <c r="K558" s="19" t="str">
        <f aca="false">IF(H558="","",IF(G558="PYG",IF(N(J558)=0,"FALTA TC",H558/J558),H558))</f>
        <v/>
      </c>
      <c r="L558" s="69"/>
      <c r="M558" s="69"/>
      <c r="N558" s="69"/>
    </row>
    <row r="559" customFormat="false" ht="15" hidden="false" customHeight="false" outlineLevel="0" collapsed="false">
      <c r="A559" s="69"/>
      <c r="B559" s="29"/>
      <c r="C559" s="88"/>
      <c r="D559" s="69"/>
      <c r="E559" s="69"/>
      <c r="F559" s="69"/>
      <c r="G559" s="69"/>
      <c r="H559" s="55"/>
      <c r="I559" s="44"/>
      <c r="J559" s="44"/>
      <c r="K559" s="19" t="str">
        <f aca="false">IF(H559="","",IF(G559="PYG",IF(N(J559)=0,"FALTA TC",H559/J559),H559))</f>
        <v/>
      </c>
      <c r="L559" s="69"/>
      <c r="M559" s="69"/>
      <c r="N559" s="69"/>
    </row>
    <row r="560" customFormat="false" ht="15" hidden="false" customHeight="false" outlineLevel="0" collapsed="false">
      <c r="A560" s="69"/>
      <c r="B560" s="29"/>
      <c r="C560" s="88"/>
      <c r="D560" s="69"/>
      <c r="E560" s="69"/>
      <c r="F560" s="69"/>
      <c r="G560" s="69"/>
      <c r="H560" s="55"/>
      <c r="I560" s="44"/>
      <c r="J560" s="44"/>
      <c r="K560" s="19" t="str">
        <f aca="false">IF(H560="","",IF(G560="PYG",IF(N(J560)=0,"FALTA TC",H560/J560),H560))</f>
        <v/>
      </c>
      <c r="L560" s="69"/>
      <c r="M560" s="69"/>
      <c r="N560" s="69"/>
    </row>
    <row r="561" customFormat="false" ht="15" hidden="false" customHeight="false" outlineLevel="0" collapsed="false">
      <c r="A561" s="69"/>
      <c r="B561" s="29"/>
      <c r="C561" s="88"/>
      <c r="D561" s="69"/>
      <c r="E561" s="69"/>
      <c r="F561" s="69"/>
      <c r="G561" s="69"/>
      <c r="H561" s="55"/>
      <c r="I561" s="44"/>
      <c r="J561" s="44"/>
      <c r="K561" s="19" t="str">
        <f aca="false">IF(H561="","",IF(G561="PYG",IF(N(J561)=0,"FALTA TC",H561/J561),H561))</f>
        <v/>
      </c>
      <c r="L561" s="69"/>
      <c r="M561" s="69"/>
      <c r="N561" s="69"/>
    </row>
    <row r="562" customFormat="false" ht="15" hidden="false" customHeight="false" outlineLevel="0" collapsed="false">
      <c r="A562" s="69"/>
      <c r="B562" s="29"/>
      <c r="C562" s="88"/>
      <c r="D562" s="69"/>
      <c r="E562" s="69"/>
      <c r="F562" s="69"/>
      <c r="G562" s="69"/>
      <c r="H562" s="55"/>
      <c r="I562" s="44"/>
      <c r="J562" s="44"/>
      <c r="K562" s="19" t="str">
        <f aca="false">IF(H562="","",IF(G562="PYG",IF(N(J562)=0,"FALTA TC",H562/J562),H562))</f>
        <v/>
      </c>
      <c r="L562" s="69"/>
      <c r="M562" s="69"/>
      <c r="N562" s="69"/>
    </row>
    <row r="563" customFormat="false" ht="15" hidden="false" customHeight="false" outlineLevel="0" collapsed="false">
      <c r="A563" s="69"/>
      <c r="B563" s="29"/>
      <c r="C563" s="88"/>
      <c r="D563" s="69"/>
      <c r="E563" s="69"/>
      <c r="F563" s="69"/>
      <c r="G563" s="69"/>
      <c r="H563" s="55"/>
      <c r="I563" s="44"/>
      <c r="J563" s="44"/>
      <c r="K563" s="19" t="str">
        <f aca="false">IF(H563="","",IF(G563="PYG",IF(N(J563)=0,"FALTA TC",H563/J563),H563))</f>
        <v/>
      </c>
      <c r="L563" s="69"/>
      <c r="M563" s="69"/>
      <c r="N563" s="69"/>
    </row>
    <row r="564" customFormat="false" ht="15" hidden="false" customHeight="false" outlineLevel="0" collapsed="false">
      <c r="A564" s="69"/>
      <c r="B564" s="29"/>
      <c r="C564" s="88"/>
      <c r="D564" s="69"/>
      <c r="E564" s="69"/>
      <c r="F564" s="69"/>
      <c r="G564" s="69"/>
      <c r="H564" s="55"/>
      <c r="I564" s="44"/>
      <c r="J564" s="44"/>
      <c r="K564" s="19" t="str">
        <f aca="false">IF(H564="","",IF(G564="PYG",IF(N(J564)=0,"FALTA TC",H564/J564),H564))</f>
        <v/>
      </c>
      <c r="L564" s="69"/>
      <c r="M564" s="69"/>
      <c r="N564" s="69"/>
    </row>
    <row r="565" customFormat="false" ht="15" hidden="false" customHeight="false" outlineLevel="0" collapsed="false">
      <c r="A565" s="69"/>
      <c r="B565" s="29"/>
      <c r="C565" s="88"/>
      <c r="D565" s="69"/>
      <c r="E565" s="69"/>
      <c r="F565" s="69"/>
      <c r="G565" s="69"/>
      <c r="H565" s="55"/>
      <c r="I565" s="44"/>
      <c r="J565" s="44"/>
      <c r="K565" s="19" t="str">
        <f aca="false">IF(H565="","",IF(G565="PYG",IF(N(J565)=0,"FALTA TC",H565/J565),H565))</f>
        <v/>
      </c>
      <c r="L565" s="69"/>
      <c r="M565" s="69"/>
      <c r="N565" s="69"/>
    </row>
    <row r="566" customFormat="false" ht="15" hidden="false" customHeight="false" outlineLevel="0" collapsed="false">
      <c r="A566" s="69"/>
      <c r="B566" s="29"/>
      <c r="C566" s="88"/>
      <c r="D566" s="69"/>
      <c r="E566" s="69"/>
      <c r="F566" s="69"/>
      <c r="G566" s="69"/>
      <c r="H566" s="55"/>
      <c r="I566" s="44"/>
      <c r="J566" s="44"/>
      <c r="K566" s="19" t="str">
        <f aca="false">IF(H566="","",IF(G566="PYG",IF(N(J566)=0,"FALTA TC",H566/J566),H566))</f>
        <v/>
      </c>
      <c r="L566" s="69"/>
      <c r="M566" s="69"/>
      <c r="N566" s="69"/>
    </row>
    <row r="567" customFormat="false" ht="15" hidden="false" customHeight="false" outlineLevel="0" collapsed="false">
      <c r="A567" s="69"/>
      <c r="B567" s="29"/>
      <c r="C567" s="88"/>
      <c r="D567" s="69"/>
      <c r="E567" s="69"/>
      <c r="F567" s="69"/>
      <c r="G567" s="69"/>
      <c r="H567" s="55"/>
      <c r="I567" s="44"/>
      <c r="J567" s="44"/>
      <c r="K567" s="19" t="str">
        <f aca="false">IF(H567="","",IF(G567="PYG",IF(N(J567)=0,"FALTA TC",H567/J567),H567))</f>
        <v/>
      </c>
      <c r="L567" s="69"/>
      <c r="M567" s="69"/>
      <c r="N567" s="69"/>
    </row>
    <row r="568" customFormat="false" ht="15" hidden="false" customHeight="false" outlineLevel="0" collapsed="false">
      <c r="A568" s="69"/>
      <c r="B568" s="29"/>
      <c r="C568" s="88"/>
      <c r="D568" s="69"/>
      <c r="E568" s="69"/>
      <c r="F568" s="69"/>
      <c r="G568" s="69"/>
      <c r="H568" s="55"/>
      <c r="I568" s="44"/>
      <c r="J568" s="44"/>
      <c r="K568" s="19" t="str">
        <f aca="false">IF(H568="","",IF(G568="PYG",IF(N(J568)=0,"FALTA TC",H568/J568),H568))</f>
        <v/>
      </c>
      <c r="L568" s="69"/>
      <c r="M568" s="69"/>
      <c r="N568" s="69"/>
    </row>
    <row r="569" customFormat="false" ht="15" hidden="false" customHeight="false" outlineLevel="0" collapsed="false">
      <c r="A569" s="69"/>
      <c r="B569" s="29"/>
      <c r="C569" s="88"/>
      <c r="D569" s="69"/>
      <c r="E569" s="69"/>
      <c r="F569" s="69"/>
      <c r="G569" s="69"/>
      <c r="H569" s="55"/>
      <c r="I569" s="44"/>
      <c r="J569" s="44"/>
      <c r="K569" s="19" t="str">
        <f aca="false">IF(H569="","",IF(G569="PYG",IF(N(J569)=0,"FALTA TC",H569/J569),H569))</f>
        <v/>
      </c>
      <c r="L569" s="69"/>
      <c r="M569" s="69"/>
      <c r="N569" s="69"/>
    </row>
    <row r="570" customFormat="false" ht="15" hidden="false" customHeight="false" outlineLevel="0" collapsed="false">
      <c r="A570" s="69"/>
      <c r="B570" s="29"/>
      <c r="C570" s="88"/>
      <c r="D570" s="69"/>
      <c r="E570" s="69"/>
      <c r="F570" s="69"/>
      <c r="G570" s="69"/>
      <c r="H570" s="55"/>
      <c r="I570" s="44"/>
      <c r="J570" s="44"/>
      <c r="K570" s="19" t="str">
        <f aca="false">IF(H570="","",IF(G570="PYG",IF(N(J570)=0,"FALTA TC",H570/J570),H570))</f>
        <v/>
      </c>
      <c r="L570" s="69"/>
      <c r="M570" s="69"/>
      <c r="N570" s="69"/>
    </row>
    <row r="571" customFormat="false" ht="15" hidden="false" customHeight="false" outlineLevel="0" collapsed="false">
      <c r="A571" s="69"/>
      <c r="B571" s="29"/>
      <c r="C571" s="88"/>
      <c r="D571" s="69"/>
      <c r="E571" s="69"/>
      <c r="F571" s="69"/>
      <c r="G571" s="69"/>
      <c r="H571" s="55"/>
      <c r="I571" s="44"/>
      <c r="J571" s="44"/>
      <c r="K571" s="19" t="str">
        <f aca="false">IF(H571="","",IF(G571="PYG",IF(N(J571)=0,"FALTA TC",H571/J571),H571))</f>
        <v/>
      </c>
      <c r="L571" s="69"/>
      <c r="M571" s="69"/>
      <c r="N571" s="69"/>
    </row>
    <row r="572" customFormat="false" ht="15" hidden="false" customHeight="false" outlineLevel="0" collapsed="false">
      <c r="A572" s="69"/>
      <c r="B572" s="29"/>
      <c r="C572" s="88"/>
      <c r="D572" s="69"/>
      <c r="E572" s="69"/>
      <c r="F572" s="69"/>
      <c r="G572" s="69"/>
      <c r="H572" s="55"/>
      <c r="I572" s="44"/>
      <c r="J572" s="44"/>
      <c r="K572" s="19" t="str">
        <f aca="false">IF(H572="","",IF(G572="PYG",IF(N(J572)=0,"FALTA TC",H572/J572),H572))</f>
        <v/>
      </c>
      <c r="L572" s="69"/>
      <c r="M572" s="69"/>
      <c r="N572" s="69"/>
    </row>
    <row r="573" customFormat="false" ht="15" hidden="false" customHeight="false" outlineLevel="0" collapsed="false">
      <c r="A573" s="69"/>
      <c r="B573" s="29"/>
      <c r="C573" s="88"/>
      <c r="D573" s="69"/>
      <c r="E573" s="69"/>
      <c r="F573" s="69"/>
      <c r="G573" s="69"/>
      <c r="H573" s="55"/>
      <c r="I573" s="44"/>
      <c r="J573" s="44"/>
      <c r="K573" s="19" t="str">
        <f aca="false">IF(H573="","",IF(G573="PYG",IF(N(J573)=0,"FALTA TC",H573/J573),H573))</f>
        <v/>
      </c>
      <c r="L573" s="69"/>
      <c r="M573" s="69"/>
      <c r="N573" s="69"/>
    </row>
    <row r="574" customFormat="false" ht="15" hidden="false" customHeight="false" outlineLevel="0" collapsed="false">
      <c r="A574" s="69"/>
      <c r="B574" s="29"/>
      <c r="C574" s="88"/>
      <c r="D574" s="69"/>
      <c r="E574" s="69"/>
      <c r="F574" s="69"/>
      <c r="G574" s="69"/>
      <c r="H574" s="55"/>
      <c r="I574" s="44"/>
      <c r="J574" s="44"/>
      <c r="K574" s="19" t="str">
        <f aca="false">IF(H574="","",IF(G574="PYG",IF(N(J574)=0,"FALTA TC",H574/J574),H574))</f>
        <v/>
      </c>
      <c r="L574" s="69"/>
      <c r="M574" s="69"/>
      <c r="N574" s="69"/>
    </row>
    <row r="575" customFormat="false" ht="15" hidden="false" customHeight="false" outlineLevel="0" collapsed="false">
      <c r="A575" s="69"/>
      <c r="B575" s="29"/>
      <c r="C575" s="88"/>
      <c r="D575" s="69"/>
      <c r="E575" s="69"/>
      <c r="F575" s="69"/>
      <c r="G575" s="69"/>
      <c r="H575" s="55"/>
      <c r="I575" s="44"/>
      <c r="J575" s="44"/>
      <c r="K575" s="19" t="str">
        <f aca="false">IF(H575="","",IF(G575="PYG",IF(N(J575)=0,"FALTA TC",H575/J575),H575))</f>
        <v/>
      </c>
      <c r="L575" s="69"/>
      <c r="M575" s="69"/>
      <c r="N575" s="69"/>
    </row>
    <row r="576" customFormat="false" ht="15" hidden="false" customHeight="false" outlineLevel="0" collapsed="false">
      <c r="A576" s="69"/>
      <c r="B576" s="29"/>
      <c r="C576" s="88"/>
      <c r="D576" s="69"/>
      <c r="E576" s="69"/>
      <c r="F576" s="69"/>
      <c r="G576" s="69"/>
      <c r="H576" s="55"/>
      <c r="I576" s="44"/>
      <c r="J576" s="44"/>
      <c r="K576" s="19" t="str">
        <f aca="false">IF(H576="","",IF(G576="PYG",IF(N(J576)=0,"FALTA TC",H576/J576),H576))</f>
        <v/>
      </c>
      <c r="L576" s="69"/>
      <c r="M576" s="69"/>
      <c r="N576" s="69"/>
    </row>
    <row r="577" customFormat="false" ht="15" hidden="false" customHeight="false" outlineLevel="0" collapsed="false">
      <c r="A577" s="69"/>
      <c r="B577" s="29"/>
      <c r="C577" s="88"/>
      <c r="D577" s="69"/>
      <c r="E577" s="69"/>
      <c r="F577" s="69"/>
      <c r="G577" s="69"/>
      <c r="H577" s="55"/>
      <c r="I577" s="44"/>
      <c r="J577" s="44"/>
      <c r="K577" s="19" t="str">
        <f aca="false">IF(H577="","",IF(G577="PYG",IF(N(J577)=0,"FALTA TC",H577/J577),H577))</f>
        <v/>
      </c>
      <c r="L577" s="69"/>
      <c r="M577" s="69"/>
      <c r="N577" s="69"/>
    </row>
    <row r="578" customFormat="false" ht="15" hidden="false" customHeight="false" outlineLevel="0" collapsed="false">
      <c r="A578" s="69"/>
      <c r="B578" s="29"/>
      <c r="C578" s="88"/>
      <c r="D578" s="69"/>
      <c r="E578" s="69"/>
      <c r="F578" s="69"/>
      <c r="G578" s="69"/>
      <c r="H578" s="55"/>
      <c r="I578" s="44"/>
      <c r="J578" s="44"/>
      <c r="K578" s="19" t="str">
        <f aca="false">IF(H578="","",IF(G578="PYG",IF(N(J578)=0,"FALTA TC",H578/J578),H578))</f>
        <v/>
      </c>
      <c r="L578" s="69"/>
      <c r="M578" s="69"/>
      <c r="N578" s="69"/>
    </row>
    <row r="579" customFormat="false" ht="15" hidden="false" customHeight="false" outlineLevel="0" collapsed="false">
      <c r="A579" s="69"/>
      <c r="B579" s="29"/>
      <c r="C579" s="88"/>
      <c r="D579" s="69"/>
      <c r="E579" s="69"/>
      <c r="F579" s="69"/>
      <c r="G579" s="69"/>
      <c r="H579" s="55"/>
      <c r="I579" s="44"/>
      <c r="J579" s="44"/>
      <c r="K579" s="19" t="str">
        <f aca="false">IF(H579="","",IF(G579="PYG",IF(N(J579)=0,"FALTA TC",H579/J579),H579))</f>
        <v/>
      </c>
      <c r="L579" s="69"/>
      <c r="M579" s="69"/>
      <c r="N579" s="69"/>
    </row>
    <row r="580" customFormat="false" ht="15" hidden="false" customHeight="false" outlineLevel="0" collapsed="false">
      <c r="A580" s="69"/>
      <c r="B580" s="29"/>
      <c r="C580" s="88"/>
      <c r="D580" s="69"/>
      <c r="E580" s="69"/>
      <c r="F580" s="69"/>
      <c r="G580" s="69"/>
      <c r="H580" s="55"/>
      <c r="I580" s="44"/>
      <c r="J580" s="44"/>
      <c r="K580" s="19" t="str">
        <f aca="false">IF(H580="","",IF(G580="PYG",IF(N(J580)=0,"FALTA TC",H580/J580),H580))</f>
        <v/>
      </c>
      <c r="L580" s="69"/>
      <c r="M580" s="69"/>
      <c r="N580" s="69"/>
    </row>
    <row r="581" customFormat="false" ht="15" hidden="false" customHeight="false" outlineLevel="0" collapsed="false">
      <c r="A581" s="69"/>
      <c r="B581" s="29"/>
      <c r="C581" s="88"/>
      <c r="D581" s="69"/>
      <c r="E581" s="69"/>
      <c r="F581" s="69"/>
      <c r="G581" s="69"/>
      <c r="H581" s="55"/>
      <c r="I581" s="44"/>
      <c r="J581" s="44"/>
      <c r="K581" s="19" t="str">
        <f aca="false">IF(H581="","",IF(G581="PYG",IF(N(J581)=0,"FALTA TC",H581/J581),H581))</f>
        <v/>
      </c>
      <c r="L581" s="69"/>
      <c r="M581" s="69"/>
      <c r="N581" s="69"/>
    </row>
    <row r="582" customFormat="false" ht="15" hidden="false" customHeight="false" outlineLevel="0" collapsed="false">
      <c r="A582" s="69"/>
      <c r="B582" s="29"/>
      <c r="C582" s="88"/>
      <c r="D582" s="69"/>
      <c r="E582" s="69"/>
      <c r="F582" s="69"/>
      <c r="G582" s="69"/>
      <c r="H582" s="55"/>
      <c r="I582" s="44"/>
      <c r="J582" s="44"/>
      <c r="K582" s="19" t="str">
        <f aca="false">IF(H582="","",IF(G582="PYG",IF(N(J582)=0,"FALTA TC",H582/J582),H582))</f>
        <v/>
      </c>
      <c r="L582" s="69"/>
      <c r="M582" s="69"/>
      <c r="N582" s="69"/>
    </row>
    <row r="583" customFormat="false" ht="15" hidden="false" customHeight="false" outlineLevel="0" collapsed="false">
      <c r="A583" s="69"/>
      <c r="B583" s="29"/>
      <c r="C583" s="88"/>
      <c r="D583" s="69"/>
      <c r="E583" s="69"/>
      <c r="F583" s="69"/>
      <c r="G583" s="69"/>
      <c r="H583" s="55"/>
      <c r="I583" s="44"/>
      <c r="J583" s="44"/>
      <c r="K583" s="19" t="str">
        <f aca="false">IF(H583="","",IF(G583="PYG",IF(N(J583)=0,"FALTA TC",H583/J583),H583))</f>
        <v/>
      </c>
      <c r="L583" s="69"/>
      <c r="M583" s="69"/>
      <c r="N583" s="69"/>
    </row>
    <row r="584" customFormat="false" ht="15" hidden="false" customHeight="false" outlineLevel="0" collapsed="false">
      <c r="A584" s="69"/>
      <c r="B584" s="29"/>
      <c r="C584" s="88"/>
      <c r="D584" s="69"/>
      <c r="E584" s="69"/>
      <c r="F584" s="69"/>
      <c r="G584" s="69"/>
      <c r="H584" s="55"/>
      <c r="I584" s="44"/>
      <c r="J584" s="44"/>
      <c r="K584" s="19" t="str">
        <f aca="false">IF(H584="","",IF(G584="PYG",IF(N(J584)=0,"FALTA TC",H584/J584),H584))</f>
        <v/>
      </c>
      <c r="L584" s="69"/>
      <c r="M584" s="69"/>
      <c r="N584" s="69"/>
    </row>
    <row r="585" customFormat="false" ht="15" hidden="false" customHeight="false" outlineLevel="0" collapsed="false">
      <c r="A585" s="69"/>
      <c r="B585" s="29"/>
      <c r="C585" s="88"/>
      <c r="D585" s="69"/>
      <c r="E585" s="69"/>
      <c r="F585" s="69"/>
      <c r="G585" s="69"/>
      <c r="H585" s="55"/>
      <c r="I585" s="44"/>
      <c r="J585" s="44"/>
      <c r="K585" s="19" t="str">
        <f aca="false">IF(H585="","",IF(G585="PYG",IF(N(J585)=0,"FALTA TC",H585/J585),H585))</f>
        <v/>
      </c>
      <c r="L585" s="69"/>
      <c r="M585" s="69"/>
      <c r="N585" s="69"/>
    </row>
    <row r="586" customFormat="false" ht="15" hidden="false" customHeight="false" outlineLevel="0" collapsed="false">
      <c r="A586" s="69"/>
      <c r="B586" s="29"/>
      <c r="C586" s="88"/>
      <c r="D586" s="69"/>
      <c r="E586" s="69"/>
      <c r="F586" s="69"/>
      <c r="G586" s="69"/>
      <c r="H586" s="55"/>
      <c r="I586" s="44"/>
      <c r="J586" s="44"/>
      <c r="K586" s="19" t="str">
        <f aca="false">IF(H586="","",IF(G586="PYG",IF(N(J586)=0,"FALTA TC",H586/J586),H586))</f>
        <v/>
      </c>
      <c r="L586" s="69"/>
      <c r="M586" s="69"/>
      <c r="N586" s="69"/>
    </row>
    <row r="587" customFormat="false" ht="15" hidden="false" customHeight="false" outlineLevel="0" collapsed="false">
      <c r="A587" s="69"/>
      <c r="B587" s="29"/>
      <c r="C587" s="88"/>
      <c r="D587" s="69"/>
      <c r="E587" s="69"/>
      <c r="F587" s="69"/>
      <c r="G587" s="69"/>
      <c r="H587" s="55"/>
      <c r="I587" s="44"/>
      <c r="J587" s="44"/>
      <c r="K587" s="19" t="str">
        <f aca="false">IF(H587="","",IF(G587="PYG",IF(N(J587)=0,"FALTA TC",H587/J587),H587))</f>
        <v/>
      </c>
      <c r="L587" s="69"/>
      <c r="M587" s="69"/>
      <c r="N587" s="69"/>
    </row>
    <row r="588" customFormat="false" ht="15" hidden="false" customHeight="false" outlineLevel="0" collapsed="false">
      <c r="A588" s="69"/>
      <c r="B588" s="29"/>
      <c r="C588" s="88"/>
      <c r="D588" s="69"/>
      <c r="E588" s="69"/>
      <c r="F588" s="69"/>
      <c r="G588" s="69"/>
      <c r="H588" s="55"/>
      <c r="I588" s="44"/>
      <c r="J588" s="44"/>
      <c r="K588" s="19" t="str">
        <f aca="false">IF(H588="","",IF(G588="PYG",IF(N(J588)=0,"FALTA TC",H588/J588),H588))</f>
        <v/>
      </c>
      <c r="L588" s="69"/>
      <c r="M588" s="69"/>
      <c r="N588" s="69"/>
    </row>
    <row r="589" customFormat="false" ht="15" hidden="false" customHeight="false" outlineLevel="0" collapsed="false">
      <c r="A589" s="69"/>
      <c r="B589" s="29"/>
      <c r="C589" s="88"/>
      <c r="D589" s="69"/>
      <c r="E589" s="69"/>
      <c r="F589" s="69"/>
      <c r="G589" s="69"/>
      <c r="H589" s="55"/>
      <c r="I589" s="44"/>
      <c r="J589" s="44"/>
      <c r="K589" s="19" t="str">
        <f aca="false">IF(H589="","",IF(G589="PYG",IF(N(J589)=0,"FALTA TC",H589/J589),H589))</f>
        <v/>
      </c>
      <c r="L589" s="69"/>
      <c r="M589" s="69"/>
      <c r="N589" s="69"/>
    </row>
    <row r="590" customFormat="false" ht="15" hidden="false" customHeight="false" outlineLevel="0" collapsed="false">
      <c r="A590" s="69"/>
      <c r="B590" s="29"/>
      <c r="C590" s="88"/>
      <c r="D590" s="69"/>
      <c r="E590" s="69"/>
      <c r="F590" s="69"/>
      <c r="G590" s="69"/>
      <c r="H590" s="55"/>
      <c r="I590" s="44"/>
      <c r="J590" s="44"/>
      <c r="K590" s="19" t="str">
        <f aca="false">IF(H590="","",IF(G590="PYG",IF(N(J590)=0,"FALTA TC",H590/J590),H590))</f>
        <v/>
      </c>
      <c r="L590" s="69"/>
      <c r="M590" s="69"/>
      <c r="N590" s="69"/>
    </row>
    <row r="591" customFormat="false" ht="15" hidden="false" customHeight="false" outlineLevel="0" collapsed="false">
      <c r="A591" s="69"/>
      <c r="B591" s="29"/>
      <c r="C591" s="88"/>
      <c r="D591" s="69"/>
      <c r="E591" s="69"/>
      <c r="F591" s="69"/>
      <c r="G591" s="69"/>
      <c r="H591" s="55"/>
      <c r="I591" s="44"/>
      <c r="J591" s="44"/>
      <c r="K591" s="19" t="str">
        <f aca="false">IF(H591="","",IF(G591="PYG",IF(N(J591)=0,"FALTA TC",H591/J591),H591))</f>
        <v/>
      </c>
      <c r="L591" s="69"/>
      <c r="M591" s="69"/>
      <c r="N591" s="69"/>
    </row>
    <row r="592" customFormat="false" ht="15" hidden="false" customHeight="false" outlineLevel="0" collapsed="false">
      <c r="A592" s="69"/>
      <c r="B592" s="29"/>
      <c r="C592" s="88"/>
      <c r="D592" s="69"/>
      <c r="E592" s="69"/>
      <c r="F592" s="69"/>
      <c r="G592" s="69"/>
      <c r="H592" s="55"/>
      <c r="I592" s="44"/>
      <c r="J592" s="44"/>
      <c r="K592" s="19" t="str">
        <f aca="false">IF(H592="","",IF(G592="PYG",IF(N(J592)=0,"FALTA TC",H592/J592),H592))</f>
        <v/>
      </c>
      <c r="L592" s="69"/>
      <c r="M592" s="69"/>
      <c r="N592" s="69"/>
    </row>
    <row r="593" customFormat="false" ht="15" hidden="false" customHeight="false" outlineLevel="0" collapsed="false">
      <c r="A593" s="69"/>
      <c r="B593" s="29"/>
      <c r="C593" s="88"/>
      <c r="D593" s="69"/>
      <c r="E593" s="69"/>
      <c r="F593" s="69"/>
      <c r="G593" s="69"/>
      <c r="H593" s="55"/>
      <c r="I593" s="44"/>
      <c r="J593" s="44"/>
      <c r="K593" s="19" t="str">
        <f aca="false">IF(H593="","",IF(G593="PYG",IF(N(J593)=0,"FALTA TC",H593/J593),H593))</f>
        <v/>
      </c>
      <c r="L593" s="69"/>
      <c r="M593" s="69"/>
      <c r="N593" s="69"/>
    </row>
    <row r="594" customFormat="false" ht="15" hidden="false" customHeight="false" outlineLevel="0" collapsed="false">
      <c r="A594" s="69"/>
      <c r="B594" s="29"/>
      <c r="C594" s="88"/>
      <c r="D594" s="69"/>
      <c r="E594" s="69"/>
      <c r="F594" s="69"/>
      <c r="G594" s="69"/>
      <c r="H594" s="55"/>
      <c r="I594" s="44"/>
      <c r="J594" s="44"/>
      <c r="K594" s="19" t="str">
        <f aca="false">IF(H594="","",IF(G594="PYG",IF(N(J594)=0,"FALTA TC",H594/J594),H594))</f>
        <v/>
      </c>
      <c r="L594" s="69"/>
      <c r="M594" s="69"/>
      <c r="N594" s="69"/>
    </row>
    <row r="595" customFormat="false" ht="15" hidden="false" customHeight="false" outlineLevel="0" collapsed="false">
      <c r="A595" s="69"/>
      <c r="B595" s="29"/>
      <c r="C595" s="88"/>
      <c r="D595" s="69"/>
      <c r="E595" s="69"/>
      <c r="F595" s="69"/>
      <c r="G595" s="69"/>
      <c r="H595" s="55"/>
      <c r="I595" s="44"/>
      <c r="J595" s="44"/>
      <c r="K595" s="19" t="str">
        <f aca="false">IF(H595="","",IF(G595="PYG",IF(N(J595)=0,"FALTA TC",H595/J595),H595))</f>
        <v/>
      </c>
      <c r="L595" s="69"/>
      <c r="M595" s="69"/>
      <c r="N595" s="69"/>
    </row>
    <row r="596" customFormat="false" ht="15" hidden="false" customHeight="false" outlineLevel="0" collapsed="false">
      <c r="A596" s="69"/>
      <c r="B596" s="29"/>
      <c r="C596" s="88"/>
      <c r="D596" s="69"/>
      <c r="E596" s="69"/>
      <c r="F596" s="69"/>
      <c r="G596" s="69"/>
      <c r="H596" s="55"/>
      <c r="I596" s="44"/>
      <c r="J596" s="44"/>
      <c r="K596" s="19" t="str">
        <f aca="false">IF(H596="","",IF(G596="PYG",IF(N(J596)=0,"FALTA TC",H596/J596),H596))</f>
        <v/>
      </c>
      <c r="L596" s="69"/>
      <c r="M596" s="69"/>
      <c r="N596" s="69"/>
    </row>
    <row r="597" customFormat="false" ht="15" hidden="false" customHeight="false" outlineLevel="0" collapsed="false">
      <c r="A597" s="69"/>
      <c r="B597" s="29"/>
      <c r="C597" s="88"/>
      <c r="D597" s="69"/>
      <c r="E597" s="69"/>
      <c r="F597" s="69"/>
      <c r="G597" s="69"/>
      <c r="H597" s="55"/>
      <c r="I597" s="44"/>
      <c r="J597" s="44"/>
      <c r="K597" s="19" t="str">
        <f aca="false">IF(H597="","",IF(G597="PYG",IF(N(J597)=0,"FALTA TC",H597/J597),H597))</f>
        <v/>
      </c>
      <c r="L597" s="69"/>
      <c r="M597" s="69"/>
      <c r="N597" s="69"/>
    </row>
    <row r="598" customFormat="false" ht="15" hidden="false" customHeight="false" outlineLevel="0" collapsed="false">
      <c r="A598" s="69"/>
      <c r="B598" s="29"/>
      <c r="C598" s="88"/>
      <c r="D598" s="69"/>
      <c r="E598" s="69"/>
      <c r="F598" s="69"/>
      <c r="G598" s="69"/>
      <c r="H598" s="55"/>
      <c r="I598" s="44"/>
      <c r="J598" s="44"/>
      <c r="K598" s="19" t="str">
        <f aca="false">IF(H598="","",IF(G598="PYG",IF(N(J598)=0,"FALTA TC",H598/J598),H598))</f>
        <v/>
      </c>
      <c r="L598" s="69"/>
      <c r="M598" s="69"/>
      <c r="N598" s="69"/>
    </row>
    <row r="599" customFormat="false" ht="15" hidden="false" customHeight="false" outlineLevel="0" collapsed="false">
      <c r="A599" s="69"/>
      <c r="B599" s="29"/>
      <c r="C599" s="88"/>
      <c r="D599" s="69"/>
      <c r="E599" s="69"/>
      <c r="F599" s="69"/>
      <c r="G599" s="69"/>
      <c r="H599" s="55"/>
      <c r="I599" s="44"/>
      <c r="J599" s="44"/>
      <c r="K599" s="19" t="str">
        <f aca="false">IF(H599="","",IF(G599="PYG",IF(N(J599)=0,"FALTA TC",H599/J599),H599))</f>
        <v/>
      </c>
      <c r="L599" s="69"/>
      <c r="M599" s="69"/>
      <c r="N599" s="69"/>
    </row>
    <row r="600" customFormat="false" ht="15" hidden="false" customHeight="false" outlineLevel="0" collapsed="false">
      <c r="A600" s="69"/>
      <c r="B600" s="29"/>
      <c r="C600" s="88"/>
      <c r="D600" s="69"/>
      <c r="E600" s="69"/>
      <c r="F600" s="69"/>
      <c r="G600" s="69"/>
      <c r="H600" s="55"/>
      <c r="I600" s="44"/>
      <c r="J600" s="44"/>
      <c r="K600" s="19" t="str">
        <f aca="false">IF(H600="","",IF(G600="PYG",IF(N(J600)=0,"FALTA TC",H600/J600),H600))</f>
        <v/>
      </c>
      <c r="L600" s="69"/>
      <c r="M600" s="69"/>
      <c r="N600" s="69"/>
    </row>
    <row r="601" customFormat="false" ht="15" hidden="false" customHeight="false" outlineLevel="0" collapsed="false">
      <c r="A601" s="69"/>
      <c r="B601" s="29"/>
      <c r="C601" s="88"/>
      <c r="D601" s="69"/>
      <c r="E601" s="69"/>
      <c r="F601" s="69"/>
      <c r="G601" s="69"/>
      <c r="H601" s="55"/>
      <c r="I601" s="44"/>
      <c r="J601" s="44"/>
      <c r="K601" s="19" t="str">
        <f aca="false">IF(H601="","",IF(G601="PYG",IF(N(J601)=0,"FALTA TC",H601/J601),H601))</f>
        <v/>
      </c>
      <c r="L601" s="69"/>
      <c r="M601" s="69"/>
      <c r="N601" s="69"/>
    </row>
    <row r="602" customFormat="false" ht="15" hidden="false" customHeight="false" outlineLevel="0" collapsed="false">
      <c r="A602" s="69"/>
      <c r="B602" s="29"/>
      <c r="C602" s="88"/>
      <c r="D602" s="69"/>
      <c r="E602" s="69"/>
      <c r="F602" s="69"/>
      <c r="G602" s="69"/>
      <c r="H602" s="55"/>
      <c r="I602" s="44"/>
      <c r="J602" s="44"/>
      <c r="K602" s="19" t="str">
        <f aca="false">IF(H602="","",IF(G602="PYG",IF(N(J602)=0,"FALTA TC",H602/J602),H602))</f>
        <v/>
      </c>
      <c r="L602" s="69"/>
      <c r="M602" s="69"/>
      <c r="N602" s="69"/>
    </row>
    <row r="603" customFormat="false" ht="15" hidden="false" customHeight="false" outlineLevel="0" collapsed="false">
      <c r="A603" s="69"/>
      <c r="B603" s="29"/>
      <c r="C603" s="88"/>
      <c r="D603" s="69"/>
      <c r="E603" s="69"/>
      <c r="F603" s="69"/>
      <c r="G603" s="69"/>
      <c r="H603" s="55"/>
      <c r="I603" s="44"/>
      <c r="J603" s="44"/>
      <c r="K603" s="19" t="str">
        <f aca="false">IF(H603="","",IF(G603="PYG",IF(N(J603)=0,"FALTA TC",H603/J603),H603))</f>
        <v/>
      </c>
      <c r="L603" s="69"/>
      <c r="M603" s="69"/>
      <c r="N603" s="69"/>
    </row>
    <row r="604" customFormat="false" ht="15" hidden="false" customHeight="false" outlineLevel="0" collapsed="false">
      <c r="A604" s="69"/>
      <c r="B604" s="29"/>
      <c r="C604" s="88"/>
      <c r="D604" s="69"/>
      <c r="E604" s="69"/>
      <c r="F604" s="69"/>
      <c r="G604" s="69"/>
      <c r="H604" s="55"/>
      <c r="I604" s="44"/>
      <c r="J604" s="44"/>
      <c r="K604" s="19" t="str">
        <f aca="false">IF(H604="","",IF(G604="PYG",IF(N(J604)=0,"FALTA TC",H604/J604),H604))</f>
        <v/>
      </c>
      <c r="L604" s="69"/>
      <c r="M604" s="69"/>
      <c r="N604" s="69"/>
    </row>
    <row r="605" customFormat="false" ht="15" hidden="false" customHeight="false" outlineLevel="0" collapsed="false">
      <c r="A605" s="69"/>
      <c r="B605" s="29"/>
      <c r="C605" s="88"/>
      <c r="D605" s="69"/>
      <c r="E605" s="69"/>
      <c r="F605" s="69"/>
      <c r="G605" s="69"/>
      <c r="H605" s="55"/>
      <c r="I605" s="44"/>
      <c r="J605" s="44"/>
      <c r="K605" s="19" t="str">
        <f aca="false">IF(H605="","",IF(G605="PYG",IF(N(J605)=0,"FALTA TC",H605/J605),H605))</f>
        <v/>
      </c>
      <c r="L605" s="69"/>
      <c r="M605" s="69"/>
      <c r="N605" s="69"/>
    </row>
    <row r="606" customFormat="false" ht="15" hidden="false" customHeight="false" outlineLevel="0" collapsed="false">
      <c r="A606" s="69"/>
      <c r="B606" s="29"/>
      <c r="C606" s="88"/>
      <c r="D606" s="69"/>
      <c r="E606" s="69"/>
      <c r="F606" s="69"/>
      <c r="G606" s="69"/>
      <c r="H606" s="55"/>
      <c r="I606" s="44"/>
      <c r="J606" s="44"/>
      <c r="K606" s="19" t="str">
        <f aca="false">IF(H606="","",IF(G606="PYG",IF(N(J606)=0,"FALTA TC",H606/J606),H606))</f>
        <v/>
      </c>
      <c r="L606" s="69"/>
      <c r="M606" s="69"/>
      <c r="N606" s="69"/>
    </row>
    <row r="607" customFormat="false" ht="15" hidden="false" customHeight="false" outlineLevel="0" collapsed="false">
      <c r="A607" s="69"/>
      <c r="B607" s="29"/>
      <c r="C607" s="88"/>
      <c r="D607" s="69"/>
      <c r="E607" s="69"/>
      <c r="F607" s="69"/>
      <c r="G607" s="69"/>
      <c r="H607" s="55"/>
      <c r="I607" s="44"/>
      <c r="J607" s="44"/>
      <c r="K607" s="19" t="str">
        <f aca="false">IF(H607="","",IF(G607="PYG",IF(N(J607)=0,"FALTA TC",H607/J607),H607))</f>
        <v/>
      </c>
      <c r="L607" s="69"/>
      <c r="M607" s="69"/>
      <c r="N607" s="69"/>
    </row>
    <row r="608" customFormat="false" ht="15" hidden="false" customHeight="false" outlineLevel="0" collapsed="false">
      <c r="A608" s="69"/>
      <c r="B608" s="29"/>
      <c r="C608" s="88"/>
      <c r="D608" s="69"/>
      <c r="E608" s="69"/>
      <c r="F608" s="69"/>
      <c r="G608" s="69"/>
      <c r="H608" s="55"/>
      <c r="I608" s="44"/>
      <c r="J608" s="44"/>
      <c r="K608" s="19" t="str">
        <f aca="false">IF(H608="","",IF(G608="PYG",IF(N(J608)=0,"FALTA TC",H608/J608),H608))</f>
        <v/>
      </c>
      <c r="L608" s="69"/>
      <c r="M608" s="69"/>
      <c r="N608" s="69"/>
    </row>
    <row r="609" customFormat="false" ht="15" hidden="false" customHeight="false" outlineLevel="0" collapsed="false">
      <c r="A609" s="69"/>
      <c r="B609" s="29"/>
      <c r="C609" s="88"/>
      <c r="D609" s="69"/>
      <c r="E609" s="69"/>
      <c r="F609" s="69"/>
      <c r="G609" s="69"/>
      <c r="H609" s="55"/>
      <c r="I609" s="44"/>
      <c r="J609" s="44"/>
      <c r="K609" s="19" t="str">
        <f aca="false">IF(H609="","",IF(G609="PYG",IF(N(J609)=0,"FALTA TC",H609/J609),H609))</f>
        <v/>
      </c>
      <c r="L609" s="69"/>
      <c r="M609" s="69"/>
      <c r="N609" s="69"/>
    </row>
    <row r="610" customFormat="false" ht="15" hidden="false" customHeight="false" outlineLevel="0" collapsed="false">
      <c r="A610" s="69"/>
      <c r="B610" s="29"/>
      <c r="C610" s="88"/>
      <c r="D610" s="69"/>
      <c r="E610" s="69"/>
      <c r="F610" s="69"/>
      <c r="G610" s="69"/>
      <c r="H610" s="55"/>
      <c r="I610" s="44"/>
      <c r="J610" s="44"/>
      <c r="K610" s="19" t="str">
        <f aca="false">IF(H610="","",IF(G610="PYG",IF(N(J610)=0,"FALTA TC",H610/J610),H610))</f>
        <v/>
      </c>
      <c r="L610" s="69"/>
      <c r="M610" s="69"/>
      <c r="N610" s="69"/>
    </row>
    <row r="611" customFormat="false" ht="15" hidden="false" customHeight="false" outlineLevel="0" collapsed="false">
      <c r="A611" s="69"/>
      <c r="B611" s="29"/>
      <c r="C611" s="88"/>
      <c r="D611" s="69"/>
      <c r="E611" s="69"/>
      <c r="F611" s="69"/>
      <c r="G611" s="69"/>
      <c r="H611" s="55"/>
      <c r="I611" s="44"/>
      <c r="J611" s="44"/>
      <c r="K611" s="19" t="str">
        <f aca="false">IF(H611="","",IF(G611="PYG",IF(N(J611)=0,"FALTA TC",H611/J611),H611))</f>
        <v/>
      </c>
      <c r="L611" s="69"/>
      <c r="M611" s="69"/>
      <c r="N611" s="69"/>
    </row>
    <row r="612" customFormat="false" ht="15" hidden="false" customHeight="false" outlineLevel="0" collapsed="false">
      <c r="A612" s="69"/>
      <c r="B612" s="29"/>
      <c r="C612" s="88"/>
      <c r="D612" s="69"/>
      <c r="E612" s="69"/>
      <c r="F612" s="69"/>
      <c r="G612" s="69"/>
      <c r="H612" s="55"/>
      <c r="I612" s="44"/>
      <c r="J612" s="44"/>
      <c r="K612" s="19" t="str">
        <f aca="false">IF(H612="","",IF(G612="PYG",IF(N(J612)=0,"FALTA TC",H612/J612),H612))</f>
        <v/>
      </c>
      <c r="L612" s="69"/>
      <c r="M612" s="69"/>
      <c r="N612" s="69"/>
    </row>
    <row r="613" customFormat="false" ht="15" hidden="false" customHeight="false" outlineLevel="0" collapsed="false">
      <c r="A613" s="69"/>
      <c r="B613" s="29"/>
      <c r="C613" s="88"/>
      <c r="D613" s="69"/>
      <c r="E613" s="69"/>
      <c r="F613" s="69"/>
      <c r="G613" s="69"/>
      <c r="H613" s="55"/>
      <c r="I613" s="44"/>
      <c r="J613" s="44"/>
      <c r="K613" s="19" t="str">
        <f aca="false">IF(H613="","",IF(G613="PYG",IF(N(J613)=0,"FALTA TC",H613/J613),H613))</f>
        <v/>
      </c>
      <c r="L613" s="69"/>
      <c r="M613" s="69"/>
      <c r="N613" s="69"/>
    </row>
    <row r="614" customFormat="false" ht="15" hidden="false" customHeight="false" outlineLevel="0" collapsed="false">
      <c r="A614" s="69"/>
      <c r="B614" s="29"/>
      <c r="C614" s="88"/>
      <c r="D614" s="69"/>
      <c r="E614" s="69"/>
      <c r="F614" s="69"/>
      <c r="G614" s="69"/>
      <c r="H614" s="55"/>
      <c r="I614" s="44"/>
      <c r="J614" s="44"/>
      <c r="K614" s="19" t="str">
        <f aca="false">IF(H614="","",IF(G614="PYG",IF(N(J614)=0,"FALTA TC",H614/J614),H614))</f>
        <v/>
      </c>
      <c r="L614" s="69"/>
      <c r="M614" s="69"/>
      <c r="N614" s="69"/>
    </row>
    <row r="615" customFormat="false" ht="15" hidden="false" customHeight="false" outlineLevel="0" collapsed="false">
      <c r="A615" s="69"/>
      <c r="B615" s="29"/>
      <c r="C615" s="88"/>
      <c r="D615" s="69"/>
      <c r="E615" s="69"/>
      <c r="F615" s="69"/>
      <c r="G615" s="69"/>
      <c r="H615" s="55"/>
      <c r="I615" s="44"/>
      <c r="J615" s="44"/>
      <c r="K615" s="19" t="str">
        <f aca="false">IF(H615="","",IF(G615="PYG",IF(N(J615)=0,"FALTA TC",H615/J615),H615))</f>
        <v/>
      </c>
      <c r="L615" s="69"/>
      <c r="M615" s="69"/>
      <c r="N615" s="69"/>
    </row>
    <row r="616" customFormat="false" ht="15" hidden="false" customHeight="false" outlineLevel="0" collapsed="false">
      <c r="A616" s="69"/>
      <c r="B616" s="29"/>
      <c r="C616" s="88"/>
      <c r="D616" s="69"/>
      <c r="E616" s="69"/>
      <c r="F616" s="69"/>
      <c r="G616" s="69"/>
      <c r="H616" s="55"/>
      <c r="I616" s="44"/>
      <c r="J616" s="44"/>
      <c r="K616" s="19" t="str">
        <f aca="false">IF(H616="","",IF(G616="PYG",IF(N(J616)=0,"FALTA TC",H616/J616),H616))</f>
        <v/>
      </c>
      <c r="L616" s="69"/>
      <c r="M616" s="69"/>
      <c r="N616" s="69"/>
    </row>
    <row r="617" customFormat="false" ht="15" hidden="false" customHeight="false" outlineLevel="0" collapsed="false">
      <c r="A617" s="69"/>
      <c r="B617" s="29"/>
      <c r="C617" s="88"/>
      <c r="D617" s="69"/>
      <c r="E617" s="69"/>
      <c r="F617" s="69"/>
      <c r="G617" s="69"/>
      <c r="H617" s="55"/>
      <c r="I617" s="44"/>
      <c r="J617" s="44"/>
      <c r="K617" s="19" t="str">
        <f aca="false">IF(H617="","",IF(G617="PYG",IF(N(J617)=0,"FALTA TC",H617/J617),H617))</f>
        <v/>
      </c>
      <c r="L617" s="69"/>
      <c r="M617" s="69"/>
      <c r="N617" s="69"/>
    </row>
    <row r="618" customFormat="false" ht="15" hidden="false" customHeight="false" outlineLevel="0" collapsed="false">
      <c r="A618" s="69"/>
      <c r="B618" s="29"/>
      <c r="C618" s="88"/>
      <c r="D618" s="69"/>
      <c r="E618" s="69"/>
      <c r="F618" s="69"/>
      <c r="G618" s="69"/>
      <c r="H618" s="55"/>
      <c r="I618" s="44"/>
      <c r="J618" s="44"/>
      <c r="K618" s="19" t="str">
        <f aca="false">IF(H618="","",IF(G618="PYG",IF(N(J618)=0,"FALTA TC",H618/J618),H618))</f>
        <v/>
      </c>
      <c r="L618" s="69"/>
      <c r="M618" s="69"/>
      <c r="N618" s="69"/>
    </row>
    <row r="619" customFormat="false" ht="15" hidden="false" customHeight="false" outlineLevel="0" collapsed="false">
      <c r="A619" s="69"/>
      <c r="B619" s="29"/>
      <c r="C619" s="88"/>
      <c r="D619" s="69"/>
      <c r="E619" s="69"/>
      <c r="F619" s="69"/>
      <c r="G619" s="69"/>
      <c r="H619" s="55"/>
      <c r="I619" s="44"/>
      <c r="J619" s="44"/>
      <c r="K619" s="19" t="str">
        <f aca="false">IF(H619="","",IF(G619="PYG",IF(N(J619)=0,"FALTA TC",H619/J619),H619))</f>
        <v/>
      </c>
      <c r="L619" s="69"/>
      <c r="M619" s="69"/>
      <c r="N619" s="69"/>
    </row>
    <row r="620" customFormat="false" ht="15" hidden="false" customHeight="false" outlineLevel="0" collapsed="false">
      <c r="A620" s="69"/>
      <c r="B620" s="29"/>
      <c r="C620" s="88"/>
      <c r="D620" s="69"/>
      <c r="E620" s="69"/>
      <c r="F620" s="69"/>
      <c r="G620" s="69"/>
      <c r="H620" s="55"/>
      <c r="I620" s="44"/>
      <c r="J620" s="44"/>
      <c r="K620" s="19" t="str">
        <f aca="false">IF(H620="","",IF(G620="PYG",IF(N(J620)=0,"FALTA TC",H620/J620),H620))</f>
        <v/>
      </c>
      <c r="L620" s="69"/>
      <c r="M620" s="69"/>
      <c r="N620" s="69"/>
    </row>
    <row r="621" customFormat="false" ht="15" hidden="false" customHeight="false" outlineLevel="0" collapsed="false">
      <c r="A621" s="69"/>
      <c r="B621" s="29"/>
      <c r="C621" s="88"/>
      <c r="D621" s="69"/>
      <c r="E621" s="69"/>
      <c r="F621" s="69"/>
      <c r="G621" s="69"/>
      <c r="H621" s="55"/>
      <c r="I621" s="44"/>
      <c r="J621" s="44"/>
      <c r="K621" s="19" t="str">
        <f aca="false">IF(H621="","",IF(G621="PYG",IF(N(J621)=0,"FALTA TC",H621/J621),H621))</f>
        <v/>
      </c>
      <c r="L621" s="69"/>
      <c r="M621" s="69"/>
      <c r="N621" s="69"/>
    </row>
    <row r="622" customFormat="false" ht="15" hidden="false" customHeight="false" outlineLevel="0" collapsed="false">
      <c r="A622" s="69"/>
      <c r="B622" s="29"/>
      <c r="C622" s="88"/>
      <c r="D622" s="69"/>
      <c r="E622" s="69"/>
      <c r="F622" s="69"/>
      <c r="G622" s="69"/>
      <c r="H622" s="55"/>
      <c r="I622" s="44"/>
      <c r="J622" s="44"/>
      <c r="K622" s="19" t="str">
        <f aca="false">IF(H622="","",IF(G622="PYG",IF(N(J622)=0,"FALTA TC",H622/J622),H622))</f>
        <v/>
      </c>
      <c r="L622" s="69"/>
      <c r="M622" s="69"/>
      <c r="N622" s="69"/>
    </row>
    <row r="623" customFormat="false" ht="15" hidden="false" customHeight="false" outlineLevel="0" collapsed="false">
      <c r="A623" s="69"/>
      <c r="B623" s="29"/>
      <c r="C623" s="88"/>
      <c r="D623" s="69"/>
      <c r="E623" s="69"/>
      <c r="F623" s="69"/>
      <c r="G623" s="69"/>
      <c r="H623" s="55"/>
      <c r="I623" s="44"/>
      <c r="J623" s="44"/>
      <c r="K623" s="19" t="str">
        <f aca="false">IF(H623="","",IF(G623="PYG",IF(N(J623)=0,"FALTA TC",H623/J623),H623))</f>
        <v/>
      </c>
      <c r="L623" s="69"/>
      <c r="M623" s="69"/>
      <c r="N623" s="69"/>
    </row>
    <row r="624" customFormat="false" ht="15" hidden="false" customHeight="false" outlineLevel="0" collapsed="false">
      <c r="A624" s="69"/>
      <c r="B624" s="29"/>
      <c r="C624" s="88"/>
      <c r="D624" s="69"/>
      <c r="E624" s="69"/>
      <c r="F624" s="69"/>
      <c r="G624" s="69"/>
      <c r="H624" s="55"/>
      <c r="I624" s="44"/>
      <c r="J624" s="44"/>
      <c r="K624" s="19" t="str">
        <f aca="false">IF(H624="","",IF(G624="PYG",IF(N(J624)=0,"FALTA TC",H624/J624),H624))</f>
        <v/>
      </c>
      <c r="L624" s="69"/>
      <c r="M624" s="69"/>
      <c r="N624" s="69"/>
    </row>
    <row r="625" customFormat="false" ht="15" hidden="false" customHeight="false" outlineLevel="0" collapsed="false">
      <c r="A625" s="69"/>
      <c r="B625" s="29"/>
      <c r="C625" s="88"/>
      <c r="D625" s="69"/>
      <c r="E625" s="69"/>
      <c r="F625" s="69"/>
      <c r="G625" s="69"/>
      <c r="H625" s="55"/>
      <c r="I625" s="44"/>
      <c r="J625" s="44"/>
      <c r="K625" s="19" t="str">
        <f aca="false">IF(H625="","",IF(G625="PYG",IF(N(J625)=0,"FALTA TC",H625/J625),H625))</f>
        <v/>
      </c>
      <c r="L625" s="69"/>
      <c r="M625" s="69"/>
      <c r="N625" s="69"/>
    </row>
    <row r="626" customFormat="false" ht="15" hidden="false" customHeight="false" outlineLevel="0" collapsed="false">
      <c r="A626" s="69"/>
      <c r="B626" s="29"/>
      <c r="C626" s="88"/>
      <c r="D626" s="69"/>
      <c r="E626" s="69"/>
      <c r="F626" s="69"/>
      <c r="G626" s="69"/>
      <c r="H626" s="55"/>
      <c r="I626" s="44"/>
      <c r="J626" s="44"/>
      <c r="K626" s="19" t="str">
        <f aca="false">IF(H626="","",IF(G626="PYG",IF(N(J626)=0,"FALTA TC",H626/J626),H626))</f>
        <v/>
      </c>
      <c r="L626" s="69"/>
      <c r="M626" s="69"/>
      <c r="N626" s="69"/>
    </row>
    <row r="627" customFormat="false" ht="15" hidden="false" customHeight="false" outlineLevel="0" collapsed="false">
      <c r="A627" s="69"/>
      <c r="B627" s="29"/>
      <c r="C627" s="88"/>
      <c r="D627" s="69"/>
      <c r="E627" s="69"/>
      <c r="F627" s="69"/>
      <c r="G627" s="69"/>
      <c r="H627" s="55"/>
      <c r="I627" s="44"/>
      <c r="J627" s="44"/>
      <c r="K627" s="19" t="str">
        <f aca="false">IF(H627="","",IF(G627="PYG",IF(N(J627)=0,"FALTA TC",H627/J627),H627))</f>
        <v/>
      </c>
      <c r="L627" s="69"/>
      <c r="M627" s="69"/>
      <c r="N627" s="69"/>
    </row>
    <row r="628" customFormat="false" ht="15" hidden="false" customHeight="false" outlineLevel="0" collapsed="false">
      <c r="A628" s="69"/>
      <c r="B628" s="29"/>
      <c r="C628" s="88"/>
      <c r="D628" s="69"/>
      <c r="E628" s="69"/>
      <c r="F628" s="69"/>
      <c r="G628" s="69"/>
      <c r="H628" s="55"/>
      <c r="I628" s="44"/>
      <c r="J628" s="44"/>
      <c r="K628" s="19" t="str">
        <f aca="false">IF(H628="","",IF(G628="PYG",IF(N(J628)=0,"FALTA TC",H628/J628),H628))</f>
        <v/>
      </c>
      <c r="L628" s="69"/>
      <c r="M628" s="69"/>
      <c r="N628" s="69"/>
    </row>
    <row r="629" customFormat="false" ht="15" hidden="false" customHeight="false" outlineLevel="0" collapsed="false">
      <c r="A629" s="69"/>
      <c r="B629" s="29"/>
      <c r="C629" s="88"/>
      <c r="D629" s="69"/>
      <c r="E629" s="69"/>
      <c r="F629" s="69"/>
      <c r="G629" s="69"/>
      <c r="H629" s="55"/>
      <c r="I629" s="44"/>
      <c r="J629" s="44"/>
      <c r="K629" s="19" t="str">
        <f aca="false">IF(H629="","",IF(G629="PYG",IF(N(J629)=0,"FALTA TC",H629/J629),H629))</f>
        <v/>
      </c>
      <c r="L629" s="69"/>
      <c r="M629" s="69"/>
      <c r="N629" s="69"/>
    </row>
    <row r="630" customFormat="false" ht="15" hidden="false" customHeight="false" outlineLevel="0" collapsed="false">
      <c r="A630" s="69"/>
      <c r="B630" s="29"/>
      <c r="C630" s="88"/>
      <c r="D630" s="69"/>
      <c r="E630" s="69"/>
      <c r="F630" s="69"/>
      <c r="G630" s="69"/>
      <c r="H630" s="55"/>
      <c r="I630" s="44"/>
      <c r="J630" s="44"/>
      <c r="K630" s="19" t="str">
        <f aca="false">IF(H630="","",IF(G630="PYG",IF(N(J630)=0,"FALTA TC",H630/J630),H630))</f>
        <v/>
      </c>
      <c r="L630" s="69"/>
      <c r="M630" s="69"/>
      <c r="N630" s="69"/>
    </row>
    <row r="631" customFormat="false" ht="15" hidden="false" customHeight="false" outlineLevel="0" collapsed="false">
      <c r="A631" s="69"/>
      <c r="B631" s="29"/>
      <c r="C631" s="88"/>
      <c r="D631" s="69"/>
      <c r="E631" s="69"/>
      <c r="F631" s="69"/>
      <c r="G631" s="69"/>
      <c r="H631" s="55"/>
      <c r="I631" s="44"/>
      <c r="J631" s="44"/>
      <c r="K631" s="19" t="str">
        <f aca="false">IF(H631="","",IF(G631="PYG",IF(N(J631)=0,"FALTA TC",H631/J631),H631))</f>
        <v/>
      </c>
      <c r="L631" s="69"/>
      <c r="M631" s="69"/>
      <c r="N631" s="69"/>
    </row>
    <row r="632" customFormat="false" ht="15" hidden="false" customHeight="false" outlineLevel="0" collapsed="false">
      <c r="A632" s="69"/>
      <c r="B632" s="29"/>
      <c r="C632" s="88"/>
      <c r="D632" s="69"/>
      <c r="E632" s="69"/>
      <c r="F632" s="69"/>
      <c r="G632" s="69"/>
      <c r="H632" s="55"/>
      <c r="I632" s="44"/>
      <c r="J632" s="44"/>
      <c r="K632" s="19" t="str">
        <f aca="false">IF(H632="","",IF(G632="PYG",IF(N(J632)=0,"FALTA TC",H632/J632),H632))</f>
        <v/>
      </c>
      <c r="L632" s="69"/>
      <c r="M632" s="69"/>
      <c r="N632" s="69"/>
    </row>
    <row r="633" customFormat="false" ht="15" hidden="false" customHeight="false" outlineLevel="0" collapsed="false">
      <c r="A633" s="69"/>
      <c r="B633" s="29"/>
      <c r="C633" s="88"/>
      <c r="D633" s="69"/>
      <c r="E633" s="69"/>
      <c r="F633" s="69"/>
      <c r="G633" s="69"/>
      <c r="H633" s="55"/>
      <c r="I633" s="44"/>
      <c r="J633" s="44"/>
      <c r="K633" s="19" t="str">
        <f aca="false">IF(H633="","",IF(G633="PYG",IF(N(J633)=0,"FALTA TC",H633/J633),H633))</f>
        <v/>
      </c>
      <c r="L633" s="69"/>
      <c r="M633" s="69"/>
      <c r="N633" s="69"/>
    </row>
    <row r="634" customFormat="false" ht="15" hidden="false" customHeight="false" outlineLevel="0" collapsed="false">
      <c r="A634" s="69"/>
      <c r="B634" s="29"/>
      <c r="C634" s="88"/>
      <c r="D634" s="69"/>
      <c r="E634" s="69"/>
      <c r="F634" s="69"/>
      <c r="G634" s="69"/>
      <c r="H634" s="55"/>
      <c r="I634" s="44"/>
      <c r="J634" s="44"/>
      <c r="K634" s="19" t="str">
        <f aca="false">IF(H634="","",IF(G634="PYG",IF(N(J634)=0,"FALTA TC",H634/J634),H634))</f>
        <v/>
      </c>
      <c r="L634" s="69"/>
      <c r="M634" s="69"/>
      <c r="N634" s="69"/>
    </row>
    <row r="635" customFormat="false" ht="15" hidden="false" customHeight="false" outlineLevel="0" collapsed="false">
      <c r="A635" s="69"/>
      <c r="B635" s="29"/>
      <c r="C635" s="88"/>
      <c r="D635" s="69"/>
      <c r="E635" s="69"/>
      <c r="F635" s="69"/>
      <c r="G635" s="69"/>
      <c r="H635" s="55"/>
      <c r="I635" s="44"/>
      <c r="J635" s="44"/>
      <c r="K635" s="19" t="str">
        <f aca="false">IF(H635="","",IF(G635="PYG",IF(N(J635)=0,"FALTA TC",H635/J635),H635))</f>
        <v/>
      </c>
      <c r="L635" s="69"/>
      <c r="M635" s="69"/>
      <c r="N635" s="69"/>
    </row>
    <row r="636" customFormat="false" ht="15" hidden="false" customHeight="false" outlineLevel="0" collapsed="false">
      <c r="A636" s="69"/>
      <c r="B636" s="29"/>
      <c r="C636" s="88"/>
      <c r="D636" s="69"/>
      <c r="E636" s="69"/>
      <c r="F636" s="69"/>
      <c r="G636" s="69"/>
      <c r="H636" s="55"/>
      <c r="I636" s="44"/>
      <c r="J636" s="44"/>
      <c r="K636" s="19" t="str">
        <f aca="false">IF(H636="","",IF(G636="PYG",IF(N(J636)=0,"FALTA TC",H636/J636),H636))</f>
        <v/>
      </c>
      <c r="L636" s="69"/>
      <c r="M636" s="69"/>
      <c r="N636" s="69"/>
    </row>
    <row r="637" customFormat="false" ht="15" hidden="false" customHeight="false" outlineLevel="0" collapsed="false">
      <c r="A637" s="69"/>
      <c r="B637" s="29"/>
      <c r="C637" s="88"/>
      <c r="D637" s="69"/>
      <c r="E637" s="69"/>
      <c r="F637" s="69"/>
      <c r="G637" s="69"/>
      <c r="H637" s="55"/>
      <c r="I637" s="44"/>
      <c r="J637" s="44"/>
      <c r="K637" s="19" t="str">
        <f aca="false">IF(H637="","",IF(G637="PYG",IF(N(J637)=0,"FALTA TC",H637/J637),H637))</f>
        <v/>
      </c>
      <c r="L637" s="69"/>
      <c r="M637" s="69"/>
      <c r="N637" s="69"/>
    </row>
    <row r="638" customFormat="false" ht="15" hidden="false" customHeight="false" outlineLevel="0" collapsed="false">
      <c r="A638" s="69"/>
      <c r="B638" s="29"/>
      <c r="C638" s="88"/>
      <c r="D638" s="69"/>
      <c r="E638" s="69"/>
      <c r="F638" s="69"/>
      <c r="G638" s="69"/>
      <c r="H638" s="55"/>
      <c r="I638" s="44"/>
      <c r="J638" s="44"/>
      <c r="K638" s="19" t="str">
        <f aca="false">IF(H638="","",IF(G638="PYG",IF(N(J638)=0,"FALTA TC",H638/J638),H638))</f>
        <v/>
      </c>
      <c r="L638" s="69"/>
      <c r="M638" s="69"/>
      <c r="N638" s="69"/>
    </row>
    <row r="639" customFormat="false" ht="15" hidden="false" customHeight="false" outlineLevel="0" collapsed="false">
      <c r="A639" s="69"/>
      <c r="B639" s="29"/>
      <c r="C639" s="88"/>
      <c r="D639" s="69"/>
      <c r="E639" s="69"/>
      <c r="F639" s="69"/>
      <c r="G639" s="69"/>
      <c r="H639" s="55"/>
      <c r="I639" s="44"/>
      <c r="J639" s="44"/>
      <c r="K639" s="19" t="str">
        <f aca="false">IF(H639="","",IF(G639="PYG",IF(N(J639)=0,"FALTA TC",H639/J639),H639))</f>
        <v/>
      </c>
      <c r="L639" s="69"/>
      <c r="M639" s="69"/>
      <c r="N639" s="69"/>
    </row>
    <row r="640" customFormat="false" ht="15" hidden="false" customHeight="false" outlineLevel="0" collapsed="false">
      <c r="A640" s="69"/>
      <c r="B640" s="29"/>
      <c r="C640" s="88"/>
      <c r="D640" s="69"/>
      <c r="E640" s="69"/>
      <c r="F640" s="69"/>
      <c r="G640" s="69"/>
      <c r="H640" s="55"/>
      <c r="I640" s="44"/>
      <c r="J640" s="44"/>
      <c r="K640" s="19" t="str">
        <f aca="false">IF(H640="","",IF(G640="PYG",IF(N(J640)=0,"FALTA TC",H640/J640),H640))</f>
        <v/>
      </c>
      <c r="L640" s="69"/>
      <c r="M640" s="69"/>
      <c r="N640" s="69"/>
    </row>
    <row r="641" customFormat="false" ht="15" hidden="false" customHeight="false" outlineLevel="0" collapsed="false">
      <c r="A641" s="69"/>
      <c r="B641" s="29"/>
      <c r="C641" s="88"/>
      <c r="D641" s="69"/>
      <c r="E641" s="69"/>
      <c r="F641" s="69"/>
      <c r="G641" s="69"/>
      <c r="H641" s="55"/>
      <c r="I641" s="44"/>
      <c r="J641" s="44"/>
      <c r="K641" s="19" t="str">
        <f aca="false">IF(H641="","",IF(G641="PYG",IF(N(J641)=0,"FALTA TC",H641/J641),H641))</f>
        <v/>
      </c>
      <c r="L641" s="69"/>
      <c r="M641" s="69"/>
      <c r="N641" s="69"/>
    </row>
    <row r="642" customFormat="false" ht="15" hidden="false" customHeight="false" outlineLevel="0" collapsed="false">
      <c r="A642" s="69"/>
      <c r="B642" s="29"/>
      <c r="C642" s="88"/>
      <c r="D642" s="69"/>
      <c r="E642" s="69"/>
      <c r="F642" s="69"/>
      <c r="G642" s="69"/>
      <c r="H642" s="55"/>
      <c r="I642" s="44"/>
      <c r="J642" s="44"/>
      <c r="K642" s="19" t="str">
        <f aca="false">IF(H642="","",IF(G642="PYG",IF(N(J642)=0,"FALTA TC",H642/J642),H642))</f>
        <v/>
      </c>
      <c r="L642" s="69"/>
      <c r="M642" s="69"/>
      <c r="N642" s="69"/>
    </row>
    <row r="643" customFormat="false" ht="15" hidden="false" customHeight="false" outlineLevel="0" collapsed="false">
      <c r="A643" s="69"/>
      <c r="B643" s="29"/>
      <c r="C643" s="88"/>
      <c r="D643" s="69"/>
      <c r="E643" s="69"/>
      <c r="F643" s="69"/>
      <c r="G643" s="69"/>
      <c r="H643" s="55"/>
      <c r="I643" s="44"/>
      <c r="J643" s="44"/>
      <c r="K643" s="19" t="str">
        <f aca="false">IF(H643="","",IF(G643="PYG",IF(N(J643)=0,"FALTA TC",H643/J643),H643))</f>
        <v/>
      </c>
      <c r="L643" s="69"/>
      <c r="M643" s="69"/>
      <c r="N643" s="69"/>
    </row>
    <row r="644" customFormat="false" ht="15" hidden="false" customHeight="false" outlineLevel="0" collapsed="false">
      <c r="A644" s="69"/>
      <c r="B644" s="29"/>
      <c r="C644" s="88"/>
      <c r="D644" s="69"/>
      <c r="E644" s="69"/>
      <c r="F644" s="69"/>
      <c r="G644" s="69"/>
      <c r="H644" s="55"/>
      <c r="I644" s="44"/>
      <c r="J644" s="44"/>
      <c r="K644" s="19" t="str">
        <f aca="false">IF(H644="","",IF(G644="PYG",IF(N(J644)=0,"FALTA TC",H644/J644),H644))</f>
        <v/>
      </c>
      <c r="L644" s="69"/>
      <c r="M644" s="69"/>
      <c r="N644" s="69"/>
    </row>
    <row r="645" customFormat="false" ht="15" hidden="false" customHeight="false" outlineLevel="0" collapsed="false">
      <c r="A645" s="69"/>
      <c r="B645" s="29"/>
      <c r="C645" s="88"/>
      <c r="D645" s="69"/>
      <c r="E645" s="69"/>
      <c r="F645" s="69"/>
      <c r="G645" s="69"/>
      <c r="H645" s="55"/>
      <c r="I645" s="44"/>
      <c r="J645" s="44"/>
      <c r="K645" s="19" t="str">
        <f aca="false">IF(H645="","",IF(G645="PYG",IF(N(J645)=0,"FALTA TC",H645/J645),H645))</f>
        <v/>
      </c>
      <c r="L645" s="69"/>
      <c r="M645" s="69"/>
      <c r="N645" s="69"/>
    </row>
    <row r="646" customFormat="false" ht="15" hidden="false" customHeight="false" outlineLevel="0" collapsed="false">
      <c r="A646" s="69"/>
      <c r="B646" s="29"/>
      <c r="C646" s="88"/>
      <c r="D646" s="69"/>
      <c r="E646" s="69"/>
      <c r="F646" s="69"/>
      <c r="G646" s="69"/>
      <c r="H646" s="55"/>
      <c r="I646" s="44"/>
      <c r="J646" s="44"/>
      <c r="K646" s="19" t="str">
        <f aca="false">IF(H646="","",IF(G646="PYG",IF(N(J646)=0,"FALTA TC",H646/J646),H646))</f>
        <v/>
      </c>
      <c r="L646" s="69"/>
      <c r="M646" s="69"/>
      <c r="N646" s="69"/>
    </row>
    <row r="647" customFormat="false" ht="15" hidden="false" customHeight="false" outlineLevel="0" collapsed="false">
      <c r="A647" s="69"/>
      <c r="B647" s="29"/>
      <c r="C647" s="88"/>
      <c r="D647" s="69"/>
      <c r="E647" s="69"/>
      <c r="F647" s="69"/>
      <c r="G647" s="69"/>
      <c r="H647" s="55"/>
      <c r="I647" s="44"/>
      <c r="J647" s="44"/>
      <c r="K647" s="19" t="str">
        <f aca="false">IF(H647="","",IF(G647="PYG",IF(N(J647)=0,"FALTA TC",H647/J647),H647))</f>
        <v/>
      </c>
      <c r="L647" s="69"/>
      <c r="M647" s="69"/>
      <c r="N647" s="69"/>
    </row>
    <row r="648" customFormat="false" ht="15" hidden="false" customHeight="false" outlineLevel="0" collapsed="false">
      <c r="A648" s="69"/>
      <c r="B648" s="29"/>
      <c r="C648" s="88"/>
      <c r="D648" s="69"/>
      <c r="E648" s="69"/>
      <c r="F648" s="69"/>
      <c r="G648" s="69"/>
      <c r="H648" s="55"/>
      <c r="I648" s="44"/>
      <c r="J648" s="44"/>
      <c r="K648" s="19" t="str">
        <f aca="false">IF(H648="","",IF(G648="PYG",IF(N(J648)=0,"FALTA TC",H648/J648),H648))</f>
        <v/>
      </c>
      <c r="L648" s="69"/>
      <c r="M648" s="69"/>
      <c r="N648" s="69"/>
    </row>
    <row r="649" customFormat="false" ht="15" hidden="false" customHeight="false" outlineLevel="0" collapsed="false">
      <c r="A649" s="69"/>
      <c r="B649" s="29"/>
      <c r="C649" s="88"/>
      <c r="D649" s="69"/>
      <c r="E649" s="69"/>
      <c r="F649" s="69"/>
      <c r="G649" s="69"/>
      <c r="H649" s="55"/>
      <c r="I649" s="44"/>
      <c r="J649" s="44"/>
      <c r="K649" s="19" t="str">
        <f aca="false">IF(H649="","",IF(G649="PYG",IF(N(J649)=0,"FALTA TC",H649/J649),H649))</f>
        <v/>
      </c>
      <c r="L649" s="69"/>
      <c r="M649" s="69"/>
      <c r="N649" s="69"/>
    </row>
    <row r="650" customFormat="false" ht="15" hidden="false" customHeight="false" outlineLevel="0" collapsed="false">
      <c r="A650" s="69"/>
      <c r="B650" s="29"/>
      <c r="C650" s="88"/>
      <c r="D650" s="69"/>
      <c r="E650" s="69"/>
      <c r="F650" s="69"/>
      <c r="G650" s="69"/>
      <c r="H650" s="55"/>
      <c r="I650" s="44"/>
      <c r="J650" s="44"/>
      <c r="K650" s="19" t="str">
        <f aca="false">IF(H650="","",IF(G650="PYG",IF(N(J650)=0,"FALTA TC",H650/J650),H650))</f>
        <v/>
      </c>
      <c r="L650" s="69"/>
      <c r="M650" s="69"/>
      <c r="N650" s="69"/>
    </row>
    <row r="651" customFormat="false" ht="15" hidden="false" customHeight="false" outlineLevel="0" collapsed="false">
      <c r="A651" s="69"/>
      <c r="B651" s="29"/>
      <c r="C651" s="88"/>
      <c r="D651" s="69"/>
      <c r="E651" s="69"/>
      <c r="F651" s="69"/>
      <c r="G651" s="69"/>
      <c r="H651" s="55"/>
      <c r="I651" s="44"/>
      <c r="J651" s="44"/>
      <c r="K651" s="19" t="str">
        <f aca="false">IF(H651="","",IF(G651="PYG",IF(N(J651)=0,"FALTA TC",H651/J651),H651))</f>
        <v/>
      </c>
      <c r="L651" s="69"/>
      <c r="M651" s="69"/>
      <c r="N651" s="69"/>
    </row>
    <row r="652" customFormat="false" ht="15" hidden="false" customHeight="false" outlineLevel="0" collapsed="false">
      <c r="A652" s="69"/>
      <c r="B652" s="29"/>
      <c r="C652" s="88"/>
      <c r="D652" s="69"/>
      <c r="E652" s="69"/>
      <c r="F652" s="69"/>
      <c r="G652" s="69"/>
      <c r="H652" s="55"/>
      <c r="I652" s="44"/>
      <c r="J652" s="44"/>
      <c r="K652" s="19" t="str">
        <f aca="false">IF(H652="","",IF(G652="PYG",IF(N(J652)=0,"FALTA TC",H652/J652),H652))</f>
        <v/>
      </c>
      <c r="L652" s="69"/>
      <c r="M652" s="69"/>
      <c r="N652" s="69"/>
    </row>
    <row r="653" customFormat="false" ht="15" hidden="false" customHeight="false" outlineLevel="0" collapsed="false">
      <c r="A653" s="69"/>
      <c r="B653" s="29"/>
      <c r="C653" s="88"/>
      <c r="D653" s="69"/>
      <c r="E653" s="69"/>
      <c r="F653" s="69"/>
      <c r="G653" s="69"/>
      <c r="H653" s="55"/>
      <c r="I653" s="44"/>
      <c r="J653" s="44"/>
      <c r="K653" s="19" t="str">
        <f aca="false">IF(H653="","",IF(G653="PYG",IF(N(J653)=0,"FALTA TC",H653/J653),H653))</f>
        <v/>
      </c>
      <c r="L653" s="69"/>
      <c r="M653" s="69"/>
      <c r="N653" s="69"/>
    </row>
    <row r="654" customFormat="false" ht="15" hidden="false" customHeight="false" outlineLevel="0" collapsed="false">
      <c r="A654" s="69"/>
      <c r="B654" s="29"/>
      <c r="C654" s="88"/>
      <c r="D654" s="69"/>
      <c r="E654" s="69"/>
      <c r="F654" s="69"/>
      <c r="G654" s="69"/>
      <c r="H654" s="55"/>
      <c r="I654" s="44"/>
      <c r="J654" s="44"/>
      <c r="K654" s="19" t="str">
        <f aca="false">IF(H654="","",IF(G654="PYG",IF(N(J654)=0,"FALTA TC",H654/J654),H654))</f>
        <v/>
      </c>
      <c r="L654" s="69"/>
      <c r="M654" s="69"/>
      <c r="N654" s="69"/>
    </row>
    <row r="655" customFormat="false" ht="15" hidden="false" customHeight="false" outlineLevel="0" collapsed="false">
      <c r="A655" s="69"/>
      <c r="B655" s="29"/>
      <c r="C655" s="88"/>
      <c r="D655" s="69"/>
      <c r="E655" s="69"/>
      <c r="F655" s="69"/>
      <c r="G655" s="69"/>
      <c r="H655" s="55"/>
      <c r="I655" s="44"/>
      <c r="J655" s="44"/>
      <c r="K655" s="19" t="str">
        <f aca="false">IF(H655="","",IF(G655="PYG",IF(N(J655)=0,"FALTA TC",H655/J655),H655))</f>
        <v/>
      </c>
      <c r="L655" s="69"/>
      <c r="M655" s="69"/>
      <c r="N655" s="69"/>
    </row>
    <row r="656" customFormat="false" ht="15" hidden="false" customHeight="false" outlineLevel="0" collapsed="false">
      <c r="A656" s="69"/>
      <c r="B656" s="29"/>
      <c r="C656" s="88"/>
      <c r="D656" s="69"/>
      <c r="E656" s="69"/>
      <c r="F656" s="69"/>
      <c r="G656" s="69"/>
      <c r="H656" s="55"/>
      <c r="I656" s="44"/>
      <c r="J656" s="44"/>
      <c r="K656" s="19" t="str">
        <f aca="false">IF(H656="","",IF(G656="PYG",IF(N(J656)=0,"FALTA TC",H656/J656),H656))</f>
        <v/>
      </c>
      <c r="L656" s="69"/>
      <c r="M656" s="69"/>
      <c r="N656" s="69"/>
    </row>
    <row r="657" customFormat="false" ht="15" hidden="false" customHeight="false" outlineLevel="0" collapsed="false">
      <c r="A657" s="69"/>
      <c r="B657" s="29"/>
      <c r="C657" s="88"/>
      <c r="D657" s="69"/>
      <c r="E657" s="69"/>
      <c r="F657" s="69"/>
      <c r="G657" s="69"/>
      <c r="H657" s="55"/>
      <c r="I657" s="44"/>
      <c r="J657" s="44"/>
      <c r="K657" s="19" t="str">
        <f aca="false">IF(H657="","",IF(G657="PYG",IF(N(J657)=0,"FALTA TC",H657/J657),H657))</f>
        <v/>
      </c>
      <c r="L657" s="69"/>
      <c r="M657" s="69"/>
      <c r="N657" s="69"/>
    </row>
    <row r="658" customFormat="false" ht="15" hidden="false" customHeight="false" outlineLevel="0" collapsed="false">
      <c r="A658" s="69"/>
      <c r="B658" s="29"/>
      <c r="C658" s="88"/>
      <c r="D658" s="69"/>
      <c r="E658" s="69"/>
      <c r="F658" s="69"/>
      <c r="G658" s="69"/>
      <c r="H658" s="55"/>
      <c r="I658" s="44"/>
      <c r="J658" s="44"/>
      <c r="K658" s="19" t="str">
        <f aca="false">IF(H658="","",IF(G658="PYG",IF(N(J658)=0,"FALTA TC",H658/J658),H658))</f>
        <v/>
      </c>
      <c r="L658" s="69"/>
      <c r="M658" s="69"/>
      <c r="N658" s="69"/>
    </row>
    <row r="659" customFormat="false" ht="15" hidden="false" customHeight="false" outlineLevel="0" collapsed="false">
      <c r="A659" s="69"/>
      <c r="B659" s="29"/>
      <c r="C659" s="88"/>
      <c r="D659" s="69"/>
      <c r="E659" s="69"/>
      <c r="F659" s="69"/>
      <c r="G659" s="69"/>
      <c r="H659" s="55"/>
      <c r="I659" s="44"/>
      <c r="J659" s="44"/>
      <c r="K659" s="19" t="str">
        <f aca="false">IF(H659="","",IF(G659="PYG",IF(N(J659)=0,"FALTA TC",H659/J659),H659))</f>
        <v/>
      </c>
      <c r="L659" s="69"/>
      <c r="M659" s="69"/>
      <c r="N659" s="69"/>
    </row>
    <row r="660" customFormat="false" ht="15" hidden="false" customHeight="false" outlineLevel="0" collapsed="false">
      <c r="A660" s="69"/>
      <c r="B660" s="29"/>
      <c r="C660" s="88"/>
      <c r="D660" s="69"/>
      <c r="E660" s="69"/>
      <c r="F660" s="69"/>
      <c r="G660" s="69"/>
      <c r="H660" s="55"/>
      <c r="I660" s="44"/>
      <c r="J660" s="44"/>
      <c r="K660" s="19" t="str">
        <f aca="false">IF(H660="","",IF(G660="PYG",IF(N(J660)=0,"FALTA TC",H660/J660),H660))</f>
        <v/>
      </c>
      <c r="L660" s="69"/>
      <c r="M660" s="69"/>
      <c r="N660" s="69"/>
    </row>
    <row r="661" customFormat="false" ht="15" hidden="false" customHeight="false" outlineLevel="0" collapsed="false">
      <c r="A661" s="69"/>
      <c r="B661" s="29"/>
      <c r="C661" s="88"/>
      <c r="D661" s="69"/>
      <c r="E661" s="69"/>
      <c r="F661" s="69"/>
      <c r="G661" s="69"/>
      <c r="H661" s="55"/>
      <c r="I661" s="44"/>
      <c r="J661" s="44"/>
      <c r="K661" s="19" t="str">
        <f aca="false">IF(H661="","",IF(G661="PYG",IF(N(J661)=0,"FALTA TC",H661/J661),H661))</f>
        <v/>
      </c>
      <c r="L661" s="69"/>
      <c r="M661" s="69"/>
      <c r="N661" s="69"/>
    </row>
    <row r="662" customFormat="false" ht="15" hidden="false" customHeight="false" outlineLevel="0" collapsed="false">
      <c r="A662" s="69"/>
      <c r="B662" s="29"/>
      <c r="C662" s="88"/>
      <c r="D662" s="69"/>
      <c r="E662" s="69"/>
      <c r="F662" s="69"/>
      <c r="G662" s="69"/>
      <c r="H662" s="55"/>
      <c r="I662" s="44"/>
      <c r="J662" s="44"/>
      <c r="K662" s="19" t="str">
        <f aca="false">IF(H662="","",IF(G662="PYG",IF(N(J662)=0,"FALTA TC",H662/J662),H662))</f>
        <v/>
      </c>
      <c r="L662" s="69"/>
      <c r="M662" s="69"/>
      <c r="N662" s="69"/>
    </row>
    <row r="663" customFormat="false" ht="15" hidden="false" customHeight="false" outlineLevel="0" collapsed="false">
      <c r="A663" s="69"/>
      <c r="B663" s="29"/>
      <c r="C663" s="88"/>
      <c r="D663" s="69"/>
      <c r="E663" s="69"/>
      <c r="F663" s="69"/>
      <c r="G663" s="69"/>
      <c r="H663" s="55"/>
      <c r="I663" s="44"/>
      <c r="J663" s="44"/>
      <c r="K663" s="19" t="str">
        <f aca="false">IF(H663="","",IF(G663="PYG",IF(N(J663)=0,"FALTA TC",H663/J663),H663))</f>
        <v/>
      </c>
      <c r="L663" s="69"/>
      <c r="M663" s="69"/>
      <c r="N663" s="69"/>
    </row>
    <row r="664" customFormat="false" ht="15" hidden="false" customHeight="false" outlineLevel="0" collapsed="false">
      <c r="A664" s="69"/>
      <c r="B664" s="29"/>
      <c r="C664" s="88"/>
      <c r="D664" s="69"/>
      <c r="E664" s="69"/>
      <c r="F664" s="69"/>
      <c r="G664" s="69"/>
      <c r="H664" s="55"/>
      <c r="I664" s="44"/>
      <c r="J664" s="44"/>
      <c r="K664" s="19" t="str">
        <f aca="false">IF(H664="","",IF(G664="PYG",IF(N(J664)=0,"FALTA TC",H664/J664),H664))</f>
        <v/>
      </c>
      <c r="L664" s="69"/>
      <c r="M664" s="69"/>
      <c r="N664" s="69"/>
    </row>
    <row r="665" customFormat="false" ht="15" hidden="false" customHeight="false" outlineLevel="0" collapsed="false">
      <c r="A665" s="69"/>
      <c r="B665" s="29"/>
      <c r="C665" s="88"/>
      <c r="D665" s="69"/>
      <c r="E665" s="69"/>
      <c r="F665" s="69"/>
      <c r="G665" s="69"/>
      <c r="H665" s="55"/>
      <c r="I665" s="44"/>
      <c r="J665" s="44"/>
      <c r="K665" s="19" t="str">
        <f aca="false">IF(H665="","",IF(G665="PYG",IF(N(J665)=0,"FALTA TC",H665/J665),H665))</f>
        <v/>
      </c>
      <c r="L665" s="69"/>
      <c r="M665" s="69"/>
      <c r="N665" s="69"/>
    </row>
    <row r="666" customFormat="false" ht="15" hidden="false" customHeight="false" outlineLevel="0" collapsed="false">
      <c r="A666" s="69"/>
      <c r="B666" s="29"/>
      <c r="C666" s="88"/>
      <c r="D666" s="69"/>
      <c r="E666" s="69"/>
      <c r="F666" s="69"/>
      <c r="G666" s="69"/>
      <c r="H666" s="55"/>
      <c r="I666" s="44"/>
      <c r="J666" s="44"/>
      <c r="K666" s="19" t="str">
        <f aca="false">IF(H666="","",IF(G666="PYG",IF(N(J666)=0,"FALTA TC",H666/J666),H666))</f>
        <v/>
      </c>
      <c r="L666" s="69"/>
      <c r="M666" s="69"/>
      <c r="N666" s="69"/>
    </row>
    <row r="667" customFormat="false" ht="15" hidden="false" customHeight="false" outlineLevel="0" collapsed="false">
      <c r="A667" s="69"/>
      <c r="B667" s="29"/>
      <c r="C667" s="88"/>
      <c r="D667" s="69"/>
      <c r="E667" s="69"/>
      <c r="F667" s="69"/>
      <c r="G667" s="69"/>
      <c r="H667" s="55"/>
      <c r="I667" s="44"/>
      <c r="J667" s="44"/>
      <c r="K667" s="19" t="str">
        <f aca="false">IF(H667="","",IF(G667="PYG",IF(N(J667)=0,"FALTA TC",H667/J667),H667))</f>
        <v/>
      </c>
      <c r="L667" s="69"/>
      <c r="M667" s="69"/>
      <c r="N667" s="69"/>
    </row>
    <row r="668" customFormat="false" ht="15" hidden="false" customHeight="false" outlineLevel="0" collapsed="false">
      <c r="A668" s="69"/>
      <c r="B668" s="29"/>
      <c r="C668" s="88"/>
      <c r="D668" s="69"/>
      <c r="E668" s="69"/>
      <c r="F668" s="69"/>
      <c r="G668" s="69"/>
      <c r="H668" s="55"/>
      <c r="I668" s="44"/>
      <c r="J668" s="44"/>
      <c r="K668" s="19" t="str">
        <f aca="false">IF(H668="","",IF(G668="PYG",IF(N(J668)=0,"FALTA TC",H668/J668),H668))</f>
        <v/>
      </c>
      <c r="L668" s="69"/>
      <c r="M668" s="69"/>
      <c r="N668" s="69"/>
    </row>
    <row r="669" customFormat="false" ht="15" hidden="false" customHeight="false" outlineLevel="0" collapsed="false">
      <c r="A669" s="69"/>
      <c r="B669" s="29"/>
      <c r="C669" s="88"/>
      <c r="D669" s="69"/>
      <c r="E669" s="69"/>
      <c r="F669" s="69"/>
      <c r="G669" s="69"/>
      <c r="H669" s="55"/>
      <c r="I669" s="44"/>
      <c r="J669" s="44"/>
      <c r="K669" s="19" t="str">
        <f aca="false">IF(H669="","",IF(G669="PYG",IF(N(J669)=0,"FALTA TC",H669/J669),H669))</f>
        <v/>
      </c>
      <c r="L669" s="69"/>
      <c r="M669" s="69"/>
      <c r="N669" s="69"/>
    </row>
    <row r="670" customFormat="false" ht="15" hidden="false" customHeight="false" outlineLevel="0" collapsed="false">
      <c r="A670" s="69"/>
      <c r="B670" s="29"/>
      <c r="C670" s="88"/>
      <c r="D670" s="69"/>
      <c r="E670" s="69"/>
      <c r="F670" s="69"/>
      <c r="G670" s="69"/>
      <c r="H670" s="55"/>
      <c r="I670" s="44"/>
      <c r="J670" s="44"/>
      <c r="K670" s="19" t="str">
        <f aca="false">IF(H670="","",IF(G670="PYG",IF(N(J670)=0,"FALTA TC",H670/J670),H670))</f>
        <v/>
      </c>
      <c r="L670" s="69"/>
      <c r="M670" s="69"/>
      <c r="N670" s="69"/>
    </row>
    <row r="671" customFormat="false" ht="15" hidden="false" customHeight="false" outlineLevel="0" collapsed="false">
      <c r="A671" s="69"/>
      <c r="B671" s="29"/>
      <c r="C671" s="88"/>
      <c r="D671" s="69"/>
      <c r="E671" s="69"/>
      <c r="F671" s="69"/>
      <c r="G671" s="69"/>
      <c r="H671" s="55"/>
      <c r="I671" s="44"/>
      <c r="J671" s="44"/>
      <c r="K671" s="19" t="str">
        <f aca="false">IF(H671="","",IF(G671="PYG",IF(N(J671)=0,"FALTA TC",H671/J671),H671))</f>
        <v/>
      </c>
      <c r="L671" s="69"/>
      <c r="M671" s="69"/>
      <c r="N671" s="69"/>
    </row>
    <row r="672" customFormat="false" ht="15" hidden="false" customHeight="false" outlineLevel="0" collapsed="false">
      <c r="A672" s="69"/>
      <c r="B672" s="29"/>
      <c r="C672" s="88"/>
      <c r="D672" s="69"/>
      <c r="E672" s="69"/>
      <c r="F672" s="69"/>
      <c r="G672" s="69"/>
      <c r="H672" s="55"/>
      <c r="I672" s="44"/>
      <c r="J672" s="44"/>
      <c r="K672" s="19" t="str">
        <f aca="false">IF(H672="","",IF(G672="PYG",IF(N(J672)=0,"FALTA TC",H672/J672),H672))</f>
        <v/>
      </c>
      <c r="L672" s="69"/>
      <c r="M672" s="69"/>
      <c r="N672" s="69"/>
    </row>
    <row r="673" customFormat="false" ht="15" hidden="false" customHeight="false" outlineLevel="0" collapsed="false">
      <c r="A673" s="69"/>
      <c r="B673" s="29"/>
      <c r="C673" s="88"/>
      <c r="D673" s="69"/>
      <c r="E673" s="69"/>
      <c r="F673" s="69"/>
      <c r="G673" s="69"/>
      <c r="H673" s="55"/>
      <c r="I673" s="44"/>
      <c r="J673" s="44"/>
      <c r="K673" s="19" t="str">
        <f aca="false">IF(H673="","",IF(G673="PYG",IF(N(J673)=0,"FALTA TC",H673/J673),H673))</f>
        <v/>
      </c>
      <c r="L673" s="69"/>
      <c r="M673" s="69"/>
      <c r="N673" s="69"/>
    </row>
    <row r="674" customFormat="false" ht="15" hidden="false" customHeight="false" outlineLevel="0" collapsed="false">
      <c r="A674" s="69"/>
      <c r="B674" s="29"/>
      <c r="C674" s="88"/>
      <c r="D674" s="69"/>
      <c r="E674" s="69"/>
      <c r="F674" s="69"/>
      <c r="G674" s="69"/>
      <c r="H674" s="55"/>
      <c r="I674" s="44"/>
      <c r="J674" s="44"/>
      <c r="K674" s="19" t="str">
        <f aca="false">IF(H674="","",IF(G674="PYG",IF(N(J674)=0,"FALTA TC",H674/J674),H674))</f>
        <v/>
      </c>
      <c r="L674" s="69"/>
      <c r="M674" s="69"/>
      <c r="N674" s="69"/>
    </row>
    <row r="675" customFormat="false" ht="15" hidden="false" customHeight="false" outlineLevel="0" collapsed="false">
      <c r="A675" s="69"/>
      <c r="B675" s="29"/>
      <c r="C675" s="88"/>
      <c r="D675" s="69"/>
      <c r="E675" s="69"/>
      <c r="F675" s="69"/>
      <c r="G675" s="69"/>
      <c r="H675" s="55"/>
      <c r="I675" s="44"/>
      <c r="J675" s="44"/>
      <c r="K675" s="19" t="str">
        <f aca="false">IF(H675="","",IF(G675="PYG",IF(N(J675)=0,"FALTA TC",H675/J675),H675))</f>
        <v/>
      </c>
      <c r="L675" s="69"/>
      <c r="M675" s="69"/>
      <c r="N675" s="69"/>
    </row>
    <row r="676" customFormat="false" ht="15" hidden="false" customHeight="false" outlineLevel="0" collapsed="false">
      <c r="A676" s="69"/>
      <c r="B676" s="29"/>
      <c r="C676" s="88"/>
      <c r="D676" s="69"/>
      <c r="E676" s="69"/>
      <c r="F676" s="69"/>
      <c r="G676" s="69"/>
      <c r="H676" s="55"/>
      <c r="I676" s="44"/>
      <c r="J676" s="44"/>
      <c r="K676" s="19" t="str">
        <f aca="false">IF(H676="","",IF(G676="PYG",IF(N(J676)=0,"FALTA TC",H676/J676),H676))</f>
        <v/>
      </c>
      <c r="L676" s="69"/>
      <c r="M676" s="69"/>
      <c r="N676" s="69"/>
    </row>
    <row r="677" customFormat="false" ht="15" hidden="false" customHeight="false" outlineLevel="0" collapsed="false">
      <c r="A677" s="69"/>
      <c r="B677" s="29"/>
      <c r="C677" s="88"/>
      <c r="D677" s="69"/>
      <c r="E677" s="69"/>
      <c r="F677" s="69"/>
      <c r="G677" s="69"/>
      <c r="H677" s="55"/>
      <c r="I677" s="44"/>
      <c r="J677" s="44"/>
      <c r="K677" s="19" t="str">
        <f aca="false">IF(H677="","",IF(G677="PYG",IF(N(J677)=0,"FALTA TC",H677/J677),H677))</f>
        <v/>
      </c>
      <c r="L677" s="69"/>
      <c r="M677" s="69"/>
      <c r="N677" s="69"/>
    </row>
    <row r="678" customFormat="false" ht="15" hidden="false" customHeight="false" outlineLevel="0" collapsed="false">
      <c r="A678" s="69"/>
      <c r="B678" s="29"/>
      <c r="C678" s="88"/>
      <c r="D678" s="69"/>
      <c r="E678" s="69"/>
      <c r="F678" s="69"/>
      <c r="G678" s="69"/>
      <c r="H678" s="55"/>
      <c r="I678" s="44"/>
      <c r="J678" s="44"/>
      <c r="K678" s="19" t="str">
        <f aca="false">IF(H678="","",IF(G678="PYG",IF(N(J678)=0,"FALTA TC",H678/J678),H678))</f>
        <v/>
      </c>
      <c r="L678" s="69"/>
      <c r="M678" s="69"/>
      <c r="N678" s="69"/>
    </row>
    <row r="679" customFormat="false" ht="15" hidden="false" customHeight="false" outlineLevel="0" collapsed="false">
      <c r="A679" s="69"/>
      <c r="B679" s="29"/>
      <c r="C679" s="88"/>
      <c r="D679" s="69"/>
      <c r="E679" s="69"/>
      <c r="F679" s="69"/>
      <c r="G679" s="69"/>
      <c r="H679" s="55"/>
      <c r="I679" s="44"/>
      <c r="J679" s="44"/>
      <c r="K679" s="19" t="str">
        <f aca="false">IF(H679="","",IF(G679="PYG",IF(N(J679)=0,"FALTA TC",H679/J679),H679))</f>
        <v/>
      </c>
      <c r="L679" s="69"/>
      <c r="M679" s="69"/>
      <c r="N679" s="69"/>
    </row>
    <row r="680" customFormat="false" ht="15" hidden="false" customHeight="false" outlineLevel="0" collapsed="false">
      <c r="A680" s="69"/>
      <c r="B680" s="29"/>
      <c r="C680" s="88"/>
      <c r="D680" s="69"/>
      <c r="E680" s="69"/>
      <c r="F680" s="69"/>
      <c r="G680" s="69"/>
      <c r="H680" s="55"/>
      <c r="I680" s="44"/>
      <c r="J680" s="44"/>
      <c r="K680" s="19" t="str">
        <f aca="false">IF(H680="","",IF(G680="PYG",IF(N(J680)=0,"FALTA TC",H680/J680),H680))</f>
        <v/>
      </c>
      <c r="L680" s="69"/>
      <c r="M680" s="69"/>
      <c r="N680" s="69"/>
    </row>
    <row r="681" customFormat="false" ht="15" hidden="false" customHeight="false" outlineLevel="0" collapsed="false">
      <c r="A681" s="69"/>
      <c r="B681" s="29"/>
      <c r="C681" s="88"/>
      <c r="D681" s="69"/>
      <c r="E681" s="69"/>
      <c r="F681" s="69"/>
      <c r="G681" s="69"/>
      <c r="H681" s="55"/>
      <c r="I681" s="44"/>
      <c r="J681" s="44"/>
      <c r="K681" s="19" t="str">
        <f aca="false">IF(H681="","",IF(G681="PYG",IF(N(J681)=0,"FALTA TC",H681/J681),H681))</f>
        <v/>
      </c>
      <c r="L681" s="69"/>
      <c r="M681" s="69"/>
      <c r="N681" s="69"/>
    </row>
    <row r="682" customFormat="false" ht="15" hidden="false" customHeight="false" outlineLevel="0" collapsed="false">
      <c r="A682" s="69"/>
      <c r="B682" s="29"/>
      <c r="C682" s="88"/>
      <c r="D682" s="69"/>
      <c r="E682" s="69"/>
      <c r="F682" s="69"/>
      <c r="G682" s="69"/>
      <c r="H682" s="55"/>
      <c r="I682" s="44"/>
      <c r="J682" s="44"/>
      <c r="K682" s="19" t="str">
        <f aca="false">IF(H682="","",IF(G682="PYG",IF(N(J682)=0,"FALTA TC",H682/J682),H682))</f>
        <v/>
      </c>
      <c r="L682" s="69"/>
      <c r="M682" s="69"/>
      <c r="N682" s="69"/>
    </row>
    <row r="683" customFormat="false" ht="15" hidden="false" customHeight="false" outlineLevel="0" collapsed="false">
      <c r="A683" s="69"/>
      <c r="B683" s="29"/>
      <c r="C683" s="88"/>
      <c r="D683" s="69"/>
      <c r="E683" s="69"/>
      <c r="F683" s="69"/>
      <c r="G683" s="69"/>
      <c r="H683" s="55"/>
      <c r="I683" s="44"/>
      <c r="J683" s="44"/>
      <c r="K683" s="19" t="str">
        <f aca="false">IF(H683="","",IF(G683="PYG",IF(N(J683)=0,"FALTA TC",H683/J683),H683))</f>
        <v/>
      </c>
      <c r="L683" s="69"/>
      <c r="M683" s="69"/>
      <c r="N683" s="69"/>
    </row>
    <row r="684" customFormat="false" ht="15" hidden="false" customHeight="false" outlineLevel="0" collapsed="false">
      <c r="A684" s="69"/>
      <c r="B684" s="29"/>
      <c r="C684" s="88"/>
      <c r="D684" s="69"/>
      <c r="E684" s="69"/>
      <c r="F684" s="69"/>
      <c r="G684" s="69"/>
      <c r="H684" s="55"/>
      <c r="I684" s="44"/>
      <c r="J684" s="44"/>
      <c r="K684" s="19" t="str">
        <f aca="false">IF(H684="","",IF(G684="PYG",IF(N(J684)=0,"FALTA TC",H684/J684),H684))</f>
        <v/>
      </c>
      <c r="L684" s="69"/>
      <c r="M684" s="69"/>
      <c r="N684" s="69"/>
    </row>
    <row r="685" customFormat="false" ht="15" hidden="false" customHeight="false" outlineLevel="0" collapsed="false">
      <c r="A685" s="69"/>
      <c r="B685" s="29"/>
      <c r="C685" s="88"/>
      <c r="D685" s="69"/>
      <c r="E685" s="69"/>
      <c r="F685" s="69"/>
      <c r="G685" s="69"/>
      <c r="H685" s="55"/>
      <c r="I685" s="44"/>
      <c r="J685" s="44"/>
      <c r="K685" s="19" t="str">
        <f aca="false">IF(H685="","",IF(G685="PYG",IF(N(J685)=0,"FALTA TC",H685/J685),H685))</f>
        <v/>
      </c>
      <c r="L685" s="69"/>
      <c r="M685" s="69"/>
      <c r="N685" s="69"/>
    </row>
    <row r="686" customFormat="false" ht="15" hidden="false" customHeight="false" outlineLevel="0" collapsed="false">
      <c r="A686" s="69"/>
      <c r="B686" s="29"/>
      <c r="C686" s="88"/>
      <c r="D686" s="69"/>
      <c r="E686" s="69"/>
      <c r="F686" s="69"/>
      <c r="G686" s="69"/>
      <c r="H686" s="55"/>
      <c r="I686" s="44"/>
      <c r="J686" s="44"/>
      <c r="K686" s="19" t="str">
        <f aca="false">IF(H686="","",IF(G686="PYG",IF(N(J686)=0,"FALTA TC",H686/J686),H686))</f>
        <v/>
      </c>
      <c r="L686" s="69"/>
      <c r="M686" s="69"/>
      <c r="N686" s="69"/>
    </row>
    <row r="687" customFormat="false" ht="15" hidden="false" customHeight="false" outlineLevel="0" collapsed="false">
      <c r="A687" s="69"/>
      <c r="B687" s="29"/>
      <c r="C687" s="88"/>
      <c r="D687" s="69"/>
      <c r="E687" s="69"/>
      <c r="F687" s="69"/>
      <c r="G687" s="69"/>
      <c r="H687" s="55"/>
      <c r="I687" s="44"/>
      <c r="J687" s="44"/>
      <c r="K687" s="19" t="str">
        <f aca="false">IF(H687="","",IF(G687="PYG",IF(N(J687)=0,"FALTA TC",H687/J687),H687))</f>
        <v/>
      </c>
      <c r="L687" s="69"/>
      <c r="M687" s="69"/>
      <c r="N687" s="69"/>
    </row>
    <row r="688" customFormat="false" ht="15" hidden="false" customHeight="false" outlineLevel="0" collapsed="false">
      <c r="A688" s="69"/>
      <c r="B688" s="29"/>
      <c r="C688" s="88"/>
      <c r="D688" s="69"/>
      <c r="E688" s="69"/>
      <c r="F688" s="69"/>
      <c r="G688" s="69"/>
      <c r="H688" s="55"/>
      <c r="I688" s="44"/>
      <c r="J688" s="44"/>
      <c r="K688" s="19" t="str">
        <f aca="false">IF(H688="","",IF(G688="PYG",IF(N(J688)=0,"FALTA TC",H688/J688),H688))</f>
        <v/>
      </c>
      <c r="L688" s="69"/>
      <c r="M688" s="69"/>
      <c r="N688" s="69"/>
    </row>
    <row r="689" customFormat="false" ht="15" hidden="false" customHeight="false" outlineLevel="0" collapsed="false">
      <c r="A689" s="69"/>
      <c r="B689" s="29"/>
      <c r="C689" s="88"/>
      <c r="D689" s="69"/>
      <c r="E689" s="69"/>
      <c r="F689" s="69"/>
      <c r="G689" s="69"/>
      <c r="H689" s="55"/>
      <c r="I689" s="44"/>
      <c r="J689" s="44"/>
      <c r="K689" s="19" t="str">
        <f aca="false">IF(H689="","",IF(G689="PYG",IF(N(J689)=0,"FALTA TC",H689/J689),H689))</f>
        <v/>
      </c>
      <c r="L689" s="69"/>
      <c r="M689" s="69"/>
      <c r="N689" s="69"/>
    </row>
    <row r="690" customFormat="false" ht="15" hidden="false" customHeight="false" outlineLevel="0" collapsed="false">
      <c r="A690" s="69"/>
      <c r="B690" s="29"/>
      <c r="C690" s="88"/>
      <c r="D690" s="69"/>
      <c r="E690" s="69"/>
      <c r="F690" s="69"/>
      <c r="G690" s="69"/>
      <c r="H690" s="55"/>
      <c r="I690" s="44"/>
      <c r="J690" s="44"/>
      <c r="K690" s="19" t="str">
        <f aca="false">IF(H690="","",IF(G690="PYG",IF(N(J690)=0,"FALTA TC",H690/J690),H690))</f>
        <v/>
      </c>
      <c r="L690" s="69"/>
      <c r="M690" s="69"/>
      <c r="N690" s="69"/>
    </row>
    <row r="691" customFormat="false" ht="15" hidden="false" customHeight="false" outlineLevel="0" collapsed="false">
      <c r="A691" s="69"/>
      <c r="B691" s="29"/>
      <c r="C691" s="88"/>
      <c r="D691" s="69"/>
      <c r="E691" s="69"/>
      <c r="F691" s="69"/>
      <c r="G691" s="69"/>
      <c r="H691" s="55"/>
      <c r="I691" s="44"/>
      <c r="J691" s="44"/>
      <c r="K691" s="19" t="str">
        <f aca="false">IF(H691="","",IF(G691="PYG",IF(N(J691)=0,"FALTA TC",H691/J691),H691))</f>
        <v/>
      </c>
      <c r="L691" s="69"/>
      <c r="M691" s="69"/>
      <c r="N691" s="69"/>
    </row>
    <row r="692" customFormat="false" ht="15" hidden="false" customHeight="false" outlineLevel="0" collapsed="false">
      <c r="A692" s="69"/>
      <c r="B692" s="29"/>
      <c r="C692" s="88"/>
      <c r="D692" s="69"/>
      <c r="E692" s="69"/>
      <c r="F692" s="69"/>
      <c r="G692" s="69"/>
      <c r="H692" s="55"/>
      <c r="I692" s="44"/>
      <c r="J692" s="44"/>
      <c r="K692" s="19" t="str">
        <f aca="false">IF(H692="","",IF(G692="PYG",IF(N(J692)=0,"FALTA TC",H692/J692),H692))</f>
        <v/>
      </c>
      <c r="L692" s="69"/>
      <c r="M692" s="69"/>
      <c r="N692" s="69"/>
    </row>
    <row r="693" customFormat="false" ht="15" hidden="false" customHeight="false" outlineLevel="0" collapsed="false">
      <c r="A693" s="69"/>
      <c r="B693" s="29"/>
      <c r="C693" s="88"/>
      <c r="D693" s="69"/>
      <c r="E693" s="69"/>
      <c r="F693" s="69"/>
      <c r="G693" s="69"/>
      <c r="H693" s="55"/>
      <c r="I693" s="44"/>
      <c r="J693" s="44"/>
      <c r="K693" s="19" t="str">
        <f aca="false">IF(H693="","",IF(G693="PYG",IF(N(J693)=0,"FALTA TC",H693/J693),H693))</f>
        <v/>
      </c>
      <c r="L693" s="69"/>
      <c r="M693" s="69"/>
      <c r="N693" s="69"/>
    </row>
    <row r="694" customFormat="false" ht="15" hidden="false" customHeight="false" outlineLevel="0" collapsed="false">
      <c r="A694" s="69"/>
      <c r="B694" s="29"/>
      <c r="C694" s="88"/>
      <c r="D694" s="69"/>
      <c r="E694" s="69"/>
      <c r="F694" s="69"/>
      <c r="G694" s="69"/>
      <c r="H694" s="55"/>
      <c r="I694" s="44"/>
      <c r="J694" s="44"/>
      <c r="K694" s="19" t="str">
        <f aca="false">IF(H694="","",IF(G694="PYG",IF(N(J694)=0,"FALTA TC",H694/J694),H694))</f>
        <v/>
      </c>
      <c r="L694" s="69"/>
      <c r="M694" s="69"/>
      <c r="N694" s="69"/>
    </row>
    <row r="695" customFormat="false" ht="15" hidden="false" customHeight="false" outlineLevel="0" collapsed="false">
      <c r="A695" s="69"/>
      <c r="B695" s="29"/>
      <c r="C695" s="88"/>
      <c r="D695" s="69"/>
      <c r="E695" s="69"/>
      <c r="F695" s="69"/>
      <c r="G695" s="69"/>
      <c r="H695" s="55"/>
      <c r="I695" s="44"/>
      <c r="J695" s="44"/>
      <c r="K695" s="19" t="str">
        <f aca="false">IF(H695="","",IF(G695="PYG",IF(N(J695)=0,"FALTA TC",H695/J695),H695))</f>
        <v/>
      </c>
      <c r="L695" s="69"/>
      <c r="M695" s="69"/>
      <c r="N695" s="69"/>
    </row>
    <row r="696" customFormat="false" ht="15" hidden="false" customHeight="false" outlineLevel="0" collapsed="false">
      <c r="A696" s="69"/>
      <c r="B696" s="29"/>
      <c r="C696" s="88"/>
      <c r="D696" s="69"/>
      <c r="E696" s="69"/>
      <c r="F696" s="69"/>
      <c r="G696" s="69"/>
      <c r="H696" s="55"/>
      <c r="I696" s="44"/>
      <c r="J696" s="44"/>
      <c r="K696" s="19" t="str">
        <f aca="false">IF(H696="","",IF(G696="PYG",IF(N(J696)=0,"FALTA TC",H696/J696),H696))</f>
        <v/>
      </c>
      <c r="L696" s="69"/>
      <c r="M696" s="69"/>
      <c r="N696" s="69"/>
    </row>
    <row r="697" customFormat="false" ht="15" hidden="false" customHeight="false" outlineLevel="0" collapsed="false">
      <c r="A697" s="69"/>
      <c r="B697" s="29"/>
      <c r="C697" s="88"/>
      <c r="D697" s="69"/>
      <c r="E697" s="69"/>
      <c r="F697" s="69"/>
      <c r="G697" s="69"/>
      <c r="H697" s="55"/>
      <c r="I697" s="44"/>
      <c r="J697" s="44"/>
      <c r="K697" s="19" t="str">
        <f aca="false">IF(H697="","",IF(G697="PYG",IF(N(J697)=0,"FALTA TC",H697/J697),H697))</f>
        <v/>
      </c>
      <c r="L697" s="69"/>
      <c r="M697" s="69"/>
      <c r="N697" s="69"/>
    </row>
    <row r="698" customFormat="false" ht="15" hidden="false" customHeight="false" outlineLevel="0" collapsed="false">
      <c r="A698" s="69"/>
      <c r="B698" s="29"/>
      <c r="C698" s="88"/>
      <c r="D698" s="69"/>
      <c r="E698" s="69"/>
      <c r="F698" s="69"/>
      <c r="G698" s="69"/>
      <c r="H698" s="55"/>
      <c r="I698" s="44"/>
      <c r="J698" s="44"/>
      <c r="K698" s="19" t="str">
        <f aca="false">IF(H698="","",IF(G698="PYG",IF(N(J698)=0,"FALTA TC",H698/J698),H698))</f>
        <v/>
      </c>
      <c r="L698" s="69"/>
      <c r="M698" s="69"/>
      <c r="N698" s="69"/>
    </row>
    <row r="699" customFormat="false" ht="15" hidden="false" customHeight="false" outlineLevel="0" collapsed="false">
      <c r="A699" s="69"/>
      <c r="B699" s="29"/>
      <c r="C699" s="88"/>
      <c r="D699" s="69"/>
      <c r="E699" s="69"/>
      <c r="F699" s="69"/>
      <c r="G699" s="69"/>
      <c r="H699" s="55"/>
      <c r="I699" s="44"/>
      <c r="J699" s="44"/>
      <c r="K699" s="19" t="str">
        <f aca="false">IF(H699="","",IF(G699="PYG",IF(N(J699)=0,"FALTA TC",H699/J699),H699))</f>
        <v/>
      </c>
      <c r="L699" s="69"/>
      <c r="M699" s="69"/>
      <c r="N699" s="69"/>
    </row>
    <row r="700" customFormat="false" ht="15" hidden="false" customHeight="false" outlineLevel="0" collapsed="false">
      <c r="A700" s="69"/>
      <c r="B700" s="29"/>
      <c r="C700" s="88"/>
      <c r="D700" s="69"/>
      <c r="E700" s="69"/>
      <c r="F700" s="69"/>
      <c r="G700" s="69"/>
      <c r="H700" s="55"/>
      <c r="I700" s="44"/>
      <c r="J700" s="44"/>
      <c r="K700" s="19" t="str">
        <f aca="false">IF(H700="","",IF(G700="PYG",IF(N(J700)=0,"FALTA TC",H700/J700),H700))</f>
        <v/>
      </c>
      <c r="L700" s="69"/>
      <c r="M700" s="69"/>
      <c r="N700" s="69"/>
    </row>
    <row r="701" customFormat="false" ht="15" hidden="false" customHeight="false" outlineLevel="0" collapsed="false">
      <c r="A701" s="69"/>
      <c r="B701" s="29"/>
      <c r="C701" s="88"/>
      <c r="D701" s="69"/>
      <c r="E701" s="69"/>
      <c r="F701" s="69"/>
      <c r="G701" s="69"/>
      <c r="H701" s="55"/>
      <c r="I701" s="44"/>
      <c r="J701" s="44"/>
      <c r="K701" s="19" t="str">
        <f aca="false">IF(H701="","",IF(G701="PYG",IF(N(J701)=0,"FALTA TC",H701/J701),H701))</f>
        <v/>
      </c>
      <c r="L701" s="69"/>
      <c r="M701" s="69"/>
      <c r="N701" s="69"/>
    </row>
    <row r="702" customFormat="false" ht="15" hidden="false" customHeight="false" outlineLevel="0" collapsed="false">
      <c r="A702" s="69"/>
      <c r="B702" s="29"/>
      <c r="C702" s="88"/>
      <c r="D702" s="69"/>
      <c r="E702" s="69"/>
      <c r="F702" s="69"/>
      <c r="G702" s="69"/>
      <c r="H702" s="55"/>
      <c r="I702" s="44"/>
      <c r="J702" s="44"/>
      <c r="K702" s="19" t="str">
        <f aca="false">IF(H702="","",IF(G702="PYG",IF(N(J702)=0,"FALTA TC",H702/J702),H702))</f>
        <v/>
      </c>
      <c r="L702" s="69"/>
      <c r="M702" s="69"/>
      <c r="N702" s="69"/>
    </row>
    <row r="703" customFormat="false" ht="15" hidden="false" customHeight="false" outlineLevel="0" collapsed="false">
      <c r="A703" s="69"/>
      <c r="B703" s="29"/>
      <c r="C703" s="88"/>
      <c r="D703" s="69"/>
      <c r="E703" s="69"/>
      <c r="F703" s="69"/>
      <c r="G703" s="69"/>
      <c r="H703" s="55"/>
      <c r="I703" s="44"/>
      <c r="J703" s="44"/>
      <c r="K703" s="19" t="str">
        <f aca="false">IF(H703="","",IF(G703="PYG",IF(N(J703)=0,"FALTA TC",H703/J703),H703))</f>
        <v/>
      </c>
      <c r="L703" s="69"/>
      <c r="M703" s="69"/>
      <c r="N703" s="69"/>
    </row>
    <row r="704" customFormat="false" ht="15" hidden="false" customHeight="false" outlineLevel="0" collapsed="false">
      <c r="A704" s="69"/>
      <c r="B704" s="29"/>
      <c r="C704" s="88"/>
      <c r="D704" s="69"/>
      <c r="E704" s="69"/>
      <c r="F704" s="69"/>
      <c r="G704" s="69"/>
      <c r="H704" s="55"/>
      <c r="I704" s="44"/>
      <c r="J704" s="44"/>
      <c r="K704" s="19" t="str">
        <f aca="false">IF(H704="","",IF(G704="PYG",IF(N(J704)=0,"FALTA TC",H704/J704),H704))</f>
        <v/>
      </c>
      <c r="L704" s="69"/>
      <c r="M704" s="69"/>
      <c r="N704" s="69"/>
    </row>
    <row r="705" customFormat="false" ht="15" hidden="false" customHeight="false" outlineLevel="0" collapsed="false">
      <c r="A705" s="69"/>
      <c r="B705" s="29"/>
      <c r="C705" s="88"/>
      <c r="D705" s="69"/>
      <c r="E705" s="69"/>
      <c r="F705" s="69"/>
      <c r="G705" s="69"/>
      <c r="H705" s="55"/>
      <c r="I705" s="44"/>
      <c r="J705" s="44"/>
      <c r="K705" s="19" t="str">
        <f aca="false">IF(H705="","",IF(G705="PYG",IF(N(J705)=0,"FALTA TC",H705/J705),H705))</f>
        <v/>
      </c>
      <c r="L705" s="69"/>
      <c r="M705" s="69"/>
      <c r="N705" s="69"/>
    </row>
    <row r="706" customFormat="false" ht="15" hidden="false" customHeight="false" outlineLevel="0" collapsed="false">
      <c r="A706" s="69"/>
      <c r="B706" s="29"/>
      <c r="C706" s="88"/>
      <c r="D706" s="69"/>
      <c r="E706" s="69"/>
      <c r="F706" s="69"/>
      <c r="G706" s="69"/>
      <c r="H706" s="55"/>
      <c r="I706" s="44"/>
      <c r="J706" s="44"/>
      <c r="K706" s="19" t="str">
        <f aca="false">IF(H706="","",IF(G706="PYG",IF(N(J706)=0,"FALTA TC",H706/J706),H706))</f>
        <v/>
      </c>
      <c r="L706" s="69"/>
      <c r="M706" s="69"/>
      <c r="N706" s="69"/>
    </row>
    <row r="707" customFormat="false" ht="15" hidden="false" customHeight="false" outlineLevel="0" collapsed="false">
      <c r="A707" s="69"/>
      <c r="B707" s="29"/>
      <c r="C707" s="88"/>
      <c r="D707" s="69"/>
      <c r="E707" s="69"/>
      <c r="F707" s="69"/>
      <c r="G707" s="69"/>
      <c r="H707" s="55"/>
      <c r="I707" s="44"/>
      <c r="J707" s="44"/>
      <c r="K707" s="19" t="str">
        <f aca="false">IF(H707="","",IF(G707="PYG",IF(N(J707)=0,"FALTA TC",H707/J707),H707))</f>
        <v/>
      </c>
      <c r="L707" s="69"/>
      <c r="M707" s="69"/>
      <c r="N707" s="69"/>
    </row>
    <row r="708" customFormat="false" ht="15" hidden="false" customHeight="false" outlineLevel="0" collapsed="false">
      <c r="A708" s="69"/>
      <c r="B708" s="29"/>
      <c r="C708" s="88"/>
      <c r="D708" s="69"/>
      <c r="E708" s="69"/>
      <c r="F708" s="69"/>
      <c r="G708" s="69"/>
      <c r="H708" s="55"/>
      <c r="I708" s="44"/>
      <c r="J708" s="44"/>
      <c r="K708" s="19" t="str">
        <f aca="false">IF(H708="","",IF(G708="PYG",IF(N(J708)=0,"FALTA TC",H708/J708),H708))</f>
        <v/>
      </c>
      <c r="L708" s="69"/>
      <c r="M708" s="69"/>
      <c r="N708" s="69"/>
    </row>
    <row r="709" customFormat="false" ht="15" hidden="false" customHeight="false" outlineLevel="0" collapsed="false">
      <c r="A709" s="69"/>
      <c r="B709" s="29"/>
      <c r="C709" s="88"/>
      <c r="D709" s="69"/>
      <c r="E709" s="69"/>
      <c r="F709" s="69"/>
      <c r="G709" s="69"/>
      <c r="H709" s="55"/>
      <c r="I709" s="44"/>
      <c r="J709" s="44"/>
      <c r="K709" s="19" t="str">
        <f aca="false">IF(H709="","",IF(G709="PYG",IF(N(J709)=0,"FALTA TC",H709/J709),H709))</f>
        <v/>
      </c>
      <c r="L709" s="69"/>
      <c r="M709" s="69"/>
      <c r="N709" s="69"/>
    </row>
    <row r="710" customFormat="false" ht="15" hidden="false" customHeight="false" outlineLevel="0" collapsed="false">
      <c r="A710" s="69"/>
      <c r="B710" s="29"/>
      <c r="C710" s="88"/>
      <c r="D710" s="69"/>
      <c r="E710" s="69"/>
      <c r="F710" s="69"/>
      <c r="G710" s="69"/>
      <c r="H710" s="55"/>
      <c r="I710" s="44"/>
      <c r="J710" s="44"/>
      <c r="K710" s="19" t="str">
        <f aca="false">IF(H710="","",IF(G710="PYG",IF(N(J710)=0,"FALTA TC",H710/J710),H710))</f>
        <v/>
      </c>
      <c r="L710" s="69"/>
      <c r="M710" s="69"/>
      <c r="N710" s="69"/>
    </row>
    <row r="711" customFormat="false" ht="15" hidden="false" customHeight="false" outlineLevel="0" collapsed="false">
      <c r="A711" s="69"/>
      <c r="B711" s="29"/>
      <c r="C711" s="88"/>
      <c r="D711" s="69"/>
      <c r="E711" s="69"/>
      <c r="F711" s="69"/>
      <c r="G711" s="69"/>
      <c r="H711" s="55"/>
      <c r="I711" s="44"/>
      <c r="J711" s="44"/>
      <c r="K711" s="19" t="str">
        <f aca="false">IF(H711="","",IF(G711="PYG",IF(N(J711)=0,"FALTA TC",H711/J711),H711))</f>
        <v/>
      </c>
      <c r="L711" s="69"/>
      <c r="M711" s="69"/>
      <c r="N711" s="69"/>
    </row>
    <row r="712" customFormat="false" ht="15" hidden="false" customHeight="false" outlineLevel="0" collapsed="false">
      <c r="A712" s="69"/>
      <c r="B712" s="29"/>
      <c r="C712" s="88"/>
      <c r="D712" s="69"/>
      <c r="E712" s="69"/>
      <c r="F712" s="69"/>
      <c r="G712" s="69"/>
      <c r="H712" s="55"/>
      <c r="I712" s="44"/>
      <c r="J712" s="44"/>
      <c r="K712" s="19" t="str">
        <f aca="false">IF(H712="","",IF(G712="PYG",IF(N(J712)=0,"FALTA TC",H712/J712),H712))</f>
        <v/>
      </c>
      <c r="L712" s="69"/>
      <c r="M712" s="69"/>
      <c r="N712" s="69"/>
    </row>
    <row r="713" customFormat="false" ht="15" hidden="false" customHeight="false" outlineLevel="0" collapsed="false">
      <c r="A713" s="69"/>
      <c r="B713" s="29"/>
      <c r="C713" s="88"/>
      <c r="D713" s="69"/>
      <c r="E713" s="69"/>
      <c r="F713" s="69"/>
      <c r="G713" s="69"/>
      <c r="H713" s="55"/>
      <c r="I713" s="44"/>
      <c r="J713" s="44"/>
      <c r="K713" s="19" t="str">
        <f aca="false">IF(H713="","",IF(G713="PYG",IF(N(J713)=0,"FALTA TC",H713/J713),H713))</f>
        <v/>
      </c>
      <c r="L713" s="69"/>
      <c r="M713" s="69"/>
      <c r="N713" s="69"/>
    </row>
    <row r="714" customFormat="false" ht="15" hidden="false" customHeight="false" outlineLevel="0" collapsed="false">
      <c r="A714" s="69"/>
      <c r="B714" s="29"/>
      <c r="C714" s="88"/>
      <c r="D714" s="69"/>
      <c r="E714" s="69"/>
      <c r="F714" s="69"/>
      <c r="G714" s="69"/>
      <c r="H714" s="55"/>
      <c r="I714" s="44"/>
      <c r="J714" s="44"/>
      <c r="K714" s="19" t="str">
        <f aca="false">IF(H714="","",IF(G714="PYG",IF(N(J714)=0,"FALTA TC",H714/J714),H714))</f>
        <v/>
      </c>
      <c r="L714" s="69"/>
      <c r="M714" s="69"/>
      <c r="N714" s="69"/>
    </row>
    <row r="715" customFormat="false" ht="15" hidden="false" customHeight="false" outlineLevel="0" collapsed="false">
      <c r="A715" s="69"/>
      <c r="B715" s="29"/>
      <c r="C715" s="88"/>
      <c r="D715" s="69"/>
      <c r="E715" s="69"/>
      <c r="F715" s="69"/>
      <c r="G715" s="69"/>
      <c r="H715" s="55"/>
      <c r="I715" s="44"/>
      <c r="J715" s="44"/>
      <c r="K715" s="19" t="str">
        <f aca="false">IF(H715="","",IF(G715="PYG",IF(N(J715)=0,"FALTA TC",H715/J715),H715))</f>
        <v/>
      </c>
      <c r="L715" s="69"/>
      <c r="M715" s="69"/>
      <c r="N715" s="69"/>
    </row>
    <row r="716" customFormat="false" ht="15" hidden="false" customHeight="false" outlineLevel="0" collapsed="false">
      <c r="A716" s="69"/>
      <c r="B716" s="29"/>
      <c r="C716" s="88"/>
      <c r="D716" s="69"/>
      <c r="E716" s="69"/>
      <c r="F716" s="69"/>
      <c r="G716" s="69"/>
      <c r="H716" s="55"/>
      <c r="I716" s="44"/>
      <c r="J716" s="44"/>
      <c r="K716" s="19" t="str">
        <f aca="false">IF(H716="","",IF(G716="PYG",IF(N(J716)=0,"FALTA TC",H716/J716),H716))</f>
        <v/>
      </c>
      <c r="L716" s="69"/>
      <c r="M716" s="69"/>
      <c r="N716" s="69"/>
    </row>
    <row r="717" customFormat="false" ht="15" hidden="false" customHeight="false" outlineLevel="0" collapsed="false">
      <c r="A717" s="69"/>
      <c r="B717" s="29"/>
      <c r="C717" s="88"/>
      <c r="D717" s="69"/>
      <c r="E717" s="69"/>
      <c r="F717" s="69"/>
      <c r="G717" s="69"/>
      <c r="H717" s="55"/>
      <c r="I717" s="44"/>
      <c r="J717" s="44"/>
      <c r="K717" s="19" t="str">
        <f aca="false">IF(H717="","",IF(G717="PYG",IF(N(J717)=0,"FALTA TC",H717/J717),H717))</f>
        <v/>
      </c>
      <c r="L717" s="69"/>
      <c r="M717" s="69"/>
      <c r="N717" s="69"/>
    </row>
    <row r="718" customFormat="false" ht="15" hidden="false" customHeight="false" outlineLevel="0" collapsed="false">
      <c r="A718" s="69"/>
      <c r="B718" s="29"/>
      <c r="C718" s="88"/>
      <c r="D718" s="69"/>
      <c r="E718" s="69"/>
      <c r="F718" s="69"/>
      <c r="G718" s="69"/>
      <c r="H718" s="55"/>
      <c r="I718" s="44"/>
      <c r="J718" s="44"/>
      <c r="K718" s="19" t="str">
        <f aca="false">IF(H718="","",IF(G718="PYG",IF(N(J718)=0,"FALTA TC",H718/J718),H718))</f>
        <v/>
      </c>
      <c r="L718" s="69"/>
      <c r="M718" s="69"/>
      <c r="N718" s="69"/>
    </row>
    <row r="719" customFormat="false" ht="15" hidden="false" customHeight="false" outlineLevel="0" collapsed="false">
      <c r="A719" s="69"/>
      <c r="B719" s="29"/>
      <c r="C719" s="88"/>
      <c r="D719" s="69"/>
      <c r="E719" s="69"/>
      <c r="F719" s="69"/>
      <c r="G719" s="69"/>
      <c r="H719" s="55"/>
      <c r="I719" s="44"/>
      <c r="J719" s="44"/>
      <c r="K719" s="19" t="str">
        <f aca="false">IF(H719="","",IF(G719="PYG",IF(N(J719)=0,"FALTA TC",H719/J719),H719))</f>
        <v/>
      </c>
      <c r="L719" s="69"/>
      <c r="M719" s="69"/>
      <c r="N719" s="69"/>
    </row>
    <row r="720" customFormat="false" ht="15" hidden="false" customHeight="false" outlineLevel="0" collapsed="false">
      <c r="A720" s="69"/>
      <c r="B720" s="29"/>
      <c r="C720" s="88"/>
      <c r="D720" s="69"/>
      <c r="E720" s="69"/>
      <c r="F720" s="69"/>
      <c r="G720" s="69"/>
      <c r="H720" s="55"/>
      <c r="I720" s="44"/>
      <c r="J720" s="44"/>
      <c r="K720" s="19" t="str">
        <f aca="false">IF(H720="","",IF(G720="PYG",IF(N(J720)=0,"FALTA TC",H720/J720),H720))</f>
        <v/>
      </c>
      <c r="L720" s="69"/>
      <c r="M720" s="69"/>
      <c r="N720" s="69"/>
    </row>
    <row r="721" customFormat="false" ht="15" hidden="false" customHeight="false" outlineLevel="0" collapsed="false">
      <c r="A721" s="69"/>
      <c r="B721" s="29"/>
      <c r="C721" s="88"/>
      <c r="D721" s="69"/>
      <c r="E721" s="69"/>
      <c r="F721" s="69"/>
      <c r="G721" s="69"/>
      <c r="H721" s="55"/>
      <c r="I721" s="44"/>
      <c r="J721" s="44"/>
      <c r="K721" s="19" t="str">
        <f aca="false">IF(H721="","",IF(G721="PYG",IF(N(J721)=0,"FALTA TC",H721/J721),H721))</f>
        <v/>
      </c>
      <c r="L721" s="69"/>
      <c r="M721" s="69"/>
      <c r="N721" s="69"/>
    </row>
    <row r="722" customFormat="false" ht="15" hidden="false" customHeight="false" outlineLevel="0" collapsed="false">
      <c r="A722" s="69"/>
      <c r="B722" s="29"/>
      <c r="C722" s="88"/>
      <c r="D722" s="69"/>
      <c r="E722" s="69"/>
      <c r="F722" s="69"/>
      <c r="G722" s="69"/>
      <c r="H722" s="55"/>
      <c r="I722" s="44"/>
      <c r="J722" s="44"/>
      <c r="K722" s="19" t="str">
        <f aca="false">IF(H722="","",IF(G722="PYG",IF(N(J722)=0,"FALTA TC",H722/J722),H722))</f>
        <v/>
      </c>
      <c r="L722" s="69"/>
      <c r="M722" s="69"/>
      <c r="N722" s="69"/>
    </row>
    <row r="723" customFormat="false" ht="15" hidden="false" customHeight="false" outlineLevel="0" collapsed="false">
      <c r="A723" s="69"/>
      <c r="B723" s="29"/>
      <c r="C723" s="88"/>
      <c r="D723" s="69"/>
      <c r="E723" s="69"/>
      <c r="F723" s="69"/>
      <c r="G723" s="69"/>
      <c r="H723" s="55"/>
      <c r="I723" s="44"/>
      <c r="J723" s="44"/>
      <c r="K723" s="19" t="str">
        <f aca="false">IF(H723="","",IF(G723="PYG",IF(N(J723)=0,"FALTA TC",H723/J723),H723))</f>
        <v/>
      </c>
      <c r="L723" s="69"/>
      <c r="M723" s="69"/>
      <c r="N723" s="69"/>
    </row>
    <row r="724" customFormat="false" ht="15" hidden="false" customHeight="false" outlineLevel="0" collapsed="false">
      <c r="A724" s="69"/>
      <c r="B724" s="29"/>
      <c r="C724" s="88"/>
      <c r="D724" s="69"/>
      <c r="E724" s="69"/>
      <c r="F724" s="69"/>
      <c r="G724" s="69"/>
      <c r="H724" s="55"/>
      <c r="I724" s="44"/>
      <c r="J724" s="44"/>
      <c r="K724" s="19" t="str">
        <f aca="false">IF(H724="","",IF(G724="PYG",IF(N(J724)=0,"FALTA TC",H724/J724),H724))</f>
        <v/>
      </c>
      <c r="L724" s="69"/>
      <c r="M724" s="69"/>
      <c r="N724" s="69"/>
    </row>
    <row r="725" customFormat="false" ht="15" hidden="false" customHeight="false" outlineLevel="0" collapsed="false">
      <c r="A725" s="69"/>
      <c r="B725" s="29"/>
      <c r="C725" s="88"/>
      <c r="D725" s="69"/>
      <c r="E725" s="69"/>
      <c r="F725" s="69"/>
      <c r="G725" s="69"/>
      <c r="H725" s="55"/>
      <c r="I725" s="44"/>
      <c r="J725" s="44"/>
      <c r="K725" s="19" t="str">
        <f aca="false">IF(H725="","",IF(G725="PYG",IF(N(J725)=0,"FALTA TC",H725/J725),H725))</f>
        <v/>
      </c>
      <c r="L725" s="69"/>
      <c r="M725" s="69"/>
      <c r="N725" s="69"/>
    </row>
    <row r="726" customFormat="false" ht="15" hidden="false" customHeight="false" outlineLevel="0" collapsed="false">
      <c r="A726" s="69"/>
      <c r="B726" s="29"/>
      <c r="C726" s="88"/>
      <c r="D726" s="69"/>
      <c r="E726" s="69"/>
      <c r="F726" s="69"/>
      <c r="G726" s="69"/>
      <c r="H726" s="55"/>
      <c r="I726" s="44"/>
      <c r="J726" s="44"/>
      <c r="K726" s="19" t="str">
        <f aca="false">IF(H726="","",IF(G726="PYG",IF(N(J726)=0,"FALTA TC",H726/J726),H726))</f>
        <v/>
      </c>
      <c r="L726" s="69"/>
      <c r="M726" s="69"/>
      <c r="N726" s="69"/>
    </row>
    <row r="727" customFormat="false" ht="15" hidden="false" customHeight="false" outlineLevel="0" collapsed="false">
      <c r="A727" s="69"/>
      <c r="B727" s="29"/>
      <c r="C727" s="88"/>
      <c r="D727" s="69"/>
      <c r="E727" s="69"/>
      <c r="F727" s="69"/>
      <c r="G727" s="69"/>
      <c r="H727" s="55"/>
      <c r="I727" s="44"/>
      <c r="J727" s="44"/>
      <c r="K727" s="19" t="str">
        <f aca="false">IF(H727="","",IF(G727="PYG",IF(N(J727)=0,"FALTA TC",H727/J727),H727))</f>
        <v/>
      </c>
      <c r="L727" s="69"/>
      <c r="M727" s="69"/>
      <c r="N727" s="69"/>
    </row>
    <row r="728" customFormat="false" ht="15" hidden="false" customHeight="false" outlineLevel="0" collapsed="false">
      <c r="A728" s="69"/>
      <c r="B728" s="29"/>
      <c r="C728" s="88"/>
      <c r="D728" s="69"/>
      <c r="E728" s="69"/>
      <c r="F728" s="69"/>
      <c r="G728" s="69"/>
      <c r="H728" s="55"/>
      <c r="I728" s="44"/>
      <c r="J728" s="44"/>
      <c r="K728" s="19" t="str">
        <f aca="false">IF(H728="","",IF(G728="PYG",IF(N(J728)=0,"FALTA TC",H728/J728),H728))</f>
        <v/>
      </c>
      <c r="L728" s="69"/>
      <c r="M728" s="69"/>
      <c r="N728" s="69"/>
    </row>
    <row r="729" customFormat="false" ht="15" hidden="false" customHeight="false" outlineLevel="0" collapsed="false">
      <c r="A729" s="69"/>
      <c r="B729" s="29"/>
      <c r="C729" s="88"/>
      <c r="D729" s="69"/>
      <c r="E729" s="69"/>
      <c r="F729" s="69"/>
      <c r="G729" s="69"/>
      <c r="H729" s="55"/>
      <c r="I729" s="44"/>
      <c r="J729" s="44"/>
      <c r="K729" s="19" t="str">
        <f aca="false">IF(H729="","",IF(G729="PYG",IF(N(J729)=0,"FALTA TC",H729/J729),H729))</f>
        <v/>
      </c>
      <c r="L729" s="69"/>
      <c r="M729" s="69"/>
      <c r="N729" s="69"/>
    </row>
    <row r="730" customFormat="false" ht="15" hidden="false" customHeight="false" outlineLevel="0" collapsed="false">
      <c r="A730" s="69"/>
      <c r="B730" s="29"/>
      <c r="C730" s="88"/>
      <c r="D730" s="69"/>
      <c r="E730" s="69"/>
      <c r="F730" s="69"/>
      <c r="G730" s="69"/>
      <c r="H730" s="55"/>
      <c r="I730" s="44"/>
      <c r="J730" s="44"/>
      <c r="K730" s="19" t="str">
        <f aca="false">IF(H730="","",IF(G730="PYG",IF(N(J730)=0,"FALTA TC",H730/J730),H730))</f>
        <v/>
      </c>
      <c r="L730" s="69"/>
      <c r="M730" s="69"/>
      <c r="N730" s="69"/>
    </row>
    <row r="731" customFormat="false" ht="15" hidden="false" customHeight="false" outlineLevel="0" collapsed="false">
      <c r="A731" s="69"/>
      <c r="B731" s="29"/>
      <c r="C731" s="88"/>
      <c r="D731" s="69"/>
      <c r="E731" s="69"/>
      <c r="F731" s="69"/>
      <c r="G731" s="69"/>
      <c r="H731" s="55"/>
      <c r="I731" s="44"/>
      <c r="J731" s="44"/>
      <c r="K731" s="19" t="str">
        <f aca="false">IF(H731="","",IF(G731="PYG",IF(N(J731)=0,"FALTA TC",H731/J731),H731))</f>
        <v/>
      </c>
      <c r="L731" s="69"/>
      <c r="M731" s="69"/>
      <c r="N731" s="69"/>
    </row>
    <row r="732" customFormat="false" ht="15" hidden="false" customHeight="false" outlineLevel="0" collapsed="false">
      <c r="A732" s="69"/>
      <c r="B732" s="29"/>
      <c r="C732" s="88"/>
      <c r="D732" s="69"/>
      <c r="E732" s="69"/>
      <c r="F732" s="69"/>
      <c r="G732" s="69"/>
      <c r="H732" s="55"/>
      <c r="I732" s="44"/>
      <c r="J732" s="44"/>
      <c r="K732" s="19" t="str">
        <f aca="false">IF(H732="","",IF(G732="PYG",IF(N(J732)=0,"FALTA TC",H732/J732),H732))</f>
        <v/>
      </c>
      <c r="L732" s="69"/>
      <c r="M732" s="69"/>
      <c r="N732" s="69"/>
    </row>
    <row r="733" customFormat="false" ht="15" hidden="false" customHeight="false" outlineLevel="0" collapsed="false">
      <c r="A733" s="69"/>
      <c r="B733" s="29"/>
      <c r="C733" s="88"/>
      <c r="D733" s="69"/>
      <c r="E733" s="69"/>
      <c r="F733" s="69"/>
      <c r="G733" s="69"/>
      <c r="H733" s="55"/>
      <c r="I733" s="44"/>
      <c r="J733" s="44"/>
      <c r="K733" s="19" t="str">
        <f aca="false">IF(H733="","",IF(G733="PYG",IF(N(J733)=0,"FALTA TC",H733/J733),H733))</f>
        <v/>
      </c>
      <c r="L733" s="69"/>
      <c r="M733" s="69"/>
      <c r="N733" s="69"/>
    </row>
  </sheetData>
  <dataValidations count="6">
    <dataValidation allowBlank="true" errorStyle="stop" operator="between" showDropDown="false" showErrorMessage="false" showInputMessage="false" sqref="C14:C22" type="list">
      <formula1>"USD,PYG"</formula1>
      <formula2>0</formula2>
    </dataValidation>
    <dataValidation allowBlank="true" errorStyle="stop" operator="between" showDropDown="false" showErrorMessage="false" showInputMessage="false" sqref="C102:C111" type="list">
      <formula1>"Pendiente,Recibido,Validado,No aplica"</formula1>
      <formula2>0</formula2>
    </dataValidation>
    <dataValidation allowBlank="true" errorStyle="stop" operator="between" showDropDown="false" showErrorMessage="false" showInputMessage="false" sqref="D134:D733" type="list">
      <formula1>$A$51:$A$98</formula1>
      <formula2>0</formula2>
    </dataValidation>
    <dataValidation allowBlank="true" errorStyle="stop" operator="between" showDropDown="false" showErrorMessage="false" showInputMessage="false" sqref="G134:G733" type="list">
      <formula1>"USD,PYG"</formula1>
      <formula2>0</formula2>
    </dataValidation>
    <dataValidation allowBlank="true" errorStyle="stop" operator="between" showDropDown="false" showErrorMessage="false" showInputMessage="false" sqref="M134:M733" type="list">
      <formula1>"Borrador,Revisado,Aprobado,Excluido"</formula1>
      <formula2>0</formula2>
    </dataValidation>
    <dataValidation allowBlank="true" errorStyle="stop" operator="between" showDropDown="false" showErrorMessage="false" showInputMessage="false" sqref="F134:F733" type="list">
      <formula1>"Devengado,Pagado/cobrado,Devengado = pagado,Cantidad,Compromiso"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true"/>
  </sheetPr>
  <dimension ref="A1:Q4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15" min="5" style="0" width="12.5"/>
    <col collapsed="false" customWidth="true" hidden="false" outlineLevel="0" max="16" min="16" style="0" width="14"/>
    <col collapsed="false" customWidth="true" hidden="false" outlineLevel="0" max="17" min="17" style="0" width="70"/>
  </cols>
  <sheetData>
    <row r="1" customFormat="false" ht="16.15" hidden="false" customHeight="false" outlineLevel="0" collapsed="false">
      <c r="A1" s="1" t="s">
        <v>2196</v>
      </c>
    </row>
    <row r="2" customFormat="false" ht="15" hidden="false" customHeight="false" outlineLevel="0" collapsed="false">
      <c r="A2" s="2" t="s">
        <v>2197</v>
      </c>
    </row>
    <row r="4" customFormat="false" ht="15" hidden="false" customHeight="false" outlineLevel="0" collapsed="false">
      <c r="A4" s="10" t="s">
        <v>147</v>
      </c>
      <c r="B4" s="10" t="s">
        <v>958</v>
      </c>
      <c r="C4" s="10" t="s">
        <v>435</v>
      </c>
      <c r="D4" s="10" t="s">
        <v>2198</v>
      </c>
      <c r="E4" s="10" t="s">
        <v>2199</v>
      </c>
      <c r="F4" s="10" t="s">
        <v>264</v>
      </c>
      <c r="G4" s="10" t="s">
        <v>581</v>
      </c>
      <c r="H4" s="10" t="s">
        <v>584</v>
      </c>
      <c r="I4" s="10" t="s">
        <v>587</v>
      </c>
      <c r="J4" s="10" t="s">
        <v>590</v>
      </c>
      <c r="K4" s="10" t="s">
        <v>593</v>
      </c>
      <c r="L4" s="10" t="s">
        <v>596</v>
      </c>
      <c r="M4" s="10" t="s">
        <v>599</v>
      </c>
      <c r="N4" s="10" t="s">
        <v>602</v>
      </c>
      <c r="O4" s="10" t="s">
        <v>605</v>
      </c>
      <c r="P4" s="10" t="s">
        <v>2200</v>
      </c>
      <c r="Q4" s="10" t="s">
        <v>2201</v>
      </c>
    </row>
    <row r="6" customFormat="false" ht="15" hidden="false" customHeight="false" outlineLevel="0" collapsed="false">
      <c r="A6" s="3" t="s">
        <v>2202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15" hidden="false" customHeight="false" outlineLevel="0" collapsed="false">
      <c r="A7" s="8" t="s">
        <v>2203</v>
      </c>
      <c r="B7" s="8" t="s">
        <v>2204</v>
      </c>
      <c r="C7" s="8" t="s">
        <v>156</v>
      </c>
      <c r="D7" s="8" t="s">
        <v>2205</v>
      </c>
      <c r="E7" s="82" t="n">
        <v>7300</v>
      </c>
    </row>
    <row r="8" customFormat="false" ht="15" hidden="false" customHeight="false" outlineLevel="0" collapsed="false">
      <c r="A8" s="8" t="s">
        <v>2206</v>
      </c>
      <c r="B8" s="8" t="s">
        <v>2207</v>
      </c>
      <c r="C8" s="8" t="s">
        <v>343</v>
      </c>
      <c r="D8" s="8" t="s">
        <v>2208</v>
      </c>
      <c r="E8" s="82" t="n">
        <v>18000000</v>
      </c>
    </row>
    <row r="9" customFormat="false" ht="15" hidden="false" customHeight="false" outlineLevel="0" collapsed="false">
      <c r="A9" s="8" t="s">
        <v>2209</v>
      </c>
      <c r="B9" s="8" t="s">
        <v>2210</v>
      </c>
      <c r="C9" s="8" t="s">
        <v>2211</v>
      </c>
      <c r="D9" s="8" t="s">
        <v>2208</v>
      </c>
      <c r="E9" s="82" t="n">
        <v>2250</v>
      </c>
    </row>
    <row r="10" customFormat="false" ht="15" hidden="false" customHeight="false" outlineLevel="0" collapsed="false">
      <c r="A10" s="8" t="s">
        <v>2212</v>
      </c>
      <c r="B10" s="8" t="s">
        <v>2213</v>
      </c>
      <c r="C10" s="8" t="s">
        <v>156</v>
      </c>
      <c r="D10" s="8" t="s">
        <v>2214</v>
      </c>
      <c r="E10" s="13" t="n">
        <f aca="false">E8/E9</f>
        <v>8000</v>
      </c>
      <c r="Q10" s="8" t="s">
        <v>2215</v>
      </c>
    </row>
    <row r="11" customFormat="false" ht="15" hidden="false" customHeight="false" outlineLevel="0" collapsed="false">
      <c r="A11" s="8" t="s">
        <v>2216</v>
      </c>
      <c r="B11" s="8" t="s">
        <v>2217</v>
      </c>
      <c r="C11" s="8" t="s">
        <v>2218</v>
      </c>
      <c r="D11" s="8" t="s">
        <v>2219</v>
      </c>
      <c r="E11" s="83" t="n">
        <v>0.1632</v>
      </c>
    </row>
    <row r="12" customFormat="false" ht="15" hidden="false" customHeight="false" outlineLevel="0" collapsed="false">
      <c r="A12" s="8" t="s">
        <v>2220</v>
      </c>
      <c r="B12" s="8" t="s">
        <v>2221</v>
      </c>
      <c r="C12" s="8" t="s">
        <v>2218</v>
      </c>
      <c r="D12" s="8" t="s">
        <v>2222</v>
      </c>
      <c r="E12" s="83" t="n">
        <v>0.09</v>
      </c>
    </row>
    <row r="13" customFormat="false" ht="15" hidden="false" customHeight="false" outlineLevel="0" collapsed="false">
      <c r="A13" s="8" t="s">
        <v>2223</v>
      </c>
      <c r="B13" s="8" t="s">
        <v>2224</v>
      </c>
      <c r="C13" s="8" t="s">
        <v>2218</v>
      </c>
      <c r="D13" s="8" t="s">
        <v>2219</v>
      </c>
      <c r="E13" s="83" t="n">
        <v>0.0949</v>
      </c>
    </row>
    <row r="14" customFormat="false" ht="15" hidden="false" customHeight="false" outlineLevel="0" collapsed="false">
      <c r="A14" s="8" t="s">
        <v>2225</v>
      </c>
      <c r="B14" s="8" t="s">
        <v>2226</v>
      </c>
      <c r="C14" s="8" t="s">
        <v>255</v>
      </c>
      <c r="D14" s="8" t="s">
        <v>2227</v>
      </c>
      <c r="E14" s="82" t="n">
        <v>200000</v>
      </c>
    </row>
    <row r="15" customFormat="false" ht="15" hidden="false" customHeight="false" outlineLevel="0" collapsed="false">
      <c r="A15" s="8" t="s">
        <v>2228</v>
      </c>
      <c r="B15" s="8" t="s">
        <v>2229</v>
      </c>
      <c r="C15" s="8" t="s">
        <v>255</v>
      </c>
      <c r="D15" s="8" t="s">
        <v>2230</v>
      </c>
      <c r="E15" s="82" t="n">
        <v>2791587</v>
      </c>
    </row>
    <row r="16" customFormat="false" ht="15" hidden="false" customHeight="false" outlineLevel="0" collapsed="false">
      <c r="A16" s="8" t="s">
        <v>2231</v>
      </c>
      <c r="B16" s="8" t="s">
        <v>2232</v>
      </c>
      <c r="C16" s="8" t="s">
        <v>168</v>
      </c>
      <c r="D16" s="8" t="s">
        <v>2222</v>
      </c>
      <c r="E16" s="82" t="n">
        <v>60</v>
      </c>
    </row>
    <row r="17" customFormat="false" ht="15" hidden="false" customHeight="false" outlineLevel="0" collapsed="false">
      <c r="A17" s="8" t="s">
        <v>2233</v>
      </c>
      <c r="B17" s="8" t="s">
        <v>2234</v>
      </c>
      <c r="C17" s="8" t="s">
        <v>168</v>
      </c>
      <c r="D17" s="8" t="s">
        <v>2222</v>
      </c>
      <c r="E17" s="82" t="n">
        <v>6</v>
      </c>
    </row>
    <row r="18" customFormat="false" ht="15" hidden="false" customHeight="false" outlineLevel="0" collapsed="false">
      <c r="A18" s="8" t="s">
        <v>2235</v>
      </c>
      <c r="B18" s="8" t="s">
        <v>2236</v>
      </c>
      <c r="C18" s="8" t="s">
        <v>168</v>
      </c>
      <c r="D18" s="8" t="s">
        <v>2222</v>
      </c>
      <c r="E18" s="82" t="n">
        <v>54</v>
      </c>
    </row>
    <row r="19" customFormat="false" ht="15" hidden="false" customHeight="false" outlineLevel="0" collapsed="false">
      <c r="A19" s="8" t="s">
        <v>2237</v>
      </c>
      <c r="B19" s="8" t="s">
        <v>2238</v>
      </c>
      <c r="C19" s="8" t="s">
        <v>201</v>
      </c>
      <c r="D19" s="8" t="s">
        <v>2239</v>
      </c>
      <c r="E19" s="90" t="n">
        <v>0.1</v>
      </c>
    </row>
    <row r="20" customFormat="false" ht="15" hidden="false" customHeight="false" outlineLevel="0" collapsed="false">
      <c r="A20" s="8" t="s">
        <v>2240</v>
      </c>
      <c r="B20" s="8" t="s">
        <v>337</v>
      </c>
      <c r="C20" s="8" t="s">
        <v>338</v>
      </c>
      <c r="D20" s="8" t="s">
        <v>2241</v>
      </c>
      <c r="E20" s="83" t="n">
        <v>0.4309</v>
      </c>
      <c r="Q20" s="8" t="s">
        <v>2242</v>
      </c>
    </row>
    <row r="21" customFormat="false" ht="15" hidden="false" customHeight="false" outlineLevel="0" collapsed="false">
      <c r="A21" s="8" t="s">
        <v>2243</v>
      </c>
      <c r="B21" s="8" t="s">
        <v>2244</v>
      </c>
      <c r="C21" s="8" t="s">
        <v>289</v>
      </c>
      <c r="D21" s="8" t="s">
        <v>2245</v>
      </c>
      <c r="E21" s="82" t="n">
        <v>3865</v>
      </c>
    </row>
    <row r="22" customFormat="false" ht="15" hidden="false" customHeight="false" outlineLevel="0" collapsed="false">
      <c r="A22" s="8" t="s">
        <v>2246</v>
      </c>
      <c r="B22" s="8" t="s">
        <v>2247</v>
      </c>
      <c r="C22" s="8" t="s">
        <v>293</v>
      </c>
      <c r="D22" s="8" t="s">
        <v>2245</v>
      </c>
      <c r="E22" s="85" t="n">
        <v>4</v>
      </c>
    </row>
    <row r="23" customFormat="false" ht="15" hidden="false" customHeight="false" outlineLevel="0" collapsed="false">
      <c r="A23" s="8" t="s">
        <v>2248</v>
      </c>
      <c r="B23" s="8" t="s">
        <v>2249</v>
      </c>
      <c r="C23" s="8" t="s">
        <v>201</v>
      </c>
      <c r="D23" s="8" t="s">
        <v>2245</v>
      </c>
      <c r="E23" s="90" t="n">
        <v>0.1</v>
      </c>
    </row>
    <row r="24" customFormat="false" ht="15" hidden="false" customHeight="false" outlineLevel="0" collapsed="false">
      <c r="A24" s="8" t="s">
        <v>2250</v>
      </c>
      <c r="B24" s="8" t="s">
        <v>301</v>
      </c>
      <c r="C24" s="8" t="s">
        <v>293</v>
      </c>
      <c r="D24" s="8" t="s">
        <v>2241</v>
      </c>
      <c r="E24" s="85" t="n">
        <v>0.2</v>
      </c>
    </row>
    <row r="25" customFormat="false" ht="15" hidden="false" customHeight="false" outlineLevel="0" collapsed="false">
      <c r="A25" s="8" t="s">
        <v>2251</v>
      </c>
      <c r="B25" s="8" t="s">
        <v>1461</v>
      </c>
      <c r="C25" s="8" t="s">
        <v>201</v>
      </c>
      <c r="D25" s="8" t="s">
        <v>2241</v>
      </c>
      <c r="E25" s="90" t="n">
        <v>0.03</v>
      </c>
    </row>
    <row r="26" customFormat="false" ht="15" hidden="false" customHeight="false" outlineLevel="0" collapsed="false">
      <c r="A26" s="8" t="s">
        <v>2252</v>
      </c>
      <c r="B26" s="8" t="s">
        <v>1001</v>
      </c>
      <c r="C26" s="8" t="s">
        <v>201</v>
      </c>
      <c r="D26" s="8" t="s">
        <v>2241</v>
      </c>
      <c r="E26" s="90" t="n">
        <v>0.01</v>
      </c>
    </row>
    <row r="27" customFormat="false" ht="15" hidden="false" customHeight="false" outlineLevel="0" collapsed="false">
      <c r="A27" s="8" t="s">
        <v>2253</v>
      </c>
      <c r="B27" s="8" t="s">
        <v>2254</v>
      </c>
      <c r="C27" s="8" t="s">
        <v>201</v>
      </c>
      <c r="D27" s="8" t="s">
        <v>2241</v>
      </c>
      <c r="E27" s="90" t="n">
        <v>0.05</v>
      </c>
    </row>
    <row r="28" customFormat="false" ht="15" hidden="false" customHeight="false" outlineLevel="0" collapsed="false">
      <c r="A28" s="8" t="s">
        <v>2255</v>
      </c>
      <c r="B28" s="8" t="s">
        <v>2256</v>
      </c>
      <c r="C28" s="8" t="s">
        <v>201</v>
      </c>
      <c r="D28" s="8" t="s">
        <v>2257</v>
      </c>
      <c r="E28" s="90" t="n">
        <v>0.01</v>
      </c>
    </row>
    <row r="29" customFormat="false" ht="15" hidden="false" customHeight="false" outlineLevel="0" collapsed="false">
      <c r="A29" s="8" t="s">
        <v>2258</v>
      </c>
      <c r="B29" s="8" t="s">
        <v>2027</v>
      </c>
      <c r="C29" s="8" t="s">
        <v>195</v>
      </c>
      <c r="D29" s="8" t="s">
        <v>2259</v>
      </c>
      <c r="E29" s="82" t="n">
        <v>3</v>
      </c>
    </row>
    <row r="30" customFormat="false" ht="15" hidden="false" customHeight="false" outlineLevel="0" collapsed="false">
      <c r="A30" s="8" t="s">
        <v>2260</v>
      </c>
      <c r="B30" s="8" t="s">
        <v>2261</v>
      </c>
      <c r="C30" s="8" t="s">
        <v>195</v>
      </c>
      <c r="D30" s="8" t="s">
        <v>2262</v>
      </c>
      <c r="E30" s="82" t="n">
        <v>15</v>
      </c>
    </row>
    <row r="31" customFormat="false" ht="15" hidden="false" customHeight="false" outlineLevel="0" collapsed="false">
      <c r="A31" s="8" t="s">
        <v>2263</v>
      </c>
      <c r="B31" s="8" t="s">
        <v>2264</v>
      </c>
      <c r="C31" s="8" t="s">
        <v>195</v>
      </c>
      <c r="D31" s="8" t="s">
        <v>2262</v>
      </c>
      <c r="E31" s="82" t="n">
        <v>120</v>
      </c>
    </row>
    <row r="32" customFormat="false" ht="15" hidden="false" customHeight="false" outlineLevel="0" collapsed="false">
      <c r="A32" s="8" t="s">
        <v>2265</v>
      </c>
      <c r="B32" s="8" t="s">
        <v>2266</v>
      </c>
      <c r="C32" s="8" t="s">
        <v>195</v>
      </c>
      <c r="D32" s="8" t="s">
        <v>2262</v>
      </c>
      <c r="E32" s="82" t="n">
        <v>120</v>
      </c>
    </row>
    <row r="33" customFormat="false" ht="15" hidden="false" customHeight="false" outlineLevel="0" collapsed="false">
      <c r="A33" s="8" t="s">
        <v>2267</v>
      </c>
      <c r="B33" s="8" t="s">
        <v>2268</v>
      </c>
      <c r="C33" s="8" t="s">
        <v>195</v>
      </c>
      <c r="D33" s="8" t="s">
        <v>2262</v>
      </c>
      <c r="E33" s="82" t="n">
        <v>10</v>
      </c>
    </row>
    <row r="34" customFormat="false" ht="15" hidden="false" customHeight="false" outlineLevel="0" collapsed="false">
      <c r="A34" s="8" t="s">
        <v>2269</v>
      </c>
      <c r="B34" s="8" t="s">
        <v>2270</v>
      </c>
      <c r="C34" s="8" t="s">
        <v>195</v>
      </c>
      <c r="D34" s="8" t="s">
        <v>2259</v>
      </c>
      <c r="E34" s="82" t="n">
        <v>0</v>
      </c>
    </row>
    <row r="35" customFormat="false" ht="15" hidden="false" customHeight="false" outlineLevel="0" collapsed="false">
      <c r="A35" s="8" t="s">
        <v>2271</v>
      </c>
      <c r="B35" s="8" t="s">
        <v>1855</v>
      </c>
      <c r="C35" s="8" t="s">
        <v>195</v>
      </c>
      <c r="D35" s="8" t="s">
        <v>2262</v>
      </c>
      <c r="E35" s="82" t="n">
        <v>30</v>
      </c>
    </row>
    <row r="36" customFormat="false" ht="15" hidden="false" customHeight="false" outlineLevel="0" collapsed="false">
      <c r="A36" s="8" t="s">
        <v>2272</v>
      </c>
      <c r="B36" s="8" t="s">
        <v>518</v>
      </c>
      <c r="C36" s="8" t="s">
        <v>263</v>
      </c>
      <c r="D36" s="8" t="s">
        <v>2273</v>
      </c>
      <c r="E36" s="85" t="n">
        <v>270</v>
      </c>
    </row>
    <row r="37" customFormat="false" ht="15" hidden="false" customHeight="false" outlineLevel="0" collapsed="false">
      <c r="A37" s="8" t="s">
        <v>2274</v>
      </c>
      <c r="B37" s="8" t="s">
        <v>521</v>
      </c>
      <c r="C37" s="8" t="s">
        <v>263</v>
      </c>
      <c r="D37" s="8" t="s">
        <v>2273</v>
      </c>
      <c r="E37" s="85" t="n">
        <v>23</v>
      </c>
    </row>
    <row r="38" customFormat="false" ht="15" hidden="false" customHeight="false" outlineLevel="0" collapsed="false">
      <c r="A38" s="8" t="s">
        <v>2275</v>
      </c>
      <c r="B38" s="8" t="s">
        <v>2276</v>
      </c>
      <c r="C38" s="8" t="s">
        <v>201</v>
      </c>
      <c r="D38" s="8" t="s">
        <v>2277</v>
      </c>
      <c r="E38" s="90" t="n">
        <v>0.01</v>
      </c>
    </row>
    <row r="39" customFormat="false" ht="15" hidden="false" customHeight="false" outlineLevel="0" collapsed="false">
      <c r="A39" s="8" t="s">
        <v>2278</v>
      </c>
      <c r="B39" s="8" t="s">
        <v>528</v>
      </c>
      <c r="C39" s="8" t="s">
        <v>263</v>
      </c>
      <c r="D39" s="8" t="s">
        <v>2279</v>
      </c>
      <c r="E39" s="85" t="n">
        <v>82.65</v>
      </c>
    </row>
    <row r="40" customFormat="false" ht="15" hidden="false" customHeight="false" outlineLevel="0" collapsed="false">
      <c r="A40" s="8" t="s">
        <v>2280</v>
      </c>
      <c r="B40" s="8" t="s">
        <v>531</v>
      </c>
      <c r="C40" s="8" t="s">
        <v>263</v>
      </c>
      <c r="D40" s="8" t="s">
        <v>2279</v>
      </c>
      <c r="E40" s="85" t="n">
        <v>7.41</v>
      </c>
    </row>
    <row r="41" customFormat="false" ht="15" hidden="false" customHeight="false" outlineLevel="0" collapsed="false">
      <c r="A41" s="8" t="s">
        <v>2281</v>
      </c>
      <c r="B41" s="8" t="s">
        <v>2282</v>
      </c>
      <c r="C41" s="8" t="s">
        <v>201</v>
      </c>
      <c r="D41" s="8" t="s">
        <v>2277</v>
      </c>
      <c r="E41" s="90" t="n">
        <v>0.01</v>
      </c>
    </row>
    <row r="42" customFormat="false" ht="15" hidden="false" customHeight="false" outlineLevel="0" collapsed="false">
      <c r="A42" s="8" t="s">
        <v>2283</v>
      </c>
      <c r="B42" s="8" t="s">
        <v>2284</v>
      </c>
      <c r="C42" s="8" t="s">
        <v>263</v>
      </c>
      <c r="D42" s="8" t="s">
        <v>2285</v>
      </c>
      <c r="E42" s="85" t="n">
        <v>45</v>
      </c>
    </row>
    <row r="43" customFormat="false" ht="15" hidden="false" customHeight="false" outlineLevel="0" collapsed="false">
      <c r="A43" s="8" t="s">
        <v>2286</v>
      </c>
      <c r="B43" s="8" t="s">
        <v>2287</v>
      </c>
      <c r="C43" s="8" t="s">
        <v>255</v>
      </c>
      <c r="D43" s="8" t="s">
        <v>2285</v>
      </c>
      <c r="E43" s="82" t="n">
        <v>339570</v>
      </c>
    </row>
    <row r="44" customFormat="false" ht="15" hidden="false" customHeight="false" outlineLevel="0" collapsed="false">
      <c r="A44" s="8" t="s">
        <v>2288</v>
      </c>
      <c r="B44" s="8" t="s">
        <v>2289</v>
      </c>
      <c r="C44" s="8" t="s">
        <v>263</v>
      </c>
      <c r="D44" s="8" t="s">
        <v>2285</v>
      </c>
      <c r="E44" s="53" t="n">
        <f aca="false">E43/F91</f>
        <v>4.851</v>
      </c>
      <c r="Q44" s="8" t="s">
        <v>2290</v>
      </c>
    </row>
    <row r="45" customFormat="false" ht="15" hidden="false" customHeight="false" outlineLevel="0" collapsed="false">
      <c r="A45" s="8" t="s">
        <v>2291</v>
      </c>
      <c r="B45" s="8" t="s">
        <v>2292</v>
      </c>
      <c r="C45" s="8" t="s">
        <v>255</v>
      </c>
      <c r="D45" s="8" t="s">
        <v>2285</v>
      </c>
      <c r="E45" s="82" t="n">
        <v>56512</v>
      </c>
    </row>
    <row r="46" customFormat="false" ht="15" hidden="false" customHeight="false" outlineLevel="0" collapsed="false">
      <c r="A46" s="8" t="s">
        <v>2293</v>
      </c>
      <c r="B46" s="8" t="s">
        <v>2294</v>
      </c>
      <c r="C46" s="8" t="s">
        <v>263</v>
      </c>
      <c r="D46" s="8" t="s">
        <v>2285</v>
      </c>
      <c r="E46" s="53" t="n">
        <f aca="false">E45/F88</f>
        <v>4.70933333333333</v>
      </c>
      <c r="Q46" s="8" t="s">
        <v>2295</v>
      </c>
    </row>
    <row r="47" customFormat="false" ht="15" hidden="false" customHeight="false" outlineLevel="0" collapsed="false">
      <c r="A47" s="8" t="s">
        <v>2296</v>
      </c>
      <c r="B47" s="8" t="s">
        <v>2297</v>
      </c>
      <c r="C47" s="8" t="s">
        <v>263</v>
      </c>
      <c r="D47" s="8" t="s">
        <v>2285</v>
      </c>
      <c r="E47" s="85" t="n">
        <v>0.65</v>
      </c>
    </row>
    <row r="48" customFormat="false" ht="15" hidden="false" customHeight="false" outlineLevel="0" collapsed="false">
      <c r="A48" s="8" t="s">
        <v>2298</v>
      </c>
      <c r="B48" s="8" t="s">
        <v>2299</v>
      </c>
      <c r="C48" s="8" t="s">
        <v>277</v>
      </c>
      <c r="D48" s="8" t="s">
        <v>2300</v>
      </c>
      <c r="E48" s="82" t="n">
        <v>153</v>
      </c>
    </row>
    <row r="49" customFormat="false" ht="15" hidden="false" customHeight="false" outlineLevel="0" collapsed="false">
      <c r="A49" s="8" t="s">
        <v>2301</v>
      </c>
      <c r="B49" s="8" t="s">
        <v>2302</v>
      </c>
      <c r="C49" s="8" t="s">
        <v>277</v>
      </c>
      <c r="D49" s="8" t="s">
        <v>2300</v>
      </c>
      <c r="E49" s="82" t="n">
        <v>13</v>
      </c>
    </row>
    <row r="50" customFormat="false" ht="15" hidden="false" customHeight="false" outlineLevel="0" collapsed="false">
      <c r="A50" s="8" t="s">
        <v>2303</v>
      </c>
      <c r="B50" s="8" t="s">
        <v>2304</v>
      </c>
      <c r="C50" s="8" t="s">
        <v>255</v>
      </c>
      <c r="D50" s="8" t="s">
        <v>2227</v>
      </c>
      <c r="E50" s="82" t="n">
        <v>655044</v>
      </c>
    </row>
    <row r="51" customFormat="false" ht="15" hidden="false" customHeight="false" outlineLevel="0" collapsed="false">
      <c r="A51" s="8" t="s">
        <v>2305</v>
      </c>
      <c r="B51" s="8" t="s">
        <v>2306</v>
      </c>
      <c r="C51" s="8" t="s">
        <v>255</v>
      </c>
      <c r="D51" s="8" t="s">
        <v>2227</v>
      </c>
      <c r="E51" s="82" t="n">
        <v>2336543</v>
      </c>
    </row>
    <row r="52" customFormat="false" ht="15" hidden="false" customHeight="false" outlineLevel="0" collapsed="false">
      <c r="A52" s="8" t="s">
        <v>2307</v>
      </c>
      <c r="B52" s="8" t="s">
        <v>2308</v>
      </c>
      <c r="C52" s="8" t="s">
        <v>255</v>
      </c>
      <c r="D52" s="8" t="s">
        <v>2227</v>
      </c>
      <c r="E52" s="82" t="n">
        <v>2991587</v>
      </c>
    </row>
    <row r="53" customFormat="false" ht="15" hidden="false" customHeight="false" outlineLevel="0" collapsed="false">
      <c r="A53" s="8" t="s">
        <v>2309</v>
      </c>
      <c r="B53" s="8" t="s">
        <v>2310</v>
      </c>
      <c r="C53" s="8" t="s">
        <v>255</v>
      </c>
      <c r="D53" s="8" t="s">
        <v>2311</v>
      </c>
      <c r="E53" s="82" t="n">
        <v>100000</v>
      </c>
      <c r="Q53" s="8" t="s">
        <v>2312</v>
      </c>
    </row>
    <row r="54" customFormat="false" ht="15" hidden="false" customHeight="false" outlineLevel="0" collapsed="false">
      <c r="A54" s="8" t="s">
        <v>2313</v>
      </c>
      <c r="B54" s="8" t="s">
        <v>2314</v>
      </c>
      <c r="C54" s="8" t="s">
        <v>255</v>
      </c>
      <c r="D54" s="8" t="s">
        <v>2315</v>
      </c>
      <c r="E54" s="82" t="n">
        <v>567782</v>
      </c>
    </row>
    <row r="55" customFormat="false" ht="15" hidden="false" customHeight="false" outlineLevel="0" collapsed="false">
      <c r="A55" s="8" t="s">
        <v>2316</v>
      </c>
      <c r="B55" s="8" t="s">
        <v>2317</v>
      </c>
      <c r="C55" s="8" t="s">
        <v>255</v>
      </c>
      <c r="D55" s="8" t="s">
        <v>2315</v>
      </c>
      <c r="E55" s="82" t="n">
        <v>371928</v>
      </c>
    </row>
    <row r="56" customFormat="false" ht="15" hidden="false" customHeight="false" outlineLevel="0" collapsed="false">
      <c r="A56" s="8" t="s">
        <v>2318</v>
      </c>
      <c r="B56" s="8" t="s">
        <v>2319</v>
      </c>
      <c r="C56" s="8" t="s">
        <v>255</v>
      </c>
      <c r="D56" s="8" t="s">
        <v>2320</v>
      </c>
      <c r="E56" s="82" t="n">
        <v>3974293</v>
      </c>
    </row>
    <row r="57" customFormat="false" ht="15" hidden="false" customHeight="false" outlineLevel="0" collapsed="false">
      <c r="A57" s="8" t="s">
        <v>2321</v>
      </c>
      <c r="B57" s="8" t="s">
        <v>2322</v>
      </c>
      <c r="C57" s="8" t="s">
        <v>255</v>
      </c>
      <c r="D57" s="8" t="s">
        <v>2320</v>
      </c>
      <c r="E57" s="82" t="n">
        <v>59417</v>
      </c>
    </row>
    <row r="58" customFormat="false" ht="15" hidden="false" customHeight="false" outlineLevel="0" collapsed="false">
      <c r="A58" s="8" t="s">
        <v>2323</v>
      </c>
      <c r="B58" s="8" t="s">
        <v>2324</v>
      </c>
      <c r="C58" s="8" t="s">
        <v>255</v>
      </c>
      <c r="D58" s="8" t="s">
        <v>2325</v>
      </c>
      <c r="E58" s="82" t="n">
        <v>4588736</v>
      </c>
    </row>
    <row r="59" customFormat="false" ht="15" hidden="false" customHeight="false" outlineLevel="0" collapsed="false">
      <c r="A59" s="8" t="s">
        <v>2326</v>
      </c>
      <c r="B59" s="8" t="s">
        <v>2327</v>
      </c>
      <c r="C59" s="8" t="s">
        <v>201</v>
      </c>
      <c r="D59" s="8" t="s">
        <v>2325</v>
      </c>
      <c r="E59" s="83" t="n">
        <v>0.2261</v>
      </c>
    </row>
    <row r="60" customFormat="false" ht="15" hidden="false" customHeight="false" outlineLevel="0" collapsed="false">
      <c r="A60" s="8" t="s">
        <v>2328</v>
      </c>
      <c r="B60" s="8" t="s">
        <v>2329</v>
      </c>
      <c r="C60" s="8" t="s">
        <v>188</v>
      </c>
      <c r="D60" s="8" t="s">
        <v>2330</v>
      </c>
      <c r="E60" s="82" t="n">
        <v>7</v>
      </c>
    </row>
    <row r="61" customFormat="false" ht="15" hidden="false" customHeight="false" outlineLevel="0" collapsed="false">
      <c r="A61" s="8" t="s">
        <v>2331</v>
      </c>
      <c r="B61" s="8" t="s">
        <v>2332</v>
      </c>
      <c r="C61" s="8" t="s">
        <v>343</v>
      </c>
      <c r="D61" s="8" t="s">
        <v>2241</v>
      </c>
      <c r="E61" s="13" t="n">
        <v>576000</v>
      </c>
      <c r="Q61" s="8" t="s">
        <v>2333</v>
      </c>
    </row>
    <row r="63" customFormat="false" ht="15" hidden="false" customHeight="false" outlineLevel="0" collapsed="false">
      <c r="A63" s="3" t="s">
        <v>2334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customFormat="false" ht="15" hidden="false" customHeight="false" outlineLevel="0" collapsed="false">
      <c r="A64" s="10" t="s">
        <v>147</v>
      </c>
      <c r="B64" s="10" t="s">
        <v>2335</v>
      </c>
      <c r="C64" s="10" t="s">
        <v>2336</v>
      </c>
      <c r="D64" s="10" t="s">
        <v>2198</v>
      </c>
      <c r="E64" s="10" t="s">
        <v>2337</v>
      </c>
      <c r="F64" s="10" t="s">
        <v>2338</v>
      </c>
      <c r="G64" s="10" t="s">
        <v>2339</v>
      </c>
      <c r="H64" s="10" t="s">
        <v>2340</v>
      </c>
      <c r="I64" s="10" t="s">
        <v>2341</v>
      </c>
    </row>
    <row r="65" customFormat="false" ht="15" hidden="false" customHeight="false" outlineLevel="0" collapsed="false">
      <c r="A65" s="8" t="s">
        <v>1173</v>
      </c>
      <c r="B65" s="8" t="s">
        <v>1174</v>
      </c>
      <c r="C65" s="91" t="s">
        <v>2342</v>
      </c>
      <c r="D65" s="8" t="s">
        <v>2343</v>
      </c>
      <c r="E65" s="85" t="n">
        <v>161583</v>
      </c>
      <c r="F65" s="19" t="n">
        <f aca="false">E65*10%</f>
        <v>16158.3</v>
      </c>
      <c r="G65" s="19" t="n">
        <f aca="false">E65+F65</f>
        <v>177741.3</v>
      </c>
      <c r="H65" s="82" t="n">
        <v>177741</v>
      </c>
      <c r="I65" s="19" t="n">
        <f aca="false">G65-H65</f>
        <v>0.299999999988358</v>
      </c>
      <c r="Q65" s="8" t="s">
        <v>2344</v>
      </c>
    </row>
    <row r="66" customFormat="false" ht="15" hidden="false" customHeight="false" outlineLevel="0" collapsed="false">
      <c r="A66" s="8" t="s">
        <v>1177</v>
      </c>
      <c r="B66" s="8" t="s">
        <v>2345</v>
      </c>
      <c r="C66" s="91" t="n">
        <v>2</v>
      </c>
      <c r="D66" s="8" t="s">
        <v>2343</v>
      </c>
      <c r="E66" s="85" t="n">
        <v>74400</v>
      </c>
      <c r="F66" s="19" t="n">
        <f aca="false">E66*10%</f>
        <v>7440</v>
      </c>
      <c r="G66" s="19" t="n">
        <f aca="false">E66+F66</f>
        <v>81840</v>
      </c>
      <c r="H66" s="82" t="n">
        <v>81840</v>
      </c>
      <c r="I66" s="19" t="n">
        <f aca="false">G66-H66</f>
        <v>0</v>
      </c>
      <c r="Q66" s="8" t="s">
        <v>2344</v>
      </c>
    </row>
    <row r="67" customFormat="false" ht="15" hidden="false" customHeight="false" outlineLevel="0" collapsed="false">
      <c r="A67" s="8" t="s">
        <v>1179</v>
      </c>
      <c r="B67" s="8" t="s">
        <v>1180</v>
      </c>
      <c r="C67" s="91" t="n">
        <v>1</v>
      </c>
      <c r="D67" s="8" t="s">
        <v>2343</v>
      </c>
      <c r="E67" s="85" t="n">
        <v>9000</v>
      </c>
      <c r="F67" s="19" t="n">
        <f aca="false">E67*10%</f>
        <v>900</v>
      </c>
      <c r="G67" s="19" t="n">
        <f aca="false">E67+F67</f>
        <v>9900</v>
      </c>
      <c r="H67" s="82" t="n">
        <v>9900</v>
      </c>
      <c r="I67" s="19" t="n">
        <f aca="false">G67-H67</f>
        <v>0</v>
      </c>
      <c r="Q67" s="8" t="s">
        <v>2344</v>
      </c>
    </row>
    <row r="68" customFormat="false" ht="15" hidden="false" customHeight="false" outlineLevel="0" collapsed="false">
      <c r="A68" s="8" t="s">
        <v>1181</v>
      </c>
      <c r="B68" s="8" t="s">
        <v>2346</v>
      </c>
      <c r="C68" s="91" t="n">
        <v>4</v>
      </c>
      <c r="D68" s="8" t="s">
        <v>2343</v>
      </c>
      <c r="E68" s="85" t="n">
        <v>134128</v>
      </c>
      <c r="F68" s="19" t="n">
        <f aca="false">E68*10%</f>
        <v>13412.8</v>
      </c>
      <c r="G68" s="19" t="n">
        <f aca="false">E68+F68</f>
        <v>147540.8</v>
      </c>
      <c r="H68" s="82" t="n">
        <v>147541</v>
      </c>
      <c r="I68" s="19" t="n">
        <f aca="false">G68-H68</f>
        <v>-0.200000000011642</v>
      </c>
      <c r="Q68" s="8" t="s">
        <v>2344</v>
      </c>
    </row>
    <row r="69" customFormat="false" ht="15" hidden="false" customHeight="false" outlineLevel="0" collapsed="false">
      <c r="A69" s="8" t="s">
        <v>1183</v>
      </c>
      <c r="B69" s="8" t="s">
        <v>2347</v>
      </c>
      <c r="C69" s="91" t="n">
        <v>6</v>
      </c>
      <c r="D69" s="8" t="s">
        <v>2343</v>
      </c>
      <c r="E69" s="85" t="n">
        <v>3000</v>
      </c>
      <c r="F69" s="19" t="n">
        <f aca="false">E69*10%</f>
        <v>300</v>
      </c>
      <c r="G69" s="19" t="n">
        <f aca="false">E69+F69</f>
        <v>3300</v>
      </c>
      <c r="H69" s="82" t="n">
        <v>3300</v>
      </c>
      <c r="I69" s="19" t="n">
        <f aca="false">G69-H69</f>
        <v>0</v>
      </c>
      <c r="Q69" s="8" t="s">
        <v>2344</v>
      </c>
    </row>
    <row r="70" customFormat="false" ht="15" hidden="false" customHeight="false" outlineLevel="0" collapsed="false">
      <c r="A70" s="8" t="s">
        <v>1185</v>
      </c>
      <c r="B70" s="8" t="s">
        <v>2348</v>
      </c>
      <c r="C70" s="91" t="n">
        <v>4</v>
      </c>
      <c r="D70" s="8" t="s">
        <v>2343</v>
      </c>
      <c r="E70" s="85" t="n">
        <v>520</v>
      </c>
      <c r="F70" s="19" t="n">
        <f aca="false">E70*10%</f>
        <v>52</v>
      </c>
      <c r="G70" s="19" t="n">
        <f aca="false">E70+F70</f>
        <v>572</v>
      </c>
      <c r="H70" s="82" t="n">
        <v>572</v>
      </c>
      <c r="I70" s="19" t="n">
        <f aca="false">G70-H70</f>
        <v>0</v>
      </c>
      <c r="Q70" s="8" t="s">
        <v>2344</v>
      </c>
    </row>
    <row r="71" customFormat="false" ht="15" hidden="false" customHeight="false" outlineLevel="0" collapsed="false">
      <c r="A71" s="8" t="s">
        <v>1187</v>
      </c>
      <c r="B71" s="8" t="s">
        <v>1188</v>
      </c>
      <c r="C71" s="91" t="s">
        <v>2342</v>
      </c>
      <c r="D71" s="8" t="s">
        <v>2343</v>
      </c>
      <c r="E71" s="85" t="n">
        <v>25000</v>
      </c>
      <c r="F71" s="19" t="n">
        <f aca="false">E71*10%</f>
        <v>2500</v>
      </c>
      <c r="G71" s="19" t="n">
        <f aca="false">E71+F71</f>
        <v>27500</v>
      </c>
      <c r="H71" s="82" t="n">
        <v>27500</v>
      </c>
      <c r="I71" s="19" t="n">
        <f aca="false">G71-H71</f>
        <v>0</v>
      </c>
      <c r="Q71" s="8" t="s">
        <v>2344</v>
      </c>
    </row>
    <row r="72" customFormat="false" ht="15" hidden="false" customHeight="false" outlineLevel="0" collapsed="false">
      <c r="A72" s="8" t="s">
        <v>1189</v>
      </c>
      <c r="B72" s="8" t="s">
        <v>1190</v>
      </c>
      <c r="C72" s="91" t="n">
        <v>1</v>
      </c>
      <c r="D72" s="8" t="s">
        <v>2343</v>
      </c>
      <c r="E72" s="85" t="n">
        <v>8700</v>
      </c>
      <c r="F72" s="19" t="n">
        <f aca="false">E72*10%</f>
        <v>870</v>
      </c>
      <c r="G72" s="19" t="n">
        <f aca="false">E72+F72</f>
        <v>9570</v>
      </c>
      <c r="H72" s="82" t="n">
        <v>9570</v>
      </c>
      <c r="I72" s="19" t="n">
        <f aca="false">G72-H72</f>
        <v>0</v>
      </c>
      <c r="Q72" s="8" t="s">
        <v>2344</v>
      </c>
    </row>
    <row r="73" customFormat="false" ht="15" hidden="false" customHeight="false" outlineLevel="0" collapsed="false">
      <c r="A73" s="8" t="s">
        <v>1191</v>
      </c>
      <c r="B73" s="8" t="s">
        <v>1192</v>
      </c>
      <c r="C73" s="91" t="n">
        <v>1</v>
      </c>
      <c r="D73" s="8" t="s">
        <v>2343</v>
      </c>
      <c r="E73" s="85" t="n">
        <v>26000</v>
      </c>
      <c r="F73" s="19" t="n">
        <f aca="false">E73*10%</f>
        <v>2600</v>
      </c>
      <c r="G73" s="19" t="n">
        <f aca="false">E73+F73</f>
        <v>28600</v>
      </c>
      <c r="H73" s="82" t="n">
        <v>28600</v>
      </c>
      <c r="I73" s="19" t="n">
        <f aca="false">G73-H73</f>
        <v>0</v>
      </c>
      <c r="Q73" s="8" t="s">
        <v>2344</v>
      </c>
    </row>
    <row r="74" customFormat="false" ht="15" hidden="false" customHeight="false" outlineLevel="0" collapsed="false">
      <c r="A74" s="8" t="s">
        <v>1193</v>
      </c>
      <c r="B74" s="8" t="s">
        <v>2349</v>
      </c>
      <c r="C74" s="91" t="n">
        <v>2</v>
      </c>
      <c r="D74" s="8" t="s">
        <v>2343</v>
      </c>
      <c r="E74" s="85" t="n">
        <v>5300</v>
      </c>
      <c r="F74" s="19" t="n">
        <f aca="false">E74*10%</f>
        <v>530</v>
      </c>
      <c r="G74" s="19" t="n">
        <f aca="false">E74+F74</f>
        <v>5830</v>
      </c>
      <c r="H74" s="82" t="n">
        <v>5830</v>
      </c>
      <c r="I74" s="19" t="n">
        <f aca="false">G74-H74</f>
        <v>0</v>
      </c>
      <c r="Q74" s="8" t="s">
        <v>2344</v>
      </c>
    </row>
    <row r="75" customFormat="false" ht="15" hidden="false" customHeight="false" outlineLevel="0" collapsed="false">
      <c r="B75" s="5" t="s">
        <v>2350</v>
      </c>
      <c r="E75" s="18" t="n">
        <f aca="false">SUM(E65:E74)</f>
        <v>447631</v>
      </c>
      <c r="F75" s="18" t="n">
        <f aca="false">SUM(F65:F74)</f>
        <v>44763.1</v>
      </c>
      <c r="G75" s="18" t="n">
        <f aca="false">SUM(G65:G74)</f>
        <v>492394.1</v>
      </c>
      <c r="H75" s="82" t="n">
        <v>492394</v>
      </c>
      <c r="I75" s="19" t="n">
        <f aca="false">G75-H75</f>
        <v>0.0999999999767169</v>
      </c>
      <c r="Q75" s="8" t="s">
        <v>2351</v>
      </c>
    </row>
    <row r="76" customFormat="false" ht="15" hidden="false" customHeight="false" outlineLevel="0" collapsed="false">
      <c r="B76" s="8" t="s">
        <v>2352</v>
      </c>
      <c r="D76" s="8" t="s">
        <v>2343</v>
      </c>
      <c r="E76" s="82" t="n">
        <v>14772</v>
      </c>
      <c r="F76" s="36" t="n">
        <f aca="false">E76/G75</f>
        <v>0.0300003594681577</v>
      </c>
      <c r="Q76" s="8" t="s">
        <v>2353</v>
      </c>
    </row>
    <row r="77" customFormat="false" ht="15" hidden="false" customHeight="false" outlineLevel="0" collapsed="false">
      <c r="A77" s="8" t="s">
        <v>2354</v>
      </c>
      <c r="B77" s="8" t="s">
        <v>2355</v>
      </c>
      <c r="C77" s="8" t="s">
        <v>255</v>
      </c>
      <c r="D77" s="8" t="s">
        <v>2356</v>
      </c>
      <c r="E77" s="82" t="n">
        <v>87000</v>
      </c>
    </row>
    <row r="78" customFormat="false" ht="15" hidden="false" customHeight="false" outlineLevel="0" collapsed="false">
      <c r="A78" s="8" t="s">
        <v>2357</v>
      </c>
      <c r="B78" s="8" t="s">
        <v>2358</v>
      </c>
      <c r="C78" s="8" t="s">
        <v>255</v>
      </c>
      <c r="D78" s="8" t="s">
        <v>2356</v>
      </c>
      <c r="E78" s="82" t="n">
        <v>43478</v>
      </c>
    </row>
    <row r="79" customFormat="false" ht="15" hidden="false" customHeight="false" outlineLevel="0" collapsed="false">
      <c r="A79" s="8" t="s">
        <v>2359</v>
      </c>
      <c r="B79" s="8" t="s">
        <v>2360</v>
      </c>
      <c r="C79" s="8" t="s">
        <v>255</v>
      </c>
      <c r="D79" s="8" t="s">
        <v>2356</v>
      </c>
      <c r="E79" s="82" t="n">
        <v>17400</v>
      </c>
    </row>
    <row r="80" customFormat="false" ht="15" hidden="false" customHeight="false" outlineLevel="0" collapsed="false">
      <c r="A80" s="8" t="s">
        <v>2361</v>
      </c>
      <c r="B80" s="8" t="s">
        <v>2362</v>
      </c>
      <c r="C80" s="8" t="s">
        <v>255</v>
      </c>
      <c r="D80" s="8" t="s">
        <v>2363</v>
      </c>
      <c r="E80" s="13" t="n">
        <f aca="false">E77+G75+E76+E78+E79</f>
        <v>655044.1</v>
      </c>
    </row>
    <row r="81" customFormat="false" ht="15" hidden="false" customHeight="false" outlineLevel="0" collapsed="false">
      <c r="A81" s="8" t="s">
        <v>2364</v>
      </c>
      <c r="B81" s="8" t="s">
        <v>2365</v>
      </c>
      <c r="C81" s="8" t="s">
        <v>255</v>
      </c>
      <c r="D81" s="8" t="s">
        <v>2363</v>
      </c>
      <c r="E81" s="19" t="n">
        <f aca="false">E80-E50</f>
        <v>0.0999999999767169</v>
      </c>
      <c r="Q81" s="8" t="s">
        <v>2366</v>
      </c>
    </row>
    <row r="82" customFormat="false" ht="15" hidden="false" customHeight="false" outlineLevel="0" collapsed="false">
      <c r="A82" s="8" t="s">
        <v>2367</v>
      </c>
      <c r="B82" s="8" t="s">
        <v>2368</v>
      </c>
      <c r="C82" s="8" t="s">
        <v>255</v>
      </c>
      <c r="D82" s="8" t="s">
        <v>2363</v>
      </c>
      <c r="E82" s="13" t="n">
        <f aca="false">E50+E51</f>
        <v>2991587</v>
      </c>
    </row>
    <row r="83" customFormat="false" ht="15" hidden="false" customHeight="false" outlineLevel="0" collapsed="false">
      <c r="A83" s="8" t="s">
        <v>2369</v>
      </c>
      <c r="B83" s="8" t="s">
        <v>2370</v>
      </c>
      <c r="C83" s="8" t="s">
        <v>255</v>
      </c>
      <c r="D83" s="8" t="s">
        <v>2363</v>
      </c>
      <c r="E83" s="13" t="n">
        <f aca="false">E14+E15</f>
        <v>2991587</v>
      </c>
    </row>
    <row r="85" customFormat="false" ht="15" hidden="false" customHeight="false" outlineLevel="0" collapsed="false">
      <c r="A85" s="3" t="s">
        <v>2371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customFormat="false" ht="15" hidden="false" customHeight="false" outlineLevel="0" collapsed="false">
      <c r="A86" s="8" t="s">
        <v>2372</v>
      </c>
      <c r="B86" s="8" t="s">
        <v>2373</v>
      </c>
      <c r="C86" s="8" t="s">
        <v>2374</v>
      </c>
      <c r="D86" s="8" t="s">
        <v>2375</v>
      </c>
      <c r="F86" s="82" t="n">
        <v>15000</v>
      </c>
      <c r="G86" s="82" t="n">
        <v>15000</v>
      </c>
      <c r="H86" s="82" t="n">
        <v>22000</v>
      </c>
      <c r="I86" s="82" t="n">
        <v>22000</v>
      </c>
      <c r="J86" s="82" t="n">
        <v>22000</v>
      </c>
      <c r="K86" s="82" t="n">
        <v>22000</v>
      </c>
      <c r="L86" s="82" t="n">
        <v>22000</v>
      </c>
      <c r="M86" s="82" t="n">
        <v>22000</v>
      </c>
      <c r="N86" s="82" t="n">
        <v>22000</v>
      </c>
      <c r="O86" s="82" t="n">
        <v>22000</v>
      </c>
    </row>
    <row r="87" customFormat="false" ht="15" hidden="false" customHeight="false" outlineLevel="0" collapsed="false">
      <c r="A87" s="8" t="s">
        <v>2376</v>
      </c>
      <c r="B87" s="8" t="s">
        <v>2377</v>
      </c>
      <c r="C87" s="8" t="s">
        <v>2374</v>
      </c>
      <c r="D87" s="8" t="s">
        <v>2375</v>
      </c>
      <c r="F87" s="82" t="n">
        <v>12000</v>
      </c>
      <c r="G87" s="82" t="n">
        <v>15000</v>
      </c>
      <c r="H87" s="82" t="n">
        <v>18000</v>
      </c>
      <c r="I87" s="82" t="n">
        <v>21000</v>
      </c>
      <c r="J87" s="82" t="n">
        <v>21000</v>
      </c>
      <c r="K87" s="82" t="n">
        <v>21000</v>
      </c>
      <c r="L87" s="82" t="n">
        <v>21000</v>
      </c>
      <c r="M87" s="82" t="n">
        <v>21000</v>
      </c>
      <c r="N87" s="82" t="n">
        <v>21000</v>
      </c>
      <c r="O87" s="82" t="n">
        <v>21000</v>
      </c>
    </row>
    <row r="88" customFormat="false" ht="15" hidden="false" customHeight="false" outlineLevel="0" collapsed="false">
      <c r="A88" s="8" t="s">
        <v>2378</v>
      </c>
      <c r="B88" s="8" t="s">
        <v>2379</v>
      </c>
      <c r="C88" s="8" t="s">
        <v>2374</v>
      </c>
      <c r="D88" s="8" t="s">
        <v>2375</v>
      </c>
      <c r="F88" s="82" t="n">
        <v>12000</v>
      </c>
      <c r="G88" s="82" t="n">
        <v>15000</v>
      </c>
      <c r="H88" s="82" t="n">
        <v>18000</v>
      </c>
      <c r="I88" s="82" t="n">
        <v>21000</v>
      </c>
      <c r="J88" s="82" t="n">
        <v>21000</v>
      </c>
      <c r="K88" s="82" t="n">
        <v>21000</v>
      </c>
      <c r="L88" s="82" t="n">
        <v>21000</v>
      </c>
      <c r="M88" s="82" t="n">
        <v>21000</v>
      </c>
      <c r="N88" s="82" t="n">
        <v>21000</v>
      </c>
      <c r="O88" s="82" t="n">
        <v>21000</v>
      </c>
    </row>
    <row r="89" customFormat="false" ht="15" hidden="false" customHeight="false" outlineLevel="0" collapsed="false">
      <c r="A89" s="8" t="s">
        <v>2380</v>
      </c>
      <c r="B89" s="8" t="s">
        <v>2381</v>
      </c>
      <c r="C89" s="8" t="s">
        <v>2374</v>
      </c>
      <c r="D89" s="8" t="s">
        <v>2375</v>
      </c>
      <c r="F89" s="82" t="n">
        <v>90000</v>
      </c>
      <c r="G89" s="82" t="n">
        <v>90000</v>
      </c>
      <c r="H89" s="82" t="n">
        <v>121000</v>
      </c>
      <c r="I89" s="82" t="n">
        <v>121000</v>
      </c>
      <c r="J89" s="82" t="n">
        <v>121000</v>
      </c>
      <c r="K89" s="82" t="n">
        <v>121000</v>
      </c>
      <c r="L89" s="82" t="n">
        <v>121000</v>
      </c>
      <c r="M89" s="82" t="n">
        <v>121000</v>
      </c>
      <c r="N89" s="82" t="n">
        <v>121000</v>
      </c>
      <c r="O89" s="82" t="n">
        <v>121000</v>
      </c>
    </row>
    <row r="90" customFormat="false" ht="15" hidden="false" customHeight="false" outlineLevel="0" collapsed="false">
      <c r="A90" s="8" t="s">
        <v>2382</v>
      </c>
      <c r="B90" s="8" t="s">
        <v>2383</v>
      </c>
      <c r="C90" s="8" t="s">
        <v>2374</v>
      </c>
      <c r="D90" s="8" t="s">
        <v>2375</v>
      </c>
      <c r="F90" s="82" t="n">
        <v>70000</v>
      </c>
      <c r="G90" s="82" t="n">
        <v>90000</v>
      </c>
      <c r="H90" s="82" t="n">
        <v>110000</v>
      </c>
      <c r="I90" s="82" t="n">
        <v>120000</v>
      </c>
      <c r="J90" s="82" t="n">
        <v>120000</v>
      </c>
      <c r="K90" s="82" t="n">
        <v>120000</v>
      </c>
      <c r="L90" s="82" t="n">
        <v>120000</v>
      </c>
      <c r="M90" s="82" t="n">
        <v>120000</v>
      </c>
      <c r="N90" s="82" t="n">
        <v>120000</v>
      </c>
      <c r="O90" s="82" t="n">
        <v>120000</v>
      </c>
    </row>
    <row r="91" customFormat="false" ht="15" hidden="false" customHeight="false" outlineLevel="0" collapsed="false">
      <c r="A91" s="8" t="s">
        <v>2384</v>
      </c>
      <c r="B91" s="8" t="s">
        <v>2385</v>
      </c>
      <c r="C91" s="8" t="s">
        <v>2374</v>
      </c>
      <c r="D91" s="8" t="s">
        <v>2375</v>
      </c>
      <c r="F91" s="82" t="n">
        <v>70000</v>
      </c>
      <c r="G91" s="82" t="n">
        <v>90000</v>
      </c>
      <c r="H91" s="82" t="n">
        <v>110000</v>
      </c>
      <c r="I91" s="82" t="n">
        <v>120000</v>
      </c>
      <c r="J91" s="82" t="n">
        <v>120000</v>
      </c>
      <c r="K91" s="82" t="n">
        <v>120000</v>
      </c>
      <c r="L91" s="82" t="n">
        <v>120000</v>
      </c>
      <c r="M91" s="82" t="n">
        <v>120000</v>
      </c>
      <c r="N91" s="82" t="n">
        <v>120000</v>
      </c>
      <c r="O91" s="82" t="n">
        <v>120000</v>
      </c>
    </row>
    <row r="92" customFormat="false" ht="15" hidden="false" customHeight="false" outlineLevel="0" collapsed="false">
      <c r="A92" s="8" t="s">
        <v>2386</v>
      </c>
      <c r="B92" s="8" t="s">
        <v>2387</v>
      </c>
      <c r="C92" s="8" t="s">
        <v>201</v>
      </c>
      <c r="D92" s="8" t="s">
        <v>2388</v>
      </c>
      <c r="F92" s="48" t="n">
        <f aca="false">F87/F86</f>
        <v>0.8</v>
      </c>
      <c r="G92" s="48" t="n">
        <f aca="false">G87/G86</f>
        <v>1</v>
      </c>
      <c r="H92" s="48" t="n">
        <f aca="false">H87/H86</f>
        <v>0.818181818181818</v>
      </c>
      <c r="I92" s="48" t="n">
        <f aca="false">I87/I86</f>
        <v>0.954545454545455</v>
      </c>
      <c r="J92" s="48" t="n">
        <f aca="false">J87/J86</f>
        <v>0.954545454545455</v>
      </c>
      <c r="K92" s="48" t="n">
        <f aca="false">K87/K86</f>
        <v>0.954545454545455</v>
      </c>
      <c r="L92" s="48" t="n">
        <f aca="false">L87/L86</f>
        <v>0.954545454545455</v>
      </c>
      <c r="M92" s="48" t="n">
        <f aca="false">M87/M86</f>
        <v>0.954545454545455</v>
      </c>
      <c r="N92" s="48" t="n">
        <f aca="false">N87/N86</f>
        <v>0.954545454545455</v>
      </c>
      <c r="O92" s="48" t="n">
        <f aca="false">O87/O86</f>
        <v>0.954545454545455</v>
      </c>
    </row>
    <row r="93" customFormat="false" ht="15" hidden="false" customHeight="false" outlineLevel="0" collapsed="false">
      <c r="A93" s="8" t="s">
        <v>2389</v>
      </c>
      <c r="B93" s="8" t="s">
        <v>2390</v>
      </c>
      <c r="C93" s="8" t="s">
        <v>201</v>
      </c>
      <c r="D93" s="8" t="s">
        <v>2388</v>
      </c>
      <c r="F93" s="48" t="n">
        <f aca="false">F90/F89</f>
        <v>0.777777777777778</v>
      </c>
      <c r="G93" s="48" t="n">
        <f aca="false">G90/G89</f>
        <v>1</v>
      </c>
      <c r="H93" s="48" t="n">
        <f aca="false">H90/H89</f>
        <v>0.909090909090909</v>
      </c>
      <c r="I93" s="48" t="n">
        <f aca="false">I90/I89</f>
        <v>0.991735537190083</v>
      </c>
      <c r="J93" s="48" t="n">
        <f aca="false">J90/J89</f>
        <v>0.991735537190083</v>
      </c>
      <c r="K93" s="48" t="n">
        <f aca="false">K90/K89</f>
        <v>0.991735537190083</v>
      </c>
      <c r="L93" s="48" t="n">
        <f aca="false">L90/L89</f>
        <v>0.991735537190083</v>
      </c>
      <c r="M93" s="48" t="n">
        <f aca="false">M90/M89</f>
        <v>0.991735537190083</v>
      </c>
      <c r="N93" s="48" t="n">
        <f aca="false">N90/N89</f>
        <v>0.991735537190083</v>
      </c>
      <c r="O93" s="48" t="n">
        <f aca="false">O90/O89</f>
        <v>0.991735537190083</v>
      </c>
    </row>
    <row r="94" customFormat="false" ht="15" hidden="false" customHeight="false" outlineLevel="0" collapsed="false">
      <c r="A94" s="8" t="s">
        <v>2391</v>
      </c>
      <c r="B94" s="8" t="s">
        <v>2392</v>
      </c>
      <c r="C94" s="8" t="s">
        <v>201</v>
      </c>
      <c r="D94" s="8" t="s">
        <v>2393</v>
      </c>
      <c r="F94" s="48" t="n">
        <f aca="false">F86/$F86-1</f>
        <v>0</v>
      </c>
      <c r="G94" s="48" t="n">
        <f aca="false">G86/$F86-1</f>
        <v>0</v>
      </c>
      <c r="H94" s="48" t="n">
        <f aca="false">H86/$F86-1</f>
        <v>0.466666666666667</v>
      </c>
      <c r="I94" s="48" t="n">
        <f aca="false">I86/$F86-1</f>
        <v>0.466666666666667</v>
      </c>
      <c r="J94" s="48" t="n">
        <f aca="false">J86/$F86-1</f>
        <v>0.466666666666667</v>
      </c>
      <c r="K94" s="48" t="n">
        <f aca="false">K86/$F86-1</f>
        <v>0.466666666666667</v>
      </c>
      <c r="L94" s="48" t="n">
        <f aca="false">L86/$F86-1</f>
        <v>0.466666666666667</v>
      </c>
      <c r="M94" s="48" t="n">
        <f aca="false">M86/$F86-1</f>
        <v>0.466666666666667</v>
      </c>
      <c r="N94" s="48" t="n">
        <f aca="false">N86/$F86-1</f>
        <v>0.466666666666667</v>
      </c>
      <c r="O94" s="48" t="n">
        <f aca="false">O86/$F86-1</f>
        <v>0.466666666666667</v>
      </c>
      <c r="Q94" s="92" t="s">
        <v>2394</v>
      </c>
    </row>
    <row r="95" customFormat="false" ht="15" hidden="false" customHeight="false" outlineLevel="0" collapsed="false">
      <c r="A95" s="8" t="s">
        <v>2395</v>
      </c>
      <c r="B95" s="8" t="s">
        <v>2396</v>
      </c>
      <c r="C95" s="8" t="s">
        <v>201</v>
      </c>
      <c r="D95" s="8" t="s">
        <v>2393</v>
      </c>
      <c r="F95" s="48" t="n">
        <f aca="false">F89/$F89-1</f>
        <v>0</v>
      </c>
      <c r="G95" s="48" t="n">
        <f aca="false">G89/$F89-1</f>
        <v>0</v>
      </c>
      <c r="H95" s="48" t="n">
        <f aca="false">H89/$F89-1</f>
        <v>0.344444444444445</v>
      </c>
      <c r="I95" s="48" t="n">
        <f aca="false">I89/$F89-1</f>
        <v>0.344444444444445</v>
      </c>
      <c r="J95" s="48" t="n">
        <f aca="false">J89/$F89-1</f>
        <v>0.344444444444445</v>
      </c>
      <c r="K95" s="48" t="n">
        <f aca="false">K89/$F89-1</f>
        <v>0.344444444444445</v>
      </c>
      <c r="L95" s="48" t="n">
        <f aca="false">L89/$F89-1</f>
        <v>0.344444444444445</v>
      </c>
      <c r="M95" s="48" t="n">
        <f aca="false">M89/$F89-1</f>
        <v>0.344444444444445</v>
      </c>
      <c r="N95" s="48" t="n">
        <f aca="false">N89/$F89-1</f>
        <v>0.344444444444445</v>
      </c>
      <c r="O95" s="48" t="n">
        <f aca="false">O89/$F89-1</f>
        <v>0.344444444444445</v>
      </c>
    </row>
    <row r="96" customFormat="false" ht="15" hidden="false" customHeight="false" outlineLevel="0" collapsed="false">
      <c r="A96" s="8" t="s">
        <v>2397</v>
      </c>
      <c r="B96" s="8" t="s">
        <v>2398</v>
      </c>
      <c r="C96" s="8" t="s">
        <v>263</v>
      </c>
      <c r="D96" s="8" t="s">
        <v>2273</v>
      </c>
      <c r="F96" s="85" t="n">
        <v>270</v>
      </c>
      <c r="G96" s="85" t="n">
        <v>272.7</v>
      </c>
      <c r="H96" s="85" t="n">
        <v>275.43</v>
      </c>
      <c r="I96" s="85" t="n">
        <v>278.18</v>
      </c>
      <c r="J96" s="85" t="n">
        <v>280.96</v>
      </c>
      <c r="K96" s="85" t="n">
        <v>283.77</v>
      </c>
      <c r="L96" s="85" t="n">
        <v>286.61</v>
      </c>
      <c r="M96" s="85" t="n">
        <v>289.48</v>
      </c>
      <c r="N96" s="85" t="n">
        <v>292.37</v>
      </c>
      <c r="O96" s="85" t="n">
        <v>295.3</v>
      </c>
    </row>
    <row r="97" customFormat="false" ht="15" hidden="false" customHeight="false" outlineLevel="0" collapsed="false">
      <c r="A97" s="8" t="s">
        <v>2399</v>
      </c>
      <c r="B97" s="8" t="s">
        <v>2400</v>
      </c>
      <c r="C97" s="8" t="s">
        <v>263</v>
      </c>
      <c r="D97" s="8" t="s">
        <v>2273</v>
      </c>
      <c r="F97" s="85" t="n">
        <v>23</v>
      </c>
      <c r="G97" s="85" t="n">
        <v>23.23</v>
      </c>
      <c r="H97" s="85" t="n">
        <v>23.46</v>
      </c>
      <c r="I97" s="85" t="n">
        <v>23.7</v>
      </c>
      <c r="J97" s="85" t="n">
        <v>23.93</v>
      </c>
      <c r="K97" s="85" t="n">
        <v>24.17</v>
      </c>
      <c r="L97" s="85" t="n">
        <v>24.41</v>
      </c>
      <c r="M97" s="85" t="n">
        <v>24.66</v>
      </c>
      <c r="N97" s="85" t="n">
        <v>24.91</v>
      </c>
      <c r="O97" s="85" t="n">
        <v>25.15</v>
      </c>
    </row>
    <row r="98" customFormat="false" ht="15" hidden="false" customHeight="false" outlineLevel="0" collapsed="false">
      <c r="A98" s="8" t="s">
        <v>2401</v>
      </c>
      <c r="B98" s="8" t="s">
        <v>2402</v>
      </c>
      <c r="C98" s="8" t="s">
        <v>263</v>
      </c>
      <c r="D98" s="8" t="s">
        <v>2277</v>
      </c>
      <c r="F98" s="53" t="n">
        <f aca="false">$E$36*(1+$E$38)^(1-1)</f>
        <v>270</v>
      </c>
      <c r="G98" s="53" t="n">
        <f aca="false">$E$36*(1+$E$38)^(2-1)</f>
        <v>272.7</v>
      </c>
      <c r="H98" s="53" t="n">
        <f aca="false">$E$36*(1+$E$38)^(3-1)</f>
        <v>275.427</v>
      </c>
      <c r="I98" s="53" t="n">
        <f aca="false">$E$36*(1+$E$38)^(4-1)</f>
        <v>278.18127</v>
      </c>
      <c r="J98" s="53" t="n">
        <f aca="false">$E$36*(1+$E$38)^(5-1)</f>
        <v>280.9630827</v>
      </c>
      <c r="K98" s="53" t="n">
        <f aca="false">$E$36*(1+$E$38)^(6-1)</f>
        <v>283.772713527</v>
      </c>
      <c r="L98" s="53" t="n">
        <f aca="false">$E$36*(1+$E$38)^(7-1)</f>
        <v>286.61044066227</v>
      </c>
      <c r="M98" s="53" t="n">
        <f aca="false">$E$36*(1+$E$38)^(8-1)</f>
        <v>289.476545068893</v>
      </c>
      <c r="N98" s="53" t="n">
        <f aca="false">$E$36*(1+$E$38)^(9-1)</f>
        <v>292.371310519582</v>
      </c>
      <c r="O98" s="53" t="n">
        <f aca="false">$E$36*(1+$E$38)^(10-1)</f>
        <v>295.295023624777</v>
      </c>
    </row>
    <row r="99" customFormat="false" ht="15" hidden="false" customHeight="false" outlineLevel="0" collapsed="false">
      <c r="A99" s="8" t="s">
        <v>2403</v>
      </c>
      <c r="B99" s="8" t="s">
        <v>2404</v>
      </c>
      <c r="C99" s="8" t="s">
        <v>263</v>
      </c>
      <c r="D99" s="8" t="s">
        <v>2277</v>
      </c>
      <c r="F99" s="53" t="n">
        <f aca="false">$E$37*(1+$E$38)^(1-1)</f>
        <v>23</v>
      </c>
      <c r="G99" s="53" t="n">
        <f aca="false">$E$37*(1+$E$38)^(2-1)</f>
        <v>23.23</v>
      </c>
      <c r="H99" s="53" t="n">
        <f aca="false">$E$37*(1+$E$38)^(3-1)</f>
        <v>23.4623</v>
      </c>
      <c r="I99" s="53" t="n">
        <f aca="false">$E$37*(1+$E$38)^(4-1)</f>
        <v>23.696923</v>
      </c>
      <c r="J99" s="53" t="n">
        <f aca="false">$E$37*(1+$E$38)^(5-1)</f>
        <v>23.93389223</v>
      </c>
      <c r="K99" s="53" t="n">
        <f aca="false">$E$37*(1+$E$38)^(6-1)</f>
        <v>24.1732311523</v>
      </c>
      <c r="L99" s="53" t="n">
        <f aca="false">$E$37*(1+$E$38)^(7-1)</f>
        <v>24.414963463823</v>
      </c>
      <c r="M99" s="53" t="n">
        <f aca="false">$E$37*(1+$E$38)^(8-1)</f>
        <v>24.6591130984612</v>
      </c>
      <c r="N99" s="53" t="n">
        <f aca="false">$E$37*(1+$E$38)^(9-1)</f>
        <v>24.9057042294458</v>
      </c>
      <c r="O99" s="53" t="n">
        <f aca="false">$E$37*(1+$E$38)^(10-1)</f>
        <v>25.1547612717403</v>
      </c>
    </row>
    <row r="100" customFormat="false" ht="15" hidden="false" customHeight="false" outlineLevel="0" collapsed="false">
      <c r="A100" s="8" t="s">
        <v>2405</v>
      </c>
      <c r="B100" s="8" t="s">
        <v>2406</v>
      </c>
      <c r="C100" s="8" t="s">
        <v>255</v>
      </c>
      <c r="D100" s="8" t="s">
        <v>2273</v>
      </c>
      <c r="F100" s="82" t="n">
        <v>3240000</v>
      </c>
      <c r="G100" s="82" t="n">
        <v>4090500</v>
      </c>
      <c r="H100" s="82" t="n">
        <v>4957686</v>
      </c>
      <c r="I100" s="82" t="n">
        <v>5841807</v>
      </c>
      <c r="J100" s="82" t="n">
        <v>5900225</v>
      </c>
      <c r="K100" s="82" t="n">
        <v>5959227</v>
      </c>
      <c r="L100" s="82" t="n">
        <v>6018819</v>
      </c>
      <c r="M100" s="82" t="n">
        <v>6079007</v>
      </c>
      <c r="N100" s="82" t="n">
        <v>6139798</v>
      </c>
      <c r="O100" s="82" t="n">
        <v>6201195</v>
      </c>
      <c r="P100" s="13" t="n">
        <f aca="false">SUM(F100:O100)</f>
        <v>54428264</v>
      </c>
    </row>
    <row r="101" customFormat="false" ht="15" hidden="false" customHeight="false" outlineLevel="0" collapsed="false">
      <c r="A101" s="8" t="s">
        <v>2407</v>
      </c>
      <c r="B101" s="8" t="s">
        <v>2408</v>
      </c>
      <c r="C101" s="8" t="s">
        <v>255</v>
      </c>
      <c r="D101" s="8" t="s">
        <v>2273</v>
      </c>
      <c r="F101" s="82" t="n">
        <v>1610000</v>
      </c>
      <c r="G101" s="82" t="n">
        <v>2090700</v>
      </c>
      <c r="H101" s="82" t="n">
        <v>2580853</v>
      </c>
      <c r="I101" s="82" t="n">
        <v>2843631</v>
      </c>
      <c r="J101" s="82" t="n">
        <v>2872067</v>
      </c>
      <c r="K101" s="82" t="n">
        <v>2900788</v>
      </c>
      <c r="L101" s="82" t="n">
        <v>2929796</v>
      </c>
      <c r="M101" s="82" t="n">
        <v>2959094</v>
      </c>
      <c r="N101" s="82" t="n">
        <v>2988685</v>
      </c>
      <c r="O101" s="82" t="n">
        <v>3018571</v>
      </c>
      <c r="P101" s="13" t="n">
        <f aca="false">SUM(F101:O101)</f>
        <v>26794185</v>
      </c>
    </row>
    <row r="102" customFormat="false" ht="15" hidden="false" customHeight="false" outlineLevel="0" collapsed="false">
      <c r="A102" s="8" t="s">
        <v>2409</v>
      </c>
      <c r="B102" s="8" t="s">
        <v>2410</v>
      </c>
      <c r="C102" s="8" t="s">
        <v>255</v>
      </c>
      <c r="D102" s="8" t="s">
        <v>2411</v>
      </c>
      <c r="F102" s="82" t="n">
        <v>4850000</v>
      </c>
      <c r="G102" s="82" t="n">
        <v>6181200</v>
      </c>
      <c r="H102" s="82" t="n">
        <v>7538539</v>
      </c>
      <c r="I102" s="82" t="n">
        <v>8685437</v>
      </c>
      <c r="J102" s="82" t="n">
        <v>8772292</v>
      </c>
      <c r="K102" s="82" t="n">
        <v>8860015</v>
      </c>
      <c r="L102" s="82" t="n">
        <v>8948615</v>
      </c>
      <c r="M102" s="82" t="n">
        <v>9038101</v>
      </c>
      <c r="N102" s="82" t="n">
        <v>9128482</v>
      </c>
      <c r="O102" s="82" t="n">
        <v>9219767</v>
      </c>
      <c r="P102" s="13" t="n">
        <f aca="false">SUM(F102:O102)</f>
        <v>81222448</v>
      </c>
    </row>
    <row r="103" customFormat="false" ht="15" hidden="false" customHeight="false" outlineLevel="0" collapsed="false">
      <c r="A103" s="8" t="s">
        <v>2412</v>
      </c>
      <c r="B103" s="8" t="s">
        <v>2413</v>
      </c>
      <c r="C103" s="8" t="s">
        <v>255</v>
      </c>
      <c r="D103" s="8" t="s">
        <v>2273</v>
      </c>
      <c r="F103" s="13" t="n">
        <f aca="false">F88*F98</f>
        <v>3240000</v>
      </c>
      <c r="G103" s="13" t="n">
        <f aca="false">G88*G98</f>
        <v>4090500</v>
      </c>
      <c r="H103" s="13" t="n">
        <f aca="false">H88*H98</f>
        <v>4957686</v>
      </c>
      <c r="I103" s="13" t="n">
        <f aca="false">I88*I98</f>
        <v>5841806.67</v>
      </c>
      <c r="J103" s="13" t="n">
        <f aca="false">J88*J98</f>
        <v>5900224.7367</v>
      </c>
      <c r="K103" s="13" t="n">
        <f aca="false">K88*K98</f>
        <v>5959226.984067</v>
      </c>
      <c r="L103" s="13" t="n">
        <f aca="false">L88*L98</f>
        <v>6018819.25390767</v>
      </c>
      <c r="M103" s="13" t="n">
        <f aca="false">M88*M98</f>
        <v>6079007.44644675</v>
      </c>
      <c r="N103" s="13" t="n">
        <f aca="false">N88*N98</f>
        <v>6139797.52091122</v>
      </c>
      <c r="O103" s="13" t="n">
        <f aca="false">O88*O98</f>
        <v>6201195.49612033</v>
      </c>
      <c r="P103" s="13" t="n">
        <f aca="false">SUM(F103:O103)</f>
        <v>54428264.108153</v>
      </c>
    </row>
    <row r="104" customFormat="false" ht="15" hidden="false" customHeight="false" outlineLevel="0" collapsed="false">
      <c r="A104" s="8" t="s">
        <v>2414</v>
      </c>
      <c r="B104" s="8" t="s">
        <v>2415</v>
      </c>
      <c r="C104" s="8" t="s">
        <v>255</v>
      </c>
      <c r="D104" s="8" t="s">
        <v>2273</v>
      </c>
      <c r="F104" s="13" t="n">
        <f aca="false">F91*F99</f>
        <v>1610000</v>
      </c>
      <c r="G104" s="13" t="n">
        <f aca="false">G91*G99</f>
        <v>2090700</v>
      </c>
      <c r="H104" s="13" t="n">
        <f aca="false">H91*H99</f>
        <v>2580853</v>
      </c>
      <c r="I104" s="13" t="n">
        <f aca="false">I91*I99</f>
        <v>2843630.76</v>
      </c>
      <c r="J104" s="13" t="n">
        <f aca="false">J91*J99</f>
        <v>2872067.0676</v>
      </c>
      <c r="K104" s="13" t="n">
        <f aca="false">K91*K99</f>
        <v>2900787.738276</v>
      </c>
      <c r="L104" s="13" t="n">
        <f aca="false">L91*L99</f>
        <v>2929795.61565876</v>
      </c>
      <c r="M104" s="13" t="n">
        <f aca="false">M91*M99</f>
        <v>2959093.57181535</v>
      </c>
      <c r="N104" s="13" t="n">
        <f aca="false">N91*N99</f>
        <v>2988684.5075335</v>
      </c>
      <c r="O104" s="13" t="n">
        <f aca="false">O91*O99</f>
        <v>3018571.35260884</v>
      </c>
      <c r="P104" s="13" t="n">
        <f aca="false">SUM(F104:O104)</f>
        <v>26794183.6134924</v>
      </c>
    </row>
    <row r="105" customFormat="false" ht="15" hidden="false" customHeight="false" outlineLevel="0" collapsed="false">
      <c r="A105" s="8" t="s">
        <v>2416</v>
      </c>
      <c r="B105" s="8" t="s">
        <v>2417</v>
      </c>
      <c r="C105" s="8" t="s">
        <v>255</v>
      </c>
      <c r="D105" s="8" t="s">
        <v>2273</v>
      </c>
      <c r="F105" s="13" t="n">
        <f aca="false">F103+F104</f>
        <v>4850000</v>
      </c>
      <c r="G105" s="13" t="n">
        <f aca="false">G103+G104</f>
        <v>6181200</v>
      </c>
      <c r="H105" s="13" t="n">
        <f aca="false">H103+H104</f>
        <v>7538539</v>
      </c>
      <c r="I105" s="13" t="n">
        <f aca="false">I103+I104</f>
        <v>8685437.43</v>
      </c>
      <c r="J105" s="13" t="n">
        <f aca="false">J103+J104</f>
        <v>8772291.8043</v>
      </c>
      <c r="K105" s="13" t="n">
        <f aca="false">K103+K104</f>
        <v>8860014.722343</v>
      </c>
      <c r="L105" s="13" t="n">
        <f aca="false">L103+L104</f>
        <v>8948614.86956643</v>
      </c>
      <c r="M105" s="13" t="n">
        <f aca="false">M103+M104</f>
        <v>9038101.0182621</v>
      </c>
      <c r="N105" s="13" t="n">
        <f aca="false">N103+N104</f>
        <v>9128482.02844472</v>
      </c>
      <c r="O105" s="13" t="n">
        <f aca="false">O103+O104</f>
        <v>9219766.84872916</v>
      </c>
      <c r="P105" s="13" t="n">
        <f aca="false">SUM(F105:O105)</f>
        <v>81222447.7216454</v>
      </c>
    </row>
    <row r="106" customFormat="false" ht="15" hidden="false" customHeight="false" outlineLevel="0" collapsed="false">
      <c r="A106" s="8" t="s">
        <v>2418</v>
      </c>
      <c r="B106" s="5" t="s">
        <v>2419</v>
      </c>
      <c r="C106" s="8" t="s">
        <v>255</v>
      </c>
      <c r="D106" s="8"/>
      <c r="E106" s="93"/>
      <c r="F106" s="70" t="n">
        <f aca="false">F105-F102</f>
        <v>0</v>
      </c>
      <c r="G106" s="70" t="n">
        <f aca="false">G105-G102</f>
        <v>0</v>
      </c>
      <c r="H106" s="70" t="n">
        <f aca="false">H105-H102</f>
        <v>0</v>
      </c>
      <c r="I106" s="70" t="n">
        <f aca="false">I105-I102</f>
        <v>0.430000001564622</v>
      </c>
      <c r="J106" s="70" t="n">
        <f aca="false">J105-J102</f>
        <v>-0.195699999108911</v>
      </c>
      <c r="K106" s="70" t="n">
        <f aca="false">K105-K102</f>
        <v>-0.277656998485327</v>
      </c>
      <c r="L106" s="70" t="n">
        <f aca="false">L105-L102</f>
        <v>-0.13043356873095</v>
      </c>
      <c r="M106" s="70" t="n">
        <f aca="false">M105-M102</f>
        <v>0.0182620957493782</v>
      </c>
      <c r="N106" s="70" t="n">
        <f aca="false">N105-N102</f>
        <v>0.028444716706872</v>
      </c>
      <c r="O106" s="70" t="n">
        <f aca="false">O105-O102</f>
        <v>-0.151270836591721</v>
      </c>
      <c r="P106" s="70" t="n">
        <f aca="false">SUM(F106:O106)</f>
        <v>-0.278354588896036</v>
      </c>
    </row>
    <row r="107" customFormat="false" ht="15" hidden="false" customHeight="false" outlineLevel="0" collapsed="false">
      <c r="A107" s="8" t="s">
        <v>2420</v>
      </c>
      <c r="B107" s="5" t="s">
        <v>2421</v>
      </c>
      <c r="C107" s="8" t="s">
        <v>255</v>
      </c>
      <c r="D107" s="8"/>
      <c r="E107" s="93"/>
      <c r="F107" s="70" t="n">
        <f aca="false">F100+F101-F102</f>
        <v>0</v>
      </c>
      <c r="G107" s="70" t="n">
        <f aca="false">G100+G101-G102</f>
        <v>0</v>
      </c>
      <c r="H107" s="70" t="n">
        <f aca="false">H100+H101-H102</f>
        <v>0</v>
      </c>
      <c r="I107" s="70" t="n">
        <f aca="false">I100+I101-I102</f>
        <v>1</v>
      </c>
      <c r="J107" s="70" t="n">
        <f aca="false">J100+J101-J102</f>
        <v>0</v>
      </c>
      <c r="K107" s="70" t="n">
        <f aca="false">K100+K101-K102</f>
        <v>0</v>
      </c>
      <c r="L107" s="70" t="n">
        <f aca="false">L100+L101-L102</f>
        <v>0</v>
      </c>
      <c r="M107" s="70" t="n">
        <f aca="false">M100+M101-M102</f>
        <v>0</v>
      </c>
      <c r="N107" s="70" t="n">
        <f aca="false">N100+N101-N102</f>
        <v>1</v>
      </c>
      <c r="O107" s="70" t="n">
        <f aca="false">O100+O101-O102</f>
        <v>-1</v>
      </c>
      <c r="P107" s="93"/>
    </row>
    <row r="109" customFormat="false" ht="15" hidden="false" customHeight="false" outlineLevel="0" collapsed="false">
      <c r="A109" s="3" t="s">
        <v>2422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customFormat="false" ht="15" hidden="false" customHeight="false" outlineLevel="0" collapsed="false">
      <c r="A110" s="8" t="s">
        <v>1173</v>
      </c>
      <c r="B110" s="8" t="s">
        <v>2423</v>
      </c>
      <c r="C110" s="8" t="s">
        <v>255</v>
      </c>
      <c r="D110" s="8" t="s">
        <v>2279</v>
      </c>
      <c r="F110" s="82" t="n">
        <v>991800</v>
      </c>
      <c r="G110" s="82" t="n">
        <v>1252148</v>
      </c>
      <c r="H110" s="82" t="n">
        <v>1517603</v>
      </c>
      <c r="I110" s="82" t="n">
        <v>1788242</v>
      </c>
      <c r="J110" s="82" t="n">
        <v>1806124</v>
      </c>
      <c r="K110" s="82" t="n">
        <v>1824186</v>
      </c>
      <c r="L110" s="82" t="n">
        <v>1842427</v>
      </c>
      <c r="M110" s="82" t="n">
        <v>1860852</v>
      </c>
      <c r="N110" s="82" t="n">
        <v>1879460</v>
      </c>
      <c r="O110" s="82" t="n">
        <v>1898255</v>
      </c>
      <c r="P110" s="13" t="n">
        <f aca="false">SUM(F110:O110)</f>
        <v>16661097</v>
      </c>
    </row>
    <row r="111" customFormat="false" ht="15" hidden="false" customHeight="false" outlineLevel="0" collapsed="false">
      <c r="A111" s="8" t="s">
        <v>1177</v>
      </c>
      <c r="B111" s="8" t="s">
        <v>2424</v>
      </c>
      <c r="C111" s="8" t="s">
        <v>255</v>
      </c>
      <c r="D111" s="8" t="s">
        <v>2279</v>
      </c>
      <c r="F111" s="82" t="n">
        <v>518700</v>
      </c>
      <c r="G111" s="82" t="n">
        <v>673569</v>
      </c>
      <c r="H111" s="82" t="n">
        <v>823251</v>
      </c>
      <c r="I111" s="82" t="n">
        <v>898092</v>
      </c>
      <c r="J111" s="82" t="n">
        <v>898092</v>
      </c>
      <c r="K111" s="82" t="n">
        <v>898092</v>
      </c>
      <c r="L111" s="82" t="n">
        <v>898092</v>
      </c>
      <c r="M111" s="82" t="n">
        <v>898092</v>
      </c>
      <c r="N111" s="82" t="n">
        <v>898092</v>
      </c>
      <c r="O111" s="82" t="n">
        <v>898092</v>
      </c>
      <c r="P111" s="13" t="n">
        <f aca="false">SUM(F111:O111)</f>
        <v>8302164</v>
      </c>
    </row>
    <row r="112" customFormat="false" ht="15" hidden="false" customHeight="false" outlineLevel="0" collapsed="false">
      <c r="A112" s="8" t="s">
        <v>1179</v>
      </c>
      <c r="B112" s="8" t="s">
        <v>2425</v>
      </c>
      <c r="C112" s="8" t="s">
        <v>263</v>
      </c>
      <c r="D112" s="8" t="s">
        <v>2279</v>
      </c>
      <c r="F112" s="85" t="n">
        <v>7.41</v>
      </c>
      <c r="G112" s="85" t="n">
        <v>7.48</v>
      </c>
      <c r="H112" s="85" t="n">
        <v>7.48</v>
      </c>
      <c r="I112" s="85" t="n">
        <v>7.48</v>
      </c>
      <c r="J112" s="85" t="n">
        <v>7.48</v>
      </c>
      <c r="K112" s="85" t="n">
        <v>7.48</v>
      </c>
      <c r="L112" s="85" t="n">
        <v>7.48</v>
      </c>
      <c r="M112" s="85" t="n">
        <v>7.48</v>
      </c>
      <c r="N112" s="85" t="n">
        <v>7.48</v>
      </c>
      <c r="O112" s="85" t="n">
        <v>7.48</v>
      </c>
    </row>
    <row r="113" customFormat="false" ht="15" hidden="false" customHeight="false" outlineLevel="0" collapsed="false">
      <c r="A113" s="8" t="s">
        <v>1181</v>
      </c>
      <c r="B113" s="8" t="s">
        <v>2426</v>
      </c>
      <c r="C113" s="8" t="s">
        <v>255</v>
      </c>
      <c r="D113" s="8" t="s">
        <v>2427</v>
      </c>
      <c r="F113" s="13" t="n">
        <f aca="false">F87*$E$39*(1+$E$41)^(1-1)</f>
        <v>991800</v>
      </c>
      <c r="G113" s="13" t="n">
        <f aca="false">G87*$E$39*(1+$E$41)^(2-1)</f>
        <v>1252147.5</v>
      </c>
      <c r="H113" s="13" t="n">
        <f aca="false">H87*$E$39*(1+$E$41)^(3-1)</f>
        <v>1517602.77</v>
      </c>
      <c r="I113" s="13" t="n">
        <f aca="false">I87*$E$39*(1+$E$41)^(4-1)</f>
        <v>1788241.93065</v>
      </c>
      <c r="J113" s="13" t="n">
        <f aca="false">J87*$E$39*(1+$E$41)^(5-1)</f>
        <v>1806124.3499565</v>
      </c>
      <c r="K113" s="13" t="n">
        <f aca="false">K87*$E$39*(1+$E$41)^(6-1)</f>
        <v>1824185.59345607</v>
      </c>
      <c r="L113" s="13" t="n">
        <f aca="false">L87*$E$39*(1+$E$41)^(7-1)</f>
        <v>1842427.44939063</v>
      </c>
      <c r="M113" s="13" t="n">
        <f aca="false">M87*$E$39*(1+$E$41)^(8-1)</f>
        <v>1860851.72388453</v>
      </c>
      <c r="N113" s="13" t="n">
        <f aca="false">N87*$E$39*(1+$E$41)^(9-1)</f>
        <v>1879460.24112338</v>
      </c>
      <c r="O113" s="13" t="n">
        <f aca="false">O87*$E$39*(1+$E$41)^(10-1)</f>
        <v>1898254.84353461</v>
      </c>
      <c r="P113" s="13" t="n">
        <f aca="false">SUM(F113:O113)</f>
        <v>16661096.4019957</v>
      </c>
    </row>
    <row r="114" customFormat="false" ht="15" hidden="false" customHeight="false" outlineLevel="0" collapsed="false">
      <c r="A114" s="8" t="s">
        <v>1183</v>
      </c>
      <c r="B114" s="8" t="s">
        <v>2428</v>
      </c>
      <c r="C114" s="8" t="s">
        <v>255</v>
      </c>
      <c r="D114" s="8" t="s">
        <v>2279</v>
      </c>
      <c r="F114" s="13" t="n">
        <f aca="false">F90*$E$40*IF(1=1,1,1+$E$41)</f>
        <v>518700</v>
      </c>
      <c r="G114" s="13" t="n">
        <f aca="false">G90*$E$40*IF(2=1,1,1+$E$41)</f>
        <v>673569</v>
      </c>
      <c r="H114" s="13" t="n">
        <f aca="false">H90*$E$40*IF(3=1,1,1+$E$41)</f>
        <v>823251</v>
      </c>
      <c r="I114" s="13" t="n">
        <f aca="false">I90*$E$40*IF(4=1,1,1+$E$41)</f>
        <v>898092</v>
      </c>
      <c r="J114" s="13" t="n">
        <f aca="false">J90*$E$40*IF(5=1,1,1+$E$41)</f>
        <v>898092</v>
      </c>
      <c r="K114" s="13" t="n">
        <f aca="false">K90*$E$40*IF(6=1,1,1+$E$41)</f>
        <v>898092</v>
      </c>
      <c r="L114" s="13" t="n">
        <f aca="false">L90*$E$40*IF(7=1,1,1+$E$41)</f>
        <v>898092</v>
      </c>
      <c r="M114" s="13" t="n">
        <f aca="false">M90*$E$40*IF(8=1,1,1+$E$41)</f>
        <v>898092</v>
      </c>
      <c r="N114" s="13" t="n">
        <f aca="false">N90*$E$40*IF(9=1,1,1+$E$41)</f>
        <v>898092</v>
      </c>
      <c r="O114" s="13" t="n">
        <f aca="false">O90*$E$40*IF(10=1,1,1+$E$41)</f>
        <v>898092</v>
      </c>
      <c r="P114" s="13" t="n">
        <f aca="false">SUM(F114:O114)</f>
        <v>8302164</v>
      </c>
    </row>
    <row r="115" customFormat="false" ht="15" hidden="false" customHeight="false" outlineLevel="0" collapsed="false">
      <c r="A115" s="8" t="s">
        <v>1185</v>
      </c>
      <c r="B115" s="8" t="s">
        <v>2429</v>
      </c>
      <c r="C115" s="8" t="s">
        <v>255</v>
      </c>
      <c r="D115" s="8" t="s">
        <v>2277</v>
      </c>
      <c r="F115" s="13" t="n">
        <f aca="false">F90*$E$40*(1+$E$41)^(1-1)</f>
        <v>518700</v>
      </c>
      <c r="G115" s="13" t="n">
        <f aca="false">G90*$E$40*(1+$E$41)^(2-1)</f>
        <v>673569</v>
      </c>
      <c r="H115" s="13" t="n">
        <f aca="false">H90*$E$40*(1+$E$41)^(3-1)</f>
        <v>831483.51</v>
      </c>
      <c r="I115" s="13" t="n">
        <f aca="false">I90*$E$40*(1+$E$41)^(4-1)</f>
        <v>916143.6492</v>
      </c>
      <c r="J115" s="13" t="n">
        <f aca="false">J90*$E$40*(1+$E$41)^(5-1)</f>
        <v>925305.085692</v>
      </c>
      <c r="K115" s="13" t="n">
        <f aca="false">K90*$E$40*(1+$E$41)^(6-1)</f>
        <v>934558.13654892</v>
      </c>
      <c r="L115" s="13" t="n">
        <f aca="false">L90*$E$40*(1+$E$41)^(7-1)</f>
        <v>943903.717914409</v>
      </c>
      <c r="M115" s="13" t="n">
        <f aca="false">M90*$E$40*(1+$E$41)^(8-1)</f>
        <v>953342.755093553</v>
      </c>
      <c r="N115" s="13" t="n">
        <f aca="false">N90*$E$40*(1+$E$41)^(9-1)</f>
        <v>962876.182644489</v>
      </c>
      <c r="O115" s="13" t="n">
        <f aca="false">O90*$E$40*(1+$E$41)^(10-1)</f>
        <v>972504.944470934</v>
      </c>
      <c r="P115" s="13" t="n">
        <f aca="false">SUM(F115:O115)</f>
        <v>8632386.98156431</v>
      </c>
    </row>
    <row r="116" customFormat="false" ht="15" hidden="false" customHeight="false" outlineLevel="0" collapsed="false">
      <c r="A116" s="8" t="s">
        <v>1187</v>
      </c>
      <c r="B116" s="5" t="s">
        <v>2430</v>
      </c>
      <c r="C116" s="8" t="s">
        <v>255</v>
      </c>
      <c r="D116" s="8"/>
      <c r="E116" s="93"/>
      <c r="F116" s="70" t="n">
        <f aca="false">F113-F110</f>
        <v>0</v>
      </c>
      <c r="G116" s="70" t="n">
        <f aca="false">G113-G110</f>
        <v>-0.5</v>
      </c>
      <c r="H116" s="70" t="n">
        <f aca="false">H113-H110</f>
        <v>-0.229999999981374</v>
      </c>
      <c r="I116" s="70" t="n">
        <f aca="false">I113-I110</f>
        <v>-0.0693499995395541</v>
      </c>
      <c r="J116" s="70" t="n">
        <f aca="false">J113-J110</f>
        <v>0.349956500343978</v>
      </c>
      <c r="K116" s="70" t="n">
        <f aca="false">K113-K110</f>
        <v>-0.406543934484944</v>
      </c>
      <c r="L116" s="70" t="n">
        <f aca="false">L113-L110</f>
        <v>0.449390626046807</v>
      </c>
      <c r="M116" s="70" t="n">
        <f aca="false">M113-M110</f>
        <v>-0.276115467771888</v>
      </c>
      <c r="N116" s="70" t="n">
        <f aca="false">N113-N110</f>
        <v>0.241123377811164</v>
      </c>
      <c r="O116" s="70" t="n">
        <f aca="false">O113-O110</f>
        <v>-0.156465388834476</v>
      </c>
      <c r="P116" s="93"/>
    </row>
    <row r="117" customFormat="false" ht="15" hidden="false" customHeight="false" outlineLevel="0" collapsed="false">
      <c r="A117" s="8" t="s">
        <v>1189</v>
      </c>
      <c r="B117" s="5" t="s">
        <v>2431</v>
      </c>
      <c r="C117" s="8" t="s">
        <v>255</v>
      </c>
      <c r="D117" s="8"/>
      <c r="E117" s="93"/>
      <c r="F117" s="70" t="n">
        <f aca="false">F114-F111</f>
        <v>0</v>
      </c>
      <c r="G117" s="70" t="n">
        <f aca="false">G114-G111</f>
        <v>0</v>
      </c>
      <c r="H117" s="70" t="n">
        <f aca="false">H114-H111</f>
        <v>0</v>
      </c>
      <c r="I117" s="70" t="n">
        <f aca="false">I114-I111</f>
        <v>0</v>
      </c>
      <c r="J117" s="70" t="n">
        <f aca="false">J114-J111</f>
        <v>0</v>
      </c>
      <c r="K117" s="70" t="n">
        <f aca="false">K114-K111</f>
        <v>0</v>
      </c>
      <c r="L117" s="70" t="n">
        <f aca="false">L114-L111</f>
        <v>0</v>
      </c>
      <c r="M117" s="70" t="n">
        <f aca="false">M114-M111</f>
        <v>0</v>
      </c>
      <c r="N117" s="70" t="n">
        <f aca="false">N114-N111</f>
        <v>0</v>
      </c>
      <c r="O117" s="70" t="n">
        <f aca="false">O114-O111</f>
        <v>0</v>
      </c>
      <c r="P117" s="93"/>
    </row>
    <row r="118" customFormat="false" ht="15" hidden="false" customHeight="false" outlineLevel="0" collapsed="false">
      <c r="A118" s="8" t="s">
        <v>1191</v>
      </c>
      <c r="B118" s="5" t="s">
        <v>2432</v>
      </c>
      <c r="C118" s="8" t="s">
        <v>255</v>
      </c>
      <c r="D118" s="8"/>
      <c r="E118" s="93"/>
      <c r="F118" s="70" t="n">
        <f aca="false">F115-F111</f>
        <v>0</v>
      </c>
      <c r="G118" s="70" t="n">
        <f aca="false">G115-G111</f>
        <v>0</v>
      </c>
      <c r="H118" s="70" t="n">
        <f aca="false">H115-H111</f>
        <v>8232.51000000001</v>
      </c>
      <c r="I118" s="70" t="n">
        <f aca="false">I115-I111</f>
        <v>18051.6492000001</v>
      </c>
      <c r="J118" s="70" t="n">
        <f aca="false">J115-J111</f>
        <v>27213.085692</v>
      </c>
      <c r="K118" s="70" t="n">
        <f aca="false">K115-K111</f>
        <v>36466.1365489202</v>
      </c>
      <c r="L118" s="70" t="n">
        <f aca="false">L115-L111</f>
        <v>45811.7179144094</v>
      </c>
      <c r="M118" s="70" t="n">
        <f aca="false">M115-M111</f>
        <v>55250.7550935533</v>
      </c>
      <c r="N118" s="70" t="n">
        <f aca="false">N115-N111</f>
        <v>64784.182644489</v>
      </c>
      <c r="O118" s="70" t="n">
        <f aca="false">O115-O111</f>
        <v>74412.9444709338</v>
      </c>
      <c r="P118" s="70" t="n">
        <f aca="false">SUM(F118:O118)</f>
        <v>330222.981564306</v>
      </c>
      <c r="Q118" s="92" t="s">
        <v>2433</v>
      </c>
    </row>
    <row r="119" customFormat="false" ht="15" hidden="false" customHeight="false" outlineLevel="0" collapsed="false">
      <c r="A119" s="8" t="s">
        <v>1193</v>
      </c>
      <c r="B119" s="8" t="s">
        <v>2434</v>
      </c>
      <c r="C119" s="8" t="s">
        <v>255</v>
      </c>
      <c r="D119" s="8" t="s">
        <v>2285</v>
      </c>
      <c r="F119" s="82" t="n">
        <v>540000</v>
      </c>
      <c r="G119" s="82" t="n">
        <v>675000</v>
      </c>
      <c r="H119" s="82" t="n">
        <v>810000</v>
      </c>
      <c r="I119" s="82" t="n">
        <v>945000</v>
      </c>
      <c r="J119" s="82" t="n">
        <v>945000</v>
      </c>
      <c r="K119" s="82" t="n">
        <v>945000</v>
      </c>
      <c r="L119" s="82" t="n">
        <v>945000</v>
      </c>
      <c r="M119" s="82" t="n">
        <v>945000</v>
      </c>
      <c r="N119" s="82" t="n">
        <v>945000</v>
      </c>
      <c r="O119" s="82" t="n">
        <v>945000</v>
      </c>
    </row>
    <row r="120" customFormat="false" ht="15" hidden="false" customHeight="false" outlineLevel="0" collapsed="false">
      <c r="A120" s="8" t="s">
        <v>2435</v>
      </c>
      <c r="B120" s="8" t="s">
        <v>2436</v>
      </c>
      <c r="C120" s="8" t="s">
        <v>255</v>
      </c>
      <c r="D120" s="8" t="s">
        <v>2285</v>
      </c>
      <c r="F120" s="82" t="n">
        <v>339570</v>
      </c>
      <c r="G120" s="82" t="n">
        <v>436590</v>
      </c>
      <c r="H120" s="82" t="n">
        <v>533610</v>
      </c>
      <c r="I120" s="82" t="n">
        <v>582120</v>
      </c>
      <c r="J120" s="82" t="n">
        <v>582120</v>
      </c>
      <c r="K120" s="82" t="n">
        <v>582120</v>
      </c>
      <c r="L120" s="82" t="n">
        <v>582120</v>
      </c>
      <c r="M120" s="82" t="n">
        <v>582120</v>
      </c>
      <c r="N120" s="82" t="n">
        <v>582120</v>
      </c>
      <c r="O120" s="82" t="n">
        <v>582120</v>
      </c>
    </row>
    <row r="121" customFormat="false" ht="15" hidden="false" customHeight="false" outlineLevel="0" collapsed="false">
      <c r="A121" s="8" t="s">
        <v>2437</v>
      </c>
      <c r="B121" s="8" t="s">
        <v>2438</v>
      </c>
      <c r="C121" s="8" t="s">
        <v>255</v>
      </c>
      <c r="D121" s="8" t="s">
        <v>2285</v>
      </c>
      <c r="F121" s="82" t="n">
        <v>56512</v>
      </c>
      <c r="G121" s="82" t="n">
        <v>70640</v>
      </c>
      <c r="H121" s="82" t="n">
        <v>84767</v>
      </c>
      <c r="I121" s="82" t="n">
        <v>98895</v>
      </c>
      <c r="J121" s="82" t="n">
        <v>98895</v>
      </c>
      <c r="K121" s="82" t="n">
        <v>98895</v>
      </c>
      <c r="L121" s="82" t="n">
        <v>98895</v>
      </c>
      <c r="M121" s="82" t="n">
        <v>98895</v>
      </c>
      <c r="N121" s="82" t="n">
        <v>98895</v>
      </c>
      <c r="O121" s="82" t="n">
        <v>98895</v>
      </c>
    </row>
    <row r="122" customFormat="false" ht="15" hidden="false" customHeight="false" outlineLevel="0" collapsed="false">
      <c r="A122" s="8" t="s">
        <v>2439</v>
      </c>
      <c r="B122" s="8" t="s">
        <v>2440</v>
      </c>
      <c r="C122" s="8" t="s">
        <v>255</v>
      </c>
      <c r="D122" s="8" t="s">
        <v>2285</v>
      </c>
      <c r="F122" s="82" t="n">
        <v>45500</v>
      </c>
      <c r="G122" s="82" t="n">
        <v>58500</v>
      </c>
      <c r="H122" s="82" t="n">
        <v>71500</v>
      </c>
      <c r="I122" s="82" t="n">
        <v>78000</v>
      </c>
      <c r="J122" s="82" t="n">
        <v>78000</v>
      </c>
      <c r="K122" s="82" t="n">
        <v>78000</v>
      </c>
      <c r="L122" s="82" t="n">
        <v>78000</v>
      </c>
      <c r="M122" s="82" t="n">
        <v>78000</v>
      </c>
      <c r="N122" s="82" t="n">
        <v>78000</v>
      </c>
      <c r="O122" s="82" t="n">
        <v>78000</v>
      </c>
    </row>
    <row r="123" customFormat="false" ht="15" hidden="false" customHeight="false" outlineLevel="0" collapsed="false">
      <c r="A123" s="8" t="s">
        <v>2441</v>
      </c>
      <c r="B123" s="5" t="s">
        <v>2442</v>
      </c>
      <c r="C123" s="8" t="s">
        <v>255</v>
      </c>
      <c r="D123" s="8"/>
      <c r="E123" s="93"/>
      <c r="F123" s="70" t="n">
        <f aca="false">F87*($E$42+$E$46)+F90*($E$44+$E$47)-(F119+F120+F121+F122)</f>
        <v>0</v>
      </c>
      <c r="G123" s="70" t="n">
        <f aca="false">G87*($E$42+$E$46)+G90*($E$44+$E$47)-(G119+G120+G121+G122)</f>
        <v>0</v>
      </c>
      <c r="H123" s="70" t="n">
        <f aca="false">H87*($E$42+$E$46)+H90*($E$44+$E$47)-(H119+H120+H121+H122)</f>
        <v>1</v>
      </c>
      <c r="I123" s="70" t="n">
        <f aca="false">I87*($E$42+$E$46)+I90*($E$44+$E$47)-(I119+I120+I121+I122)</f>
        <v>1</v>
      </c>
      <c r="J123" s="70" t="n">
        <f aca="false">J87*($E$42+$E$46)+J90*($E$44+$E$47)-(J119+J120+J121+J122)</f>
        <v>1</v>
      </c>
      <c r="K123" s="70" t="n">
        <f aca="false">K87*($E$42+$E$46)+K90*($E$44+$E$47)-(K119+K120+K121+K122)</f>
        <v>1</v>
      </c>
      <c r="L123" s="70" t="n">
        <f aca="false">L87*($E$42+$E$46)+L90*($E$44+$E$47)-(L119+L120+L121+L122)</f>
        <v>1</v>
      </c>
      <c r="M123" s="70" t="n">
        <f aca="false">M87*($E$42+$E$46)+M90*($E$44+$E$47)-(M119+M120+M121+M122)</f>
        <v>1</v>
      </c>
      <c r="N123" s="70" t="n">
        <f aca="false">N87*($E$42+$E$46)+N90*($E$44+$E$47)-(N119+N120+N121+N122)</f>
        <v>1</v>
      </c>
      <c r="O123" s="70" t="n">
        <f aca="false">O87*($E$42+$E$46)+O90*($E$44+$E$47)-(O119+O120+O121+O122)</f>
        <v>1</v>
      </c>
      <c r="P123" s="93"/>
      <c r="Q123" s="92" t="s">
        <v>2443</v>
      </c>
    </row>
    <row r="125" customFormat="false" ht="15" hidden="false" customHeight="false" outlineLevel="0" collapsed="false">
      <c r="A125" s="3" t="s">
        <v>2444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customFormat="false" ht="15" hidden="false" customHeight="false" outlineLevel="0" collapsed="false">
      <c r="A126" s="10" t="s">
        <v>147</v>
      </c>
      <c r="B126" s="10" t="s">
        <v>902</v>
      </c>
      <c r="C126" s="10" t="s">
        <v>903</v>
      </c>
      <c r="D126" s="10" t="s">
        <v>2198</v>
      </c>
      <c r="E126" s="10" t="s">
        <v>906</v>
      </c>
      <c r="F126" s="10" t="s">
        <v>907</v>
      </c>
      <c r="G126" s="10" t="s">
        <v>908</v>
      </c>
      <c r="H126" s="10" t="s">
        <v>909</v>
      </c>
      <c r="I126" s="10" t="s">
        <v>910</v>
      </c>
      <c r="J126" s="10" t="s">
        <v>911</v>
      </c>
      <c r="K126" s="10" t="s">
        <v>2445</v>
      </c>
      <c r="L126" s="10" t="s">
        <v>2446</v>
      </c>
    </row>
    <row r="127" customFormat="false" ht="15" hidden="false" customHeight="false" outlineLevel="0" collapsed="false">
      <c r="A127" s="8" t="s">
        <v>917</v>
      </c>
      <c r="B127" s="8" t="s">
        <v>2447</v>
      </c>
      <c r="C127" s="91" t="s">
        <v>918</v>
      </c>
      <c r="D127" s="8" t="s">
        <v>2214</v>
      </c>
      <c r="E127" s="82" t="n">
        <v>4668900</v>
      </c>
      <c r="F127" s="82" t="n">
        <v>4</v>
      </c>
      <c r="G127" s="82" t="n">
        <v>4</v>
      </c>
      <c r="H127" s="82" t="n">
        <v>5</v>
      </c>
      <c r="I127" s="82" t="n">
        <v>5</v>
      </c>
      <c r="J127" s="82" t="n">
        <v>6</v>
      </c>
      <c r="K127" s="82" t="n">
        <v>584</v>
      </c>
      <c r="L127" s="82" t="n">
        <v>28013</v>
      </c>
    </row>
    <row r="128" customFormat="false" ht="15" hidden="false" customHeight="false" outlineLevel="0" collapsed="false">
      <c r="A128" s="8" t="s">
        <v>920</v>
      </c>
      <c r="B128" s="8" t="s">
        <v>2448</v>
      </c>
      <c r="C128" s="91" t="s">
        <v>918</v>
      </c>
      <c r="D128" s="8" t="s">
        <v>2214</v>
      </c>
      <c r="E128" s="82" t="n">
        <v>3650655</v>
      </c>
      <c r="F128" s="82" t="n">
        <v>8</v>
      </c>
      <c r="G128" s="82" t="n">
        <v>8</v>
      </c>
      <c r="H128" s="82" t="n">
        <v>9</v>
      </c>
      <c r="I128" s="82" t="n">
        <v>9</v>
      </c>
      <c r="J128" s="82" t="n">
        <v>10</v>
      </c>
      <c r="K128" s="82" t="n">
        <v>456</v>
      </c>
      <c r="L128" s="82" t="n">
        <v>43808</v>
      </c>
    </row>
    <row r="129" customFormat="false" ht="15" hidden="false" customHeight="false" outlineLevel="0" collapsed="false">
      <c r="A129" s="8" t="s">
        <v>921</v>
      </c>
      <c r="B129" s="8" t="s">
        <v>2449</v>
      </c>
      <c r="C129" s="91" t="s">
        <v>918</v>
      </c>
      <c r="D129" s="8" t="s">
        <v>2214</v>
      </c>
      <c r="E129" s="82" t="n">
        <v>3968900</v>
      </c>
      <c r="F129" s="82" t="n">
        <v>5</v>
      </c>
      <c r="G129" s="82" t="n">
        <v>5</v>
      </c>
      <c r="H129" s="82" t="n">
        <v>6</v>
      </c>
      <c r="I129" s="82" t="n">
        <v>6</v>
      </c>
      <c r="J129" s="82" t="n">
        <v>6</v>
      </c>
      <c r="K129" s="82" t="n">
        <v>496</v>
      </c>
      <c r="L129" s="82" t="n">
        <v>29767</v>
      </c>
    </row>
    <row r="130" customFormat="false" ht="15" hidden="false" customHeight="false" outlineLevel="0" collapsed="false">
      <c r="A130" s="8" t="s">
        <v>922</v>
      </c>
      <c r="B130" s="8" t="s">
        <v>2450</v>
      </c>
      <c r="C130" s="91" t="s">
        <v>918</v>
      </c>
      <c r="D130" s="8" t="s">
        <v>2214</v>
      </c>
      <c r="E130" s="82" t="n">
        <v>3650655</v>
      </c>
      <c r="F130" s="82" t="n">
        <v>2</v>
      </c>
      <c r="G130" s="82" t="n">
        <v>2</v>
      </c>
      <c r="H130" s="82" t="n">
        <v>2</v>
      </c>
      <c r="I130" s="82" t="n">
        <v>2</v>
      </c>
      <c r="J130" s="82" t="n">
        <v>3</v>
      </c>
      <c r="K130" s="82" t="n">
        <v>456</v>
      </c>
      <c r="L130" s="82" t="n">
        <v>10952</v>
      </c>
    </row>
    <row r="131" customFormat="false" ht="15" hidden="false" customHeight="false" outlineLevel="0" collapsed="false">
      <c r="A131" s="8" t="s">
        <v>923</v>
      </c>
      <c r="B131" s="8" t="s">
        <v>2451</v>
      </c>
      <c r="C131" s="91" t="s">
        <v>918</v>
      </c>
      <c r="D131" s="8" t="s">
        <v>2214</v>
      </c>
      <c r="E131" s="82" t="n">
        <v>3650655</v>
      </c>
      <c r="F131" s="82" t="n">
        <v>4</v>
      </c>
      <c r="G131" s="82" t="n">
        <v>4</v>
      </c>
      <c r="H131" s="82" t="n">
        <v>4</v>
      </c>
      <c r="I131" s="82" t="n">
        <v>5</v>
      </c>
      <c r="J131" s="82" t="n">
        <v>5</v>
      </c>
      <c r="K131" s="82" t="n">
        <v>456</v>
      </c>
      <c r="L131" s="82" t="n">
        <v>21904</v>
      </c>
    </row>
    <row r="132" customFormat="false" ht="15" hidden="false" customHeight="false" outlineLevel="0" collapsed="false">
      <c r="A132" s="8" t="s">
        <v>924</v>
      </c>
      <c r="B132" s="8" t="s">
        <v>2452</v>
      </c>
      <c r="C132" s="91" t="s">
        <v>918</v>
      </c>
      <c r="D132" s="8" t="s">
        <v>2214</v>
      </c>
      <c r="E132" s="82" t="n">
        <v>3150655</v>
      </c>
      <c r="F132" s="82" t="n">
        <v>10</v>
      </c>
      <c r="G132" s="82" t="n">
        <v>10</v>
      </c>
      <c r="H132" s="82" t="n">
        <v>10</v>
      </c>
      <c r="I132" s="82" t="n">
        <v>11</v>
      </c>
      <c r="J132" s="82" t="n">
        <v>11</v>
      </c>
      <c r="K132" s="82" t="n">
        <v>394</v>
      </c>
      <c r="L132" s="82" t="n">
        <v>47260</v>
      </c>
    </row>
    <row r="133" customFormat="false" ht="15" hidden="false" customHeight="false" outlineLevel="0" collapsed="false">
      <c r="A133" s="8" t="s">
        <v>925</v>
      </c>
      <c r="B133" s="8" t="s">
        <v>2453</v>
      </c>
      <c r="C133" s="91" t="s">
        <v>918</v>
      </c>
      <c r="D133" s="8" t="s">
        <v>2214</v>
      </c>
      <c r="E133" s="82" t="n">
        <v>2798309</v>
      </c>
      <c r="F133" s="82" t="n">
        <v>10</v>
      </c>
      <c r="G133" s="82" t="n">
        <v>10</v>
      </c>
      <c r="H133" s="82" t="n">
        <v>10</v>
      </c>
      <c r="I133" s="82" t="n">
        <v>11</v>
      </c>
      <c r="J133" s="82" t="n">
        <v>11</v>
      </c>
      <c r="K133" s="82" t="n">
        <v>350</v>
      </c>
      <c r="L133" s="82" t="n">
        <v>41975</v>
      </c>
    </row>
    <row r="134" customFormat="false" ht="15" hidden="false" customHeight="false" outlineLevel="0" collapsed="false">
      <c r="A134" s="8" t="s">
        <v>926</v>
      </c>
      <c r="B134" s="8" t="s">
        <v>2454</v>
      </c>
      <c r="C134" s="91" t="s">
        <v>2455</v>
      </c>
      <c r="D134" s="8" t="s">
        <v>2214</v>
      </c>
      <c r="E134" s="82" t="n">
        <v>18000000</v>
      </c>
      <c r="F134" s="82" t="n">
        <v>1</v>
      </c>
      <c r="G134" s="82" t="n">
        <v>1</v>
      </c>
      <c r="H134" s="82" t="n">
        <v>1</v>
      </c>
      <c r="I134" s="82" t="n">
        <v>1</v>
      </c>
      <c r="J134" s="82" t="n">
        <v>1</v>
      </c>
      <c r="K134" s="82" t="n">
        <v>2250</v>
      </c>
      <c r="L134" s="82" t="n">
        <v>27000</v>
      </c>
    </row>
    <row r="135" customFormat="false" ht="15" hidden="false" customHeight="false" outlineLevel="0" collapsed="false">
      <c r="A135" s="8" t="s">
        <v>928</v>
      </c>
      <c r="B135" s="8" t="s">
        <v>2456</v>
      </c>
      <c r="C135" s="91" t="s">
        <v>2455</v>
      </c>
      <c r="D135" s="8" t="s">
        <v>2214</v>
      </c>
      <c r="E135" s="82" t="n">
        <v>9800000</v>
      </c>
      <c r="F135" s="82" t="n">
        <v>1</v>
      </c>
      <c r="G135" s="82" t="n">
        <v>1</v>
      </c>
      <c r="H135" s="82" t="n">
        <v>1</v>
      </c>
      <c r="I135" s="82" t="n">
        <v>1</v>
      </c>
      <c r="J135" s="82" t="n">
        <v>1</v>
      </c>
      <c r="K135" s="82" t="n">
        <v>1225</v>
      </c>
      <c r="L135" s="82" t="n">
        <v>14700</v>
      </c>
    </row>
    <row r="136" customFormat="false" ht="15" hidden="false" customHeight="false" outlineLevel="0" collapsed="false">
      <c r="A136" s="8" t="s">
        <v>930</v>
      </c>
      <c r="B136" s="8" t="s">
        <v>2457</v>
      </c>
      <c r="C136" s="91" t="s">
        <v>2455</v>
      </c>
      <c r="D136" s="8" t="s">
        <v>2214</v>
      </c>
      <c r="E136" s="82" t="n">
        <v>6550000</v>
      </c>
      <c r="F136" s="82" t="n">
        <v>1</v>
      </c>
      <c r="G136" s="82" t="n">
        <v>1</v>
      </c>
      <c r="H136" s="82" t="n">
        <v>1</v>
      </c>
      <c r="I136" s="82" t="n">
        <v>1</v>
      </c>
      <c r="J136" s="82" t="n">
        <v>1</v>
      </c>
      <c r="K136" s="82" t="n">
        <v>819</v>
      </c>
      <c r="L136" s="82" t="n">
        <v>9825</v>
      </c>
    </row>
    <row r="137" customFormat="false" ht="15" hidden="false" customHeight="false" outlineLevel="0" collapsed="false">
      <c r="A137" s="8" t="s">
        <v>931</v>
      </c>
      <c r="B137" s="8" t="s">
        <v>2458</v>
      </c>
      <c r="C137" s="91" t="s">
        <v>2455</v>
      </c>
      <c r="D137" s="8" t="s">
        <v>2214</v>
      </c>
      <c r="E137" s="82" t="n">
        <v>6550000</v>
      </c>
      <c r="F137" s="82" t="n">
        <v>1</v>
      </c>
      <c r="G137" s="82" t="n">
        <v>1</v>
      </c>
      <c r="H137" s="82" t="n">
        <v>1</v>
      </c>
      <c r="I137" s="82" t="n">
        <v>1</v>
      </c>
      <c r="J137" s="82" t="n">
        <v>1</v>
      </c>
      <c r="K137" s="82" t="n">
        <v>819</v>
      </c>
      <c r="L137" s="82" t="n">
        <v>9825</v>
      </c>
    </row>
    <row r="138" customFormat="false" ht="15" hidden="false" customHeight="false" outlineLevel="0" collapsed="false">
      <c r="A138" s="8" t="s">
        <v>932</v>
      </c>
      <c r="B138" s="8" t="s">
        <v>2459</v>
      </c>
      <c r="C138" s="91" t="s">
        <v>2455</v>
      </c>
      <c r="D138" s="8" t="s">
        <v>2214</v>
      </c>
      <c r="E138" s="82" t="n">
        <v>6550000</v>
      </c>
      <c r="F138" s="82" t="n">
        <v>1</v>
      </c>
      <c r="G138" s="82" t="n">
        <v>1</v>
      </c>
      <c r="H138" s="82" t="n">
        <v>1</v>
      </c>
      <c r="I138" s="82" t="n">
        <v>1</v>
      </c>
      <c r="J138" s="82" t="n">
        <v>1</v>
      </c>
      <c r="K138" s="82" t="n">
        <v>819</v>
      </c>
      <c r="L138" s="82" t="n">
        <v>9825</v>
      </c>
    </row>
    <row r="139" customFormat="false" ht="15" hidden="false" customHeight="false" outlineLevel="0" collapsed="false">
      <c r="A139" s="8" t="s">
        <v>933</v>
      </c>
      <c r="B139" s="8" t="s">
        <v>2460</v>
      </c>
      <c r="C139" s="91" t="s">
        <v>2455</v>
      </c>
      <c r="D139" s="8" t="s">
        <v>2214</v>
      </c>
      <c r="E139" s="82" t="n">
        <v>6550000</v>
      </c>
      <c r="F139" s="82" t="n">
        <v>1</v>
      </c>
      <c r="G139" s="82" t="n">
        <v>1</v>
      </c>
      <c r="H139" s="82" t="n">
        <v>1</v>
      </c>
      <c r="I139" s="82" t="n">
        <v>1</v>
      </c>
      <c r="J139" s="82" t="n">
        <v>1</v>
      </c>
      <c r="K139" s="82" t="n">
        <v>819</v>
      </c>
      <c r="L139" s="82" t="n">
        <v>9825</v>
      </c>
    </row>
    <row r="140" customFormat="false" ht="15" hidden="false" customHeight="false" outlineLevel="0" collapsed="false">
      <c r="A140" s="8" t="s">
        <v>934</v>
      </c>
      <c r="B140" s="8" t="s">
        <v>284</v>
      </c>
      <c r="C140" s="91" t="s">
        <v>2455</v>
      </c>
      <c r="D140" s="8" t="s">
        <v>2214</v>
      </c>
      <c r="E140" s="82" t="n">
        <v>6550000</v>
      </c>
      <c r="F140" s="82" t="n">
        <v>3</v>
      </c>
      <c r="G140" s="82" t="n">
        <v>3</v>
      </c>
      <c r="H140" s="82" t="n">
        <v>3</v>
      </c>
      <c r="I140" s="82" t="n">
        <v>3</v>
      </c>
      <c r="J140" s="82" t="n">
        <v>3</v>
      </c>
      <c r="K140" s="82" t="n">
        <v>819</v>
      </c>
      <c r="L140" s="82" t="n">
        <v>29475</v>
      </c>
    </row>
    <row r="141" customFormat="false" ht="15" hidden="false" customHeight="false" outlineLevel="0" collapsed="false">
      <c r="A141" s="8" t="s">
        <v>935</v>
      </c>
      <c r="B141" s="8" t="s">
        <v>2461</v>
      </c>
      <c r="C141" s="91" t="s">
        <v>2455</v>
      </c>
      <c r="D141" s="8" t="s">
        <v>2214</v>
      </c>
      <c r="E141" s="82" t="n">
        <v>3650655</v>
      </c>
      <c r="F141" s="82" t="n">
        <v>2</v>
      </c>
      <c r="G141" s="82" t="n">
        <v>2</v>
      </c>
      <c r="H141" s="82" t="n">
        <v>2</v>
      </c>
      <c r="I141" s="82" t="n">
        <v>2</v>
      </c>
      <c r="J141" s="82" t="n">
        <v>2</v>
      </c>
      <c r="K141" s="82" t="n">
        <v>456</v>
      </c>
      <c r="L141" s="82" t="n">
        <v>10952</v>
      </c>
    </row>
    <row r="142" customFormat="false" ht="15" hidden="false" customHeight="false" outlineLevel="0" collapsed="false">
      <c r="A142" s="8" t="s">
        <v>936</v>
      </c>
      <c r="B142" s="8" t="s">
        <v>2462</v>
      </c>
      <c r="C142" s="91" t="s">
        <v>2455</v>
      </c>
      <c r="D142" s="8" t="s">
        <v>2214</v>
      </c>
      <c r="E142" s="82" t="n">
        <v>9800000</v>
      </c>
      <c r="F142" s="82" t="n">
        <v>1</v>
      </c>
      <c r="G142" s="82" t="n">
        <v>1</v>
      </c>
      <c r="H142" s="82" t="n">
        <v>1</v>
      </c>
      <c r="I142" s="82" t="n">
        <v>1</v>
      </c>
      <c r="J142" s="82" t="n">
        <v>1</v>
      </c>
      <c r="K142" s="82" t="n">
        <v>1225</v>
      </c>
      <c r="L142" s="82" t="n">
        <v>14700</v>
      </c>
    </row>
    <row r="143" customFormat="false" ht="15" hidden="false" customHeight="false" outlineLevel="0" collapsed="false">
      <c r="A143" s="8" t="s">
        <v>937</v>
      </c>
      <c r="B143" s="8" t="s">
        <v>2463</v>
      </c>
      <c r="C143" s="91" t="s">
        <v>2455</v>
      </c>
      <c r="D143" s="8" t="s">
        <v>2214</v>
      </c>
      <c r="E143" s="82" t="n">
        <v>2798309</v>
      </c>
      <c r="F143" s="82" t="n">
        <v>1</v>
      </c>
      <c r="G143" s="82" t="n">
        <v>1</v>
      </c>
      <c r="H143" s="82" t="n">
        <v>1</v>
      </c>
      <c r="I143" s="82" t="n">
        <v>1</v>
      </c>
      <c r="J143" s="82" t="n">
        <v>1</v>
      </c>
      <c r="K143" s="82" t="n">
        <v>350</v>
      </c>
      <c r="L143" s="82" t="n">
        <v>4197</v>
      </c>
    </row>
    <row r="144" customFormat="false" ht="15" hidden="false" customHeight="false" outlineLevel="0" collapsed="false">
      <c r="A144" s="8" t="s">
        <v>938</v>
      </c>
      <c r="B144" s="8" t="s">
        <v>2464</v>
      </c>
      <c r="C144" s="91" t="s">
        <v>2455</v>
      </c>
      <c r="D144" s="8" t="s">
        <v>2214</v>
      </c>
      <c r="E144" s="82" t="n">
        <v>3150655</v>
      </c>
      <c r="F144" s="82" t="n">
        <v>1</v>
      </c>
      <c r="G144" s="82" t="n">
        <v>1</v>
      </c>
      <c r="H144" s="82" t="n">
        <v>1</v>
      </c>
      <c r="I144" s="82" t="n">
        <v>1</v>
      </c>
      <c r="J144" s="82" t="n">
        <v>1</v>
      </c>
      <c r="K144" s="82" t="n">
        <v>394</v>
      </c>
      <c r="L144" s="82" t="n">
        <v>4726</v>
      </c>
    </row>
    <row r="145" customFormat="false" ht="15" hidden="false" customHeight="false" outlineLevel="0" collapsed="false">
      <c r="A145" s="8" t="s">
        <v>939</v>
      </c>
      <c r="B145" s="8" t="s">
        <v>2465</v>
      </c>
      <c r="C145" s="91" t="s">
        <v>2455</v>
      </c>
      <c r="D145" s="8" t="s">
        <v>2214</v>
      </c>
      <c r="E145" s="82" t="n">
        <v>6550000</v>
      </c>
      <c r="F145" s="82" t="n">
        <v>1</v>
      </c>
      <c r="G145" s="82" t="n">
        <v>1</v>
      </c>
      <c r="H145" s="82" t="n">
        <v>1</v>
      </c>
      <c r="I145" s="82" t="n">
        <v>1</v>
      </c>
      <c r="J145" s="82" t="n">
        <v>1</v>
      </c>
      <c r="K145" s="82" t="n">
        <v>819</v>
      </c>
      <c r="L145" s="82" t="n">
        <v>9825</v>
      </c>
    </row>
    <row r="146" customFormat="false" ht="15" hidden="false" customHeight="false" outlineLevel="0" collapsed="false">
      <c r="A146" s="8" t="s">
        <v>940</v>
      </c>
      <c r="B146" s="8" t="s">
        <v>2466</v>
      </c>
      <c r="C146" s="91" t="s">
        <v>2455</v>
      </c>
      <c r="D146" s="8" t="s">
        <v>2214</v>
      </c>
      <c r="E146" s="82" t="n">
        <v>6550000</v>
      </c>
      <c r="F146" s="82" t="n">
        <v>1</v>
      </c>
      <c r="G146" s="82" t="n">
        <v>1</v>
      </c>
      <c r="H146" s="82" t="n">
        <v>1</v>
      </c>
      <c r="I146" s="82" t="n">
        <v>1</v>
      </c>
      <c r="J146" s="82" t="n">
        <v>1</v>
      </c>
      <c r="K146" s="82" t="n">
        <v>819</v>
      </c>
      <c r="L146" s="82" t="n">
        <v>9825</v>
      </c>
    </row>
    <row r="147" customFormat="false" ht="15" hidden="false" customHeight="false" outlineLevel="0" collapsed="false">
      <c r="A147" s="8" t="s">
        <v>941</v>
      </c>
      <c r="B147" s="8" t="s">
        <v>2467</v>
      </c>
      <c r="C147" s="91" t="s">
        <v>2455</v>
      </c>
      <c r="D147" s="8" t="s">
        <v>2214</v>
      </c>
      <c r="E147" s="82" t="n">
        <v>6550000</v>
      </c>
      <c r="F147" s="82" t="n">
        <v>1</v>
      </c>
      <c r="G147" s="82" t="n">
        <v>1</v>
      </c>
      <c r="H147" s="82" t="n">
        <v>1</v>
      </c>
      <c r="I147" s="82" t="n">
        <v>1</v>
      </c>
      <c r="J147" s="82" t="n">
        <v>1</v>
      </c>
      <c r="K147" s="82" t="n">
        <v>819</v>
      </c>
      <c r="L147" s="82" t="n">
        <v>9825</v>
      </c>
    </row>
    <row r="148" customFormat="false" ht="15" hidden="false" customHeight="false" outlineLevel="0" collapsed="false">
      <c r="A148" s="8" t="s">
        <v>942</v>
      </c>
      <c r="B148" s="8" t="s">
        <v>2468</v>
      </c>
      <c r="C148" s="91" t="s">
        <v>2455</v>
      </c>
      <c r="D148" s="8" t="s">
        <v>2214</v>
      </c>
      <c r="E148" s="82" t="n">
        <v>2798309</v>
      </c>
      <c r="F148" s="82" t="n">
        <v>1</v>
      </c>
      <c r="G148" s="82" t="n">
        <v>1</v>
      </c>
      <c r="H148" s="82" t="n">
        <v>1</v>
      </c>
      <c r="I148" s="82" t="n">
        <v>1</v>
      </c>
      <c r="J148" s="82" t="n">
        <v>1</v>
      </c>
      <c r="K148" s="82" t="n">
        <v>350</v>
      </c>
      <c r="L148" s="82" t="n">
        <v>4197</v>
      </c>
    </row>
    <row r="149" customFormat="false" ht="15" hidden="false" customHeight="false" outlineLevel="0" collapsed="false">
      <c r="A149" s="8" t="s">
        <v>943</v>
      </c>
      <c r="B149" s="8" t="s">
        <v>2469</v>
      </c>
      <c r="C149" s="91" t="s">
        <v>2455</v>
      </c>
      <c r="D149" s="8" t="s">
        <v>2214</v>
      </c>
      <c r="E149" s="82" t="n">
        <v>6550000</v>
      </c>
      <c r="F149" s="82" t="n">
        <v>1</v>
      </c>
      <c r="G149" s="82" t="n">
        <v>1</v>
      </c>
      <c r="H149" s="82" t="n">
        <v>1</v>
      </c>
      <c r="I149" s="82" t="n">
        <v>1</v>
      </c>
      <c r="J149" s="82" t="n">
        <v>1</v>
      </c>
      <c r="K149" s="82" t="n">
        <v>819</v>
      </c>
      <c r="L149" s="82" t="n">
        <v>9825</v>
      </c>
    </row>
    <row r="150" customFormat="false" ht="15" hidden="false" customHeight="false" outlineLevel="0" collapsed="false">
      <c r="A150" s="8" t="s">
        <v>944</v>
      </c>
      <c r="B150" s="8" t="s">
        <v>2470</v>
      </c>
      <c r="C150" s="91" t="s">
        <v>2455</v>
      </c>
      <c r="D150" s="8" t="s">
        <v>2214</v>
      </c>
      <c r="E150" s="82" t="n">
        <v>2798309</v>
      </c>
      <c r="F150" s="82" t="n">
        <v>1</v>
      </c>
      <c r="G150" s="82" t="n">
        <v>1</v>
      </c>
      <c r="H150" s="82" t="n">
        <v>1</v>
      </c>
      <c r="I150" s="82" t="n">
        <v>1</v>
      </c>
      <c r="J150" s="82" t="n">
        <v>1</v>
      </c>
      <c r="K150" s="82" t="n">
        <v>350</v>
      </c>
      <c r="L150" s="82" t="n">
        <v>4197</v>
      </c>
    </row>
    <row r="151" customFormat="false" ht="15" hidden="false" customHeight="false" outlineLevel="0" collapsed="false">
      <c r="A151" s="8" t="s">
        <v>945</v>
      </c>
      <c r="B151" s="8" t="s">
        <v>2471</v>
      </c>
      <c r="C151" s="91" t="s">
        <v>2455</v>
      </c>
      <c r="D151" s="8" t="s">
        <v>2214</v>
      </c>
      <c r="E151" s="82" t="n">
        <v>9800000</v>
      </c>
      <c r="F151" s="82" t="n">
        <v>1</v>
      </c>
      <c r="G151" s="82" t="n">
        <v>1</v>
      </c>
      <c r="H151" s="82" t="n">
        <v>1</v>
      </c>
      <c r="I151" s="82" t="n">
        <v>1</v>
      </c>
      <c r="J151" s="82" t="n">
        <v>1</v>
      </c>
      <c r="K151" s="82" t="n">
        <v>1225</v>
      </c>
      <c r="L151" s="82" t="n">
        <v>14700</v>
      </c>
    </row>
    <row r="152" customFormat="false" ht="15" hidden="false" customHeight="false" outlineLevel="0" collapsed="false">
      <c r="A152" s="8" t="s">
        <v>946</v>
      </c>
      <c r="B152" s="8" t="s">
        <v>2472</v>
      </c>
      <c r="C152" s="91" t="s">
        <v>2455</v>
      </c>
      <c r="D152" s="8" t="s">
        <v>2214</v>
      </c>
      <c r="E152" s="82" t="n">
        <v>2798309</v>
      </c>
      <c r="F152" s="82" t="n">
        <v>1</v>
      </c>
      <c r="G152" s="82" t="n">
        <v>1</v>
      </c>
      <c r="H152" s="82" t="n">
        <v>1</v>
      </c>
      <c r="I152" s="82" t="n">
        <v>1</v>
      </c>
      <c r="J152" s="82" t="n">
        <v>1</v>
      </c>
      <c r="K152" s="82" t="n">
        <v>350</v>
      </c>
      <c r="L152" s="82" t="n">
        <v>4197</v>
      </c>
    </row>
    <row r="153" customFormat="false" ht="15" hidden="false" customHeight="false" outlineLevel="0" collapsed="false">
      <c r="A153" s="8" t="s">
        <v>1205</v>
      </c>
      <c r="B153" s="8" t="s">
        <v>2473</v>
      </c>
      <c r="C153" s="8" t="s">
        <v>2474</v>
      </c>
      <c r="D153" s="8" t="s">
        <v>2214</v>
      </c>
      <c r="F153" s="13" t="n">
        <f aca="false">SUMIF($C$127:$C$152,"Directo",$F$127:$F$152)</f>
        <v>43</v>
      </c>
      <c r="G153" s="13" t="n">
        <f aca="false">SUMIF($C$127:$C$152,"Directo",$G$127:$G$152)</f>
        <v>43</v>
      </c>
      <c r="H153" s="13" t="n">
        <f aca="false">SUMIF($C$127:$C$152,"Directo",$H$127:$H$152)</f>
        <v>46</v>
      </c>
      <c r="I153" s="13" t="n">
        <f aca="false">SUMIF($C$127:$C$152,"Directo",$I$127:$I$152)</f>
        <v>49</v>
      </c>
      <c r="J153" s="13" t="n">
        <f aca="false">SUMIF($C$127:$C$152,"Directo",$J$127:$J$152)</f>
        <v>52</v>
      </c>
      <c r="K153" s="13" t="n">
        <f aca="false">SUMIF($C$127:$C$152,"Directo",$J$127:$J$152)</f>
        <v>52</v>
      </c>
      <c r="L153" s="13" t="n">
        <f aca="false">SUMIF($C$127:$C$152,"Directo",$J$127:$J$152)</f>
        <v>52</v>
      </c>
      <c r="M153" s="13" t="n">
        <f aca="false">SUMIF($C$127:$C$152,"Directo",$J$127:$J$152)</f>
        <v>52</v>
      </c>
      <c r="N153" s="13" t="n">
        <f aca="false">SUMIF($C$127:$C$152,"Directo",$J$127:$J$152)</f>
        <v>52</v>
      </c>
      <c r="O153" s="13" t="n">
        <f aca="false">SUMIF($C$127:$C$152,"Directo",$J$127:$J$152)</f>
        <v>52</v>
      </c>
    </row>
    <row r="154" customFormat="false" ht="15" hidden="false" customHeight="false" outlineLevel="0" collapsed="false">
      <c r="A154" s="8" t="s">
        <v>1209</v>
      </c>
      <c r="B154" s="8" t="s">
        <v>2475</v>
      </c>
      <c r="C154" s="8" t="s">
        <v>2474</v>
      </c>
      <c r="D154" s="8" t="s">
        <v>2214</v>
      </c>
      <c r="F154" s="13" t="n">
        <f aca="false">SUMIF($C$127:$C$152,"Indirecto",$F$127:$F$152)</f>
        <v>22</v>
      </c>
      <c r="G154" s="13" t="n">
        <f aca="false">SUMIF($C$127:$C$152,"Indirecto",$G$127:$G$152)</f>
        <v>22</v>
      </c>
      <c r="H154" s="13" t="n">
        <f aca="false">SUMIF($C$127:$C$152,"Indirecto",$H$127:$H$152)</f>
        <v>22</v>
      </c>
      <c r="I154" s="13" t="n">
        <f aca="false">SUMIF($C$127:$C$152,"Indirecto",$I$127:$I$152)</f>
        <v>22</v>
      </c>
      <c r="J154" s="13" t="n">
        <f aca="false">SUMIF($C$127:$C$152,"Indirecto",$J$127:$J$152)</f>
        <v>22</v>
      </c>
      <c r="K154" s="13" t="n">
        <f aca="false">SUMIF($C$127:$C$152,"Indirecto",$J$127:$J$152)</f>
        <v>22</v>
      </c>
      <c r="L154" s="13" t="n">
        <f aca="false">SUMIF($C$127:$C$152,"Indirecto",$J$127:$J$152)</f>
        <v>22</v>
      </c>
      <c r="M154" s="13" t="n">
        <f aca="false">SUMIF($C$127:$C$152,"Indirecto",$J$127:$J$152)</f>
        <v>22</v>
      </c>
      <c r="N154" s="13" t="n">
        <f aca="false">SUMIF($C$127:$C$152,"Indirecto",$J$127:$J$152)</f>
        <v>22</v>
      </c>
      <c r="O154" s="13" t="n">
        <f aca="false">SUMIF($C$127:$C$152,"Indirecto",$J$127:$J$152)</f>
        <v>22</v>
      </c>
    </row>
    <row r="155" customFormat="false" ht="15" hidden="false" customHeight="false" outlineLevel="0" collapsed="false">
      <c r="A155" s="8" t="s">
        <v>1211</v>
      </c>
      <c r="B155" s="8" t="s">
        <v>2476</v>
      </c>
      <c r="C155" s="8" t="s">
        <v>2477</v>
      </c>
      <c r="D155" s="8" t="s">
        <v>2214</v>
      </c>
      <c r="F155" s="13" t="n">
        <f aca="false">SUMPRODUCT(($C$127:$C$152="Directo")*$E$127:$E$152*$F$127:$F$152)*12</f>
        <v>1789426920</v>
      </c>
      <c r="G155" s="13" t="n">
        <f aca="false">SUMPRODUCT(($C$127:$C$152="Directo")*$E$127:$E$152*$G$127:$G$152)*12</f>
        <v>1789426920</v>
      </c>
      <c r="H155" s="13" t="n">
        <f aca="false">SUMPRODUCT(($C$127:$C$152="Directo")*$E$127:$E$152*$H$127:$H$152)*12</f>
        <v>1936888380</v>
      </c>
      <c r="I155" s="13" t="n">
        <f aca="false">SUMPRODUCT(($C$127:$C$152="Directo")*$E$127:$E$152*$I$127:$I$152)*12</f>
        <v>2052083808</v>
      </c>
      <c r="J155" s="13" t="n">
        <f aca="false">SUMPRODUCT(($C$127:$C$152="Directo")*$E$127:$E$152*$J$127:$J$152)*12</f>
        <v>2195726328</v>
      </c>
      <c r="K155" s="13" t="n">
        <f aca="false">SUMPRODUCT(($C$127:$C$152="Directo")*$E$127:$E$152*$J$127:$J$152)*12</f>
        <v>2195726328</v>
      </c>
      <c r="L155" s="13" t="n">
        <f aca="false">SUMPRODUCT(($C$127:$C$152="Directo")*$E$127:$E$152*$J$127:$J$152)*12</f>
        <v>2195726328</v>
      </c>
      <c r="M155" s="13" t="n">
        <f aca="false">SUMPRODUCT(($C$127:$C$152="Directo")*$E$127:$E$152*$J$127:$J$152)*12</f>
        <v>2195726328</v>
      </c>
      <c r="N155" s="13" t="n">
        <f aca="false">SUMPRODUCT(($C$127:$C$152="Directo")*$E$127:$E$152*$J$127:$J$152)*12</f>
        <v>2195726328</v>
      </c>
      <c r="O155" s="13" t="n">
        <f aca="false">SUMPRODUCT(($C$127:$C$152="Directo")*$E$127:$E$152*$J$127:$J$152)*12</f>
        <v>2195726328</v>
      </c>
    </row>
    <row r="156" customFormat="false" ht="15" hidden="false" customHeight="false" outlineLevel="0" collapsed="false">
      <c r="A156" s="8" t="s">
        <v>2478</v>
      </c>
      <c r="B156" s="8" t="s">
        <v>2479</v>
      </c>
      <c r="C156" s="8" t="s">
        <v>2477</v>
      </c>
      <c r="D156" s="8" t="s">
        <v>2214</v>
      </c>
      <c r="F156" s="13" t="n">
        <f aca="false">SUMPRODUCT(($C$127:$C$152="Indirecto")*$E$127:$E$152*$F$127:$F$152)*12</f>
        <v>1693142412</v>
      </c>
      <c r="G156" s="13" t="n">
        <f aca="false">SUMPRODUCT(($C$127:$C$152="Indirecto")*$E$127:$E$152*$G$127:$G$152)*12</f>
        <v>1693142412</v>
      </c>
      <c r="H156" s="13" t="n">
        <f aca="false">SUMPRODUCT(($C$127:$C$152="Indirecto")*$E$127:$E$152*$H$127:$H$152)*12</f>
        <v>1693142412</v>
      </c>
      <c r="I156" s="13" t="n">
        <f aca="false">SUMPRODUCT(($C$127:$C$152="Indirecto")*$E$127:$E$152*$I$127:$I$152)*12</f>
        <v>1693142412</v>
      </c>
      <c r="J156" s="13" t="n">
        <f aca="false">SUMPRODUCT(($C$127:$C$152="Indirecto")*$E$127:$E$152*$J$127:$J$152)*12</f>
        <v>1693142412</v>
      </c>
      <c r="K156" s="13" t="n">
        <f aca="false">SUMPRODUCT(($C$127:$C$152="Indirecto")*$E$127:$E$152*$J$127:$J$152)*12</f>
        <v>1693142412</v>
      </c>
      <c r="L156" s="13" t="n">
        <f aca="false">SUMPRODUCT(($C$127:$C$152="Indirecto")*$E$127:$E$152*$J$127:$J$152)*12</f>
        <v>1693142412</v>
      </c>
      <c r="M156" s="13" t="n">
        <f aca="false">SUMPRODUCT(($C$127:$C$152="Indirecto")*$E$127:$E$152*$J$127:$J$152)*12</f>
        <v>1693142412</v>
      </c>
      <c r="N156" s="13" t="n">
        <f aca="false">SUMPRODUCT(($C$127:$C$152="Indirecto")*$E$127:$E$152*$J$127:$J$152)*12</f>
        <v>1693142412</v>
      </c>
      <c r="O156" s="13" t="n">
        <f aca="false">SUMPRODUCT(($C$127:$C$152="Indirecto")*$E$127:$E$152*$J$127:$J$152)*12</f>
        <v>1693142412</v>
      </c>
    </row>
    <row r="157" customFormat="false" ht="15" hidden="false" customHeight="false" outlineLevel="0" collapsed="false">
      <c r="A157" s="8" t="s">
        <v>2480</v>
      </c>
      <c r="B157" s="8" t="s">
        <v>2481</v>
      </c>
      <c r="C157" s="8" t="s">
        <v>255</v>
      </c>
      <c r="D157" s="8" t="s">
        <v>2241</v>
      </c>
      <c r="F157" s="19" t="n">
        <f aca="false">F155/$E$10</f>
        <v>223678.365</v>
      </c>
      <c r="G157" s="19" t="n">
        <f aca="false">G155/$E$10</f>
        <v>223678.365</v>
      </c>
      <c r="H157" s="19" t="n">
        <f aca="false">H155/$E$10</f>
        <v>242111.0475</v>
      </c>
      <c r="I157" s="19" t="n">
        <f aca="false">I155/$E$10</f>
        <v>256510.476</v>
      </c>
      <c r="J157" s="19" t="n">
        <f aca="false">J155/$E$10</f>
        <v>274465.791</v>
      </c>
      <c r="K157" s="19" t="n">
        <f aca="false">K155/$E$10</f>
        <v>274465.791</v>
      </c>
      <c r="L157" s="19" t="n">
        <f aca="false">L155/$E$10</f>
        <v>274465.791</v>
      </c>
      <c r="M157" s="19" t="n">
        <f aca="false">M155/$E$10</f>
        <v>274465.791</v>
      </c>
      <c r="N157" s="19" t="n">
        <f aca="false">N155/$E$10</f>
        <v>274465.791</v>
      </c>
      <c r="O157" s="19" t="n">
        <f aca="false">O155/$E$10</f>
        <v>274465.791</v>
      </c>
    </row>
    <row r="158" customFormat="false" ht="15" hidden="false" customHeight="false" outlineLevel="0" collapsed="false">
      <c r="A158" s="8" t="s">
        <v>2482</v>
      </c>
      <c r="B158" s="8" t="s">
        <v>2483</v>
      </c>
      <c r="C158" s="8" t="s">
        <v>255</v>
      </c>
      <c r="D158" s="8" t="s">
        <v>2241</v>
      </c>
      <c r="F158" s="19" t="n">
        <f aca="false">F156/$E$10</f>
        <v>211642.8015</v>
      </c>
      <c r="G158" s="19" t="n">
        <f aca="false">G156/$E$10</f>
        <v>211642.8015</v>
      </c>
      <c r="H158" s="19" t="n">
        <f aca="false">H156/$E$10</f>
        <v>211642.8015</v>
      </c>
      <c r="I158" s="19" t="n">
        <f aca="false">I156/$E$10</f>
        <v>211642.8015</v>
      </c>
      <c r="J158" s="19" t="n">
        <f aca="false">J156/$E$10</f>
        <v>211642.8015</v>
      </c>
      <c r="K158" s="19" t="n">
        <f aca="false">K156/$E$10</f>
        <v>211642.8015</v>
      </c>
      <c r="L158" s="19" t="n">
        <f aca="false">L156/$E$10</f>
        <v>211642.8015</v>
      </c>
      <c r="M158" s="19" t="n">
        <f aca="false">M156/$E$10</f>
        <v>211642.8015</v>
      </c>
      <c r="N158" s="19" t="n">
        <f aca="false">N156/$E$10</f>
        <v>211642.8015</v>
      </c>
      <c r="O158" s="19" t="n">
        <f aca="false">O156/$E$10</f>
        <v>211642.8015</v>
      </c>
    </row>
    <row r="159" customFormat="false" ht="15" hidden="false" customHeight="false" outlineLevel="0" collapsed="false">
      <c r="A159" s="8" t="s">
        <v>2484</v>
      </c>
      <c r="B159" s="8" t="s">
        <v>2485</v>
      </c>
      <c r="C159" s="8" t="s">
        <v>255</v>
      </c>
      <c r="D159" s="8" t="s">
        <v>2222</v>
      </c>
      <c r="F159" s="19" t="n">
        <f aca="false">F155/$E$7</f>
        <v>245126.975342466</v>
      </c>
      <c r="G159" s="19" t="n">
        <f aca="false">G155/$E$7</f>
        <v>245126.975342466</v>
      </c>
      <c r="H159" s="19" t="n">
        <f aca="false">H155/$E$7</f>
        <v>265327.175342466</v>
      </c>
      <c r="I159" s="19" t="n">
        <f aca="false">I155/$E$7</f>
        <v>281107.370958904</v>
      </c>
      <c r="J159" s="19" t="n">
        <f aca="false">J155/$E$7</f>
        <v>300784.428493151</v>
      </c>
      <c r="K159" s="19" t="n">
        <f aca="false">K155/$E$7</f>
        <v>300784.428493151</v>
      </c>
      <c r="L159" s="19" t="n">
        <f aca="false">L155/$E$7</f>
        <v>300784.428493151</v>
      </c>
      <c r="M159" s="19" t="n">
        <f aca="false">M155/$E$7</f>
        <v>300784.428493151</v>
      </c>
      <c r="N159" s="19" t="n">
        <f aca="false">N155/$E$7</f>
        <v>300784.428493151</v>
      </c>
      <c r="O159" s="19" t="n">
        <f aca="false">O155/$E$7</f>
        <v>300784.428493151</v>
      </c>
    </row>
    <row r="160" customFormat="false" ht="15" hidden="false" customHeight="false" outlineLevel="0" collapsed="false">
      <c r="A160" s="8" t="s">
        <v>2486</v>
      </c>
      <c r="B160" s="8" t="s">
        <v>2487</v>
      </c>
      <c r="C160" s="8" t="s">
        <v>255</v>
      </c>
      <c r="D160" s="8" t="s">
        <v>2222</v>
      </c>
      <c r="F160" s="19" t="n">
        <f aca="false">F156/$E$7</f>
        <v>231937.316712329</v>
      </c>
      <c r="G160" s="19" t="n">
        <f aca="false">G156/$E$7</f>
        <v>231937.316712329</v>
      </c>
      <c r="H160" s="19" t="n">
        <f aca="false">H156/$E$7</f>
        <v>231937.316712329</v>
      </c>
      <c r="I160" s="19" t="n">
        <f aca="false">I156/$E$7</f>
        <v>231937.316712329</v>
      </c>
      <c r="J160" s="19" t="n">
        <f aca="false">J156/$E$7</f>
        <v>231937.316712329</v>
      </c>
      <c r="K160" s="19" t="n">
        <f aca="false">K156/$E$7</f>
        <v>231937.316712329</v>
      </c>
      <c r="L160" s="19" t="n">
        <f aca="false">L156/$E$7</f>
        <v>231937.316712329</v>
      </c>
      <c r="M160" s="19" t="n">
        <f aca="false">M156/$E$7</f>
        <v>231937.316712329</v>
      </c>
      <c r="N160" s="19" t="n">
        <f aca="false">N156/$E$7</f>
        <v>231937.316712329</v>
      </c>
      <c r="O160" s="19" t="n">
        <f aca="false">O156/$E$7</f>
        <v>231937.316712329</v>
      </c>
    </row>
    <row r="161" customFormat="false" ht="15" hidden="false" customHeight="false" outlineLevel="0" collapsed="false">
      <c r="A161" s="8" t="s">
        <v>2488</v>
      </c>
      <c r="B161" s="5" t="s">
        <v>2489</v>
      </c>
      <c r="C161" s="8" t="s">
        <v>255</v>
      </c>
      <c r="D161" s="8"/>
      <c r="E161" s="93"/>
      <c r="F161" s="70" t="n">
        <f aca="false">(F159+F160-F157-F158)*(1+$E$20)</f>
        <v>59730.2383563555</v>
      </c>
      <c r="G161" s="70" t="n">
        <f aca="false">(G159+G160-G157-G158)*(1+$E$20)</f>
        <v>59730.2383563555</v>
      </c>
      <c r="H161" s="70" t="n">
        <f aca="false">(H159+H160-H157-H158)*(1+$E$20)</f>
        <v>62259.3791471055</v>
      </c>
      <c r="I161" s="70" t="n">
        <f aca="false">(I159+I160-I157-I158)*(1+$E$20)</f>
        <v>64235.1188140171</v>
      </c>
      <c r="J161" s="70" t="n">
        <f aca="false">(J159+J160-J157-J158)*(1+$E$20)</f>
        <v>66698.7602062705</v>
      </c>
      <c r="K161" s="70" t="n">
        <f aca="false">(K159+K160-K157-K158)*(1+$E$20)</f>
        <v>66698.7602062705</v>
      </c>
      <c r="L161" s="70" t="n">
        <f aca="false">(L159+L160-L157-L158)*(1+$E$20)</f>
        <v>66698.7602062705</v>
      </c>
      <c r="M161" s="70" t="n">
        <f aca="false">(M159+M160-M157-M158)*(1+$E$20)</f>
        <v>66698.7602062705</v>
      </c>
      <c r="N161" s="70" t="n">
        <f aca="false">(N159+N160-N157-N158)*(1+$E$20)</f>
        <v>66698.7602062705</v>
      </c>
      <c r="O161" s="70" t="n">
        <f aca="false">(O159+O160-O157-O158)*(1+$E$20)</f>
        <v>66698.7602062705</v>
      </c>
      <c r="P161" s="70" t="n">
        <f aca="false">SUM(F161:O161)</f>
        <v>646147.535911456</v>
      </c>
      <c r="Q161" s="92" t="s">
        <v>2490</v>
      </c>
    </row>
    <row r="163" customFormat="false" ht="15" hidden="false" customHeight="false" outlineLevel="0" collapsed="false">
      <c r="A163" s="3" t="s">
        <v>2491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customFormat="false" ht="15" hidden="false" customHeight="false" outlineLevel="0" collapsed="false">
      <c r="A164" s="8" t="s">
        <v>2084</v>
      </c>
      <c r="B164" s="8" t="s">
        <v>2492</v>
      </c>
      <c r="C164" s="8" t="s">
        <v>255</v>
      </c>
      <c r="D164" s="8" t="s">
        <v>2241</v>
      </c>
      <c r="F164" s="82" t="n">
        <v>1510500</v>
      </c>
      <c r="G164" s="82" t="n">
        <v>1925717</v>
      </c>
      <c r="H164" s="82" t="n">
        <v>2340854</v>
      </c>
      <c r="I164" s="82" t="n">
        <v>2686334</v>
      </c>
      <c r="J164" s="82" t="n">
        <v>2704216</v>
      </c>
      <c r="K164" s="82" t="n">
        <v>2722278</v>
      </c>
      <c r="L164" s="82" t="n">
        <v>2740519</v>
      </c>
      <c r="M164" s="82" t="n">
        <v>2758944</v>
      </c>
      <c r="N164" s="82" t="n">
        <v>2777552</v>
      </c>
      <c r="O164" s="82" t="n">
        <v>2796347</v>
      </c>
      <c r="P164" s="13" t="n">
        <f aca="false">SUM(F164:O164)</f>
        <v>24963261</v>
      </c>
    </row>
    <row r="165" customFormat="false" ht="15" hidden="false" customHeight="false" outlineLevel="0" collapsed="false">
      <c r="A165" s="8" t="s">
        <v>2087</v>
      </c>
      <c r="B165" s="8" t="s">
        <v>2493</v>
      </c>
      <c r="C165" s="8" t="s">
        <v>255</v>
      </c>
      <c r="D165" s="8" t="s">
        <v>2241</v>
      </c>
      <c r="F165" s="82" t="n">
        <v>879570</v>
      </c>
      <c r="G165" s="82" t="n">
        <v>1111590</v>
      </c>
      <c r="H165" s="82" t="n">
        <v>1343610</v>
      </c>
      <c r="I165" s="82" t="n">
        <v>1527120</v>
      </c>
      <c r="J165" s="82" t="n">
        <v>1527120</v>
      </c>
      <c r="K165" s="82" t="n">
        <v>1527120</v>
      </c>
      <c r="L165" s="82" t="n">
        <v>1527120</v>
      </c>
      <c r="M165" s="82" t="n">
        <v>1527120</v>
      </c>
      <c r="N165" s="82" t="n">
        <v>1527120</v>
      </c>
      <c r="O165" s="82" t="n">
        <v>1527120</v>
      </c>
      <c r="P165" s="13" t="n">
        <f aca="false">SUM(F165:O165)</f>
        <v>14024610</v>
      </c>
    </row>
    <row r="166" customFormat="false" ht="15" hidden="false" customHeight="false" outlineLevel="0" collapsed="false">
      <c r="A166" s="8" t="s">
        <v>995</v>
      </c>
      <c r="B166" s="8" t="s">
        <v>2494</v>
      </c>
      <c r="C166" s="8" t="s">
        <v>255</v>
      </c>
      <c r="D166" s="8" t="s">
        <v>2241</v>
      </c>
      <c r="F166" s="82" t="n">
        <v>102012</v>
      </c>
      <c r="G166" s="82" t="n">
        <v>129140</v>
      </c>
      <c r="H166" s="82" t="n">
        <v>156267</v>
      </c>
      <c r="I166" s="82" t="n">
        <v>176895</v>
      </c>
      <c r="J166" s="82" t="n">
        <v>176895</v>
      </c>
      <c r="K166" s="82" t="n">
        <v>176895</v>
      </c>
      <c r="L166" s="82" t="n">
        <v>176895</v>
      </c>
      <c r="M166" s="82" t="n">
        <v>176895</v>
      </c>
      <c r="N166" s="82" t="n">
        <v>176895</v>
      </c>
      <c r="O166" s="82" t="n">
        <v>176895</v>
      </c>
      <c r="P166" s="13" t="n">
        <f aca="false">SUM(F166:O166)</f>
        <v>1625684</v>
      </c>
    </row>
    <row r="167" customFormat="false" ht="15" hidden="false" customHeight="false" outlineLevel="0" collapsed="false">
      <c r="A167" s="8" t="s">
        <v>2495</v>
      </c>
      <c r="B167" s="8" t="s">
        <v>2496</v>
      </c>
      <c r="C167" s="8" t="s">
        <v>255</v>
      </c>
      <c r="D167" s="8" t="s">
        <v>2241</v>
      </c>
      <c r="F167" s="82" t="n">
        <v>223678</v>
      </c>
      <c r="G167" s="82" t="n">
        <v>223678</v>
      </c>
      <c r="H167" s="82" t="n">
        <v>242111</v>
      </c>
      <c r="I167" s="82" t="n">
        <v>256510</v>
      </c>
      <c r="J167" s="82" t="n">
        <v>274466</v>
      </c>
      <c r="K167" s="82" t="n">
        <v>274466</v>
      </c>
      <c r="L167" s="82" t="n">
        <v>274466</v>
      </c>
      <c r="M167" s="82" t="n">
        <v>274466</v>
      </c>
      <c r="N167" s="82" t="n">
        <v>274466</v>
      </c>
      <c r="O167" s="82" t="n">
        <v>274466</v>
      </c>
      <c r="P167" s="13" t="n">
        <f aca="false">SUM(F167:O167)</f>
        <v>2592773</v>
      </c>
    </row>
    <row r="168" customFormat="false" ht="15" hidden="false" customHeight="false" outlineLevel="0" collapsed="false">
      <c r="A168" s="8" t="s">
        <v>2497</v>
      </c>
      <c r="B168" s="8" t="s">
        <v>2498</v>
      </c>
      <c r="C168" s="8" t="s">
        <v>255</v>
      </c>
      <c r="D168" s="8" t="s">
        <v>2241</v>
      </c>
      <c r="F168" s="82" t="n">
        <v>96376</v>
      </c>
      <c r="G168" s="82" t="n">
        <v>96376</v>
      </c>
      <c r="H168" s="82" t="n">
        <v>104318</v>
      </c>
      <c r="I168" s="82" t="n">
        <v>110522</v>
      </c>
      <c r="J168" s="82" t="n">
        <v>118258</v>
      </c>
      <c r="K168" s="82" t="n">
        <v>118258</v>
      </c>
      <c r="L168" s="82" t="n">
        <v>118258</v>
      </c>
      <c r="M168" s="82" t="n">
        <v>118258</v>
      </c>
      <c r="N168" s="82" t="n">
        <v>118258</v>
      </c>
      <c r="O168" s="82" t="n">
        <v>118258</v>
      </c>
      <c r="P168" s="13" t="n">
        <f aca="false">SUM(F168:O168)</f>
        <v>1117140</v>
      </c>
    </row>
    <row r="169" customFormat="false" ht="15" hidden="false" customHeight="false" outlineLevel="0" collapsed="false">
      <c r="A169" s="8" t="s">
        <v>2499</v>
      </c>
      <c r="B169" s="8" t="s">
        <v>2500</v>
      </c>
      <c r="C169" s="8" t="s">
        <v>255</v>
      </c>
      <c r="D169" s="8" t="s">
        <v>2241</v>
      </c>
      <c r="F169" s="82" t="n">
        <v>40715</v>
      </c>
      <c r="G169" s="82" t="n">
        <v>40715</v>
      </c>
      <c r="H169" s="82" t="n">
        <v>43555</v>
      </c>
      <c r="I169" s="82" t="n">
        <v>46396</v>
      </c>
      <c r="J169" s="82" t="n">
        <v>49236</v>
      </c>
      <c r="K169" s="82" t="n">
        <v>49236</v>
      </c>
      <c r="L169" s="82" t="n">
        <v>49236</v>
      </c>
      <c r="M169" s="82" t="n">
        <v>49236</v>
      </c>
      <c r="N169" s="82" t="n">
        <v>49236</v>
      </c>
      <c r="O169" s="82" t="n">
        <v>49236</v>
      </c>
      <c r="P169" s="13" t="n">
        <f aca="false">SUM(F169:O169)</f>
        <v>466797</v>
      </c>
    </row>
    <row r="170" customFormat="false" ht="15" hidden="false" customHeight="false" outlineLevel="0" collapsed="false">
      <c r="A170" s="8" t="s">
        <v>2089</v>
      </c>
      <c r="B170" s="8" t="s">
        <v>2501</v>
      </c>
      <c r="C170" s="8" t="s">
        <v>255</v>
      </c>
      <c r="D170" s="8" t="s">
        <v>2241</v>
      </c>
      <c r="F170" s="82" t="n">
        <v>424000</v>
      </c>
      <c r="G170" s="82" t="n">
        <v>535200</v>
      </c>
      <c r="H170" s="82" t="n">
        <v>646400</v>
      </c>
      <c r="I170" s="82" t="n">
        <v>736800</v>
      </c>
      <c r="J170" s="82" t="n">
        <v>736800</v>
      </c>
      <c r="K170" s="82" t="n">
        <v>736800</v>
      </c>
      <c r="L170" s="82" t="n">
        <v>736800</v>
      </c>
      <c r="M170" s="82" t="n">
        <v>736800</v>
      </c>
      <c r="N170" s="82" t="n">
        <v>736800</v>
      </c>
      <c r="O170" s="82" t="n">
        <v>736800</v>
      </c>
      <c r="P170" s="13" t="n">
        <f aca="false">SUM(F170:O170)</f>
        <v>6763200</v>
      </c>
    </row>
    <row r="171" customFormat="false" ht="15" hidden="false" customHeight="false" outlineLevel="0" collapsed="false">
      <c r="A171" s="8" t="s">
        <v>965</v>
      </c>
      <c r="B171" s="8" t="s">
        <v>2502</v>
      </c>
      <c r="C171" s="8" t="s">
        <v>255</v>
      </c>
      <c r="D171" s="8" t="s">
        <v>2241</v>
      </c>
      <c r="F171" s="82" t="n">
        <v>23014</v>
      </c>
      <c r="G171" s="82" t="n">
        <v>23014</v>
      </c>
      <c r="H171" s="82" t="n">
        <v>23014</v>
      </c>
      <c r="I171" s="82" t="n">
        <v>23014</v>
      </c>
      <c r="J171" s="82" t="n">
        <v>23014</v>
      </c>
      <c r="K171" s="82" t="n">
        <v>23014</v>
      </c>
      <c r="L171" s="82" t="n">
        <v>23014</v>
      </c>
      <c r="M171" s="82" t="n">
        <v>23014</v>
      </c>
      <c r="N171" s="82" t="n">
        <v>23014</v>
      </c>
      <c r="O171" s="82" t="n">
        <v>23014</v>
      </c>
      <c r="P171" s="13" t="n">
        <f aca="false">SUM(F171:O171)</f>
        <v>230140</v>
      </c>
    </row>
    <row r="172" customFormat="false" ht="15" hidden="false" customHeight="false" outlineLevel="0" collapsed="false">
      <c r="A172" s="8" t="s">
        <v>972</v>
      </c>
      <c r="B172" s="8" t="s">
        <v>2503</v>
      </c>
      <c r="C172" s="8" t="s">
        <v>255</v>
      </c>
      <c r="D172" s="8" t="s">
        <v>2241</v>
      </c>
      <c r="F172" s="82" t="n">
        <v>29708</v>
      </c>
      <c r="G172" s="82" t="n">
        <v>30302</v>
      </c>
      <c r="H172" s="82" t="n">
        <v>30897</v>
      </c>
      <c r="I172" s="82" t="n">
        <v>31491</v>
      </c>
      <c r="J172" s="82" t="n">
        <v>32085</v>
      </c>
      <c r="K172" s="82" t="n">
        <v>32679</v>
      </c>
      <c r="L172" s="82" t="n">
        <v>33273</v>
      </c>
      <c r="M172" s="82" t="n">
        <v>33867</v>
      </c>
      <c r="N172" s="82" t="n">
        <v>34462</v>
      </c>
      <c r="O172" s="82" t="n">
        <v>35056</v>
      </c>
      <c r="P172" s="13" t="n">
        <f aca="false">SUM(F172:O172)</f>
        <v>323820</v>
      </c>
    </row>
    <row r="173" customFormat="false" ht="15" hidden="false" customHeight="false" outlineLevel="0" collapsed="false">
      <c r="A173" s="8" t="s">
        <v>998</v>
      </c>
      <c r="B173" s="8" t="s">
        <v>2504</v>
      </c>
      <c r="C173" s="8" t="s">
        <v>255</v>
      </c>
      <c r="D173" s="8" t="s">
        <v>2241</v>
      </c>
      <c r="F173" s="82" t="n">
        <v>71702</v>
      </c>
      <c r="G173" s="82" t="n">
        <v>91119</v>
      </c>
      <c r="H173" s="82" t="n">
        <v>110534</v>
      </c>
      <c r="I173" s="82" t="n">
        <v>126404</v>
      </c>
      <c r="J173" s="82" t="n">
        <v>126940</v>
      </c>
      <c r="K173" s="82" t="n">
        <v>127482</v>
      </c>
      <c r="L173" s="82" t="n">
        <v>128029</v>
      </c>
      <c r="M173" s="82" t="n">
        <v>128582</v>
      </c>
      <c r="N173" s="82" t="n">
        <v>129140</v>
      </c>
      <c r="O173" s="82" t="n">
        <v>129704</v>
      </c>
      <c r="P173" s="13" t="n">
        <f aca="false">SUM(F173:O173)</f>
        <v>1169636</v>
      </c>
    </row>
    <row r="174" customFormat="false" ht="15" hidden="false" customHeight="false" outlineLevel="0" collapsed="false">
      <c r="A174" s="8" t="s">
        <v>2505</v>
      </c>
      <c r="B174" s="8" t="s">
        <v>2506</v>
      </c>
      <c r="C174" s="8" t="s">
        <v>255</v>
      </c>
      <c r="D174" s="8" t="s">
        <v>2241</v>
      </c>
      <c r="F174" s="82" t="n">
        <v>4850</v>
      </c>
      <c r="G174" s="82" t="n">
        <v>6181</v>
      </c>
      <c r="H174" s="82" t="n">
        <v>7539</v>
      </c>
      <c r="I174" s="82" t="n">
        <v>8685</v>
      </c>
      <c r="J174" s="82" t="n">
        <v>8772</v>
      </c>
      <c r="K174" s="82" t="n">
        <v>8860</v>
      </c>
      <c r="L174" s="82" t="n">
        <v>8949</v>
      </c>
      <c r="M174" s="82" t="n">
        <v>9038</v>
      </c>
      <c r="N174" s="82" t="n">
        <v>9128</v>
      </c>
      <c r="O174" s="82" t="n">
        <v>9220</v>
      </c>
      <c r="P174" s="13" t="n">
        <f aca="false">SUM(F174:O174)</f>
        <v>81222</v>
      </c>
    </row>
    <row r="175" customFormat="false" ht="15" hidden="false" customHeight="false" outlineLevel="0" collapsed="false">
      <c r="A175" s="8" t="s">
        <v>1000</v>
      </c>
      <c r="B175" s="8" t="s">
        <v>2507</v>
      </c>
      <c r="C175" s="8" t="s">
        <v>255</v>
      </c>
      <c r="D175" s="8" t="s">
        <v>2241</v>
      </c>
      <c r="F175" s="82" t="n">
        <v>32769</v>
      </c>
      <c r="G175" s="82" t="n">
        <v>40624</v>
      </c>
      <c r="H175" s="82" t="n">
        <v>48771</v>
      </c>
      <c r="I175" s="82" t="n">
        <v>55406</v>
      </c>
      <c r="J175" s="82" t="n">
        <v>55870</v>
      </c>
      <c r="K175" s="82" t="n">
        <v>56051</v>
      </c>
      <c r="L175" s="82" t="n">
        <v>56233</v>
      </c>
      <c r="M175" s="82" t="n">
        <v>56417</v>
      </c>
      <c r="N175" s="82" t="n">
        <v>56603</v>
      </c>
      <c r="O175" s="82" t="n">
        <v>56791</v>
      </c>
      <c r="P175" s="13" t="n">
        <f aca="false">SUM(F175:O175)</f>
        <v>515535</v>
      </c>
    </row>
    <row r="176" customFormat="false" ht="15" hidden="false" customHeight="false" outlineLevel="0" collapsed="false">
      <c r="A176" s="8" t="s">
        <v>2508</v>
      </c>
      <c r="B176" s="8" t="s">
        <v>2509</v>
      </c>
      <c r="C176" s="8" t="s">
        <v>255</v>
      </c>
      <c r="D176" s="8" t="s">
        <v>2241</v>
      </c>
      <c r="F176" s="82" t="n">
        <v>171945</v>
      </c>
      <c r="G176" s="82" t="n">
        <v>212683</v>
      </c>
      <c r="H176" s="82" t="n">
        <v>254893</v>
      </c>
      <c r="I176" s="82" t="n">
        <v>289279</v>
      </c>
      <c r="J176" s="82" t="n">
        <v>291684</v>
      </c>
      <c r="K176" s="82" t="n">
        <v>292657</v>
      </c>
      <c r="L176" s="82" t="n">
        <v>293640</v>
      </c>
      <c r="M176" s="82" t="n">
        <v>294632</v>
      </c>
      <c r="N176" s="82" t="n">
        <v>295634</v>
      </c>
      <c r="O176" s="82" t="n">
        <v>296645</v>
      </c>
      <c r="P176" s="13" t="n">
        <f aca="false">SUM(F176:O176)</f>
        <v>2693692</v>
      </c>
    </row>
    <row r="177" customFormat="false" ht="15" hidden="false" customHeight="false" outlineLevel="0" collapsed="false">
      <c r="A177" s="8" t="s">
        <v>2510</v>
      </c>
      <c r="B177" s="8" t="s">
        <v>2511</v>
      </c>
      <c r="C177" s="8" t="s">
        <v>255</v>
      </c>
      <c r="D177" s="8" t="s">
        <v>2241</v>
      </c>
      <c r="F177" s="82" t="n">
        <v>48500</v>
      </c>
      <c r="G177" s="82" t="n">
        <v>61812</v>
      </c>
      <c r="H177" s="82" t="n">
        <v>75385</v>
      </c>
      <c r="I177" s="82" t="n">
        <v>86854</v>
      </c>
      <c r="J177" s="82" t="n">
        <v>87723</v>
      </c>
      <c r="K177" s="82" t="n">
        <v>88600</v>
      </c>
      <c r="L177" s="82" t="n">
        <v>89486</v>
      </c>
      <c r="M177" s="82" t="n">
        <v>90381</v>
      </c>
      <c r="N177" s="82" t="n">
        <v>91285</v>
      </c>
      <c r="O177" s="82" t="n">
        <v>92198</v>
      </c>
      <c r="P177" s="13" t="n">
        <f aca="false">SUM(F177:O177)</f>
        <v>812224</v>
      </c>
    </row>
    <row r="178" customFormat="false" ht="15" hidden="false" customHeight="false" outlineLevel="0" collapsed="false">
      <c r="A178" s="8" t="s">
        <v>2512</v>
      </c>
      <c r="B178" s="8" t="s">
        <v>2513</v>
      </c>
      <c r="C178" s="8" t="s">
        <v>255</v>
      </c>
      <c r="D178" s="8" t="s">
        <v>2241</v>
      </c>
      <c r="F178" s="82" t="n">
        <v>3659338</v>
      </c>
      <c r="G178" s="82" t="n">
        <v>4528150</v>
      </c>
      <c r="H178" s="82" t="n">
        <v>5428148</v>
      </c>
      <c r="I178" s="82" t="n">
        <v>6161710</v>
      </c>
      <c r="J178" s="82" t="n">
        <v>6213080</v>
      </c>
      <c r="K178" s="82" t="n">
        <v>6234396</v>
      </c>
      <c r="L178" s="82" t="n">
        <v>6255919</v>
      </c>
      <c r="M178" s="82" t="n">
        <v>6277651</v>
      </c>
      <c r="N178" s="82" t="n">
        <v>6299594</v>
      </c>
      <c r="O178" s="82" t="n">
        <v>6321750</v>
      </c>
      <c r="P178" s="13" t="n">
        <f aca="false">SUM(F178:O178)</f>
        <v>57379736</v>
      </c>
    </row>
    <row r="179" customFormat="false" ht="15" hidden="false" customHeight="false" outlineLevel="0" collapsed="false">
      <c r="A179" s="8" t="s">
        <v>2514</v>
      </c>
      <c r="B179" s="8" t="s">
        <v>2515</v>
      </c>
      <c r="C179" s="8" t="s">
        <v>255</v>
      </c>
      <c r="D179" s="8" t="s">
        <v>2241</v>
      </c>
      <c r="F179" s="82" t="n">
        <v>211643</v>
      </c>
      <c r="G179" s="82" t="n">
        <v>211643</v>
      </c>
      <c r="H179" s="82" t="n">
        <v>211643</v>
      </c>
      <c r="I179" s="82" t="n">
        <v>211643</v>
      </c>
      <c r="J179" s="82" t="n">
        <v>211643</v>
      </c>
      <c r="K179" s="82" t="n">
        <v>211643</v>
      </c>
      <c r="L179" s="82" t="n">
        <v>211643</v>
      </c>
      <c r="M179" s="82" t="n">
        <v>211643</v>
      </c>
      <c r="N179" s="82" t="n">
        <v>211643</v>
      </c>
      <c r="O179" s="82" t="n">
        <v>211643</v>
      </c>
      <c r="P179" s="13" t="n">
        <f aca="false">SUM(F179:O179)</f>
        <v>2116430</v>
      </c>
    </row>
    <row r="180" customFormat="false" ht="15" hidden="false" customHeight="false" outlineLevel="0" collapsed="false">
      <c r="A180" s="8" t="s">
        <v>2516</v>
      </c>
      <c r="B180" s="8" t="s">
        <v>2517</v>
      </c>
      <c r="C180" s="8" t="s">
        <v>255</v>
      </c>
      <c r="D180" s="8" t="s">
        <v>2241</v>
      </c>
      <c r="F180" s="82" t="n">
        <v>91190</v>
      </c>
      <c r="G180" s="82" t="n">
        <v>91190</v>
      </c>
      <c r="H180" s="82" t="n">
        <v>91190</v>
      </c>
      <c r="I180" s="82" t="n">
        <v>91190</v>
      </c>
      <c r="J180" s="82" t="n">
        <v>91190</v>
      </c>
      <c r="K180" s="82" t="n">
        <v>91190</v>
      </c>
      <c r="L180" s="82" t="n">
        <v>91190</v>
      </c>
      <c r="M180" s="82" t="n">
        <v>91190</v>
      </c>
      <c r="N180" s="82" t="n">
        <v>91190</v>
      </c>
      <c r="O180" s="82" t="n">
        <v>91190</v>
      </c>
      <c r="P180" s="13" t="n">
        <f aca="false">SUM(F180:O180)</f>
        <v>911900</v>
      </c>
    </row>
    <row r="181" customFormat="false" ht="15" hidden="false" customHeight="false" outlineLevel="0" collapsed="false">
      <c r="A181" s="8" t="s">
        <v>2518</v>
      </c>
      <c r="B181" s="8" t="s">
        <v>2519</v>
      </c>
      <c r="C181" s="8" t="s">
        <v>255</v>
      </c>
      <c r="D181" s="8" t="s">
        <v>2241</v>
      </c>
      <c r="F181" s="82" t="n">
        <v>20831</v>
      </c>
      <c r="G181" s="82" t="n">
        <v>20831</v>
      </c>
      <c r="H181" s="82" t="n">
        <v>20831</v>
      </c>
      <c r="I181" s="82" t="n">
        <v>20831</v>
      </c>
      <c r="J181" s="82" t="n">
        <v>20831</v>
      </c>
      <c r="K181" s="82" t="n">
        <v>20831</v>
      </c>
      <c r="L181" s="82" t="n">
        <v>20831</v>
      </c>
      <c r="M181" s="82" t="n">
        <v>20831</v>
      </c>
      <c r="N181" s="82" t="n">
        <v>20831</v>
      </c>
      <c r="O181" s="82" t="n">
        <v>20831</v>
      </c>
      <c r="P181" s="13" t="n">
        <f aca="false">SUM(F181:O181)</f>
        <v>208310</v>
      </c>
    </row>
    <row r="182" customFormat="false" ht="15" hidden="false" customHeight="false" outlineLevel="0" collapsed="false">
      <c r="A182" s="8" t="s">
        <v>976</v>
      </c>
      <c r="B182" s="8" t="s">
        <v>2520</v>
      </c>
      <c r="C182" s="8" t="s">
        <v>255</v>
      </c>
      <c r="D182" s="8" t="s">
        <v>2241</v>
      </c>
      <c r="F182" s="82" t="n">
        <v>1233</v>
      </c>
      <c r="G182" s="82" t="n">
        <v>1233</v>
      </c>
      <c r="H182" s="82" t="n">
        <v>1233</v>
      </c>
      <c r="I182" s="82" t="n">
        <v>1233</v>
      </c>
      <c r="J182" s="82" t="n">
        <v>1233</v>
      </c>
      <c r="K182" s="82" t="n">
        <v>1233</v>
      </c>
      <c r="L182" s="82" t="n">
        <v>1233</v>
      </c>
      <c r="M182" s="82" t="n">
        <v>1233</v>
      </c>
      <c r="N182" s="82" t="n">
        <v>1233</v>
      </c>
      <c r="O182" s="82" t="n">
        <v>1233</v>
      </c>
      <c r="P182" s="13" t="n">
        <f aca="false">SUM(F182:O182)</f>
        <v>12330</v>
      </c>
    </row>
    <row r="183" customFormat="false" ht="15" hidden="false" customHeight="false" outlineLevel="0" collapsed="false">
      <c r="A183" s="8" t="s">
        <v>1004</v>
      </c>
      <c r="B183" s="8" t="s">
        <v>2521</v>
      </c>
      <c r="C183" s="8" t="s">
        <v>255</v>
      </c>
      <c r="D183" s="8" t="s">
        <v>2241</v>
      </c>
      <c r="F183" s="82" t="n">
        <v>204072</v>
      </c>
      <c r="G183" s="82" t="n">
        <v>210194</v>
      </c>
      <c r="H183" s="82" t="n">
        <v>216500</v>
      </c>
      <c r="I183" s="82" t="n">
        <v>222995</v>
      </c>
      <c r="J183" s="82" t="n">
        <v>229685</v>
      </c>
      <c r="K183" s="82" t="n">
        <v>236575</v>
      </c>
      <c r="L183" s="82" t="n">
        <v>243673</v>
      </c>
      <c r="M183" s="82" t="n">
        <v>250983</v>
      </c>
      <c r="N183" s="82" t="n">
        <v>258512</v>
      </c>
      <c r="O183" s="82" t="n">
        <v>266268</v>
      </c>
      <c r="P183" s="13" t="n">
        <f aca="false">SUM(F183:O183)</f>
        <v>2339457</v>
      </c>
    </row>
    <row r="184" customFormat="false" ht="15" hidden="false" customHeight="false" outlineLevel="0" collapsed="false">
      <c r="A184" s="8" t="s">
        <v>981</v>
      </c>
      <c r="B184" s="8" t="s">
        <v>2522</v>
      </c>
      <c r="C184" s="8" t="s">
        <v>255</v>
      </c>
      <c r="D184" s="8" t="s">
        <v>2241</v>
      </c>
      <c r="F184" s="82" t="n">
        <v>4932</v>
      </c>
      <c r="G184" s="82" t="n">
        <v>4932</v>
      </c>
      <c r="H184" s="82" t="n">
        <v>4932</v>
      </c>
      <c r="I184" s="82" t="n">
        <v>4932</v>
      </c>
      <c r="J184" s="82" t="n">
        <v>4932</v>
      </c>
      <c r="K184" s="82" t="n">
        <v>4932</v>
      </c>
      <c r="L184" s="82" t="n">
        <v>4932</v>
      </c>
      <c r="M184" s="82" t="n">
        <v>4932</v>
      </c>
      <c r="N184" s="82" t="n">
        <v>4932</v>
      </c>
      <c r="O184" s="82" t="n">
        <v>4932</v>
      </c>
      <c r="P184" s="13" t="n">
        <f aca="false">SUM(F184:O184)</f>
        <v>49320</v>
      </c>
    </row>
    <row r="185" customFormat="false" ht="15" hidden="false" customHeight="false" outlineLevel="0" collapsed="false">
      <c r="A185" s="8" t="s">
        <v>984</v>
      </c>
      <c r="B185" s="8" t="s">
        <v>2523</v>
      </c>
      <c r="C185" s="8" t="s">
        <v>255</v>
      </c>
      <c r="D185" s="8" t="s">
        <v>2241</v>
      </c>
      <c r="F185" s="82" t="n">
        <v>8219</v>
      </c>
      <c r="G185" s="82" t="n">
        <v>8219</v>
      </c>
      <c r="H185" s="82" t="n">
        <v>8219</v>
      </c>
      <c r="I185" s="82" t="n">
        <v>8219</v>
      </c>
      <c r="J185" s="82" t="n">
        <v>8219</v>
      </c>
      <c r="K185" s="82" t="n">
        <v>8219</v>
      </c>
      <c r="L185" s="82" t="n">
        <v>8219</v>
      </c>
      <c r="M185" s="82" t="n">
        <v>8219</v>
      </c>
      <c r="N185" s="82" t="n">
        <v>8219</v>
      </c>
      <c r="O185" s="82" t="n">
        <v>8219</v>
      </c>
      <c r="P185" s="13" t="n">
        <f aca="false">SUM(F185:O185)</f>
        <v>82190</v>
      </c>
    </row>
    <row r="186" customFormat="false" ht="15" hidden="false" customHeight="false" outlineLevel="0" collapsed="false">
      <c r="A186" s="8" t="s">
        <v>987</v>
      </c>
      <c r="B186" s="8" t="s">
        <v>2524</v>
      </c>
      <c r="C186" s="8" t="s">
        <v>255</v>
      </c>
      <c r="D186" s="8" t="s">
        <v>2241</v>
      </c>
      <c r="F186" s="82" t="n">
        <v>22060</v>
      </c>
      <c r="G186" s="82" t="n">
        <v>22060</v>
      </c>
      <c r="H186" s="82" t="n">
        <v>22060</v>
      </c>
      <c r="I186" s="82" t="n">
        <v>22060</v>
      </c>
      <c r="J186" s="82" t="n">
        <v>22060</v>
      </c>
      <c r="K186" s="82" t="n">
        <v>22060</v>
      </c>
      <c r="L186" s="82" t="n">
        <v>22060</v>
      </c>
      <c r="M186" s="82" t="n">
        <v>22060</v>
      </c>
      <c r="N186" s="82" t="n">
        <v>22060</v>
      </c>
      <c r="O186" s="82" t="n">
        <v>22060</v>
      </c>
      <c r="P186" s="13" t="n">
        <f aca="false">SUM(F186:O186)</f>
        <v>220600</v>
      </c>
    </row>
    <row r="187" customFormat="false" ht="15" hidden="false" customHeight="false" outlineLevel="0" collapsed="false">
      <c r="A187" s="8" t="s">
        <v>989</v>
      </c>
      <c r="B187" s="8" t="s">
        <v>2525</v>
      </c>
      <c r="C187" s="8" t="s">
        <v>255</v>
      </c>
      <c r="D187" s="8" t="s">
        <v>2241</v>
      </c>
      <c r="F187" s="82" t="n">
        <v>24932</v>
      </c>
      <c r="G187" s="82" t="n">
        <v>24932</v>
      </c>
      <c r="H187" s="82" t="n">
        <v>24932</v>
      </c>
      <c r="I187" s="82" t="n">
        <v>24932</v>
      </c>
      <c r="J187" s="82" t="n">
        <v>24932</v>
      </c>
      <c r="K187" s="82" t="n">
        <v>24932</v>
      </c>
      <c r="L187" s="82" t="n">
        <v>24932</v>
      </c>
      <c r="M187" s="82" t="n">
        <v>24932</v>
      </c>
      <c r="N187" s="82" t="n">
        <v>24932</v>
      </c>
      <c r="O187" s="82" t="n">
        <v>24932</v>
      </c>
      <c r="P187" s="13" t="n">
        <f aca="false">SUM(F187:O187)</f>
        <v>249320</v>
      </c>
    </row>
    <row r="188" customFormat="false" ht="15" hidden="false" customHeight="false" outlineLevel="0" collapsed="false">
      <c r="A188" s="8" t="s">
        <v>1006</v>
      </c>
      <c r="B188" s="8" t="s">
        <v>2526</v>
      </c>
      <c r="C188" s="8" t="s">
        <v>255</v>
      </c>
      <c r="D188" s="8" t="s">
        <v>2241</v>
      </c>
      <c r="F188" s="82" t="n">
        <v>9276</v>
      </c>
      <c r="G188" s="82" t="n">
        <v>9554</v>
      </c>
      <c r="H188" s="82" t="n">
        <v>9841</v>
      </c>
      <c r="I188" s="82" t="n">
        <v>10136</v>
      </c>
      <c r="J188" s="82" t="n">
        <v>10440</v>
      </c>
      <c r="K188" s="82" t="n">
        <v>10753</v>
      </c>
      <c r="L188" s="82" t="n">
        <v>11076</v>
      </c>
      <c r="M188" s="82" t="n">
        <v>11408</v>
      </c>
      <c r="N188" s="82" t="n">
        <v>11751</v>
      </c>
      <c r="O188" s="82" t="n">
        <v>12103</v>
      </c>
      <c r="P188" s="13" t="n">
        <f aca="false">SUM(F188:O188)</f>
        <v>106338</v>
      </c>
    </row>
    <row r="189" customFormat="false" ht="15" hidden="false" customHeight="false" outlineLevel="0" collapsed="false">
      <c r="A189" s="8" t="s">
        <v>2527</v>
      </c>
      <c r="B189" s="8" t="s">
        <v>2528</v>
      </c>
      <c r="C189" s="8" t="s">
        <v>255</v>
      </c>
      <c r="D189" s="8" t="s">
        <v>2241</v>
      </c>
      <c r="F189" s="82" t="n">
        <v>19252</v>
      </c>
      <c r="G189" s="82" t="n">
        <v>19252</v>
      </c>
      <c r="H189" s="82" t="n">
        <v>19252</v>
      </c>
      <c r="I189" s="82" t="n">
        <v>19252</v>
      </c>
      <c r="J189" s="82" t="n">
        <v>19252</v>
      </c>
      <c r="K189" s="82" t="n">
        <v>19252</v>
      </c>
      <c r="L189" s="82" t="n">
        <v>19252</v>
      </c>
      <c r="M189" s="82" t="n">
        <v>19252</v>
      </c>
      <c r="N189" s="82" t="n">
        <v>19252</v>
      </c>
      <c r="O189" s="82" t="n">
        <v>19252</v>
      </c>
      <c r="P189" s="13" t="n">
        <f aca="false">SUM(F189:O189)</f>
        <v>192520</v>
      </c>
    </row>
    <row r="190" customFormat="false" ht="15" hidden="false" customHeight="false" outlineLevel="0" collapsed="false">
      <c r="A190" s="8" t="s">
        <v>2529</v>
      </c>
      <c r="B190" s="8" t="s">
        <v>2530</v>
      </c>
      <c r="C190" s="8" t="s">
        <v>255</v>
      </c>
      <c r="D190" s="8" t="s">
        <v>2241</v>
      </c>
      <c r="F190" s="82" t="n">
        <v>617639</v>
      </c>
      <c r="G190" s="82" t="n">
        <v>624039</v>
      </c>
      <c r="H190" s="82" t="n">
        <v>630632</v>
      </c>
      <c r="I190" s="82" t="n">
        <v>637422</v>
      </c>
      <c r="J190" s="82" t="n">
        <v>644416</v>
      </c>
      <c r="K190" s="82" t="n">
        <v>651620</v>
      </c>
      <c r="L190" s="82" t="n">
        <v>659039</v>
      </c>
      <c r="M190" s="82" t="n">
        <v>666682</v>
      </c>
      <c r="N190" s="82" t="n">
        <v>674554</v>
      </c>
      <c r="O190" s="82" t="n">
        <v>682662</v>
      </c>
      <c r="P190" s="13" t="n">
        <f aca="false">SUM(F190:O190)</f>
        <v>6488705</v>
      </c>
    </row>
    <row r="191" customFormat="false" ht="15" hidden="false" customHeight="false" outlineLevel="0" collapsed="false">
      <c r="A191" s="8" t="s">
        <v>2531</v>
      </c>
      <c r="B191" s="8" t="s">
        <v>2532</v>
      </c>
      <c r="C191" s="8" t="s">
        <v>255</v>
      </c>
      <c r="D191" s="8" t="s">
        <v>2241</v>
      </c>
      <c r="F191" s="82" t="n">
        <v>0</v>
      </c>
      <c r="G191" s="82" t="n">
        <v>0</v>
      </c>
      <c r="H191" s="82" t="n">
        <v>0</v>
      </c>
      <c r="I191" s="82" t="n">
        <v>0</v>
      </c>
      <c r="J191" s="82" t="n">
        <v>0</v>
      </c>
      <c r="K191" s="82" t="n">
        <v>0</v>
      </c>
      <c r="L191" s="82" t="n">
        <v>0</v>
      </c>
      <c r="M191" s="82" t="n">
        <v>0</v>
      </c>
      <c r="N191" s="82" t="n">
        <v>0</v>
      </c>
      <c r="O191" s="82" t="n">
        <v>0</v>
      </c>
      <c r="P191" s="13" t="n">
        <f aca="false">SUM(F191:O191)</f>
        <v>0</v>
      </c>
    </row>
    <row r="192" customFormat="false" ht="15" hidden="false" customHeight="false" outlineLevel="0" collapsed="false">
      <c r="A192" s="8" t="s">
        <v>2533</v>
      </c>
      <c r="B192" s="8" t="s">
        <v>2534</v>
      </c>
      <c r="C192" s="8" t="s">
        <v>255</v>
      </c>
      <c r="D192" s="8" t="s">
        <v>2241</v>
      </c>
      <c r="F192" s="82" t="n">
        <v>0</v>
      </c>
      <c r="G192" s="82" t="n">
        <v>71592</v>
      </c>
      <c r="H192" s="82" t="n">
        <v>71592</v>
      </c>
      <c r="I192" s="82" t="n">
        <v>71592</v>
      </c>
      <c r="J192" s="82" t="n">
        <v>71592</v>
      </c>
      <c r="K192" s="82" t="n">
        <v>71592</v>
      </c>
      <c r="L192" s="82" t="n">
        <v>59417</v>
      </c>
      <c r="M192" s="82" t="n">
        <v>59417</v>
      </c>
      <c r="N192" s="82" t="n">
        <v>59417</v>
      </c>
      <c r="O192" s="82" t="n">
        <v>59417</v>
      </c>
      <c r="P192" s="13" t="n">
        <f aca="false">SUM(F192:O192)</f>
        <v>595628</v>
      </c>
    </row>
    <row r="193" customFormat="false" ht="15" hidden="false" customHeight="false" outlineLevel="0" collapsed="false">
      <c r="A193" s="8" t="s">
        <v>2535</v>
      </c>
      <c r="B193" s="8" t="s">
        <v>2536</v>
      </c>
      <c r="C193" s="8" t="s">
        <v>255</v>
      </c>
      <c r="D193" s="8" t="s">
        <v>2241</v>
      </c>
      <c r="F193" s="82" t="n">
        <v>271102</v>
      </c>
      <c r="G193" s="82" t="n">
        <v>226274</v>
      </c>
      <c r="H193" s="82" t="n">
        <v>169416</v>
      </c>
      <c r="I193" s="82" t="n">
        <v>107224</v>
      </c>
      <c r="J193" s="82" t="n">
        <v>39198</v>
      </c>
      <c r="K193" s="82" t="n">
        <v>0</v>
      </c>
      <c r="L193" s="82" t="n">
        <v>0</v>
      </c>
      <c r="M193" s="82" t="n">
        <v>0</v>
      </c>
      <c r="N193" s="82" t="n">
        <v>0</v>
      </c>
      <c r="O193" s="82" t="n">
        <v>0</v>
      </c>
      <c r="P193" s="13" t="n">
        <f aca="false">SUM(F193:O193)</f>
        <v>813214</v>
      </c>
    </row>
    <row r="194" customFormat="false" ht="15" hidden="false" customHeight="false" outlineLevel="0" collapsed="false">
      <c r="A194" s="8" t="s">
        <v>2537</v>
      </c>
      <c r="B194" s="8" t="s">
        <v>2538</v>
      </c>
      <c r="C194" s="8" t="s">
        <v>255</v>
      </c>
      <c r="D194" s="8" t="s">
        <v>2241</v>
      </c>
      <c r="F194" s="82" t="n">
        <v>4548078</v>
      </c>
      <c r="G194" s="82" t="n">
        <v>5450056</v>
      </c>
      <c r="H194" s="82" t="n">
        <v>6299788</v>
      </c>
      <c r="I194" s="82" t="n">
        <v>6977948</v>
      </c>
      <c r="J194" s="82" t="n">
        <v>6968286</v>
      </c>
      <c r="K194" s="82" t="n">
        <v>6957607</v>
      </c>
      <c r="L194" s="82" t="n">
        <v>6974375</v>
      </c>
      <c r="M194" s="82" t="n">
        <v>7003749</v>
      </c>
      <c r="N194" s="82" t="n">
        <v>7033564</v>
      </c>
      <c r="O194" s="82" t="n">
        <v>7063828</v>
      </c>
      <c r="P194" s="13" t="n">
        <f aca="false">SUM(F194:O194)</f>
        <v>65277279</v>
      </c>
    </row>
    <row r="196" customFormat="false" ht="15" hidden="false" customHeight="false" outlineLevel="0" collapsed="false">
      <c r="A196" s="3" t="s">
        <v>2539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customFormat="false" ht="15" hidden="false" customHeight="false" outlineLevel="0" collapsed="false">
      <c r="A197" s="8" t="s">
        <v>2540</v>
      </c>
      <c r="B197" s="8" t="s">
        <v>2541</v>
      </c>
      <c r="C197" s="8" t="s">
        <v>263</v>
      </c>
      <c r="D197" s="8" t="s">
        <v>2241</v>
      </c>
      <c r="E197" s="53" t="n">
        <f aca="false">(G170*F87-F170*G87)/(G90*F87-F90*G87)</f>
        <v>2.08</v>
      </c>
      <c r="Q197" s="8" t="s">
        <v>2542</v>
      </c>
    </row>
    <row r="198" customFormat="false" ht="15" hidden="false" customHeight="false" outlineLevel="0" collapsed="false">
      <c r="A198" s="8" t="s">
        <v>2543</v>
      </c>
      <c r="B198" s="8" t="s">
        <v>2544</v>
      </c>
      <c r="C198" s="8" t="s">
        <v>263</v>
      </c>
      <c r="D198" s="8" t="s">
        <v>2241</v>
      </c>
      <c r="E198" s="53" t="n">
        <f aca="false">(F170-F90*E197)/F87</f>
        <v>23.2</v>
      </c>
    </row>
    <row r="199" customFormat="false" ht="15" hidden="false" customHeight="false" outlineLevel="0" collapsed="false">
      <c r="A199" s="8" t="s">
        <v>2545</v>
      </c>
      <c r="B199" s="8" t="s">
        <v>2546</v>
      </c>
      <c r="C199" s="8" t="s">
        <v>2547</v>
      </c>
      <c r="D199" s="8" t="s">
        <v>2241</v>
      </c>
      <c r="E199" s="13" t="n">
        <v>168000000</v>
      </c>
      <c r="Q199" s="8" t="s">
        <v>2548</v>
      </c>
    </row>
    <row r="200" customFormat="false" ht="15" hidden="false" customHeight="false" outlineLevel="0" collapsed="false">
      <c r="A200" s="8" t="s">
        <v>2549</v>
      </c>
      <c r="B200" s="8" t="s">
        <v>2550</v>
      </c>
      <c r="C200" s="8" t="s">
        <v>2547</v>
      </c>
      <c r="D200" s="8" t="s">
        <v>2241</v>
      </c>
      <c r="E200" s="13" t="n">
        <v>9000000</v>
      </c>
    </row>
    <row r="201" customFormat="false" ht="15" hidden="false" customHeight="false" outlineLevel="0" collapsed="false">
      <c r="A201" s="8" t="s">
        <v>2551</v>
      </c>
      <c r="B201" s="8" t="s">
        <v>2552</v>
      </c>
      <c r="C201" s="8" t="s">
        <v>2547</v>
      </c>
      <c r="D201" s="8" t="s">
        <v>2241</v>
      </c>
      <c r="E201" s="13" t="n">
        <v>36000000</v>
      </c>
    </row>
    <row r="202" customFormat="false" ht="15" hidden="false" customHeight="false" outlineLevel="0" collapsed="false">
      <c r="A202" s="8" t="s">
        <v>2553</v>
      </c>
      <c r="B202" s="8" t="s">
        <v>2554</v>
      </c>
      <c r="C202" s="8" t="s">
        <v>2547</v>
      </c>
      <c r="D202" s="8" t="s">
        <v>2241</v>
      </c>
      <c r="E202" s="13" t="n">
        <v>60000000</v>
      </c>
    </row>
    <row r="203" customFormat="false" ht="15" hidden="false" customHeight="false" outlineLevel="0" collapsed="false">
      <c r="A203" s="8" t="s">
        <v>2555</v>
      </c>
      <c r="B203" s="8" t="s">
        <v>2556</v>
      </c>
      <c r="C203" s="8" t="s">
        <v>2547</v>
      </c>
      <c r="D203" s="8" t="s">
        <v>2241</v>
      </c>
      <c r="E203" s="13" t="n">
        <v>182000000</v>
      </c>
    </row>
    <row r="204" customFormat="false" ht="15" hidden="false" customHeight="false" outlineLevel="0" collapsed="false">
      <c r="A204" s="8" t="s">
        <v>2557</v>
      </c>
      <c r="B204" s="8" t="s">
        <v>2558</v>
      </c>
      <c r="C204" s="8" t="s">
        <v>201</v>
      </c>
      <c r="D204" s="8" t="s">
        <v>2241</v>
      </c>
      <c r="E204" s="48" t="n">
        <v>0.02</v>
      </c>
      <c r="Q204" s="8" t="s">
        <v>2559</v>
      </c>
    </row>
    <row r="205" customFormat="false" ht="15" hidden="false" customHeight="false" outlineLevel="0" collapsed="false">
      <c r="A205" s="8" t="s">
        <v>2560</v>
      </c>
      <c r="B205" s="8" t="s">
        <v>2561</v>
      </c>
      <c r="C205" s="8" t="s">
        <v>201</v>
      </c>
      <c r="D205" s="8" t="s">
        <v>2241</v>
      </c>
      <c r="E205" s="16" t="n">
        <v>0.001</v>
      </c>
      <c r="Q205" s="8" t="s">
        <v>2562</v>
      </c>
    </row>
    <row r="207" customFormat="false" ht="15" hidden="false" customHeight="false" outlineLevel="0" collapsed="false">
      <c r="A207" s="8" t="s">
        <v>2084</v>
      </c>
      <c r="B207" s="8" t="s">
        <v>2563</v>
      </c>
      <c r="C207" s="8" t="s">
        <v>255</v>
      </c>
      <c r="D207" s="8" t="s">
        <v>2241</v>
      </c>
      <c r="F207" s="13" t="n">
        <f aca="false">F110+F111</f>
        <v>1510500</v>
      </c>
      <c r="G207" s="13" t="n">
        <f aca="false">G110+G111</f>
        <v>1925717</v>
      </c>
      <c r="H207" s="13" t="n">
        <f aca="false">H110+H111</f>
        <v>2340854</v>
      </c>
      <c r="I207" s="13" t="n">
        <f aca="false">I110+I111</f>
        <v>2686334</v>
      </c>
      <c r="J207" s="13" t="n">
        <f aca="false">J110+J111</f>
        <v>2704216</v>
      </c>
      <c r="K207" s="13" t="n">
        <f aca="false">K110+K111</f>
        <v>2722278</v>
      </c>
      <c r="L207" s="13" t="n">
        <f aca="false">L110+L111</f>
        <v>2740519</v>
      </c>
      <c r="M207" s="13" t="n">
        <f aca="false">M110+M111</f>
        <v>2758944</v>
      </c>
      <c r="N207" s="13" t="n">
        <f aca="false">N110+N111</f>
        <v>2777552</v>
      </c>
      <c r="O207" s="13" t="n">
        <f aca="false">O110+O111</f>
        <v>2796347</v>
      </c>
      <c r="P207" s="13" t="n">
        <f aca="false">SUM(F207:O207)</f>
        <v>24963261</v>
      </c>
      <c r="Q207" s="92" t="s">
        <v>2564</v>
      </c>
    </row>
    <row r="208" customFormat="false" ht="15" hidden="false" customHeight="false" outlineLevel="0" collapsed="false">
      <c r="A208" s="8" t="s">
        <v>2087</v>
      </c>
      <c r="B208" s="8" t="s">
        <v>2565</v>
      </c>
      <c r="C208" s="8" t="s">
        <v>255</v>
      </c>
      <c r="D208" s="8" t="s">
        <v>2241</v>
      </c>
      <c r="F208" s="13" t="n">
        <f aca="false">F119+F120</f>
        <v>879570</v>
      </c>
      <c r="G208" s="13" t="n">
        <f aca="false">G119+G120</f>
        <v>1111590</v>
      </c>
      <c r="H208" s="13" t="n">
        <f aca="false">H119+H120</f>
        <v>1343610</v>
      </c>
      <c r="I208" s="13" t="n">
        <f aca="false">I119+I120</f>
        <v>1527120</v>
      </c>
      <c r="J208" s="13" t="n">
        <f aca="false">J119+J120</f>
        <v>1527120</v>
      </c>
      <c r="K208" s="13" t="n">
        <f aca="false">K119+K120</f>
        <v>1527120</v>
      </c>
      <c r="L208" s="13" t="n">
        <f aca="false">L119+L120</f>
        <v>1527120</v>
      </c>
      <c r="M208" s="13" t="n">
        <f aca="false">M119+M120</f>
        <v>1527120</v>
      </c>
      <c r="N208" s="13" t="n">
        <f aca="false">N119+N120</f>
        <v>1527120</v>
      </c>
      <c r="O208" s="13" t="n">
        <f aca="false">O119+O120</f>
        <v>1527120</v>
      </c>
      <c r="P208" s="13" t="n">
        <f aca="false">SUM(F208:O208)</f>
        <v>14024610</v>
      </c>
      <c r="Q208" s="92" t="s">
        <v>2566</v>
      </c>
    </row>
    <row r="209" customFormat="false" ht="15" hidden="false" customHeight="false" outlineLevel="0" collapsed="false">
      <c r="A209" s="8" t="s">
        <v>995</v>
      </c>
      <c r="B209" s="8" t="s">
        <v>2567</v>
      </c>
      <c r="C209" s="8" t="s">
        <v>255</v>
      </c>
      <c r="D209" s="8" t="s">
        <v>2241</v>
      </c>
      <c r="F209" s="13" t="n">
        <f aca="false">F121+F122</f>
        <v>102012</v>
      </c>
      <c r="G209" s="13" t="n">
        <f aca="false">G121+G122</f>
        <v>129140</v>
      </c>
      <c r="H209" s="13" t="n">
        <f aca="false">H121+H122</f>
        <v>156267</v>
      </c>
      <c r="I209" s="13" t="n">
        <f aca="false">I121+I122</f>
        <v>176895</v>
      </c>
      <c r="J209" s="13" t="n">
        <f aca="false">J121+J122</f>
        <v>176895</v>
      </c>
      <c r="K209" s="13" t="n">
        <f aca="false">K121+K122</f>
        <v>176895</v>
      </c>
      <c r="L209" s="13" t="n">
        <f aca="false">L121+L122</f>
        <v>176895</v>
      </c>
      <c r="M209" s="13" t="n">
        <f aca="false">M121+M122</f>
        <v>176895</v>
      </c>
      <c r="N209" s="13" t="n">
        <f aca="false">N121+N122</f>
        <v>176895</v>
      </c>
      <c r="O209" s="13" t="n">
        <f aca="false">O121+O122</f>
        <v>176895</v>
      </c>
      <c r="P209" s="13" t="n">
        <f aca="false">SUM(F209:O209)</f>
        <v>1625684</v>
      </c>
      <c r="Q209" s="92" t="s">
        <v>2566</v>
      </c>
    </row>
    <row r="210" customFormat="false" ht="15" hidden="false" customHeight="false" outlineLevel="0" collapsed="false">
      <c r="A210" s="8" t="s">
        <v>2495</v>
      </c>
      <c r="B210" s="8" t="s">
        <v>2568</v>
      </c>
      <c r="C210" s="8" t="s">
        <v>255</v>
      </c>
      <c r="D210" s="8" t="s">
        <v>2241</v>
      </c>
      <c r="F210" s="13" t="n">
        <f aca="false">F157</f>
        <v>223678.365</v>
      </c>
      <c r="G210" s="13" t="n">
        <f aca="false">G157</f>
        <v>223678.365</v>
      </c>
      <c r="H210" s="13" t="n">
        <f aca="false">H157</f>
        <v>242111.0475</v>
      </c>
      <c r="I210" s="13" t="n">
        <f aca="false">I157</f>
        <v>256510.476</v>
      </c>
      <c r="J210" s="13" t="n">
        <f aca="false">J157</f>
        <v>274465.791</v>
      </c>
      <c r="K210" s="13" t="n">
        <f aca="false">K157</f>
        <v>274465.791</v>
      </c>
      <c r="L210" s="13" t="n">
        <f aca="false">L157</f>
        <v>274465.791</v>
      </c>
      <c r="M210" s="13" t="n">
        <f aca="false">M157</f>
        <v>274465.791</v>
      </c>
      <c r="N210" s="13" t="n">
        <f aca="false">N157</f>
        <v>274465.791</v>
      </c>
      <c r="O210" s="13" t="n">
        <f aca="false">O157</f>
        <v>274465.791</v>
      </c>
      <c r="P210" s="13" t="n">
        <f aca="false">SUM(F210:O210)</f>
        <v>2592772.9995</v>
      </c>
      <c r="Q210" s="92" t="s">
        <v>2569</v>
      </c>
    </row>
    <row r="211" customFormat="false" ht="15" hidden="false" customHeight="false" outlineLevel="0" collapsed="false">
      <c r="A211" s="8" t="s">
        <v>2497</v>
      </c>
      <c r="B211" s="8" t="s">
        <v>2570</v>
      </c>
      <c r="C211" s="8" t="s">
        <v>255</v>
      </c>
      <c r="D211" s="8" t="s">
        <v>2241</v>
      </c>
      <c r="F211" s="13" t="n">
        <f aca="false">F210*$E$20</f>
        <v>96383.0074785</v>
      </c>
      <c r="G211" s="13" t="n">
        <f aca="false">G210*$E$20</f>
        <v>96383.0074785</v>
      </c>
      <c r="H211" s="13" t="n">
        <f aca="false">H210*$E$20</f>
        <v>104325.65036775</v>
      </c>
      <c r="I211" s="13" t="n">
        <f aca="false">I210*$E$20</f>
        <v>110530.3641084</v>
      </c>
      <c r="J211" s="13" t="n">
        <f aca="false">J210*$E$20</f>
        <v>118267.3093419</v>
      </c>
      <c r="K211" s="13" t="n">
        <f aca="false">K210*$E$20</f>
        <v>118267.3093419</v>
      </c>
      <c r="L211" s="13" t="n">
        <f aca="false">L210*$E$20</f>
        <v>118267.3093419</v>
      </c>
      <c r="M211" s="13" t="n">
        <f aca="false">M210*$E$20</f>
        <v>118267.3093419</v>
      </c>
      <c r="N211" s="13" t="n">
        <f aca="false">N210*$E$20</f>
        <v>118267.3093419</v>
      </c>
      <c r="O211" s="13" t="n">
        <f aca="false">O210*$E$20</f>
        <v>118267.3093419</v>
      </c>
      <c r="P211" s="13" t="n">
        <f aca="false">SUM(F211:O211)</f>
        <v>1117225.88548455</v>
      </c>
      <c r="Q211" s="92" t="s">
        <v>2571</v>
      </c>
    </row>
    <row r="212" customFormat="false" ht="15" hidden="false" customHeight="false" outlineLevel="0" collapsed="false">
      <c r="A212" s="8" t="s">
        <v>2499</v>
      </c>
      <c r="B212" s="8" t="s">
        <v>2572</v>
      </c>
      <c r="C212" s="8" t="s">
        <v>255</v>
      </c>
      <c r="D212" s="8" t="s">
        <v>2241</v>
      </c>
      <c r="F212" s="13" t="n">
        <f aca="false">F153*$E$61*12/$E$7</f>
        <v>40714.5205479452</v>
      </c>
      <c r="G212" s="13" t="n">
        <f aca="false">G153*$E$61*12/$E$7</f>
        <v>40714.5205479452</v>
      </c>
      <c r="H212" s="13" t="n">
        <f aca="false">H153*$E$61*12/$E$7</f>
        <v>43555.0684931507</v>
      </c>
      <c r="I212" s="13" t="n">
        <f aca="false">I153*$E$61*12/$E$7</f>
        <v>46395.6164383562</v>
      </c>
      <c r="J212" s="13" t="n">
        <f aca="false">J153*$E$61*12/$E$7</f>
        <v>49236.1643835616</v>
      </c>
      <c r="K212" s="13" t="n">
        <f aca="false">K153*$E$61*12/$E$7</f>
        <v>49236.1643835616</v>
      </c>
      <c r="L212" s="13" t="n">
        <f aca="false">L153*$E$61*12/$E$7</f>
        <v>49236.1643835616</v>
      </c>
      <c r="M212" s="13" t="n">
        <f aca="false">M153*$E$61*12/$E$7</f>
        <v>49236.1643835616</v>
      </c>
      <c r="N212" s="13" t="n">
        <f aca="false">N153*$E$61*12/$E$7</f>
        <v>49236.1643835616</v>
      </c>
      <c r="O212" s="13" t="n">
        <f aca="false">O153*$E$61*12/$E$7</f>
        <v>49236.1643835616</v>
      </c>
      <c r="P212" s="13" t="n">
        <f aca="false">SUM(F212:O212)</f>
        <v>466796.712328767</v>
      </c>
      <c r="Q212" s="92" t="s">
        <v>2573</v>
      </c>
    </row>
    <row r="213" customFormat="false" ht="15" hidden="false" customHeight="false" outlineLevel="0" collapsed="false">
      <c r="A213" s="8" t="s">
        <v>2089</v>
      </c>
      <c r="B213" s="8" t="s">
        <v>2574</v>
      </c>
      <c r="C213" s="8" t="s">
        <v>255</v>
      </c>
      <c r="D213" s="8" t="s">
        <v>2241</v>
      </c>
      <c r="F213" s="13" t="n">
        <f aca="false">F87*$E$198+F90*$E$197</f>
        <v>424000</v>
      </c>
      <c r="G213" s="13" t="n">
        <f aca="false">G87*$E$198+G90*$E$197</f>
        <v>535200</v>
      </c>
      <c r="H213" s="13" t="n">
        <f aca="false">H87*$E$198+H90*$E$197</f>
        <v>646400</v>
      </c>
      <c r="I213" s="13" t="n">
        <f aca="false">I87*$E$198+I90*$E$197</f>
        <v>736800</v>
      </c>
      <c r="J213" s="13" t="n">
        <f aca="false">J87*$E$198+J90*$E$197</f>
        <v>736800</v>
      </c>
      <c r="K213" s="13" t="n">
        <f aca="false">K87*$E$198+K90*$E$197</f>
        <v>736800</v>
      </c>
      <c r="L213" s="13" t="n">
        <f aca="false">L87*$E$198+L90*$E$197</f>
        <v>736800</v>
      </c>
      <c r="M213" s="13" t="n">
        <f aca="false">M87*$E$198+M90*$E$197</f>
        <v>736800</v>
      </c>
      <c r="N213" s="13" t="n">
        <f aca="false">N87*$E$198+N90*$E$197</f>
        <v>736800</v>
      </c>
      <c r="O213" s="13" t="n">
        <f aca="false">O87*$E$198+O90*$E$197</f>
        <v>736800</v>
      </c>
      <c r="P213" s="13" t="n">
        <f aca="false">SUM(F213:O213)</f>
        <v>6763200</v>
      </c>
      <c r="Q213" s="92" t="s">
        <v>2575</v>
      </c>
    </row>
    <row r="214" customFormat="false" ht="15" hidden="false" customHeight="false" outlineLevel="0" collapsed="false">
      <c r="A214" s="8" t="s">
        <v>965</v>
      </c>
      <c r="B214" s="8" t="s">
        <v>2576</v>
      </c>
      <c r="C214" s="8" t="s">
        <v>255</v>
      </c>
      <c r="D214" s="8" t="s">
        <v>2241</v>
      </c>
      <c r="F214" s="13" t="n">
        <f aca="false">$E$199/$E$7</f>
        <v>23013.698630137</v>
      </c>
      <c r="G214" s="13" t="n">
        <f aca="false">$E$199/$E$7</f>
        <v>23013.698630137</v>
      </c>
      <c r="H214" s="13" t="n">
        <f aca="false">$E$199/$E$7</f>
        <v>23013.698630137</v>
      </c>
      <c r="I214" s="13" t="n">
        <f aca="false">$E$199/$E$7</f>
        <v>23013.698630137</v>
      </c>
      <c r="J214" s="13" t="n">
        <f aca="false">$E$199/$E$7</f>
        <v>23013.698630137</v>
      </c>
      <c r="K214" s="13" t="n">
        <f aca="false">$E$199/$E$7</f>
        <v>23013.698630137</v>
      </c>
      <c r="L214" s="13" t="n">
        <f aca="false">$E$199/$E$7</f>
        <v>23013.698630137</v>
      </c>
      <c r="M214" s="13" t="n">
        <f aca="false">$E$199/$E$7</f>
        <v>23013.698630137</v>
      </c>
      <c r="N214" s="13" t="n">
        <f aca="false">$E$199/$E$7</f>
        <v>23013.698630137</v>
      </c>
      <c r="O214" s="13" t="n">
        <f aca="false">$E$199/$E$7</f>
        <v>23013.698630137</v>
      </c>
      <c r="P214" s="13" t="n">
        <f aca="false">SUM(F214:O214)</f>
        <v>230136.98630137</v>
      </c>
      <c r="Q214" s="92" t="s">
        <v>2577</v>
      </c>
    </row>
    <row r="215" customFormat="false" ht="15" hidden="false" customHeight="false" outlineLevel="0" collapsed="false">
      <c r="A215" s="8" t="s">
        <v>972</v>
      </c>
      <c r="B215" s="8" t="s">
        <v>2578</v>
      </c>
      <c r="C215" s="8" t="s">
        <v>255</v>
      </c>
      <c r="D215" s="8" t="s">
        <v>2241</v>
      </c>
      <c r="F215" s="13" t="n">
        <f aca="false">$F$172*(1+$E$204*(1-1))</f>
        <v>29708</v>
      </c>
      <c r="G215" s="13" t="n">
        <f aca="false">$F$172*(1+$E$204*(2-1))</f>
        <v>30302.16</v>
      </c>
      <c r="H215" s="13" t="n">
        <f aca="false">$F$172*(1+$E$204*(3-1))</f>
        <v>30896.32</v>
      </c>
      <c r="I215" s="13" t="n">
        <f aca="false">$F$172*(1+$E$204*(4-1))</f>
        <v>31490.48</v>
      </c>
      <c r="J215" s="13" t="n">
        <f aca="false">$F$172*(1+$E$204*(5-1))</f>
        <v>32084.64</v>
      </c>
      <c r="K215" s="13" t="n">
        <f aca="false">$F$172*(1+$E$204*(6-1))</f>
        <v>32678.8</v>
      </c>
      <c r="L215" s="13" t="n">
        <f aca="false">$F$172*(1+$E$204*(7-1))</f>
        <v>33272.96</v>
      </c>
      <c r="M215" s="13" t="n">
        <f aca="false">$F$172*(1+$E$204*(8-1))</f>
        <v>33867.12</v>
      </c>
      <c r="N215" s="13" t="n">
        <f aca="false">$F$172*(1+$E$204*(9-1))</f>
        <v>34461.28</v>
      </c>
      <c r="O215" s="13" t="n">
        <f aca="false">$F$172*(1+$E$204*(10-1))</f>
        <v>35055.44</v>
      </c>
      <c r="P215" s="13" t="n">
        <f aca="false">SUM(F215:O215)</f>
        <v>323817.2</v>
      </c>
      <c r="Q215" s="92" t="s">
        <v>2579</v>
      </c>
    </row>
    <row r="216" customFormat="false" ht="15" hidden="false" customHeight="false" outlineLevel="0" collapsed="false">
      <c r="A216" s="8" t="s">
        <v>998</v>
      </c>
      <c r="B216" s="8" t="s">
        <v>2580</v>
      </c>
      <c r="C216" s="8" t="s">
        <v>255</v>
      </c>
      <c r="D216" s="8" t="s">
        <v>2241</v>
      </c>
      <c r="F216" s="13" t="n">
        <f aca="false">$E$25*(F207+F208)</f>
        <v>71702.1</v>
      </c>
      <c r="G216" s="13" t="n">
        <f aca="false">$E$25*(G207+G208)</f>
        <v>91119.21</v>
      </c>
      <c r="H216" s="13" t="n">
        <f aca="false">$E$25*(H207+H208)</f>
        <v>110533.92</v>
      </c>
      <c r="I216" s="13" t="n">
        <f aca="false">$E$25*(I207+I208)</f>
        <v>126403.62</v>
      </c>
      <c r="J216" s="13" t="n">
        <f aca="false">$E$25*(J207+J208)</f>
        <v>126940.08</v>
      </c>
      <c r="K216" s="13" t="n">
        <f aca="false">$E$25*(K207+K208)</f>
        <v>127481.94</v>
      </c>
      <c r="L216" s="13" t="n">
        <f aca="false">$E$25*(L207+L208)</f>
        <v>128029.17</v>
      </c>
      <c r="M216" s="13" t="n">
        <f aca="false">$E$25*(M207+M208)</f>
        <v>128581.92</v>
      </c>
      <c r="N216" s="13" t="n">
        <f aca="false">$E$25*(N207+N208)</f>
        <v>129140.16</v>
      </c>
      <c r="O216" s="13" t="n">
        <f aca="false">$E$25*(O207+O208)</f>
        <v>129704.01</v>
      </c>
      <c r="P216" s="13" t="n">
        <f aca="false">SUM(F216:O216)</f>
        <v>1169636.13</v>
      </c>
      <c r="Q216" s="92" t="s">
        <v>2581</v>
      </c>
    </row>
    <row r="217" customFormat="false" ht="15" hidden="false" customHeight="false" outlineLevel="0" collapsed="false">
      <c r="A217" s="8" t="s">
        <v>2505</v>
      </c>
      <c r="B217" s="8" t="s">
        <v>2582</v>
      </c>
      <c r="C217" s="8" t="s">
        <v>255</v>
      </c>
      <c r="D217" s="8" t="s">
        <v>2241</v>
      </c>
      <c r="F217" s="13" t="n">
        <f aca="false">$E$205*F102</f>
        <v>4850</v>
      </c>
      <c r="G217" s="13" t="n">
        <f aca="false">$E$205*G102</f>
        <v>6181.2</v>
      </c>
      <c r="H217" s="13" t="n">
        <f aca="false">$E$205*H102</f>
        <v>7538.539</v>
      </c>
      <c r="I217" s="13" t="n">
        <f aca="false">$E$205*I102</f>
        <v>8685.437</v>
      </c>
      <c r="J217" s="13" t="n">
        <f aca="false">$E$205*J102</f>
        <v>8772.292</v>
      </c>
      <c r="K217" s="13" t="n">
        <f aca="false">$E$205*K102</f>
        <v>8860.015</v>
      </c>
      <c r="L217" s="13" t="n">
        <f aca="false">$E$205*L102</f>
        <v>8948.615</v>
      </c>
      <c r="M217" s="13" t="n">
        <f aca="false">$E$205*M102</f>
        <v>9038.101</v>
      </c>
      <c r="N217" s="13" t="n">
        <f aca="false">$E$205*N102</f>
        <v>9128.482</v>
      </c>
      <c r="O217" s="13" t="n">
        <f aca="false">$E$205*O102</f>
        <v>9219.767</v>
      </c>
      <c r="P217" s="13" t="n">
        <f aca="false">SUM(F217:O217)</f>
        <v>81222.448</v>
      </c>
      <c r="Q217" s="92" t="s">
        <v>2583</v>
      </c>
    </row>
    <row r="218" customFormat="false" ht="15" hidden="false" customHeight="false" outlineLevel="0" collapsed="false">
      <c r="A218" s="8" t="s">
        <v>1000</v>
      </c>
      <c r="B218" s="8" t="s">
        <v>2584</v>
      </c>
      <c r="C218" s="8" t="s">
        <v>255</v>
      </c>
      <c r="D218" s="8" t="s">
        <v>2241</v>
      </c>
      <c r="F218" s="13" t="n">
        <f aca="false">$E$26*(F207+F208+F209+F213+F210+F211+F212)</f>
        <v>32768.5789302645</v>
      </c>
      <c r="G218" s="13" t="n">
        <f aca="false">$E$26*(G207+G208+G209+G213+G210+G211+G212)</f>
        <v>40624.2289302645</v>
      </c>
      <c r="H218" s="13" t="n">
        <f aca="false">$E$26*(H207+H208+H209+H213+H210+H211+H212)</f>
        <v>48771.227663609</v>
      </c>
      <c r="I218" s="13" t="n">
        <f aca="false">$E$26*(I207+I208+I209+I213+I210+I211+I212)</f>
        <v>55405.8545654676</v>
      </c>
      <c r="J218" s="13" t="n">
        <f aca="false">$E$26*(J207+J208+J209+J213+J210+J211+J212)</f>
        <v>55870.0026472546</v>
      </c>
      <c r="K218" s="13" t="n">
        <f aca="false">$E$26*(K207+K208+K209+K213+K210+K211+K212)</f>
        <v>56050.6226472546</v>
      </c>
      <c r="L218" s="13" t="n">
        <f aca="false">$E$26*(L207+L208+L209+L213+L210+L211+L212)</f>
        <v>56233.0326472546</v>
      </c>
      <c r="M218" s="13" t="n">
        <f aca="false">$E$26*(M207+M208+M209+M213+M210+M211+M212)</f>
        <v>56417.2826472546</v>
      </c>
      <c r="N218" s="13" t="n">
        <f aca="false">$E$26*(N207+N208+N209+N213+N210+N211+N212)</f>
        <v>56603.3626472546</v>
      </c>
      <c r="O218" s="13" t="n">
        <f aca="false">$E$26*(O207+O208+O209+O213+O210+O211+O212)</f>
        <v>56791.3126472546</v>
      </c>
      <c r="P218" s="13" t="n">
        <f aca="false">SUM(F218:O218)</f>
        <v>515535.505973133</v>
      </c>
      <c r="Q218" s="92" t="s">
        <v>2585</v>
      </c>
    </row>
    <row r="219" customFormat="false" ht="15" hidden="false" customHeight="false" outlineLevel="0" collapsed="false">
      <c r="A219" s="8" t="s">
        <v>2508</v>
      </c>
      <c r="B219" s="8" t="s">
        <v>2586</v>
      </c>
      <c r="C219" s="8" t="s">
        <v>255</v>
      </c>
      <c r="D219" s="8" t="s">
        <v>2241</v>
      </c>
      <c r="F219" s="13" t="n">
        <f aca="false">$E$27*(F207+F208+F209+F210+F211+F212+F213+F214+F215+F216+F217+F218)</f>
        <v>171945.013529342</v>
      </c>
      <c r="G219" s="13" t="n">
        <f aca="false">$E$27*(G207+G208+G209+G210+G211+G212+G213+G214+G215+G216+G217+G218)</f>
        <v>212683.169529342</v>
      </c>
      <c r="H219" s="13" t="n">
        <f aca="false">$E$27*(H207+H208+H209+H210+H211+H212+H213+H214+H215+H216+H217+H218)</f>
        <v>254893.823582732</v>
      </c>
      <c r="I219" s="13" t="n">
        <f aca="false">$E$27*(I207+I208+I209+I210+I211+I212+I213+I214+I215+I216+I217+I218)</f>
        <v>289279.227337118</v>
      </c>
      <c r="J219" s="13" t="n">
        <f aca="false">$E$27*(J207+J208+J209+J210+J211+J212+J213+J214+J215+J216+J217+J218)</f>
        <v>291684.048900143</v>
      </c>
      <c r="K219" s="13" t="n">
        <f aca="false">$E$27*(K207+K208+K209+K210+K211+K212+K213+K214+K215+K216+K217+K218)</f>
        <v>292657.367050143</v>
      </c>
      <c r="L219" s="13" t="n">
        <f aca="false">$E$27*(L207+L208+L209+L210+L211+L212+L213+L214+L215+L216+L217+L218)</f>
        <v>293640.037050143</v>
      </c>
      <c r="M219" s="13" t="n">
        <f aca="false">$E$27*(M207+M208+M209+M210+M211+M212+M213+M214+M215+M216+M217+M218)</f>
        <v>294632.319350143</v>
      </c>
      <c r="N219" s="13" t="n">
        <f aca="false">$E$27*(N207+N208+N209+N210+N211+N212+N213+N214+N215+N216+N217+N218)</f>
        <v>295634.162400143</v>
      </c>
      <c r="O219" s="13" t="n">
        <f aca="false">$E$27*(O207+O208+O209+O210+O211+O212+O213+O214+O215+O216+O217+O218)</f>
        <v>296645.774650143</v>
      </c>
      <c r="P219" s="13" t="n">
        <f aca="false">SUM(F219:O219)</f>
        <v>2693694.94337939</v>
      </c>
      <c r="Q219" s="92" t="s">
        <v>2587</v>
      </c>
    </row>
    <row r="220" customFormat="false" ht="15" hidden="false" customHeight="false" outlineLevel="0" collapsed="false">
      <c r="A220" s="8" t="s">
        <v>2510</v>
      </c>
      <c r="B220" s="8" t="s">
        <v>2588</v>
      </c>
      <c r="C220" s="8" t="s">
        <v>255</v>
      </c>
      <c r="D220" s="8" t="s">
        <v>2241</v>
      </c>
      <c r="F220" s="13" t="n">
        <f aca="false">$E$28*F102</f>
        <v>48500</v>
      </c>
      <c r="G220" s="13" t="n">
        <f aca="false">$E$28*G102</f>
        <v>61812</v>
      </c>
      <c r="H220" s="13" t="n">
        <f aca="false">$E$28*H102</f>
        <v>75385.39</v>
      </c>
      <c r="I220" s="13" t="n">
        <f aca="false">$E$28*I102</f>
        <v>86854.37</v>
      </c>
      <c r="J220" s="13" t="n">
        <f aca="false">$E$28*J102</f>
        <v>87722.92</v>
      </c>
      <c r="K220" s="13" t="n">
        <f aca="false">$E$28*K102</f>
        <v>88600.15</v>
      </c>
      <c r="L220" s="13" t="n">
        <f aca="false">$E$28*L102</f>
        <v>89486.15</v>
      </c>
      <c r="M220" s="13" t="n">
        <f aca="false">$E$28*M102</f>
        <v>90381.01</v>
      </c>
      <c r="N220" s="13" t="n">
        <f aca="false">$E$28*N102</f>
        <v>91284.82</v>
      </c>
      <c r="O220" s="13" t="n">
        <f aca="false">$E$28*O102</f>
        <v>92197.67</v>
      </c>
      <c r="P220" s="13" t="n">
        <f aca="false">SUM(F220:O220)</f>
        <v>812224.48</v>
      </c>
      <c r="Q220" s="92" t="s">
        <v>2589</v>
      </c>
    </row>
    <row r="221" customFormat="false" ht="15" hidden="false" customHeight="false" outlineLevel="0" collapsed="false">
      <c r="A221" s="8" t="s">
        <v>2512</v>
      </c>
      <c r="B221" s="8" t="s">
        <v>2590</v>
      </c>
      <c r="C221" s="8" t="s">
        <v>255</v>
      </c>
      <c r="D221" s="8" t="s">
        <v>2241</v>
      </c>
      <c r="F221" s="13" t="n">
        <f aca="false">F207+F208+F209+F210+F211+F212+F213+F214+F215+F216+F217+F218+F219+F220</f>
        <v>3659345.28411619</v>
      </c>
      <c r="G221" s="13" t="n">
        <f aca="false">G207+G208+G209+G210+G211+G212+G213+G214+G215+G216+G217+G218+G219+G220</f>
        <v>4528158.56011619</v>
      </c>
      <c r="H221" s="13" t="n">
        <f aca="false">H207+H208+H209+H210+H211+H212+H213+H214+H215+H216+H217+H218+H219+H220</f>
        <v>5428155.68523738</v>
      </c>
      <c r="I221" s="13" t="n">
        <f aca="false">I207+I208+I209+I210+I211+I212+I213+I214+I215+I216+I217+I218+I219+I220</f>
        <v>6161718.14407948</v>
      </c>
      <c r="J221" s="13" t="n">
        <f aca="false">J207+J208+J209+J210+J211+J212+J213+J214+J215+J216+J217+J218+J219+J220</f>
        <v>6213087.946903</v>
      </c>
      <c r="K221" s="13" t="n">
        <f aca="false">K207+K208+K209+K210+K211+K212+K213+K214+K215+K216+K217+K218+K219+K220</f>
        <v>6234404.858053</v>
      </c>
      <c r="L221" s="13" t="n">
        <f aca="false">L207+L208+L209+L210+L211+L212+L213+L214+L215+L216+L217+L218+L219+L220</f>
        <v>6255926.928053</v>
      </c>
      <c r="M221" s="13" t="n">
        <f aca="false">M207+M208+M209+M210+M211+M212+M213+M214+M215+M216+M217+M218+M219+M220</f>
        <v>6277659.716353</v>
      </c>
      <c r="N221" s="13" t="n">
        <f aca="false">N207+N208+N209+N210+N211+N212+N213+N214+N215+N216+N217+N218+N219+N220</f>
        <v>6299602.230403</v>
      </c>
      <c r="O221" s="13" t="n">
        <f aca="false">O207+O208+O209+O210+O211+O212+O213+O214+O215+O216+O217+O218+O219+O220</f>
        <v>6321758.937653</v>
      </c>
      <c r="P221" s="13" t="n">
        <f aca="false">SUM(F221:O221)</f>
        <v>57379818.2909672</v>
      </c>
      <c r="Q221" s="92" t="s">
        <v>2591</v>
      </c>
    </row>
    <row r="222" customFormat="false" ht="15" hidden="false" customHeight="false" outlineLevel="0" collapsed="false">
      <c r="A222" s="8" t="s">
        <v>2514</v>
      </c>
      <c r="B222" s="8" t="s">
        <v>2592</v>
      </c>
      <c r="C222" s="8" t="s">
        <v>255</v>
      </c>
      <c r="D222" s="8" t="s">
        <v>2241</v>
      </c>
      <c r="F222" s="13" t="n">
        <f aca="false">F158</f>
        <v>211642.8015</v>
      </c>
      <c r="G222" s="13" t="n">
        <f aca="false">G158</f>
        <v>211642.8015</v>
      </c>
      <c r="H222" s="13" t="n">
        <f aca="false">H158</f>
        <v>211642.8015</v>
      </c>
      <c r="I222" s="13" t="n">
        <f aca="false">I158</f>
        <v>211642.8015</v>
      </c>
      <c r="J222" s="13" t="n">
        <f aca="false">J158</f>
        <v>211642.8015</v>
      </c>
      <c r="K222" s="13" t="n">
        <f aca="false">K158</f>
        <v>211642.8015</v>
      </c>
      <c r="L222" s="13" t="n">
        <f aca="false">L158</f>
        <v>211642.8015</v>
      </c>
      <c r="M222" s="13" t="n">
        <f aca="false">M158</f>
        <v>211642.8015</v>
      </c>
      <c r="N222" s="13" t="n">
        <f aca="false">N158</f>
        <v>211642.8015</v>
      </c>
      <c r="O222" s="13" t="n">
        <f aca="false">O158</f>
        <v>211642.8015</v>
      </c>
      <c r="P222" s="13" t="n">
        <f aca="false">SUM(F222:O222)</f>
        <v>2116428.015</v>
      </c>
      <c r="Q222" s="92" t="s">
        <v>2593</v>
      </c>
    </row>
    <row r="223" customFormat="false" ht="15" hidden="false" customHeight="false" outlineLevel="0" collapsed="false">
      <c r="A223" s="8" t="s">
        <v>2516</v>
      </c>
      <c r="B223" s="8" t="s">
        <v>2594</v>
      </c>
      <c r="C223" s="8" t="s">
        <v>255</v>
      </c>
      <c r="D223" s="8" t="s">
        <v>2241</v>
      </c>
      <c r="F223" s="13" t="n">
        <f aca="false">F222*$E$20</f>
        <v>91196.88316635</v>
      </c>
      <c r="G223" s="13" t="n">
        <f aca="false">G222*$E$20</f>
        <v>91196.88316635</v>
      </c>
      <c r="H223" s="13" t="n">
        <f aca="false">H222*$E$20</f>
        <v>91196.88316635</v>
      </c>
      <c r="I223" s="13" t="n">
        <f aca="false">I222*$E$20</f>
        <v>91196.88316635</v>
      </c>
      <c r="J223" s="13" t="n">
        <f aca="false">J222*$E$20</f>
        <v>91196.88316635</v>
      </c>
      <c r="K223" s="13" t="n">
        <f aca="false">K222*$E$20</f>
        <v>91196.88316635</v>
      </c>
      <c r="L223" s="13" t="n">
        <f aca="false">L222*$E$20</f>
        <v>91196.88316635</v>
      </c>
      <c r="M223" s="13" t="n">
        <f aca="false">M222*$E$20</f>
        <v>91196.88316635</v>
      </c>
      <c r="N223" s="13" t="n">
        <f aca="false">N222*$E$20</f>
        <v>91196.88316635</v>
      </c>
      <c r="O223" s="13" t="n">
        <f aca="false">O222*$E$20</f>
        <v>91196.88316635</v>
      </c>
      <c r="P223" s="13" t="n">
        <f aca="false">SUM(F223:O223)</f>
        <v>911968.8316635</v>
      </c>
      <c r="Q223" s="92" t="s">
        <v>2595</v>
      </c>
    </row>
    <row r="224" customFormat="false" ht="15" hidden="false" customHeight="false" outlineLevel="0" collapsed="false">
      <c r="A224" s="8" t="s">
        <v>2518</v>
      </c>
      <c r="B224" s="8" t="s">
        <v>2596</v>
      </c>
      <c r="C224" s="8" t="s">
        <v>255</v>
      </c>
      <c r="D224" s="8" t="s">
        <v>2241</v>
      </c>
      <c r="F224" s="13" t="n">
        <f aca="false">F154*$E$61*12/$E$7</f>
        <v>20830.6849315069</v>
      </c>
      <c r="G224" s="13" t="n">
        <f aca="false">G154*$E$61*12/$E$7</f>
        <v>20830.6849315069</v>
      </c>
      <c r="H224" s="13" t="n">
        <f aca="false">H154*$E$61*12/$E$7</f>
        <v>20830.6849315069</v>
      </c>
      <c r="I224" s="13" t="n">
        <f aca="false">I154*$E$61*12/$E$7</f>
        <v>20830.6849315069</v>
      </c>
      <c r="J224" s="13" t="n">
        <f aca="false">J154*$E$61*12/$E$7</f>
        <v>20830.6849315069</v>
      </c>
      <c r="K224" s="13" t="n">
        <f aca="false">K154*$E$61*12/$E$7</f>
        <v>20830.6849315069</v>
      </c>
      <c r="L224" s="13" t="n">
        <f aca="false">L154*$E$61*12/$E$7</f>
        <v>20830.6849315069</v>
      </c>
      <c r="M224" s="13" t="n">
        <f aca="false">M154*$E$61*12/$E$7</f>
        <v>20830.6849315069</v>
      </c>
      <c r="N224" s="13" t="n">
        <f aca="false">N154*$E$61*12/$E$7</f>
        <v>20830.6849315069</v>
      </c>
      <c r="O224" s="13" t="n">
        <f aca="false">O154*$E$61*12/$E$7</f>
        <v>20830.6849315069</v>
      </c>
      <c r="P224" s="13" t="n">
        <f aca="false">SUM(F224:O224)</f>
        <v>208306.849315068</v>
      </c>
      <c r="Q224" s="92" t="s">
        <v>2597</v>
      </c>
    </row>
    <row r="225" customFormat="false" ht="15" hidden="false" customHeight="false" outlineLevel="0" collapsed="false">
      <c r="A225" s="8" t="s">
        <v>976</v>
      </c>
      <c r="B225" s="8" t="s">
        <v>2598</v>
      </c>
      <c r="C225" s="8" t="s">
        <v>255</v>
      </c>
      <c r="D225" s="8" t="s">
        <v>2241</v>
      </c>
      <c r="F225" s="13" t="n">
        <f aca="false">$E$200/$E$7</f>
        <v>1232.87671232877</v>
      </c>
      <c r="G225" s="13" t="n">
        <f aca="false">$E$200/$E$7</f>
        <v>1232.87671232877</v>
      </c>
      <c r="H225" s="13" t="n">
        <f aca="false">$E$200/$E$7</f>
        <v>1232.87671232877</v>
      </c>
      <c r="I225" s="13" t="n">
        <f aca="false">$E$200/$E$7</f>
        <v>1232.87671232877</v>
      </c>
      <c r="J225" s="13" t="n">
        <f aca="false">$E$200/$E$7</f>
        <v>1232.87671232877</v>
      </c>
      <c r="K225" s="13" t="n">
        <f aca="false">$E$200/$E$7</f>
        <v>1232.87671232877</v>
      </c>
      <c r="L225" s="13" t="n">
        <f aca="false">$E$200/$E$7</f>
        <v>1232.87671232877</v>
      </c>
      <c r="M225" s="13" t="n">
        <f aca="false">$E$200/$E$7</f>
        <v>1232.87671232877</v>
      </c>
      <c r="N225" s="13" t="n">
        <f aca="false">$E$200/$E$7</f>
        <v>1232.87671232877</v>
      </c>
      <c r="O225" s="13" t="n">
        <f aca="false">$E$200/$E$7</f>
        <v>1232.87671232877</v>
      </c>
      <c r="P225" s="13" t="n">
        <f aca="false">SUM(F225:O225)</f>
        <v>12328.7671232877</v>
      </c>
      <c r="Q225" s="92" t="s">
        <v>2599</v>
      </c>
    </row>
    <row r="226" customFormat="false" ht="15" hidden="false" customHeight="false" outlineLevel="0" collapsed="false">
      <c r="A226" s="8" t="s">
        <v>1004</v>
      </c>
      <c r="B226" s="8" t="s">
        <v>2600</v>
      </c>
      <c r="C226" s="8" t="s">
        <v>255</v>
      </c>
      <c r="D226" s="8" t="s">
        <v>2241</v>
      </c>
      <c r="F226" s="13" t="n">
        <f aca="false">$E$21*$E$22*12*(1+$E$23)*(1+0.03)^(1-1)</f>
        <v>204072</v>
      </c>
      <c r="G226" s="13" t="n">
        <f aca="false">$E$21*$E$22*12*(1+$E$23)*(1+0.03)^(2-1)</f>
        <v>210194.16</v>
      </c>
      <c r="H226" s="13" t="n">
        <f aca="false">$E$21*$E$22*12*(1+$E$23)*(1+0.03)^(3-1)</f>
        <v>216499.9848</v>
      </c>
      <c r="I226" s="13" t="n">
        <f aca="false">$E$21*$E$22*12*(1+$E$23)*(1+0.03)^(4-1)</f>
        <v>222994.984344</v>
      </c>
      <c r="J226" s="13" t="n">
        <f aca="false">$E$21*$E$22*12*(1+$E$23)*(1+0.03)^(5-1)</f>
        <v>229684.83387432</v>
      </c>
      <c r="K226" s="13" t="n">
        <f aca="false">$E$21*$E$22*12*(1+$E$23)*(1+0.03)^(6-1)</f>
        <v>236575.37889055</v>
      </c>
      <c r="L226" s="13" t="n">
        <f aca="false">$E$21*$E$22*12*(1+$E$23)*(1+0.03)^(7-1)</f>
        <v>243672.640257266</v>
      </c>
      <c r="M226" s="13" t="n">
        <f aca="false">$E$21*$E$22*12*(1+$E$23)*(1+0.03)^(8-1)</f>
        <v>250982.819464984</v>
      </c>
      <c r="N226" s="13" t="n">
        <f aca="false">$E$21*$E$22*12*(1+$E$23)*(1+0.03)^(9-1)</f>
        <v>258512.304048934</v>
      </c>
      <c r="O226" s="13" t="n">
        <f aca="false">$E$21*$E$22*12*(1+$E$23)*(1+0.03)^(10-1)</f>
        <v>266267.673170402</v>
      </c>
      <c r="P226" s="13" t="n">
        <f aca="false">SUM(F226:O226)</f>
        <v>2339456.77885046</v>
      </c>
      <c r="Q226" s="92" t="s">
        <v>2601</v>
      </c>
    </row>
    <row r="227" customFormat="false" ht="15" hidden="false" customHeight="false" outlineLevel="0" collapsed="false">
      <c r="A227" s="8" t="s">
        <v>981</v>
      </c>
      <c r="B227" s="8" t="s">
        <v>2602</v>
      </c>
      <c r="C227" s="8" t="s">
        <v>255</v>
      </c>
      <c r="D227" s="8" t="s">
        <v>2241</v>
      </c>
      <c r="F227" s="13" t="n">
        <f aca="false">$E$201/$E$7</f>
        <v>4931.50684931507</v>
      </c>
      <c r="G227" s="13" t="n">
        <f aca="false">$E$201/$E$7</f>
        <v>4931.50684931507</v>
      </c>
      <c r="H227" s="13" t="n">
        <f aca="false">$E$201/$E$7</f>
        <v>4931.50684931507</v>
      </c>
      <c r="I227" s="13" t="n">
        <f aca="false">$E$201/$E$7</f>
        <v>4931.50684931507</v>
      </c>
      <c r="J227" s="13" t="n">
        <f aca="false">$E$201/$E$7</f>
        <v>4931.50684931507</v>
      </c>
      <c r="K227" s="13" t="n">
        <f aca="false">$E$201/$E$7</f>
        <v>4931.50684931507</v>
      </c>
      <c r="L227" s="13" t="n">
        <f aca="false">$E$201/$E$7</f>
        <v>4931.50684931507</v>
      </c>
      <c r="M227" s="13" t="n">
        <f aca="false">$E$201/$E$7</f>
        <v>4931.50684931507</v>
      </c>
      <c r="N227" s="13" t="n">
        <f aca="false">$E$201/$E$7</f>
        <v>4931.50684931507</v>
      </c>
      <c r="O227" s="13" t="n">
        <f aca="false">$E$201/$E$7</f>
        <v>4931.50684931507</v>
      </c>
      <c r="P227" s="13" t="n">
        <f aca="false">SUM(F227:O227)</f>
        <v>49315.0684931507</v>
      </c>
      <c r="Q227" s="92" t="s">
        <v>2603</v>
      </c>
    </row>
    <row r="228" customFormat="false" ht="15" hidden="false" customHeight="false" outlineLevel="0" collapsed="false">
      <c r="A228" s="8" t="s">
        <v>984</v>
      </c>
      <c r="B228" s="8" t="s">
        <v>2604</v>
      </c>
      <c r="C228" s="8" t="s">
        <v>255</v>
      </c>
      <c r="D228" s="8" t="s">
        <v>2241</v>
      </c>
      <c r="F228" s="13" t="n">
        <f aca="false">$E$202/$E$7</f>
        <v>8219.17808219178</v>
      </c>
      <c r="G228" s="13" t="n">
        <f aca="false">$E$202/$E$7</f>
        <v>8219.17808219178</v>
      </c>
      <c r="H228" s="13" t="n">
        <f aca="false">$E$202/$E$7</f>
        <v>8219.17808219178</v>
      </c>
      <c r="I228" s="13" t="n">
        <f aca="false">$E$202/$E$7</f>
        <v>8219.17808219178</v>
      </c>
      <c r="J228" s="13" t="n">
        <f aca="false">$E$202/$E$7</f>
        <v>8219.17808219178</v>
      </c>
      <c r="K228" s="13" t="n">
        <f aca="false">$E$202/$E$7</f>
        <v>8219.17808219178</v>
      </c>
      <c r="L228" s="13" t="n">
        <f aca="false">$E$202/$E$7</f>
        <v>8219.17808219178</v>
      </c>
      <c r="M228" s="13" t="n">
        <f aca="false">$E$202/$E$7</f>
        <v>8219.17808219178</v>
      </c>
      <c r="N228" s="13" t="n">
        <f aca="false">$E$202/$E$7</f>
        <v>8219.17808219178</v>
      </c>
      <c r="O228" s="13" t="n">
        <f aca="false">$E$202/$E$7</f>
        <v>8219.17808219178</v>
      </c>
      <c r="P228" s="13" t="n">
        <f aca="false">SUM(F228:O228)</f>
        <v>82191.7808219178</v>
      </c>
      <c r="Q228" s="92" t="s">
        <v>2605</v>
      </c>
    </row>
    <row r="229" customFormat="false" ht="15" hidden="false" customHeight="false" outlineLevel="0" collapsed="false">
      <c r="A229" s="8" t="s">
        <v>987</v>
      </c>
      <c r="B229" s="8" t="s">
        <v>2606</v>
      </c>
      <c r="C229" s="8" t="s">
        <v>255</v>
      </c>
      <c r="D229" s="8" t="s">
        <v>2241</v>
      </c>
      <c r="F229" s="13" t="n">
        <f aca="false">$F$186</f>
        <v>22060</v>
      </c>
      <c r="G229" s="13" t="n">
        <f aca="false">$F$186</f>
        <v>22060</v>
      </c>
      <c r="H229" s="13" t="n">
        <f aca="false">$F$186</f>
        <v>22060</v>
      </c>
      <c r="I229" s="13" t="n">
        <f aca="false">$F$186</f>
        <v>22060</v>
      </c>
      <c r="J229" s="13" t="n">
        <f aca="false">$F$186</f>
        <v>22060</v>
      </c>
      <c r="K229" s="13" t="n">
        <f aca="false">$F$186</f>
        <v>22060</v>
      </c>
      <c r="L229" s="13" t="n">
        <f aca="false">$F$186</f>
        <v>22060</v>
      </c>
      <c r="M229" s="13" t="n">
        <f aca="false">$F$186</f>
        <v>22060</v>
      </c>
      <c r="N229" s="13" t="n">
        <f aca="false">$F$186</f>
        <v>22060</v>
      </c>
      <c r="O229" s="13" t="n">
        <f aca="false">$F$186</f>
        <v>22060</v>
      </c>
      <c r="P229" s="13" t="n">
        <f aca="false">SUM(F229:O229)</f>
        <v>220600</v>
      </c>
      <c r="Q229" s="92" t="s">
        <v>2607</v>
      </c>
    </row>
    <row r="230" customFormat="false" ht="15" hidden="false" customHeight="false" outlineLevel="0" collapsed="false">
      <c r="A230" s="8" t="s">
        <v>989</v>
      </c>
      <c r="B230" s="8" t="s">
        <v>2608</v>
      </c>
      <c r="C230" s="8" t="s">
        <v>255</v>
      </c>
      <c r="D230" s="8" t="s">
        <v>2241</v>
      </c>
      <c r="F230" s="13" t="n">
        <f aca="false">$E$203/$E$7</f>
        <v>24931.5068493151</v>
      </c>
      <c r="G230" s="13" t="n">
        <f aca="false">$E$203/$E$7</f>
        <v>24931.5068493151</v>
      </c>
      <c r="H230" s="13" t="n">
        <f aca="false">$E$203/$E$7</f>
        <v>24931.5068493151</v>
      </c>
      <c r="I230" s="13" t="n">
        <f aca="false">$E$203/$E$7</f>
        <v>24931.5068493151</v>
      </c>
      <c r="J230" s="13" t="n">
        <f aca="false">$E$203/$E$7</f>
        <v>24931.5068493151</v>
      </c>
      <c r="K230" s="13" t="n">
        <f aca="false">$E$203/$E$7</f>
        <v>24931.5068493151</v>
      </c>
      <c r="L230" s="13" t="n">
        <f aca="false">$E$203/$E$7</f>
        <v>24931.5068493151</v>
      </c>
      <c r="M230" s="13" t="n">
        <f aca="false">$E$203/$E$7</f>
        <v>24931.5068493151</v>
      </c>
      <c r="N230" s="13" t="n">
        <f aca="false">$E$203/$E$7</f>
        <v>24931.5068493151</v>
      </c>
      <c r="O230" s="13" t="n">
        <f aca="false">$E$203/$E$7</f>
        <v>24931.5068493151</v>
      </c>
      <c r="P230" s="13" t="n">
        <f aca="false">SUM(F230:O230)</f>
        <v>249315.068493151</v>
      </c>
      <c r="Q230" s="92" t="s">
        <v>2609</v>
      </c>
    </row>
    <row r="231" customFormat="false" ht="15" hidden="false" customHeight="false" outlineLevel="0" collapsed="false">
      <c r="A231" s="8" t="s">
        <v>1006</v>
      </c>
      <c r="B231" s="8" t="s">
        <v>2610</v>
      </c>
      <c r="C231" s="8" t="s">
        <v>255</v>
      </c>
      <c r="D231" s="8" t="s">
        <v>2241</v>
      </c>
      <c r="F231" s="13" t="n">
        <f aca="false">$E$21*$E$24*12*(1+0.03)^(1-1)</f>
        <v>9276</v>
      </c>
      <c r="G231" s="13" t="n">
        <f aca="false">$E$21*$E$24*12*(1+0.03)^(2-1)</f>
        <v>9554.28</v>
      </c>
      <c r="H231" s="13" t="n">
        <f aca="false">$E$21*$E$24*12*(1+0.03)^(3-1)</f>
        <v>9840.9084</v>
      </c>
      <c r="I231" s="13" t="n">
        <f aca="false">$E$21*$E$24*12*(1+0.03)^(4-1)</f>
        <v>10136.135652</v>
      </c>
      <c r="J231" s="13" t="n">
        <f aca="false">$E$21*$E$24*12*(1+0.03)^(5-1)</f>
        <v>10440.21972156</v>
      </c>
      <c r="K231" s="13" t="n">
        <f aca="false">$E$21*$E$24*12*(1+0.03)^(6-1)</f>
        <v>10753.4263132068</v>
      </c>
      <c r="L231" s="13" t="n">
        <f aca="false">$E$21*$E$24*12*(1+0.03)^(7-1)</f>
        <v>11076.029102603</v>
      </c>
      <c r="M231" s="13" t="n">
        <f aca="false">$E$21*$E$24*12*(1+0.03)^(8-1)</f>
        <v>11408.3099756811</v>
      </c>
      <c r="N231" s="13" t="n">
        <f aca="false">$E$21*$E$24*12*(1+0.03)^(9-1)</f>
        <v>11750.5592749515</v>
      </c>
      <c r="O231" s="13" t="n">
        <f aca="false">$E$21*$E$24*12*(1+0.03)^(10-1)</f>
        <v>12103.0760532001</v>
      </c>
      <c r="P231" s="13" t="n">
        <f aca="false">SUM(F231:O231)</f>
        <v>106338.944493203</v>
      </c>
      <c r="Q231" s="92" t="s">
        <v>2611</v>
      </c>
    </row>
    <row r="232" customFormat="false" ht="15" hidden="false" customHeight="false" outlineLevel="0" collapsed="false">
      <c r="A232" s="8" t="s">
        <v>2527</v>
      </c>
      <c r="B232" s="8" t="s">
        <v>2612</v>
      </c>
      <c r="C232" s="8" t="s">
        <v>255</v>
      </c>
      <c r="D232" s="8" t="s">
        <v>2241</v>
      </c>
      <c r="F232" s="13" t="n">
        <f aca="false">$E$27*(F222+F223+F224+F225+F227+F228+F229+F230)</f>
        <v>19252.2719045504</v>
      </c>
      <c r="G232" s="13" t="n">
        <f aca="false">$E$27*(G222+G223+G224+G225+G227+G228+G229+G230)</f>
        <v>19252.2719045504</v>
      </c>
      <c r="H232" s="13" t="n">
        <f aca="false">$E$27*(H222+H223+H224+H225+H227+H228+H229+H230)</f>
        <v>19252.2719045504</v>
      </c>
      <c r="I232" s="13" t="n">
        <f aca="false">$E$27*(I222+I223+I224+I225+I227+I228+I229+I230)</f>
        <v>19252.2719045504</v>
      </c>
      <c r="J232" s="13" t="n">
        <f aca="false">$E$27*(J222+J223+J224+J225+J227+J228+J229+J230)</f>
        <v>19252.2719045504</v>
      </c>
      <c r="K232" s="13" t="n">
        <f aca="false">$E$27*(K222+K223+K224+K225+K227+K228+K229+K230)</f>
        <v>19252.2719045504</v>
      </c>
      <c r="L232" s="13" t="n">
        <f aca="false">$E$27*(L222+L223+L224+L225+L227+L228+L229+L230)</f>
        <v>19252.2719045504</v>
      </c>
      <c r="M232" s="13" t="n">
        <f aca="false">$E$27*(M222+M223+M224+M225+M227+M228+M229+M230)</f>
        <v>19252.2719045504</v>
      </c>
      <c r="N232" s="13" t="n">
        <f aca="false">$E$27*(N222+N223+N224+N225+N227+N228+N229+N230)</f>
        <v>19252.2719045504</v>
      </c>
      <c r="O232" s="13" t="n">
        <f aca="false">$E$27*(O222+O223+O224+O225+O227+O228+O229+O230)</f>
        <v>19252.2719045504</v>
      </c>
      <c r="P232" s="13" t="n">
        <f aca="false">SUM(F232:O232)</f>
        <v>192522.719045504</v>
      </c>
      <c r="Q232" s="92" t="s">
        <v>2613</v>
      </c>
    </row>
    <row r="233" customFormat="false" ht="15" hidden="false" customHeight="false" outlineLevel="0" collapsed="false">
      <c r="A233" s="8" t="s">
        <v>2529</v>
      </c>
      <c r="B233" s="8" t="s">
        <v>2614</v>
      </c>
      <c r="C233" s="8" t="s">
        <v>255</v>
      </c>
      <c r="D233" s="8" t="s">
        <v>2241</v>
      </c>
      <c r="F233" s="13" t="n">
        <f aca="false">F222+F223+F224+F225+F226+F227+F228+F229+F230+F231+F232</f>
        <v>617645.709995558</v>
      </c>
      <c r="G233" s="13" t="n">
        <f aca="false">G222+G223+G224+G225+G226+G227+G228+G229+G230+G231+G232</f>
        <v>624046.149995558</v>
      </c>
      <c r="H233" s="13" t="n">
        <f aca="false">H222+H223+H224+H225+H226+H227+H228+H229+H230+H231+H232</f>
        <v>630638.603195558</v>
      </c>
      <c r="I233" s="13" t="n">
        <f aca="false">I222+I223+I224+I225+I226+I227+I228+I229+I230+I231+I232</f>
        <v>637428.829991558</v>
      </c>
      <c r="J233" s="13" t="n">
        <f aca="false">J222+J223+J224+J225+J226+J227+J228+J229+J230+J231+J232</f>
        <v>644422.763591438</v>
      </c>
      <c r="K233" s="13" t="n">
        <f aca="false">K222+K223+K224+K225+K226+K227+K228+K229+K230+K231+K232</f>
        <v>651626.515199314</v>
      </c>
      <c r="L233" s="13" t="n">
        <f aca="false">L222+L223+L224+L225+L226+L227+L228+L229+L230+L231+L232</f>
        <v>659046.379355427</v>
      </c>
      <c r="M233" s="13" t="n">
        <f aca="false">M222+M223+M224+M225+M226+M227+M228+M229+M230+M231+M232</f>
        <v>666688.839436223</v>
      </c>
      <c r="N233" s="13" t="n">
        <f aca="false">N222+N223+N224+N225+N226+N227+N228+N229+N230+N231+N232</f>
        <v>674560.573319443</v>
      </c>
      <c r="O233" s="13" t="n">
        <f aca="false">O222+O223+O224+O225+O226+O227+O228+O229+O230+O231+O232</f>
        <v>682668.45921916</v>
      </c>
      <c r="P233" s="13" t="n">
        <f aca="false">SUM(F233:O233)</f>
        <v>6488772.82329924</v>
      </c>
      <c r="Q233" s="92" t="s">
        <v>2591</v>
      </c>
    </row>
    <row r="235" customFormat="false" ht="15" hidden="false" customHeight="false" outlineLevel="0" collapsed="false">
      <c r="A235" s="3" t="s">
        <v>2615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customFormat="false" ht="15" hidden="false" customHeight="false" outlineLevel="0" collapsed="false">
      <c r="A236" s="8" t="s">
        <v>2084</v>
      </c>
      <c r="B236" s="5" t="s">
        <v>2616</v>
      </c>
      <c r="C236" s="8" t="s">
        <v>255</v>
      </c>
      <c r="D236" s="8"/>
      <c r="E236" s="93"/>
      <c r="F236" s="70" t="n">
        <f aca="false">F207-F164</f>
        <v>0</v>
      </c>
      <c r="G236" s="70" t="n">
        <f aca="false">G207-G164</f>
        <v>0</v>
      </c>
      <c r="H236" s="70" t="n">
        <f aca="false">H207-H164</f>
        <v>0</v>
      </c>
      <c r="I236" s="70" t="n">
        <f aca="false">I207-I164</f>
        <v>0</v>
      </c>
      <c r="J236" s="70" t="n">
        <f aca="false">J207-J164</f>
        <v>0</v>
      </c>
      <c r="K236" s="70" t="n">
        <f aca="false">K207-K164</f>
        <v>0</v>
      </c>
      <c r="L236" s="70" t="n">
        <f aca="false">L207-L164</f>
        <v>0</v>
      </c>
      <c r="M236" s="70" t="n">
        <f aca="false">M207-M164</f>
        <v>0</v>
      </c>
      <c r="N236" s="70" t="n">
        <f aca="false">N207-N164</f>
        <v>0</v>
      </c>
      <c r="O236" s="70" t="n">
        <f aca="false">O207-O164</f>
        <v>0</v>
      </c>
      <c r="P236" s="93"/>
    </row>
    <row r="237" customFormat="false" ht="15" hidden="false" customHeight="false" outlineLevel="0" collapsed="false">
      <c r="A237" s="8" t="s">
        <v>2087</v>
      </c>
      <c r="B237" s="5" t="s">
        <v>2617</v>
      </c>
      <c r="C237" s="8" t="s">
        <v>255</v>
      </c>
      <c r="D237" s="8"/>
      <c r="E237" s="93"/>
      <c r="F237" s="70" t="n">
        <f aca="false">F208-F165</f>
        <v>0</v>
      </c>
      <c r="G237" s="70" t="n">
        <f aca="false">G208-G165</f>
        <v>0</v>
      </c>
      <c r="H237" s="70" t="n">
        <f aca="false">H208-H165</f>
        <v>0</v>
      </c>
      <c r="I237" s="70" t="n">
        <f aca="false">I208-I165</f>
        <v>0</v>
      </c>
      <c r="J237" s="70" t="n">
        <f aca="false">J208-J165</f>
        <v>0</v>
      </c>
      <c r="K237" s="70" t="n">
        <f aca="false">K208-K165</f>
        <v>0</v>
      </c>
      <c r="L237" s="70" t="n">
        <f aca="false">L208-L165</f>
        <v>0</v>
      </c>
      <c r="M237" s="70" t="n">
        <f aca="false">M208-M165</f>
        <v>0</v>
      </c>
      <c r="N237" s="70" t="n">
        <f aca="false">N208-N165</f>
        <v>0</v>
      </c>
      <c r="O237" s="70" t="n">
        <f aca="false">O208-O165</f>
        <v>0</v>
      </c>
      <c r="P237" s="93"/>
    </row>
    <row r="238" customFormat="false" ht="15" hidden="false" customHeight="false" outlineLevel="0" collapsed="false">
      <c r="A238" s="8" t="s">
        <v>995</v>
      </c>
      <c r="B238" s="5" t="s">
        <v>2618</v>
      </c>
      <c r="C238" s="8" t="s">
        <v>255</v>
      </c>
      <c r="D238" s="8"/>
      <c r="E238" s="93"/>
      <c r="F238" s="70" t="n">
        <f aca="false">F209-F166</f>
        <v>0</v>
      </c>
      <c r="G238" s="70" t="n">
        <f aca="false">G209-G166</f>
        <v>0</v>
      </c>
      <c r="H238" s="70" t="n">
        <f aca="false">H209-H166</f>
        <v>0</v>
      </c>
      <c r="I238" s="70" t="n">
        <f aca="false">I209-I166</f>
        <v>0</v>
      </c>
      <c r="J238" s="70" t="n">
        <f aca="false">J209-J166</f>
        <v>0</v>
      </c>
      <c r="K238" s="70" t="n">
        <f aca="false">K209-K166</f>
        <v>0</v>
      </c>
      <c r="L238" s="70" t="n">
        <f aca="false">L209-L166</f>
        <v>0</v>
      </c>
      <c r="M238" s="70" t="n">
        <f aca="false">M209-M166</f>
        <v>0</v>
      </c>
      <c r="N238" s="70" t="n">
        <f aca="false">N209-N166</f>
        <v>0</v>
      </c>
      <c r="O238" s="70" t="n">
        <f aca="false">O209-O166</f>
        <v>0</v>
      </c>
      <c r="P238" s="93"/>
    </row>
    <row r="239" customFormat="false" ht="15" hidden="false" customHeight="false" outlineLevel="0" collapsed="false">
      <c r="A239" s="8" t="s">
        <v>2495</v>
      </c>
      <c r="B239" s="5" t="s">
        <v>2619</v>
      </c>
      <c r="C239" s="8" t="s">
        <v>255</v>
      </c>
      <c r="D239" s="8"/>
      <c r="E239" s="93"/>
      <c r="F239" s="70" t="n">
        <f aca="false">F210-F167</f>
        <v>0.364999999990687</v>
      </c>
      <c r="G239" s="70" t="n">
        <f aca="false">G210-G167</f>
        <v>0.364999999990687</v>
      </c>
      <c r="H239" s="70" t="n">
        <f aca="false">H210-H167</f>
        <v>0.0474999999860302</v>
      </c>
      <c r="I239" s="70" t="n">
        <f aca="false">I210-I167</f>
        <v>0.475999999995111</v>
      </c>
      <c r="J239" s="70" t="n">
        <f aca="false">J210-J167</f>
        <v>-0.208999999973457</v>
      </c>
      <c r="K239" s="70" t="n">
        <f aca="false">K210-K167</f>
        <v>-0.208999999973457</v>
      </c>
      <c r="L239" s="70" t="n">
        <f aca="false">L210-L167</f>
        <v>-0.208999999973457</v>
      </c>
      <c r="M239" s="70" t="n">
        <f aca="false">M210-M167</f>
        <v>-0.208999999973457</v>
      </c>
      <c r="N239" s="70" t="n">
        <f aca="false">N210-N167</f>
        <v>-0.208999999973457</v>
      </c>
      <c r="O239" s="70" t="n">
        <f aca="false">O210-O167</f>
        <v>-0.208999999973457</v>
      </c>
      <c r="P239" s="93"/>
    </row>
    <row r="240" customFormat="false" ht="15" hidden="false" customHeight="false" outlineLevel="0" collapsed="false">
      <c r="A240" s="8" t="s">
        <v>2497</v>
      </c>
      <c r="B240" s="5" t="s">
        <v>2620</v>
      </c>
      <c r="C240" s="8" t="s">
        <v>255</v>
      </c>
      <c r="D240" s="8"/>
      <c r="E240" s="93"/>
      <c r="F240" s="70" t="n">
        <f aca="false">F211-F168</f>
        <v>7.00747850000334</v>
      </c>
      <c r="G240" s="70" t="n">
        <f aca="false">G211-G168</f>
        <v>7.00747850000334</v>
      </c>
      <c r="H240" s="70" t="n">
        <f aca="false">H211-H168</f>
        <v>7.65036775000044</v>
      </c>
      <c r="I240" s="70" t="n">
        <f aca="false">I211-I168</f>
        <v>8.36410839999735</v>
      </c>
      <c r="J240" s="70" t="n">
        <f aca="false">J211-J168</f>
        <v>9.30934190000698</v>
      </c>
      <c r="K240" s="70" t="n">
        <f aca="false">K211-K168</f>
        <v>9.30934190000698</v>
      </c>
      <c r="L240" s="70" t="n">
        <f aca="false">L211-L168</f>
        <v>9.30934190000698</v>
      </c>
      <c r="M240" s="70" t="n">
        <f aca="false">M211-M168</f>
        <v>9.30934190000698</v>
      </c>
      <c r="N240" s="70" t="n">
        <f aca="false">N211-N168</f>
        <v>9.30934190000698</v>
      </c>
      <c r="O240" s="70" t="n">
        <f aca="false">O211-O168</f>
        <v>9.30934190000698</v>
      </c>
      <c r="P240" s="93"/>
    </row>
    <row r="241" customFormat="false" ht="15" hidden="false" customHeight="false" outlineLevel="0" collapsed="false">
      <c r="A241" s="8" t="s">
        <v>2499</v>
      </c>
      <c r="B241" s="5" t="s">
        <v>2621</v>
      </c>
      <c r="C241" s="8" t="s">
        <v>255</v>
      </c>
      <c r="D241" s="8"/>
      <c r="E241" s="93"/>
      <c r="F241" s="70" t="n">
        <f aca="false">F212-F169</f>
        <v>-0.47945205479482</v>
      </c>
      <c r="G241" s="70" t="n">
        <f aca="false">G212-G169</f>
        <v>-0.47945205479482</v>
      </c>
      <c r="H241" s="70" t="n">
        <f aca="false">H212-H169</f>
        <v>0.0684931506839348</v>
      </c>
      <c r="I241" s="70" t="n">
        <f aca="false">I212-I169</f>
        <v>-0.383561643837311</v>
      </c>
      <c r="J241" s="70" t="n">
        <f aca="false">J212-J169</f>
        <v>0.164383561641444</v>
      </c>
      <c r="K241" s="70" t="n">
        <f aca="false">K212-K169</f>
        <v>0.164383561641444</v>
      </c>
      <c r="L241" s="70" t="n">
        <f aca="false">L212-L169</f>
        <v>0.164383561641444</v>
      </c>
      <c r="M241" s="70" t="n">
        <f aca="false">M212-M169</f>
        <v>0.164383561641444</v>
      </c>
      <c r="N241" s="70" t="n">
        <f aca="false">N212-N169</f>
        <v>0.164383561641444</v>
      </c>
      <c r="O241" s="70" t="n">
        <f aca="false">O212-O169</f>
        <v>0.164383561641444</v>
      </c>
      <c r="P241" s="93"/>
    </row>
    <row r="242" customFormat="false" ht="15" hidden="false" customHeight="false" outlineLevel="0" collapsed="false">
      <c r="A242" s="8" t="s">
        <v>2089</v>
      </c>
      <c r="B242" s="5" t="s">
        <v>2622</v>
      </c>
      <c r="C242" s="8" t="s">
        <v>255</v>
      </c>
      <c r="D242" s="8"/>
      <c r="E242" s="93"/>
      <c r="F242" s="70" t="n">
        <f aca="false">F213-F170</f>
        <v>0</v>
      </c>
      <c r="G242" s="70" t="n">
        <f aca="false">G213-G170</f>
        <v>0</v>
      </c>
      <c r="H242" s="70" t="n">
        <f aca="false">H213-H170</f>
        <v>0</v>
      </c>
      <c r="I242" s="70" t="n">
        <f aca="false">I213-I170</f>
        <v>0</v>
      </c>
      <c r="J242" s="70" t="n">
        <f aca="false">J213-J170</f>
        <v>0</v>
      </c>
      <c r="K242" s="70" t="n">
        <f aca="false">K213-K170</f>
        <v>0</v>
      </c>
      <c r="L242" s="70" t="n">
        <f aca="false">L213-L170</f>
        <v>0</v>
      </c>
      <c r="M242" s="70" t="n">
        <f aca="false">M213-M170</f>
        <v>0</v>
      </c>
      <c r="N242" s="70" t="n">
        <f aca="false">N213-N170</f>
        <v>0</v>
      </c>
      <c r="O242" s="70" t="n">
        <f aca="false">O213-O170</f>
        <v>0</v>
      </c>
      <c r="P242" s="93"/>
    </row>
    <row r="243" customFormat="false" ht="15" hidden="false" customHeight="false" outlineLevel="0" collapsed="false">
      <c r="A243" s="8" t="s">
        <v>965</v>
      </c>
      <c r="B243" s="5" t="s">
        <v>2623</v>
      </c>
      <c r="C243" s="8" t="s">
        <v>255</v>
      </c>
      <c r="D243" s="8"/>
      <c r="E243" s="93"/>
      <c r="F243" s="70" t="n">
        <f aca="false">F214-F171</f>
        <v>-0.301369863012951</v>
      </c>
      <c r="G243" s="70" t="n">
        <f aca="false">G214-G171</f>
        <v>-0.301369863012951</v>
      </c>
      <c r="H243" s="70" t="n">
        <f aca="false">H214-H171</f>
        <v>-0.301369863012951</v>
      </c>
      <c r="I243" s="70" t="n">
        <f aca="false">I214-I171</f>
        <v>-0.301369863012951</v>
      </c>
      <c r="J243" s="70" t="n">
        <f aca="false">J214-J171</f>
        <v>-0.301369863012951</v>
      </c>
      <c r="K243" s="70" t="n">
        <f aca="false">K214-K171</f>
        <v>-0.301369863012951</v>
      </c>
      <c r="L243" s="70" t="n">
        <f aca="false">L214-L171</f>
        <v>-0.301369863012951</v>
      </c>
      <c r="M243" s="70" t="n">
        <f aca="false">M214-M171</f>
        <v>-0.301369863012951</v>
      </c>
      <c r="N243" s="70" t="n">
        <f aca="false">N214-N171</f>
        <v>-0.301369863012951</v>
      </c>
      <c r="O243" s="70" t="n">
        <f aca="false">O214-O171</f>
        <v>-0.301369863012951</v>
      </c>
      <c r="P243" s="93"/>
    </row>
    <row r="244" customFormat="false" ht="15" hidden="false" customHeight="false" outlineLevel="0" collapsed="false">
      <c r="A244" s="8" t="s">
        <v>972</v>
      </c>
      <c r="B244" s="5" t="s">
        <v>2624</v>
      </c>
      <c r="C244" s="8" t="s">
        <v>255</v>
      </c>
      <c r="D244" s="8"/>
      <c r="E244" s="93"/>
      <c r="F244" s="70" t="n">
        <f aca="false">F215-F172</f>
        <v>0</v>
      </c>
      <c r="G244" s="70" t="n">
        <f aca="false">G215-G172</f>
        <v>0.159999999999854</v>
      </c>
      <c r="H244" s="70" t="n">
        <f aca="false">H215-H172</f>
        <v>-0.680000000000291</v>
      </c>
      <c r="I244" s="70" t="n">
        <f aca="false">I215-I172</f>
        <v>-0.519999999996799</v>
      </c>
      <c r="J244" s="70" t="n">
        <f aca="false">J215-J172</f>
        <v>-0.359999999996944</v>
      </c>
      <c r="K244" s="70" t="n">
        <f aca="false">K215-K172</f>
        <v>-0.19999999999709</v>
      </c>
      <c r="L244" s="70" t="n">
        <f aca="false">L215-L172</f>
        <v>-0.0399999999935972</v>
      </c>
      <c r="M244" s="70" t="n">
        <f aca="false">M215-M172</f>
        <v>0.120000000002619</v>
      </c>
      <c r="N244" s="70" t="n">
        <f aca="false">N215-N172</f>
        <v>-0.720000000001164</v>
      </c>
      <c r="O244" s="70" t="n">
        <f aca="false">O215-O172</f>
        <v>-0.560000000004948</v>
      </c>
      <c r="P244" s="93"/>
    </row>
    <row r="245" customFormat="false" ht="15" hidden="false" customHeight="false" outlineLevel="0" collapsed="false">
      <c r="A245" s="8" t="s">
        <v>998</v>
      </c>
      <c r="B245" s="5" t="s">
        <v>2625</v>
      </c>
      <c r="C245" s="8" t="s">
        <v>255</v>
      </c>
      <c r="D245" s="8"/>
      <c r="E245" s="93"/>
      <c r="F245" s="70" t="n">
        <f aca="false">F216-F173</f>
        <v>0.0999999999912689</v>
      </c>
      <c r="G245" s="70" t="n">
        <f aca="false">G216-G173</f>
        <v>0.209999999991851</v>
      </c>
      <c r="H245" s="70" t="n">
        <f aca="false">H216-H173</f>
        <v>-0.0800000000017462</v>
      </c>
      <c r="I245" s="70" t="n">
        <f aca="false">I216-I173</f>
        <v>-0.380000000004657</v>
      </c>
      <c r="J245" s="70" t="n">
        <f aca="false">J216-J173</f>
        <v>0.0800000000017462</v>
      </c>
      <c r="K245" s="70" t="n">
        <f aca="false">K216-K173</f>
        <v>-0.0599999999976717</v>
      </c>
      <c r="L245" s="70" t="n">
        <f aca="false">L216-L173</f>
        <v>0.169999999998254</v>
      </c>
      <c r="M245" s="70" t="n">
        <f aca="false">M216-M173</f>
        <v>-0.0800000000017462</v>
      </c>
      <c r="N245" s="70" t="n">
        <f aca="false">N216-N173</f>
        <v>0.159999999988941</v>
      </c>
      <c r="O245" s="70" t="n">
        <f aca="false">O216-O173</f>
        <v>0.00999999999476131</v>
      </c>
      <c r="P245" s="93"/>
    </row>
    <row r="246" customFormat="false" ht="15" hidden="false" customHeight="false" outlineLevel="0" collapsed="false">
      <c r="A246" s="8" t="s">
        <v>2505</v>
      </c>
      <c r="B246" s="5" t="s">
        <v>2626</v>
      </c>
      <c r="C246" s="8" t="s">
        <v>255</v>
      </c>
      <c r="D246" s="8"/>
      <c r="E246" s="93"/>
      <c r="F246" s="70" t="n">
        <f aca="false">F217-F174</f>
        <v>0</v>
      </c>
      <c r="G246" s="70" t="n">
        <f aca="false">G217-G174</f>
        <v>0.199999999999818</v>
      </c>
      <c r="H246" s="70" t="n">
        <f aca="false">H217-H174</f>
        <v>-0.46100000000024</v>
      </c>
      <c r="I246" s="70" t="n">
        <f aca="false">I217-I174</f>
        <v>0.436999999999898</v>
      </c>
      <c r="J246" s="70" t="n">
        <f aca="false">J217-J174</f>
        <v>0.291999999999462</v>
      </c>
      <c r="K246" s="70" t="n">
        <f aca="false">K217-K174</f>
        <v>0.0149999999994179</v>
      </c>
      <c r="L246" s="70" t="n">
        <f aca="false">L217-L174</f>
        <v>-0.385000000000218</v>
      </c>
      <c r="M246" s="70" t="n">
        <f aca="false">M217-M174</f>
        <v>0.101000000000568</v>
      </c>
      <c r="N246" s="70" t="n">
        <f aca="false">N217-N174</f>
        <v>0.481999999999971</v>
      </c>
      <c r="O246" s="70" t="n">
        <f aca="false">O217-O174</f>
        <v>-0.233000000000175</v>
      </c>
      <c r="P246" s="93"/>
    </row>
    <row r="247" customFormat="false" ht="15" hidden="false" customHeight="false" outlineLevel="0" collapsed="false">
      <c r="A247" s="8" t="s">
        <v>1000</v>
      </c>
      <c r="B247" s="5" t="s">
        <v>2627</v>
      </c>
      <c r="C247" s="8" t="s">
        <v>255</v>
      </c>
      <c r="D247" s="8"/>
      <c r="E247" s="93"/>
      <c r="F247" s="70" t="n">
        <f aca="false">F218-F175</f>
        <v>-0.42106973555201</v>
      </c>
      <c r="G247" s="70" t="n">
        <f aca="false">G218-G175</f>
        <v>0.228930264449446</v>
      </c>
      <c r="H247" s="70" t="n">
        <f aca="false">H218-H175</f>
        <v>0.227663609017327</v>
      </c>
      <c r="I247" s="70" t="n">
        <f aca="false">I218-I175</f>
        <v>-0.145434532430954</v>
      </c>
      <c r="J247" s="70" t="n">
        <f aca="false">J218-J175</f>
        <v>0.00264725461602211</v>
      </c>
      <c r="K247" s="70" t="n">
        <f aca="false">K218-K175</f>
        <v>-0.377352745381359</v>
      </c>
      <c r="L247" s="70" t="n">
        <f aca="false">L218-L175</f>
        <v>0.032647254614858</v>
      </c>
      <c r="M247" s="70" t="n">
        <f aca="false">M218-M175</f>
        <v>0.282647254614858</v>
      </c>
      <c r="N247" s="70" t="n">
        <f aca="false">N218-N175</f>
        <v>0.362647254616604</v>
      </c>
      <c r="O247" s="70" t="n">
        <f aca="false">O218-O175</f>
        <v>0.312647254613694</v>
      </c>
      <c r="P247" s="93"/>
    </row>
    <row r="248" customFormat="false" ht="15" hidden="false" customHeight="false" outlineLevel="0" collapsed="false">
      <c r="A248" s="8" t="s">
        <v>2508</v>
      </c>
      <c r="B248" s="5" t="s">
        <v>2628</v>
      </c>
      <c r="C248" s="8" t="s">
        <v>255</v>
      </c>
      <c r="D248" s="8"/>
      <c r="E248" s="93"/>
      <c r="F248" s="70" t="n">
        <f aca="false">F219-F176</f>
        <v>0.0135293423372787</v>
      </c>
      <c r="G248" s="70" t="n">
        <f aca="false">G219-G176</f>
        <v>0.169529342383612</v>
      </c>
      <c r="H248" s="70" t="n">
        <f aca="false">H219-H176</f>
        <v>0.823582732351497</v>
      </c>
      <c r="I248" s="70" t="n">
        <f aca="false">I219-I176</f>
        <v>0.227337118121795</v>
      </c>
      <c r="J248" s="70" t="n">
        <f aca="false">J219-J176</f>
        <v>0.0489001427195035</v>
      </c>
      <c r="K248" s="70" t="n">
        <f aca="false">K219-K176</f>
        <v>0.367050142667722</v>
      </c>
      <c r="L248" s="70" t="n">
        <f aca="false">L219-L176</f>
        <v>0.0370501427096315</v>
      </c>
      <c r="M248" s="70" t="n">
        <f aca="false">M219-M176</f>
        <v>0.319350142672192</v>
      </c>
      <c r="N248" s="70" t="n">
        <f aca="false">N219-N176</f>
        <v>0.162400142697152</v>
      </c>
      <c r="O248" s="70" t="n">
        <f aca="false">O219-O176</f>
        <v>0.77465014270274</v>
      </c>
      <c r="P248" s="93"/>
    </row>
    <row r="249" customFormat="false" ht="15" hidden="false" customHeight="false" outlineLevel="0" collapsed="false">
      <c r="A249" s="8" t="s">
        <v>2510</v>
      </c>
      <c r="B249" s="5" t="s">
        <v>2629</v>
      </c>
      <c r="C249" s="8" t="s">
        <v>255</v>
      </c>
      <c r="D249" s="8"/>
      <c r="E249" s="93"/>
      <c r="F249" s="70" t="n">
        <f aca="false">F220-F177</f>
        <v>0</v>
      </c>
      <c r="G249" s="70" t="n">
        <f aca="false">G220-G177</f>
        <v>0</v>
      </c>
      <c r="H249" s="70" t="n">
        <f aca="false">H220-H177</f>
        <v>0.389999999999418</v>
      </c>
      <c r="I249" s="70" t="n">
        <f aca="false">I220-I177</f>
        <v>0.369999999995343</v>
      </c>
      <c r="J249" s="70" t="n">
        <f aca="false">J220-J177</f>
        <v>-0.0800000000017462</v>
      </c>
      <c r="K249" s="70" t="n">
        <f aca="false">K220-K177</f>
        <v>0.150000000008731</v>
      </c>
      <c r="L249" s="70" t="n">
        <f aca="false">L220-L177</f>
        <v>0.150000000008731</v>
      </c>
      <c r="M249" s="70" t="n">
        <f aca="false">M220-M177</f>
        <v>0.00999999999476131</v>
      </c>
      <c r="N249" s="70" t="n">
        <f aca="false">N220-N177</f>
        <v>-0.179999999993015</v>
      </c>
      <c r="O249" s="70" t="n">
        <f aca="false">O220-O177</f>
        <v>-0.330000000001746</v>
      </c>
      <c r="P249" s="93"/>
    </row>
    <row r="250" customFormat="false" ht="15" hidden="false" customHeight="false" outlineLevel="0" collapsed="false">
      <c r="A250" s="8" t="s">
        <v>2512</v>
      </c>
      <c r="B250" s="5" t="s">
        <v>2630</v>
      </c>
      <c r="C250" s="8" t="s">
        <v>255</v>
      </c>
      <c r="D250" s="8"/>
      <c r="E250" s="93"/>
      <c r="F250" s="70" t="n">
        <f aca="false">F221-F178</f>
        <v>7.28411618852988</v>
      </c>
      <c r="G250" s="70" t="n">
        <f aca="false">G221-G178</f>
        <v>8.56011618953198</v>
      </c>
      <c r="H250" s="70" t="n">
        <f aca="false">H221-H178</f>
        <v>7.68523737881333</v>
      </c>
      <c r="I250" s="70" t="n">
        <f aca="false">I221-I178</f>
        <v>8.14407948032022</v>
      </c>
      <c r="J250" s="70" t="n">
        <f aca="false">J221-J178</f>
        <v>7.94690299592912</v>
      </c>
      <c r="K250" s="70" t="n">
        <f aca="false">K221-K178</f>
        <v>8.85805299691856</v>
      </c>
      <c r="L250" s="70" t="n">
        <f aca="false">L221-L178</f>
        <v>7.92805299721658</v>
      </c>
      <c r="M250" s="70" t="n">
        <f aca="false">M221-M178</f>
        <v>8.71635299641639</v>
      </c>
      <c r="N250" s="70" t="n">
        <f aca="false">N221-N178</f>
        <v>8.23040299676359</v>
      </c>
      <c r="O250" s="70" t="n">
        <f aca="false">O221-O178</f>
        <v>8.93765299580991</v>
      </c>
      <c r="P250" s="93"/>
    </row>
    <row r="251" customFormat="false" ht="15" hidden="false" customHeight="false" outlineLevel="0" collapsed="false">
      <c r="A251" s="8" t="s">
        <v>2514</v>
      </c>
      <c r="B251" s="5" t="s">
        <v>2631</v>
      </c>
      <c r="C251" s="8" t="s">
        <v>255</v>
      </c>
      <c r="D251" s="8"/>
      <c r="E251" s="93"/>
      <c r="F251" s="70" t="n">
        <f aca="false">F222-F179</f>
        <v>-0.198499999998603</v>
      </c>
      <c r="G251" s="70" t="n">
        <f aca="false">G222-G179</f>
        <v>-0.198499999998603</v>
      </c>
      <c r="H251" s="70" t="n">
        <f aca="false">H222-H179</f>
        <v>-0.198499999998603</v>
      </c>
      <c r="I251" s="70" t="n">
        <f aca="false">I222-I179</f>
        <v>-0.198499999998603</v>
      </c>
      <c r="J251" s="70" t="n">
        <f aca="false">J222-J179</f>
        <v>-0.198499999998603</v>
      </c>
      <c r="K251" s="70" t="n">
        <f aca="false">K222-K179</f>
        <v>-0.198499999998603</v>
      </c>
      <c r="L251" s="70" t="n">
        <f aca="false">L222-L179</f>
        <v>-0.198499999998603</v>
      </c>
      <c r="M251" s="70" t="n">
        <f aca="false">M222-M179</f>
        <v>-0.198499999998603</v>
      </c>
      <c r="N251" s="70" t="n">
        <f aca="false">N222-N179</f>
        <v>-0.198499999998603</v>
      </c>
      <c r="O251" s="70" t="n">
        <f aca="false">O222-O179</f>
        <v>-0.198499999998603</v>
      </c>
      <c r="P251" s="93"/>
    </row>
    <row r="252" customFormat="false" ht="15" hidden="false" customHeight="false" outlineLevel="0" collapsed="false">
      <c r="A252" s="8" t="s">
        <v>2516</v>
      </c>
      <c r="B252" s="5" t="s">
        <v>2632</v>
      </c>
      <c r="C252" s="8" t="s">
        <v>255</v>
      </c>
      <c r="D252" s="8"/>
      <c r="E252" s="93"/>
      <c r="F252" s="70" t="n">
        <f aca="false">F223-F180</f>
        <v>6.88316635000228</v>
      </c>
      <c r="G252" s="70" t="n">
        <f aca="false">G223-G180</f>
        <v>6.88316635000228</v>
      </c>
      <c r="H252" s="70" t="n">
        <f aca="false">H223-H180</f>
        <v>6.88316635000228</v>
      </c>
      <c r="I252" s="70" t="n">
        <f aca="false">I223-I180</f>
        <v>6.88316635000228</v>
      </c>
      <c r="J252" s="70" t="n">
        <f aca="false">J223-J180</f>
        <v>6.88316635000228</v>
      </c>
      <c r="K252" s="70" t="n">
        <f aca="false">K223-K180</f>
        <v>6.88316635000228</v>
      </c>
      <c r="L252" s="70" t="n">
        <f aca="false">L223-L180</f>
        <v>6.88316635000228</v>
      </c>
      <c r="M252" s="70" t="n">
        <f aca="false">M223-M180</f>
        <v>6.88316635000228</v>
      </c>
      <c r="N252" s="70" t="n">
        <f aca="false">N223-N180</f>
        <v>6.88316635000228</v>
      </c>
      <c r="O252" s="70" t="n">
        <f aca="false">O223-O180</f>
        <v>6.88316635000228</v>
      </c>
      <c r="P252" s="93"/>
    </row>
    <row r="253" customFormat="false" ht="15" hidden="false" customHeight="false" outlineLevel="0" collapsed="false">
      <c r="A253" s="8" t="s">
        <v>2518</v>
      </c>
      <c r="B253" s="5" t="s">
        <v>2633</v>
      </c>
      <c r="C253" s="8" t="s">
        <v>255</v>
      </c>
      <c r="D253" s="8"/>
      <c r="E253" s="93"/>
      <c r="F253" s="70" t="n">
        <f aca="false">F224-F181</f>
        <v>-0.315068493149738</v>
      </c>
      <c r="G253" s="70" t="n">
        <f aca="false">G224-G181</f>
        <v>-0.315068493149738</v>
      </c>
      <c r="H253" s="70" t="n">
        <f aca="false">H224-H181</f>
        <v>-0.315068493149738</v>
      </c>
      <c r="I253" s="70" t="n">
        <f aca="false">I224-I181</f>
        <v>-0.315068493149738</v>
      </c>
      <c r="J253" s="70" t="n">
        <f aca="false">J224-J181</f>
        <v>-0.315068493149738</v>
      </c>
      <c r="K253" s="70" t="n">
        <f aca="false">K224-K181</f>
        <v>-0.315068493149738</v>
      </c>
      <c r="L253" s="70" t="n">
        <f aca="false">L224-L181</f>
        <v>-0.315068493149738</v>
      </c>
      <c r="M253" s="70" t="n">
        <f aca="false">M224-M181</f>
        <v>-0.315068493149738</v>
      </c>
      <c r="N253" s="70" t="n">
        <f aca="false">N224-N181</f>
        <v>-0.315068493149738</v>
      </c>
      <c r="O253" s="70" t="n">
        <f aca="false">O224-O181</f>
        <v>-0.315068493149738</v>
      </c>
      <c r="P253" s="93"/>
    </row>
    <row r="254" customFormat="false" ht="15" hidden="false" customHeight="false" outlineLevel="0" collapsed="false">
      <c r="A254" s="8" t="s">
        <v>976</v>
      </c>
      <c r="B254" s="5" t="s">
        <v>2634</v>
      </c>
      <c r="C254" s="8" t="s">
        <v>255</v>
      </c>
      <c r="D254" s="8"/>
      <c r="E254" s="93"/>
      <c r="F254" s="70" t="n">
        <f aca="false">F225-F182</f>
        <v>-0.123287671232902</v>
      </c>
      <c r="G254" s="70" t="n">
        <f aca="false">G225-G182</f>
        <v>-0.123287671232902</v>
      </c>
      <c r="H254" s="70" t="n">
        <f aca="false">H225-H182</f>
        <v>-0.123287671232902</v>
      </c>
      <c r="I254" s="70" t="n">
        <f aca="false">I225-I182</f>
        <v>-0.123287671232902</v>
      </c>
      <c r="J254" s="70" t="n">
        <f aca="false">J225-J182</f>
        <v>-0.123287671232902</v>
      </c>
      <c r="K254" s="70" t="n">
        <f aca="false">K225-K182</f>
        <v>-0.123287671232902</v>
      </c>
      <c r="L254" s="70" t="n">
        <f aca="false">L225-L182</f>
        <v>-0.123287671232902</v>
      </c>
      <c r="M254" s="70" t="n">
        <f aca="false">M225-M182</f>
        <v>-0.123287671232902</v>
      </c>
      <c r="N254" s="70" t="n">
        <f aca="false">N225-N182</f>
        <v>-0.123287671232902</v>
      </c>
      <c r="O254" s="70" t="n">
        <f aca="false">O225-O182</f>
        <v>-0.123287671232902</v>
      </c>
      <c r="P254" s="93"/>
    </row>
    <row r="255" customFormat="false" ht="15" hidden="false" customHeight="false" outlineLevel="0" collapsed="false">
      <c r="A255" s="8" t="s">
        <v>1004</v>
      </c>
      <c r="B255" s="5" t="s">
        <v>2635</v>
      </c>
      <c r="C255" s="8" t="s">
        <v>255</v>
      </c>
      <c r="D255" s="8"/>
      <c r="E255" s="93"/>
      <c r="F255" s="70" t="n">
        <f aca="false">F226-F183</f>
        <v>0</v>
      </c>
      <c r="G255" s="70" t="n">
        <f aca="false">G226-G183</f>
        <v>0.160000000032596</v>
      </c>
      <c r="H255" s="70" t="n">
        <f aca="false">H226-H183</f>
        <v>-0.0151999999652617</v>
      </c>
      <c r="I255" s="70" t="n">
        <f aca="false">I226-I183</f>
        <v>-0.0156559999741148</v>
      </c>
      <c r="J255" s="70" t="n">
        <f aca="false">J226-J183</f>
        <v>-0.166125679941615</v>
      </c>
      <c r="K255" s="70" t="n">
        <f aca="false">K226-K183</f>
        <v>0.378890549647622</v>
      </c>
      <c r="L255" s="70" t="n">
        <f aca="false">L226-L183</f>
        <v>-0.359742733853636</v>
      </c>
      <c r="M255" s="70" t="n">
        <f aca="false">M226-M183</f>
        <v>-0.18053501585382</v>
      </c>
      <c r="N255" s="70" t="n">
        <f aca="false">N226-N183</f>
        <v>0.30404893369996</v>
      </c>
      <c r="O255" s="70" t="n">
        <f aca="false">O226-O183</f>
        <v>-0.326829598285258</v>
      </c>
      <c r="P255" s="93"/>
    </row>
    <row r="256" customFormat="false" ht="15" hidden="false" customHeight="false" outlineLevel="0" collapsed="false">
      <c r="A256" s="8" t="s">
        <v>981</v>
      </c>
      <c r="B256" s="5" t="s">
        <v>2636</v>
      </c>
      <c r="C256" s="8" t="s">
        <v>255</v>
      </c>
      <c r="D256" s="8"/>
      <c r="E256" s="93"/>
      <c r="F256" s="70" t="n">
        <f aca="false">F227-F184</f>
        <v>-0.493150684931607</v>
      </c>
      <c r="G256" s="70" t="n">
        <f aca="false">G227-G184</f>
        <v>-0.493150684931607</v>
      </c>
      <c r="H256" s="70" t="n">
        <f aca="false">H227-H184</f>
        <v>-0.493150684931607</v>
      </c>
      <c r="I256" s="70" t="n">
        <f aca="false">I227-I184</f>
        <v>-0.493150684931607</v>
      </c>
      <c r="J256" s="70" t="n">
        <f aca="false">J227-J184</f>
        <v>-0.493150684931607</v>
      </c>
      <c r="K256" s="70" t="n">
        <f aca="false">K227-K184</f>
        <v>-0.493150684931607</v>
      </c>
      <c r="L256" s="70" t="n">
        <f aca="false">L227-L184</f>
        <v>-0.493150684931607</v>
      </c>
      <c r="M256" s="70" t="n">
        <f aca="false">M227-M184</f>
        <v>-0.493150684931607</v>
      </c>
      <c r="N256" s="70" t="n">
        <f aca="false">N227-N184</f>
        <v>-0.493150684931607</v>
      </c>
      <c r="O256" s="70" t="n">
        <f aca="false">O227-O184</f>
        <v>-0.493150684931607</v>
      </c>
      <c r="P256" s="93"/>
    </row>
    <row r="257" customFormat="false" ht="15" hidden="false" customHeight="false" outlineLevel="0" collapsed="false">
      <c r="A257" s="8" t="s">
        <v>984</v>
      </c>
      <c r="B257" s="5" t="s">
        <v>2637</v>
      </c>
      <c r="C257" s="8" t="s">
        <v>255</v>
      </c>
      <c r="D257" s="8"/>
      <c r="E257" s="93"/>
      <c r="F257" s="70" t="n">
        <f aca="false">F228-F185</f>
        <v>0.178082191780049</v>
      </c>
      <c r="G257" s="70" t="n">
        <f aca="false">G228-G185</f>
        <v>0.178082191780049</v>
      </c>
      <c r="H257" s="70" t="n">
        <f aca="false">H228-H185</f>
        <v>0.178082191780049</v>
      </c>
      <c r="I257" s="70" t="n">
        <f aca="false">I228-I185</f>
        <v>0.178082191780049</v>
      </c>
      <c r="J257" s="70" t="n">
        <f aca="false">J228-J185</f>
        <v>0.178082191780049</v>
      </c>
      <c r="K257" s="70" t="n">
        <f aca="false">K228-K185</f>
        <v>0.178082191780049</v>
      </c>
      <c r="L257" s="70" t="n">
        <f aca="false">L228-L185</f>
        <v>0.178082191780049</v>
      </c>
      <c r="M257" s="70" t="n">
        <f aca="false">M228-M185</f>
        <v>0.178082191780049</v>
      </c>
      <c r="N257" s="70" t="n">
        <f aca="false">N228-N185</f>
        <v>0.178082191780049</v>
      </c>
      <c r="O257" s="70" t="n">
        <f aca="false">O228-O185</f>
        <v>0.178082191780049</v>
      </c>
      <c r="P257" s="93"/>
    </row>
    <row r="258" customFormat="false" ht="15" hidden="false" customHeight="false" outlineLevel="0" collapsed="false">
      <c r="A258" s="8" t="s">
        <v>987</v>
      </c>
      <c r="B258" s="5" t="s">
        <v>2638</v>
      </c>
      <c r="C258" s="8" t="s">
        <v>255</v>
      </c>
      <c r="D258" s="8"/>
      <c r="E258" s="93"/>
      <c r="F258" s="70" t="n">
        <f aca="false">F229-F186</f>
        <v>0</v>
      </c>
      <c r="G258" s="70" t="n">
        <f aca="false">G229-G186</f>
        <v>0</v>
      </c>
      <c r="H258" s="70" t="n">
        <f aca="false">H229-H186</f>
        <v>0</v>
      </c>
      <c r="I258" s="70" t="n">
        <f aca="false">I229-I186</f>
        <v>0</v>
      </c>
      <c r="J258" s="70" t="n">
        <f aca="false">J229-J186</f>
        <v>0</v>
      </c>
      <c r="K258" s="70" t="n">
        <f aca="false">K229-K186</f>
        <v>0</v>
      </c>
      <c r="L258" s="70" t="n">
        <f aca="false">L229-L186</f>
        <v>0</v>
      </c>
      <c r="M258" s="70" t="n">
        <f aca="false">M229-M186</f>
        <v>0</v>
      </c>
      <c r="N258" s="70" t="n">
        <f aca="false">N229-N186</f>
        <v>0</v>
      </c>
      <c r="O258" s="70" t="n">
        <f aca="false">O229-O186</f>
        <v>0</v>
      </c>
      <c r="P258" s="93"/>
    </row>
    <row r="259" customFormat="false" ht="15" hidden="false" customHeight="false" outlineLevel="0" collapsed="false">
      <c r="A259" s="8" t="s">
        <v>989</v>
      </c>
      <c r="B259" s="5" t="s">
        <v>2639</v>
      </c>
      <c r="C259" s="8" t="s">
        <v>255</v>
      </c>
      <c r="D259" s="8"/>
      <c r="E259" s="93"/>
      <c r="F259" s="70" t="n">
        <f aca="false">F230-F187</f>
        <v>-0.493150684931607</v>
      </c>
      <c r="G259" s="70" t="n">
        <f aca="false">G230-G187</f>
        <v>-0.493150684931607</v>
      </c>
      <c r="H259" s="70" t="n">
        <f aca="false">H230-H187</f>
        <v>-0.493150684931607</v>
      </c>
      <c r="I259" s="70" t="n">
        <f aca="false">I230-I187</f>
        <v>-0.493150684931607</v>
      </c>
      <c r="J259" s="70" t="n">
        <f aca="false">J230-J187</f>
        <v>-0.493150684931607</v>
      </c>
      <c r="K259" s="70" t="n">
        <f aca="false">K230-K187</f>
        <v>-0.493150684931607</v>
      </c>
      <c r="L259" s="70" t="n">
        <f aca="false">L230-L187</f>
        <v>-0.493150684931607</v>
      </c>
      <c r="M259" s="70" t="n">
        <f aca="false">M230-M187</f>
        <v>-0.493150684931607</v>
      </c>
      <c r="N259" s="70" t="n">
        <f aca="false">N230-N187</f>
        <v>-0.493150684931607</v>
      </c>
      <c r="O259" s="70" t="n">
        <f aca="false">O230-O187</f>
        <v>-0.493150684931607</v>
      </c>
      <c r="P259" s="93"/>
    </row>
    <row r="260" customFormat="false" ht="15" hidden="false" customHeight="false" outlineLevel="0" collapsed="false">
      <c r="A260" s="8" t="s">
        <v>1006</v>
      </c>
      <c r="B260" s="5" t="s">
        <v>2640</v>
      </c>
      <c r="C260" s="8" t="s">
        <v>255</v>
      </c>
      <c r="D260" s="8"/>
      <c r="E260" s="93"/>
      <c r="F260" s="70" t="n">
        <f aca="false">F231-F188</f>
        <v>0</v>
      </c>
      <c r="G260" s="70" t="n">
        <f aca="false">G231-G188</f>
        <v>0.280000000000655</v>
      </c>
      <c r="H260" s="70" t="n">
        <f aca="false">H231-H188</f>
        <v>-0.0915999999997439</v>
      </c>
      <c r="I260" s="70" t="n">
        <f aca="false">I231-I188</f>
        <v>0.135652000000846</v>
      </c>
      <c r="J260" s="70" t="n">
        <f aca="false">J231-J188</f>
        <v>0.219721560000835</v>
      </c>
      <c r="K260" s="70" t="n">
        <f aca="false">K231-K188</f>
        <v>0.426313206800842</v>
      </c>
      <c r="L260" s="70" t="n">
        <f aca="false">L231-L188</f>
        <v>0.0291026030045032</v>
      </c>
      <c r="M260" s="70" t="n">
        <f aca="false">M231-M188</f>
        <v>0.309975681095239</v>
      </c>
      <c r="N260" s="70" t="n">
        <f aca="false">N231-N188</f>
        <v>-0.440725048470995</v>
      </c>
      <c r="O260" s="70" t="n">
        <f aca="false">O231-O188</f>
        <v>0.0760532000749663</v>
      </c>
      <c r="P260" s="93"/>
    </row>
    <row r="261" customFormat="false" ht="15" hidden="false" customHeight="false" outlineLevel="0" collapsed="false">
      <c r="A261" s="8" t="s">
        <v>2527</v>
      </c>
      <c r="B261" s="5" t="s">
        <v>2641</v>
      </c>
      <c r="C261" s="8" t="s">
        <v>255</v>
      </c>
      <c r="D261" s="8"/>
      <c r="E261" s="93"/>
      <c r="F261" s="70" t="n">
        <f aca="false">F232-F189</f>
        <v>0.271904550379986</v>
      </c>
      <c r="G261" s="70" t="n">
        <f aca="false">G232-G189</f>
        <v>0.271904550379986</v>
      </c>
      <c r="H261" s="70" t="n">
        <f aca="false">H232-H189</f>
        <v>0.271904550379986</v>
      </c>
      <c r="I261" s="70" t="n">
        <f aca="false">I232-I189</f>
        <v>0.271904550379986</v>
      </c>
      <c r="J261" s="70" t="n">
        <f aca="false">J232-J189</f>
        <v>0.271904550379986</v>
      </c>
      <c r="K261" s="70" t="n">
        <f aca="false">K232-K189</f>
        <v>0.271904550379986</v>
      </c>
      <c r="L261" s="70" t="n">
        <f aca="false">L232-L189</f>
        <v>0.271904550379986</v>
      </c>
      <c r="M261" s="70" t="n">
        <f aca="false">M232-M189</f>
        <v>0.271904550379986</v>
      </c>
      <c r="N261" s="70" t="n">
        <f aca="false">N232-N189</f>
        <v>0.271904550379986</v>
      </c>
      <c r="O261" s="70" t="n">
        <f aca="false">O232-O189</f>
        <v>0.271904550379986</v>
      </c>
      <c r="P261" s="93"/>
    </row>
    <row r="262" customFormat="false" ht="15" hidden="false" customHeight="false" outlineLevel="0" collapsed="false">
      <c r="A262" s="8" t="s">
        <v>2529</v>
      </c>
      <c r="B262" s="5" t="s">
        <v>2642</v>
      </c>
      <c r="C262" s="8" t="s">
        <v>255</v>
      </c>
      <c r="D262" s="8"/>
      <c r="E262" s="93"/>
      <c r="F262" s="70" t="n">
        <f aca="false">F233-F190</f>
        <v>6.7099955577869</v>
      </c>
      <c r="G262" s="70" t="n">
        <f aca="false">G233-G190</f>
        <v>7.14999555784743</v>
      </c>
      <c r="H262" s="70" t="n">
        <f aca="false">H233-H190</f>
        <v>6.60319555772003</v>
      </c>
      <c r="I262" s="70" t="n">
        <f aca="false">I233-I190</f>
        <v>6.82999155775178</v>
      </c>
      <c r="J262" s="70" t="n">
        <f aca="false">J233-J190</f>
        <v>6.76359143783338</v>
      </c>
      <c r="K262" s="70" t="n">
        <f aca="false">K233-K190</f>
        <v>6.51519931422081</v>
      </c>
      <c r="L262" s="70" t="n">
        <f aca="false">L233-L190</f>
        <v>7.37935542687774</v>
      </c>
      <c r="M262" s="70" t="n">
        <f aca="false">M233-M190</f>
        <v>6.83943622303195</v>
      </c>
      <c r="N262" s="70" t="n">
        <f aca="false">N233-N190</f>
        <v>6.57331944303587</v>
      </c>
      <c r="O262" s="70" t="n">
        <f aca="false">O233-O190</f>
        <v>6.45921915955842</v>
      </c>
      <c r="P262" s="93"/>
    </row>
    <row r="263" customFormat="false" ht="15" hidden="false" customHeight="false" outlineLevel="0" collapsed="false">
      <c r="A263" s="8" t="s">
        <v>2643</v>
      </c>
      <c r="B263" s="5" t="s">
        <v>2644</v>
      </c>
      <c r="C263" s="8" t="s">
        <v>255</v>
      </c>
      <c r="D263" s="8"/>
      <c r="E263" s="93"/>
      <c r="F263" s="70" t="n">
        <f aca="false">MAX(ABS(MIN(F236:F262)),MAX(F236:F262))</f>
        <v>7.28411618852988</v>
      </c>
      <c r="G263" s="70" t="n">
        <f aca="false">MAX(ABS(MIN(G236:G262)),MAX(G236:G262))</f>
        <v>8.56011618953198</v>
      </c>
      <c r="H263" s="70" t="n">
        <f aca="false">MAX(ABS(MIN(H236:H262)),MAX(H236:H262))</f>
        <v>7.68523737881333</v>
      </c>
      <c r="I263" s="70" t="n">
        <f aca="false">MAX(ABS(MIN(I236:I262)),MAX(I236:I262))</f>
        <v>8.36410839999735</v>
      </c>
      <c r="J263" s="70" t="n">
        <f aca="false">MAX(ABS(MIN(J236:J262)),MAX(J236:J262))</f>
        <v>9.30934190000698</v>
      </c>
      <c r="K263" s="70" t="n">
        <f aca="false">MAX(ABS(MIN(K236:K262)),MAX(K236:K262))</f>
        <v>9.30934190000698</v>
      </c>
      <c r="L263" s="70" t="n">
        <f aca="false">MAX(ABS(MIN(L236:L262)),MAX(L236:L262))</f>
        <v>9.30934190000698</v>
      </c>
      <c r="M263" s="70" t="n">
        <f aca="false">MAX(ABS(MIN(M236:M262)),MAX(M236:M262))</f>
        <v>9.30934190000698</v>
      </c>
      <c r="N263" s="70" t="n">
        <f aca="false">MAX(ABS(MIN(N236:N262)),MAX(N236:N262))</f>
        <v>9.30934190000698</v>
      </c>
      <c r="O263" s="70" t="n">
        <f aca="false">MAX(ABS(MIN(O236:O262)),MAX(O236:O262))</f>
        <v>9.30934190000698</v>
      </c>
      <c r="P263" s="93"/>
    </row>
    <row r="265" customFormat="false" ht="15" hidden="false" customHeight="false" outlineLevel="0" collapsed="false">
      <c r="A265" s="3" t="s">
        <v>2645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customFormat="false" ht="15" hidden="false" customHeight="false" outlineLevel="0" collapsed="false">
      <c r="A266" s="8" t="s">
        <v>2646</v>
      </c>
      <c r="B266" s="8" t="s">
        <v>2647</v>
      </c>
      <c r="C266" s="8" t="s">
        <v>255</v>
      </c>
      <c r="D266" s="8" t="s">
        <v>2648</v>
      </c>
      <c r="F266" s="82" t="n">
        <v>1854532</v>
      </c>
      <c r="G266" s="82" t="n">
        <v>2330562</v>
      </c>
      <c r="H266" s="82" t="n">
        <v>2811700</v>
      </c>
      <c r="I266" s="82" t="n">
        <v>3298022</v>
      </c>
      <c r="J266" s="82" t="n">
        <v>3315905</v>
      </c>
      <c r="K266" s="82" t="n">
        <v>3333966</v>
      </c>
      <c r="L266" s="82" t="n">
        <v>3352208</v>
      </c>
      <c r="M266" s="82" t="n">
        <v>3370632</v>
      </c>
      <c r="N266" s="82" t="n">
        <v>3389241</v>
      </c>
      <c r="O266" s="82" t="n">
        <v>3408035</v>
      </c>
    </row>
    <row r="267" customFormat="false" ht="15" hidden="false" customHeight="false" outlineLevel="0" collapsed="false">
      <c r="A267" s="8" t="s">
        <v>2649</v>
      </c>
      <c r="B267" s="8" t="s">
        <v>2650</v>
      </c>
      <c r="C267" s="8" t="s">
        <v>255</v>
      </c>
      <c r="D267" s="8" t="s">
        <v>2648</v>
      </c>
      <c r="F267" s="82" t="n">
        <v>1035720</v>
      </c>
      <c r="G267" s="82" t="n">
        <v>1338309</v>
      </c>
      <c r="H267" s="82" t="n">
        <v>1635711</v>
      </c>
      <c r="I267" s="82" t="n">
        <v>1784412</v>
      </c>
      <c r="J267" s="82" t="n">
        <v>1784412</v>
      </c>
      <c r="K267" s="82" t="n">
        <v>1784412</v>
      </c>
      <c r="L267" s="82" t="n">
        <v>1784412</v>
      </c>
      <c r="M267" s="82" t="n">
        <v>1784412</v>
      </c>
      <c r="N267" s="82" t="n">
        <v>1784412</v>
      </c>
      <c r="O267" s="82" t="n">
        <v>1784412</v>
      </c>
    </row>
    <row r="268" customFormat="false" ht="15" hidden="false" customHeight="false" outlineLevel="0" collapsed="false">
      <c r="A268" s="8" t="s">
        <v>2651</v>
      </c>
      <c r="B268" s="8" t="s">
        <v>2652</v>
      </c>
      <c r="C268" s="8" t="s">
        <v>201</v>
      </c>
      <c r="D268" s="8" t="s">
        <v>2648</v>
      </c>
      <c r="F268" s="90" t="n">
        <v>0.572</v>
      </c>
      <c r="G268" s="90" t="n">
        <v>0.57</v>
      </c>
      <c r="H268" s="90" t="n">
        <v>0.567</v>
      </c>
      <c r="I268" s="90" t="n">
        <v>0.565</v>
      </c>
      <c r="J268" s="90" t="n">
        <v>0.562</v>
      </c>
      <c r="K268" s="90" t="n">
        <v>0.559</v>
      </c>
      <c r="L268" s="90" t="n">
        <v>0.557</v>
      </c>
      <c r="M268" s="90" t="n">
        <v>0.554</v>
      </c>
      <c r="N268" s="90" t="n">
        <v>0.552</v>
      </c>
      <c r="O268" s="90" t="n">
        <v>0.55</v>
      </c>
    </row>
    <row r="269" customFormat="false" ht="15" hidden="false" customHeight="false" outlineLevel="0" collapsed="false">
      <c r="A269" s="8" t="s">
        <v>2653</v>
      </c>
      <c r="B269" s="8" t="s">
        <v>2654</v>
      </c>
      <c r="C269" s="8" t="s">
        <v>201</v>
      </c>
      <c r="D269" s="8" t="s">
        <v>2648</v>
      </c>
      <c r="F269" s="90" t="n">
        <v>0.643</v>
      </c>
      <c r="G269" s="90" t="n">
        <v>0.64</v>
      </c>
      <c r="H269" s="90" t="n">
        <v>0.634</v>
      </c>
      <c r="I269" s="90" t="n">
        <v>0.628</v>
      </c>
      <c r="J269" s="90" t="n">
        <v>0.621</v>
      </c>
      <c r="K269" s="90" t="n">
        <v>0.615</v>
      </c>
      <c r="L269" s="90" t="n">
        <v>0.609</v>
      </c>
      <c r="M269" s="90" t="n">
        <v>0.603</v>
      </c>
      <c r="N269" s="90" t="n">
        <v>0.597</v>
      </c>
      <c r="O269" s="90" t="n">
        <v>0.591</v>
      </c>
    </row>
    <row r="270" customFormat="false" ht="15" hidden="false" customHeight="false" outlineLevel="0" collapsed="false">
      <c r="A270" s="8" t="s">
        <v>2655</v>
      </c>
      <c r="B270" s="8" t="s">
        <v>2656</v>
      </c>
      <c r="C270" s="8" t="s">
        <v>201</v>
      </c>
      <c r="D270" s="8" t="s">
        <v>2648</v>
      </c>
      <c r="F270" s="48" t="n">
        <f aca="false">(F266/F88)/F98</f>
        <v>0.572386419753086</v>
      </c>
      <c r="G270" s="48" t="n">
        <f aca="false">(G266/G88)/G98</f>
        <v>0.569749908324166</v>
      </c>
      <c r="H270" s="48" t="n">
        <f aca="false">(H266/H88)/H98</f>
        <v>0.567139588913053</v>
      </c>
      <c r="I270" s="48" t="n">
        <f aca="false">(I266/I88)/I98</f>
        <v>0.564555143006812</v>
      </c>
      <c r="J270" s="48" t="n">
        <f aca="false">(J266/J88)/J98</f>
        <v>0.561996389624743</v>
      </c>
      <c r="K270" s="48" t="n">
        <f aca="false">(K266/K88)/K98</f>
        <v>0.559462831154766</v>
      </c>
      <c r="L270" s="48" t="n">
        <f aca="false">(L266/L88)/L98</f>
        <v>0.556954422218877</v>
      </c>
      <c r="M270" s="48" t="n">
        <f aca="false">(M266/M88)/M98</f>
        <v>0.554470779924801</v>
      </c>
      <c r="N270" s="48" t="n">
        <f aca="false">(N266/N88)/N98</f>
        <v>0.552011851931071</v>
      </c>
      <c r="O270" s="48" t="n">
        <f aca="false">(O266/O88)/O98</f>
        <v>0.549577093986503</v>
      </c>
      <c r="Q270" s="92" t="s">
        <v>2657</v>
      </c>
    </row>
    <row r="271" customFormat="false" ht="15" hidden="false" customHeight="false" outlineLevel="0" collapsed="false">
      <c r="A271" s="8" t="s">
        <v>2658</v>
      </c>
      <c r="B271" s="8" t="s">
        <v>2659</v>
      </c>
      <c r="C271" s="8" t="s">
        <v>201</v>
      </c>
      <c r="D271" s="8" t="s">
        <v>2648</v>
      </c>
      <c r="F271" s="48" t="n">
        <f aca="false">1-F270</f>
        <v>0.427613580246914</v>
      </c>
      <c r="G271" s="48" t="n">
        <f aca="false">1-G270</f>
        <v>0.430250091675834</v>
      </c>
      <c r="H271" s="48" t="n">
        <f aca="false">1-H270</f>
        <v>0.432860411086947</v>
      </c>
      <c r="I271" s="48" t="n">
        <f aca="false">1-I270</f>
        <v>0.435444856993188</v>
      </c>
      <c r="J271" s="48" t="n">
        <f aca="false">1-J270</f>
        <v>0.438003610375257</v>
      </c>
      <c r="K271" s="48" t="n">
        <f aca="false">1-K270</f>
        <v>0.440537168845234</v>
      </c>
      <c r="L271" s="48" t="n">
        <f aca="false">1-L270</f>
        <v>0.443045577781123</v>
      </c>
      <c r="M271" s="48" t="n">
        <f aca="false">1-M270</f>
        <v>0.445529220075199</v>
      </c>
      <c r="N271" s="48" t="n">
        <f aca="false">1-N270</f>
        <v>0.447988148068929</v>
      </c>
      <c r="O271" s="48" t="n">
        <f aca="false">1-O270</f>
        <v>0.450422906013497</v>
      </c>
    </row>
    <row r="272" customFormat="false" ht="15" hidden="false" customHeight="false" outlineLevel="0" collapsed="false">
      <c r="A272" s="8" t="s">
        <v>2660</v>
      </c>
      <c r="B272" s="8" t="s">
        <v>2661</v>
      </c>
      <c r="C272" s="8" t="s">
        <v>201</v>
      </c>
      <c r="D272" s="8" t="s">
        <v>2648</v>
      </c>
      <c r="F272" s="48" t="n">
        <f aca="false">(F267/F91)/F99</f>
        <v>0.643304347826087</v>
      </c>
      <c r="G272" s="48" t="n">
        <f aca="false">(G267/G91)/G99</f>
        <v>0.640124838570814</v>
      </c>
      <c r="H272" s="48" t="n">
        <f aca="false">(H267/H91)/H99</f>
        <v>0.633786968881994</v>
      </c>
      <c r="I272" s="48" t="n">
        <f aca="false">(I267/I91)/I99</f>
        <v>0.627511850378212</v>
      </c>
      <c r="J272" s="48" t="n">
        <f aca="false">(J267/J91)/J99</f>
        <v>0.621298861760605</v>
      </c>
      <c r="K272" s="48" t="n">
        <f aca="false">(K267/K91)/K99</f>
        <v>0.615147387881788</v>
      </c>
      <c r="L272" s="48" t="n">
        <f aca="false">(L267/L91)/L99</f>
        <v>0.609056819684938</v>
      </c>
      <c r="M272" s="48" t="n">
        <f aca="false">(M267/M91)/M99</f>
        <v>0.603026554143503</v>
      </c>
      <c r="N272" s="48" t="n">
        <f aca="false">(N267/N91)/N99</f>
        <v>0.597055994201488</v>
      </c>
      <c r="O272" s="48" t="n">
        <f aca="false">(O267/O91)/O99</f>
        <v>0.591144548714345</v>
      </c>
    </row>
    <row r="273" customFormat="false" ht="15" hidden="false" customHeight="false" outlineLevel="0" collapsed="false">
      <c r="A273" s="8" t="s">
        <v>2662</v>
      </c>
      <c r="B273" s="8" t="s">
        <v>2663</v>
      </c>
      <c r="C273" s="8" t="s">
        <v>201</v>
      </c>
      <c r="D273" s="8" t="s">
        <v>2648</v>
      </c>
      <c r="F273" s="48" t="n">
        <f aca="false">1-F272</f>
        <v>0.356695652173913</v>
      </c>
      <c r="G273" s="48" t="n">
        <f aca="false">1-G272</f>
        <v>0.359875161429186</v>
      </c>
      <c r="H273" s="48" t="n">
        <f aca="false">1-H272</f>
        <v>0.366213031118006</v>
      </c>
      <c r="I273" s="48" t="n">
        <f aca="false">1-I272</f>
        <v>0.372488149621788</v>
      </c>
      <c r="J273" s="48" t="n">
        <f aca="false">1-J272</f>
        <v>0.378701138239395</v>
      </c>
      <c r="K273" s="48" t="n">
        <f aca="false">1-K272</f>
        <v>0.384852612118212</v>
      </c>
      <c r="L273" s="48" t="n">
        <f aca="false">1-L272</f>
        <v>0.390943180315062</v>
      </c>
      <c r="M273" s="48" t="n">
        <f aca="false">1-M272</f>
        <v>0.396973445856497</v>
      </c>
      <c r="N273" s="48" t="n">
        <f aca="false">1-N272</f>
        <v>0.402944005798512</v>
      </c>
      <c r="O273" s="48" t="n">
        <f aca="false">1-O272</f>
        <v>0.408855451285655</v>
      </c>
    </row>
    <row r="274" customFormat="false" ht="15" hidden="false" customHeight="false" outlineLevel="0" collapsed="false">
      <c r="A274" s="8" t="s">
        <v>2664</v>
      </c>
      <c r="B274" s="5" t="s">
        <v>2665</v>
      </c>
      <c r="C274" s="8" t="s">
        <v>255</v>
      </c>
      <c r="D274" s="8" t="s">
        <v>2666</v>
      </c>
      <c r="E274" s="93"/>
      <c r="F274" s="65" t="n">
        <f aca="false">F266+F267-(F164+F165+F166+F170)</f>
        <v>-25830</v>
      </c>
      <c r="G274" s="65" t="n">
        <f aca="false">G266+G267-(G164+G165+G166+G170)</f>
        <v>-32776</v>
      </c>
      <c r="H274" s="65" t="n">
        <f aca="false">H266+H267-(H164+H165+H166+H170)</f>
        <v>-39720</v>
      </c>
      <c r="I274" s="65" t="n">
        <f aca="false">I266+I267-(I164+I165+I166+I170)</f>
        <v>-44715</v>
      </c>
      <c r="J274" s="65" t="n">
        <f aca="false">J266+J267-(J164+J165+J166+J170)</f>
        <v>-44714</v>
      </c>
      <c r="K274" s="65" t="n">
        <f aca="false">K266+K267-(K164+K165+K166+K170)</f>
        <v>-44715</v>
      </c>
      <c r="L274" s="65" t="n">
        <f aca="false">L266+L267-(L164+L165+L166+L170)</f>
        <v>-44714</v>
      </c>
      <c r="M274" s="65" t="n">
        <f aca="false">M266+M267-(M164+M165+M166+M170)</f>
        <v>-44715</v>
      </c>
      <c r="N274" s="65" t="n">
        <f aca="false">N266+N267-(N164+N165+N166+N170)</f>
        <v>-44714</v>
      </c>
      <c r="O274" s="65" t="n">
        <f aca="false">O266+O267-(O164+O165+O166+O170)</f>
        <v>-44715</v>
      </c>
      <c r="P274" s="93"/>
      <c r="Q274" s="92" t="s">
        <v>2667</v>
      </c>
    </row>
    <row r="275" customFormat="false" ht="15" hidden="false" customHeight="false" outlineLevel="0" collapsed="false">
      <c r="A275" s="8" t="s">
        <v>2668</v>
      </c>
      <c r="B275" s="8" t="s">
        <v>2669</v>
      </c>
      <c r="C275" s="8" t="s">
        <v>2670</v>
      </c>
      <c r="D275" s="8" t="s">
        <v>2648</v>
      </c>
      <c r="F275" s="53" t="n">
        <f aca="false">(F266/F88-$E$39*(1+$E$41)^(1-1)-$E$42-$E$46)/$E$48</f>
        <v>0.145</v>
      </c>
      <c r="G275" s="53" t="n">
        <f aca="false">(G266/G88-$E$39*(1+$E$41)^(2-1)-$E$42-$E$46)/$E$48</f>
        <v>0.144999782135076</v>
      </c>
      <c r="H275" s="53" t="n">
        <f aca="false">(H266/H88-$E$39*(1+$E$41)^(3-1)-$E$42-$E$46)/$E$48</f>
        <v>0.144999720406681</v>
      </c>
      <c r="I275" s="53" t="n">
        <f aca="false">(I266/I88-$E$39*(1+$E$41)^(4-1)-$E$42-$E$46)/$E$48</f>
        <v>0.144999710348584</v>
      </c>
      <c r="J275" s="53" t="n">
        <f aca="false">(J266/J88-$E$39*(1+$E$41)^(5-1)-$E$42-$E$46)/$E$48</f>
        <v>0.144999891081077</v>
      </c>
      <c r="K275" s="53" t="n">
        <f aca="false">(K266/K88-$E$39*(1+$E$41)^(6-1)-$E$42-$E$46)/$E$48</f>
        <v>0.144999815295342</v>
      </c>
      <c r="L275" s="53" t="n">
        <f aca="false">(L266/L88-$E$39*(1+$E$41)^(7-1)-$E$42-$E$46)/$E$48</f>
        <v>0.144999860133636</v>
      </c>
      <c r="M275" s="53" t="n">
        <f aca="false">(M266/M88-$E$39*(1+$E$41)^(8-1)-$E$42-$E$46)/$E$48</f>
        <v>0.14499977470136</v>
      </c>
      <c r="N275" s="53" t="n">
        <f aca="false">(N266/N88-$E$39*(1+$E$41)^(9-1)-$E$42-$E$46)/$E$48</f>
        <v>0.14499992495382</v>
      </c>
      <c r="O275" s="53" t="n">
        <f aca="false">(O266/O88-$E$39*(1+$E$41)^(10-1)-$E$42-$E$46)/$E$48</f>
        <v>0.144999737461995</v>
      </c>
    </row>
    <row r="276" customFormat="false" ht="15" hidden="false" customHeight="false" outlineLevel="0" collapsed="false">
      <c r="A276" s="8" t="s">
        <v>2671</v>
      </c>
      <c r="B276" s="8" t="s">
        <v>2672</v>
      </c>
      <c r="C276" s="8" t="s">
        <v>255</v>
      </c>
      <c r="D276" s="8" t="s">
        <v>2648</v>
      </c>
      <c r="F276" s="82" t="n">
        <v>1629801</v>
      </c>
      <c r="G276" s="82" t="n">
        <v>1988039</v>
      </c>
      <c r="H276" s="82" t="n">
        <v>2316996</v>
      </c>
      <c r="I276" s="82" t="n">
        <v>2449915</v>
      </c>
      <c r="J276" s="82" t="n">
        <v>2437945</v>
      </c>
      <c r="K276" s="82" t="n">
        <v>2425620</v>
      </c>
      <c r="L276" s="82" t="n">
        <v>2422830</v>
      </c>
      <c r="M276" s="82" t="n">
        <v>2424339</v>
      </c>
      <c r="N276" s="82" t="n">
        <v>2425902</v>
      </c>
      <c r="O276" s="82" t="n">
        <v>2427522</v>
      </c>
    </row>
    <row r="277" customFormat="false" ht="15" hidden="false" customHeight="false" outlineLevel="0" collapsed="false">
      <c r="A277" s="8" t="s">
        <v>2673</v>
      </c>
      <c r="B277" s="8" t="s">
        <v>2674</v>
      </c>
      <c r="C277" s="8" t="s">
        <v>255</v>
      </c>
      <c r="D277" s="8" t="s">
        <v>2648</v>
      </c>
      <c r="F277" s="82" t="n">
        <v>2918277</v>
      </c>
      <c r="G277" s="82" t="n">
        <v>3462017</v>
      </c>
      <c r="H277" s="82" t="n">
        <v>3982792</v>
      </c>
      <c r="I277" s="82" t="n">
        <v>4528033</v>
      </c>
      <c r="J277" s="82" t="n">
        <v>4530340</v>
      </c>
      <c r="K277" s="82" t="n">
        <v>4531988</v>
      </c>
      <c r="L277" s="82" t="n">
        <v>4551544</v>
      </c>
      <c r="M277" s="82" t="n">
        <v>4579410</v>
      </c>
      <c r="N277" s="82" t="n">
        <v>4607662</v>
      </c>
      <c r="O277" s="82" t="n">
        <v>4636306</v>
      </c>
    </row>
    <row r="278" customFormat="false" ht="15" hidden="false" customHeight="false" outlineLevel="0" collapsed="false">
      <c r="A278" s="8" t="s">
        <v>2675</v>
      </c>
      <c r="B278" s="8" t="s">
        <v>2676</v>
      </c>
      <c r="C278" s="8" t="s">
        <v>255</v>
      </c>
      <c r="D278" s="8" t="s">
        <v>2648</v>
      </c>
      <c r="F278" s="13" t="n">
        <f aca="false">F101-F276</f>
        <v>-19801</v>
      </c>
      <c r="G278" s="13" t="n">
        <f aca="false">G101-G276</f>
        <v>102661</v>
      </c>
      <c r="H278" s="13" t="n">
        <f aca="false">H101-H276</f>
        <v>263857</v>
      </c>
      <c r="I278" s="13" t="n">
        <f aca="false">I101-I276</f>
        <v>393716</v>
      </c>
      <c r="J278" s="13" t="n">
        <f aca="false">J101-J276</f>
        <v>434122</v>
      </c>
      <c r="K278" s="13" t="n">
        <f aca="false">K101-K276</f>
        <v>475168</v>
      </c>
      <c r="L278" s="13" t="n">
        <f aca="false">L101-L276</f>
        <v>506966</v>
      </c>
      <c r="M278" s="13" t="n">
        <f aca="false">M101-M276</f>
        <v>534755</v>
      </c>
      <c r="N278" s="13" t="n">
        <f aca="false">N101-N276</f>
        <v>562783</v>
      </c>
      <c r="O278" s="13" t="n">
        <f aca="false">O101-O276</f>
        <v>591049</v>
      </c>
      <c r="Q278" s="92" t="s">
        <v>2677</v>
      </c>
    </row>
    <row r="279" customFormat="false" ht="15" hidden="false" customHeight="false" outlineLevel="0" collapsed="false">
      <c r="A279" s="8" t="s">
        <v>2678</v>
      </c>
      <c r="B279" s="8" t="s">
        <v>2679</v>
      </c>
      <c r="C279" s="8" t="s">
        <v>255</v>
      </c>
      <c r="D279" s="8" t="s">
        <v>2648</v>
      </c>
      <c r="F279" s="13" t="n">
        <f aca="false">F101-F267</f>
        <v>574280</v>
      </c>
      <c r="G279" s="13" t="n">
        <f aca="false">G101-G267</f>
        <v>752391</v>
      </c>
      <c r="H279" s="13" t="n">
        <f aca="false">H101-H267</f>
        <v>945142</v>
      </c>
      <c r="I279" s="13" t="n">
        <f aca="false">I101-I267</f>
        <v>1059219</v>
      </c>
      <c r="J279" s="13" t="n">
        <f aca="false">J101-J267</f>
        <v>1087655</v>
      </c>
      <c r="K279" s="13" t="n">
        <f aca="false">K101-K267</f>
        <v>1116376</v>
      </c>
      <c r="L279" s="13" t="n">
        <f aca="false">L101-L267</f>
        <v>1145384</v>
      </c>
      <c r="M279" s="13" t="n">
        <f aca="false">M101-M267</f>
        <v>1174682</v>
      </c>
      <c r="N279" s="13" t="n">
        <f aca="false">N101-N267</f>
        <v>1204273</v>
      </c>
      <c r="O279" s="13" t="n">
        <f aca="false">O101-O267</f>
        <v>1234159</v>
      </c>
    </row>
    <row r="280" customFormat="false" ht="15" hidden="false" customHeight="false" outlineLevel="0" collapsed="false">
      <c r="A280" s="8" t="s">
        <v>2680</v>
      </c>
      <c r="B280" s="8" t="s">
        <v>2681</v>
      </c>
      <c r="C280" s="8" t="s">
        <v>201</v>
      </c>
      <c r="D280" s="8" t="s">
        <v>2648</v>
      </c>
      <c r="F280" s="16" t="n">
        <f aca="false">F266/(F266+F267)</f>
        <v>0.641650624236226</v>
      </c>
      <c r="G280" s="16" t="n">
        <f aca="false">G266/(G266+G267)</f>
        <v>0.635225931901122</v>
      </c>
      <c r="H280" s="16" t="n">
        <f aca="false">H266/(H266+H267)</f>
        <v>0.632210515286309</v>
      </c>
      <c r="I280" s="16" t="n">
        <f aca="false">I266/(I266+I267)</f>
        <v>0.64890601629062</v>
      </c>
      <c r="J280" s="16" t="n">
        <f aca="false">J266/(J266+J267)</f>
        <v>0.6501370405016</v>
      </c>
      <c r="K280" s="16" t="n">
        <f aca="false">K266/(K266+K267)</f>
        <v>0.65137158685818</v>
      </c>
      <c r="L280" s="16" t="n">
        <f aca="false">L266/(L266+L267)</f>
        <v>0.652609692755158</v>
      </c>
      <c r="M280" s="16" t="n">
        <f aca="false">M266/(M266+M267)</f>
        <v>0.65385125713767</v>
      </c>
      <c r="N280" s="16" t="n">
        <f aca="false">N266/(N266+N267)</f>
        <v>0.655096312025565</v>
      </c>
      <c r="O280" s="16" t="n">
        <f aca="false">O266/(O266+O267)</f>
        <v>0.65634468681144</v>
      </c>
      <c r="Q280" s="92" t="s">
        <v>2682</v>
      </c>
    </row>
    <row r="282" customFormat="false" ht="15" hidden="false" customHeight="false" outlineLevel="0" collapsed="false">
      <c r="A282" s="3" t="s">
        <v>2683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customFormat="false" ht="15" hidden="false" customHeight="false" outlineLevel="0" collapsed="false">
      <c r="A283" s="8" t="s">
        <v>917</v>
      </c>
      <c r="B283" s="8" t="s">
        <v>2684</v>
      </c>
      <c r="C283" s="8" t="s">
        <v>255</v>
      </c>
      <c r="D283" s="8" t="s">
        <v>2685</v>
      </c>
      <c r="F283" s="82" t="n">
        <v>257526</v>
      </c>
      <c r="G283" s="82" t="n">
        <v>551019</v>
      </c>
      <c r="H283" s="82" t="n">
        <v>602708</v>
      </c>
      <c r="I283" s="82" t="n">
        <v>659246</v>
      </c>
      <c r="J283" s="82" t="n">
        <v>721088</v>
      </c>
      <c r="K283" s="82" t="n">
        <v>0</v>
      </c>
      <c r="L283" s="82" t="n">
        <v>0</v>
      </c>
      <c r="M283" s="82" t="n">
        <v>0</v>
      </c>
      <c r="N283" s="82" t="n">
        <v>0</v>
      </c>
      <c r="O283" s="82" t="n">
        <v>0</v>
      </c>
      <c r="P283" s="13" t="n">
        <f aca="false">SUM(F283:O283)</f>
        <v>2791587</v>
      </c>
    </row>
    <row r="284" customFormat="false" ht="15" hidden="false" customHeight="false" outlineLevel="0" collapsed="false">
      <c r="A284" s="8" t="s">
        <v>920</v>
      </c>
      <c r="B284" s="8" t="s">
        <v>2686</v>
      </c>
      <c r="C284" s="8" t="s">
        <v>255</v>
      </c>
      <c r="D284" s="8" t="s">
        <v>2685</v>
      </c>
      <c r="F284" s="82" t="n">
        <v>246456</v>
      </c>
      <c r="G284" s="82" t="n">
        <v>205704</v>
      </c>
      <c r="H284" s="82" t="n">
        <v>154015</v>
      </c>
      <c r="I284" s="82" t="n">
        <v>97476</v>
      </c>
      <c r="J284" s="82" t="n">
        <v>35635</v>
      </c>
      <c r="K284" s="82" t="n">
        <v>0</v>
      </c>
      <c r="L284" s="82" t="n">
        <v>0</v>
      </c>
      <c r="M284" s="82" t="n">
        <v>0</v>
      </c>
      <c r="N284" s="82" t="n">
        <v>0</v>
      </c>
      <c r="O284" s="82" t="n">
        <v>0</v>
      </c>
      <c r="P284" s="13" t="n">
        <f aca="false">SUM(F284:O284)</f>
        <v>739286</v>
      </c>
    </row>
    <row r="285" customFormat="false" ht="15" hidden="false" customHeight="false" outlineLevel="0" collapsed="false">
      <c r="A285" s="8" t="s">
        <v>921</v>
      </c>
      <c r="B285" s="8" t="s">
        <v>2687</v>
      </c>
      <c r="C285" s="8" t="s">
        <v>255</v>
      </c>
      <c r="D285" s="8" t="s">
        <v>2685</v>
      </c>
      <c r="F285" s="82" t="n">
        <v>24646</v>
      </c>
      <c r="G285" s="82" t="n">
        <v>20570</v>
      </c>
      <c r="H285" s="82" t="n">
        <v>15401</v>
      </c>
      <c r="I285" s="82" t="n">
        <v>9748</v>
      </c>
      <c r="J285" s="82" t="n">
        <v>3563</v>
      </c>
      <c r="K285" s="82" t="n">
        <v>0</v>
      </c>
      <c r="L285" s="82" t="n">
        <v>0</v>
      </c>
      <c r="M285" s="82" t="n">
        <v>0</v>
      </c>
      <c r="N285" s="82" t="n">
        <v>0</v>
      </c>
      <c r="O285" s="82" t="n">
        <v>0</v>
      </c>
      <c r="P285" s="13" t="n">
        <f aca="false">SUM(F285:O285)</f>
        <v>73928</v>
      </c>
    </row>
    <row r="286" customFormat="false" ht="15" hidden="false" customHeight="false" outlineLevel="0" collapsed="false">
      <c r="A286" s="8" t="s">
        <v>922</v>
      </c>
      <c r="B286" s="8" t="s">
        <v>2688</v>
      </c>
      <c r="C286" s="8" t="s">
        <v>201</v>
      </c>
      <c r="D286" s="8" t="s">
        <v>2685</v>
      </c>
      <c r="F286" s="90" t="n">
        <v>0</v>
      </c>
      <c r="G286" s="90" t="n">
        <v>0</v>
      </c>
      <c r="H286" s="90" t="n">
        <v>0.1</v>
      </c>
      <c r="I286" s="90" t="n">
        <v>0.1</v>
      </c>
      <c r="J286" s="90" t="n">
        <v>0.1</v>
      </c>
      <c r="K286" s="90" t="n">
        <v>0.1</v>
      </c>
      <c r="L286" s="90" t="n">
        <v>0.1</v>
      </c>
      <c r="M286" s="90" t="n">
        <v>0.15</v>
      </c>
      <c r="N286" s="90" t="n">
        <v>0.15</v>
      </c>
      <c r="O286" s="90" t="n">
        <v>0.2</v>
      </c>
      <c r="Q286" s="92" t="s">
        <v>2689</v>
      </c>
    </row>
    <row r="287" customFormat="false" ht="15" hidden="false" customHeight="false" outlineLevel="0" collapsed="false">
      <c r="A287" s="8" t="s">
        <v>923</v>
      </c>
      <c r="B287" s="8" t="s">
        <v>2690</v>
      </c>
      <c r="C287" s="8" t="s">
        <v>255</v>
      </c>
      <c r="D287" s="8" t="s">
        <v>2685</v>
      </c>
      <c r="F287" s="19" t="n">
        <f aca="false">SUMIF($F$293:$F$352,1,$I$293:$I$352)</f>
        <v>257526.352358103</v>
      </c>
      <c r="G287" s="19" t="n">
        <f aca="false">SUMIF($F$293:$F$352,2,$I$293:$I$352)</f>
        <v>551018.611753115</v>
      </c>
      <c r="H287" s="19" t="n">
        <f aca="false">SUMIF($F$293:$F$352,3,$I$293:$I$352)</f>
        <v>602707.958280647</v>
      </c>
      <c r="I287" s="19" t="n">
        <f aca="false">SUMIF($F$293:$F$352,4,$I$293:$I$352)</f>
        <v>659246.122048566</v>
      </c>
      <c r="J287" s="19" t="n">
        <f aca="false">SUMIF($F$293:$F$352,5,$I$293:$I$352)</f>
        <v>721087.955559569</v>
      </c>
      <c r="K287" s="19" t="n">
        <f aca="false">SUMIF($F$293:$F$352,6,$I$293:$I$352)</f>
        <v>0</v>
      </c>
      <c r="L287" s="19" t="n">
        <f aca="false">SUMIF($F$293:$F$352,7,$I$293:$I$352)</f>
        <v>0</v>
      </c>
      <c r="M287" s="19" t="n">
        <f aca="false">SUMIF($F$293:$F$352,8,$I$293:$I$352)</f>
        <v>0</v>
      </c>
      <c r="N287" s="19" t="n">
        <f aca="false">SUMIF($F$293:$F$352,9,$I$293:$I$352)</f>
        <v>0</v>
      </c>
      <c r="O287" s="19" t="n">
        <f aca="false">SUMIF($F$293:$F$352,10,$I$293:$I$352)</f>
        <v>0</v>
      </c>
      <c r="P287" s="19" t="n">
        <f aca="false">SUM(F287:O287)</f>
        <v>2791587</v>
      </c>
    </row>
    <row r="288" customFormat="false" ht="15" hidden="false" customHeight="false" outlineLevel="0" collapsed="false">
      <c r="A288" s="8" t="s">
        <v>924</v>
      </c>
      <c r="B288" s="8" t="s">
        <v>2691</v>
      </c>
      <c r="C288" s="8" t="s">
        <v>255</v>
      </c>
      <c r="D288" s="8" t="s">
        <v>2685</v>
      </c>
      <c r="F288" s="19" t="n">
        <f aca="false">SUMIF($F$293:$F$352,1,$H$293:$H$352)</f>
        <v>246456.302210023</v>
      </c>
      <c r="G288" s="19" t="n">
        <f aca="false">SUMIF($F$293:$F$352,2,$H$293:$H$352)</f>
        <v>205703.867383138</v>
      </c>
      <c r="H288" s="19" t="n">
        <f aca="false">SUMIF($F$293:$F$352,3,$H$293:$H$352)</f>
        <v>154014.520855607</v>
      </c>
      <c r="I288" s="19" t="n">
        <f aca="false">SUMIF($F$293:$F$352,4,$H$293:$H$352)</f>
        <v>97476.3570876869</v>
      </c>
      <c r="J288" s="19" t="n">
        <f aca="false">SUMIF($F$293:$F$352,5,$H$293:$H$352)</f>
        <v>35634.5235766846</v>
      </c>
      <c r="K288" s="19" t="n">
        <f aca="false">SUMIF($F$293:$F$352,6,$H$293:$H$352)</f>
        <v>0</v>
      </c>
      <c r="L288" s="19" t="n">
        <f aca="false">SUMIF($F$293:$F$352,7,$H$293:$H$352)</f>
        <v>0</v>
      </c>
      <c r="M288" s="19" t="n">
        <f aca="false">SUMIF($F$293:$F$352,8,$H$293:$H$352)</f>
        <v>0</v>
      </c>
      <c r="N288" s="19" t="n">
        <f aca="false">SUMIF($F$293:$F$352,9,$H$293:$H$352)</f>
        <v>0</v>
      </c>
      <c r="O288" s="19" t="n">
        <f aca="false">SUMIF($F$293:$F$352,10,$H$293:$H$352)</f>
        <v>0</v>
      </c>
      <c r="P288" s="19" t="n">
        <f aca="false">SUM(F288:O288)</f>
        <v>739285.57111314</v>
      </c>
    </row>
    <row r="289" customFormat="false" ht="15" hidden="false" customHeight="false" outlineLevel="0" collapsed="false">
      <c r="A289" s="8" t="s">
        <v>925</v>
      </c>
      <c r="B289" s="8" t="s">
        <v>2692</v>
      </c>
      <c r="C289" s="8" t="s">
        <v>255</v>
      </c>
      <c r="D289" s="8" t="s">
        <v>2685</v>
      </c>
      <c r="F289" s="19" t="n">
        <f aca="false">SUMIF($F$293:$F$352,1,$K$293:$K$352)</f>
        <v>24645.6302210023</v>
      </c>
      <c r="G289" s="19" t="n">
        <f aca="false">SUMIF($F$293:$F$352,2,$K$293:$K$352)</f>
        <v>20570.3867383138</v>
      </c>
      <c r="H289" s="19" t="n">
        <f aca="false">SUMIF($F$293:$F$352,3,$K$293:$K$352)</f>
        <v>15401.4520855607</v>
      </c>
      <c r="I289" s="19" t="n">
        <f aca="false">SUMIF($F$293:$F$352,4,$K$293:$K$352)</f>
        <v>9747.63570876869</v>
      </c>
      <c r="J289" s="19" t="n">
        <f aca="false">SUMIF($F$293:$F$352,5,$K$293:$K$352)</f>
        <v>3563.45235766846</v>
      </c>
      <c r="K289" s="19" t="n">
        <f aca="false">SUMIF($F$293:$F$352,6,$K$293:$K$352)</f>
        <v>0</v>
      </c>
      <c r="L289" s="19" t="n">
        <f aca="false">SUMIF($F$293:$F$352,7,$K$293:$K$352)</f>
        <v>0</v>
      </c>
      <c r="M289" s="19" t="n">
        <f aca="false">SUMIF($F$293:$F$352,8,$K$293:$K$352)</f>
        <v>0</v>
      </c>
      <c r="N289" s="19" t="n">
        <f aca="false">SUMIF($F$293:$F$352,9,$K$293:$K$352)</f>
        <v>0</v>
      </c>
      <c r="O289" s="19" t="n">
        <f aca="false">SUMIF($F$293:$F$352,10,$K$293:$K$352)</f>
        <v>0</v>
      </c>
      <c r="P289" s="19" t="n">
        <f aca="false">SUM(F289:O289)</f>
        <v>73928.5571113139</v>
      </c>
    </row>
    <row r="290" customFormat="false" ht="15" hidden="false" customHeight="false" outlineLevel="0" collapsed="false">
      <c r="A290" s="8" t="s">
        <v>2693</v>
      </c>
      <c r="B290" s="8" t="s">
        <v>2694</v>
      </c>
      <c r="C290" s="8" t="s">
        <v>201</v>
      </c>
      <c r="D290" s="8" t="s">
        <v>2685</v>
      </c>
      <c r="F290" s="48" t="n">
        <f aca="false">F287/$E$15</f>
        <v>0.0922508782130392</v>
      </c>
      <c r="G290" s="48" t="n">
        <f aca="false">G287/$E$15</f>
        <v>0.197385434074996</v>
      </c>
      <c r="H290" s="48" t="n">
        <f aca="false">H287/$E$15</f>
        <v>0.215901549291011</v>
      </c>
      <c r="I290" s="48" t="n">
        <f aca="false">I287/$E$15</f>
        <v>0.23615460383236</v>
      </c>
      <c r="J290" s="48" t="n">
        <f aca="false">J287/$E$15</f>
        <v>0.258307534588594</v>
      </c>
      <c r="K290" s="48" t="n">
        <f aca="false">K287/$E$15</f>
        <v>0</v>
      </c>
      <c r="L290" s="48" t="n">
        <f aca="false">L287/$E$15</f>
        <v>0</v>
      </c>
      <c r="M290" s="48" t="n">
        <f aca="false">M287/$E$15</f>
        <v>0</v>
      </c>
      <c r="N290" s="48" t="n">
        <f aca="false">N287/$E$15</f>
        <v>0</v>
      </c>
      <c r="O290" s="48" t="n">
        <f aca="false">O287/$E$15</f>
        <v>0</v>
      </c>
    </row>
    <row r="291" customFormat="false" ht="15" hidden="false" customHeight="false" outlineLevel="0" collapsed="false">
      <c r="A291" s="8" t="s">
        <v>2695</v>
      </c>
      <c r="B291" s="5" t="s">
        <v>2696</v>
      </c>
      <c r="C291" s="8" t="s">
        <v>255</v>
      </c>
      <c r="D291" s="8"/>
      <c r="E291" s="93"/>
      <c r="F291" s="70" t="n">
        <f aca="false">F287+F288-F283-F284</f>
        <v>0.65456812659977</v>
      </c>
      <c r="G291" s="70" t="n">
        <f aca="false">G287+G288-G283-G284</f>
        <v>-0.520863746874966</v>
      </c>
      <c r="H291" s="70" t="n">
        <f aca="false">H287+H288-H283-H284</f>
        <v>-0.52086374675855</v>
      </c>
      <c r="I291" s="70" t="n">
        <f aca="false">I287+I288-I283-I284</f>
        <v>0.479136253125034</v>
      </c>
      <c r="J291" s="70" t="n">
        <f aca="false">J287+J288-J283-J284</f>
        <v>-0.520863746874966</v>
      </c>
      <c r="K291" s="70" t="n">
        <f aca="false">K287+K288-K283-K284</f>
        <v>0</v>
      </c>
      <c r="L291" s="70" t="n">
        <f aca="false">L287+L288-L283-L284</f>
        <v>0</v>
      </c>
      <c r="M291" s="70" t="n">
        <f aca="false">M287+M288-M283-M284</f>
        <v>0</v>
      </c>
      <c r="N291" s="70" t="n">
        <f aca="false">N287+N288-N283-N284</f>
        <v>0</v>
      </c>
      <c r="O291" s="70" t="n">
        <f aca="false">O287+O288-O283-O284</f>
        <v>0</v>
      </c>
      <c r="P291" s="93"/>
    </row>
    <row r="292" customFormat="false" ht="15" hidden="false" customHeight="false" outlineLevel="0" collapsed="false">
      <c r="A292" s="10"/>
      <c r="B292" s="10" t="s">
        <v>2697</v>
      </c>
      <c r="C292" s="10"/>
      <c r="D292" s="10"/>
      <c r="E292" s="10" t="s">
        <v>2698</v>
      </c>
      <c r="F292" s="10" t="s">
        <v>720</v>
      </c>
      <c r="G292" s="10" t="s">
        <v>1407</v>
      </c>
      <c r="H292" s="10" t="s">
        <v>2699</v>
      </c>
      <c r="I292" s="10" t="s">
        <v>2700</v>
      </c>
      <c r="J292" s="10" t="s">
        <v>2701</v>
      </c>
      <c r="K292" s="10" t="s">
        <v>2702</v>
      </c>
      <c r="L292" s="10" t="s">
        <v>2703</v>
      </c>
    </row>
    <row r="293" customFormat="false" ht="15" hidden="false" customHeight="false" outlineLevel="0" collapsed="false">
      <c r="E293" s="31" t="n">
        <v>1</v>
      </c>
      <c r="F293" s="31" t="n">
        <f aca="false">ROUNDUP(E293/12,0)</f>
        <v>1</v>
      </c>
      <c r="G293" s="19" t="n">
        <f aca="false">$E$15</f>
        <v>2791587</v>
      </c>
      <c r="H293" s="19" t="n">
        <f aca="false">G293*$E$12/12</f>
        <v>20936.9025</v>
      </c>
      <c r="I293" s="19" t="n">
        <f aca="false">J293-H293</f>
        <v>0</v>
      </c>
      <c r="J293" s="53" t="n">
        <f aca="false">IF(E293&lt;=$E$17,H293,PMT($E$12/12,$E$18,-$E$15))</f>
        <v>20936.9025</v>
      </c>
      <c r="K293" s="19" t="n">
        <f aca="false">H293*$E$19</f>
        <v>2093.69025</v>
      </c>
      <c r="L293" s="19" t="n">
        <f aca="false">G293-I293</f>
        <v>2791587</v>
      </c>
    </row>
    <row r="294" customFormat="false" ht="15" hidden="false" customHeight="false" outlineLevel="0" collapsed="false">
      <c r="E294" s="31" t="n">
        <v>2</v>
      </c>
      <c r="F294" s="31" t="n">
        <f aca="false">ROUNDUP(E294/12,0)</f>
        <v>1</v>
      </c>
      <c r="G294" s="19" t="n">
        <f aca="false">L293</f>
        <v>2791587</v>
      </c>
      <c r="H294" s="19" t="n">
        <f aca="false">G294*$E$12/12</f>
        <v>20936.9025</v>
      </c>
      <c r="I294" s="19" t="n">
        <f aca="false">J294-H294</f>
        <v>0</v>
      </c>
      <c r="J294" s="53" t="n">
        <f aca="false">IF(E294&lt;=$E$17,H294,PMT($E$12/12,$E$18,-$E$15))</f>
        <v>20936.9025</v>
      </c>
      <c r="K294" s="19" t="n">
        <f aca="false">H294*$E$19</f>
        <v>2093.69025</v>
      </c>
      <c r="L294" s="19" t="n">
        <f aca="false">G294-I294</f>
        <v>2791587</v>
      </c>
    </row>
    <row r="295" customFormat="false" ht="15" hidden="false" customHeight="false" outlineLevel="0" collapsed="false">
      <c r="E295" s="31" t="n">
        <v>3</v>
      </c>
      <c r="F295" s="31" t="n">
        <f aca="false">ROUNDUP(E295/12,0)</f>
        <v>1</v>
      </c>
      <c r="G295" s="19" t="n">
        <f aca="false">L294</f>
        <v>2791587</v>
      </c>
      <c r="H295" s="19" t="n">
        <f aca="false">G295*$E$12/12</f>
        <v>20936.9025</v>
      </c>
      <c r="I295" s="19" t="n">
        <f aca="false">J295-H295</f>
        <v>0</v>
      </c>
      <c r="J295" s="53" t="n">
        <f aca="false">IF(E295&lt;=$E$17,H295,PMT($E$12/12,$E$18,-$E$15))</f>
        <v>20936.9025</v>
      </c>
      <c r="K295" s="19" t="n">
        <f aca="false">H295*$E$19</f>
        <v>2093.69025</v>
      </c>
      <c r="L295" s="19" t="n">
        <f aca="false">G295-I295</f>
        <v>2791587</v>
      </c>
    </row>
    <row r="296" customFormat="false" ht="15" hidden="false" customHeight="false" outlineLevel="0" collapsed="false">
      <c r="E296" s="31" t="n">
        <v>4</v>
      </c>
      <c r="F296" s="31" t="n">
        <f aca="false">ROUNDUP(E296/12,0)</f>
        <v>1</v>
      </c>
      <c r="G296" s="19" t="n">
        <f aca="false">L295</f>
        <v>2791587</v>
      </c>
      <c r="H296" s="19" t="n">
        <f aca="false">G296*$E$12/12</f>
        <v>20936.9025</v>
      </c>
      <c r="I296" s="19" t="n">
        <f aca="false">J296-H296</f>
        <v>0</v>
      </c>
      <c r="J296" s="53" t="n">
        <f aca="false">IF(E296&lt;=$E$17,H296,PMT($E$12/12,$E$18,-$E$15))</f>
        <v>20936.9025</v>
      </c>
      <c r="K296" s="19" t="n">
        <f aca="false">H296*$E$19</f>
        <v>2093.69025</v>
      </c>
      <c r="L296" s="19" t="n">
        <f aca="false">G296-I296</f>
        <v>2791587</v>
      </c>
    </row>
    <row r="297" customFormat="false" ht="15" hidden="false" customHeight="false" outlineLevel="0" collapsed="false">
      <c r="E297" s="31" t="n">
        <v>5</v>
      </c>
      <c r="F297" s="31" t="n">
        <f aca="false">ROUNDUP(E297/12,0)</f>
        <v>1</v>
      </c>
      <c r="G297" s="19" t="n">
        <f aca="false">L296</f>
        <v>2791587</v>
      </c>
      <c r="H297" s="19" t="n">
        <f aca="false">G297*$E$12/12</f>
        <v>20936.9025</v>
      </c>
      <c r="I297" s="19" t="n">
        <f aca="false">J297-H297</f>
        <v>0</v>
      </c>
      <c r="J297" s="53" t="n">
        <f aca="false">IF(E297&lt;=$E$17,H297,PMT($E$12/12,$E$18,-$E$15))</f>
        <v>20936.9025</v>
      </c>
      <c r="K297" s="19" t="n">
        <f aca="false">H297*$E$19</f>
        <v>2093.69025</v>
      </c>
      <c r="L297" s="19" t="n">
        <f aca="false">G297-I297</f>
        <v>2791587</v>
      </c>
    </row>
    <row r="298" customFormat="false" ht="15" hidden="false" customHeight="false" outlineLevel="0" collapsed="false">
      <c r="E298" s="31" t="n">
        <v>6</v>
      </c>
      <c r="F298" s="31" t="n">
        <f aca="false">ROUNDUP(E298/12,0)</f>
        <v>1</v>
      </c>
      <c r="G298" s="19" t="n">
        <f aca="false">L297</f>
        <v>2791587</v>
      </c>
      <c r="H298" s="19" t="n">
        <f aca="false">G298*$E$12/12</f>
        <v>20936.9025</v>
      </c>
      <c r="I298" s="19" t="n">
        <f aca="false">J298-H298</f>
        <v>0</v>
      </c>
      <c r="J298" s="53" t="n">
        <f aca="false">IF(E298&lt;=$E$17,H298,PMT($E$12/12,$E$18,-$E$15))</f>
        <v>20936.9025</v>
      </c>
      <c r="K298" s="19" t="n">
        <f aca="false">H298*$E$19</f>
        <v>2093.69025</v>
      </c>
      <c r="L298" s="19" t="n">
        <f aca="false">G298-I298</f>
        <v>2791587</v>
      </c>
    </row>
    <row r="299" customFormat="false" ht="15" hidden="false" customHeight="false" outlineLevel="0" collapsed="false">
      <c r="E299" s="31" t="n">
        <v>7</v>
      </c>
      <c r="F299" s="31" t="n">
        <f aca="false">ROUNDUP(E299/12,0)</f>
        <v>1</v>
      </c>
      <c r="G299" s="19" t="n">
        <f aca="false">L298</f>
        <v>2791587</v>
      </c>
      <c r="H299" s="19" t="n">
        <f aca="false">G299*$E$12/12</f>
        <v>20936.9025</v>
      </c>
      <c r="I299" s="19" t="n">
        <f aca="false">J299-H299</f>
        <v>42123.3040946878</v>
      </c>
      <c r="J299" s="53" t="n">
        <f aca="false">IF(E299&lt;=$E$17,H299,PMT($E$12/12,$E$18,-$E$15))</f>
        <v>63060.2065946878</v>
      </c>
      <c r="K299" s="19" t="n">
        <f aca="false">H299*$E$19</f>
        <v>2093.69025</v>
      </c>
      <c r="L299" s="19" t="n">
        <f aca="false">G299-I299</f>
        <v>2749463.69590531</v>
      </c>
    </row>
    <row r="300" customFormat="false" ht="15" hidden="false" customHeight="false" outlineLevel="0" collapsed="false">
      <c r="E300" s="31" t="n">
        <v>8</v>
      </c>
      <c r="F300" s="31" t="n">
        <f aca="false">ROUNDUP(E300/12,0)</f>
        <v>1</v>
      </c>
      <c r="G300" s="19" t="n">
        <f aca="false">L299</f>
        <v>2749463.69590531</v>
      </c>
      <c r="H300" s="19" t="n">
        <f aca="false">G300*$E$12/12</f>
        <v>20620.9777192898</v>
      </c>
      <c r="I300" s="19" t="n">
        <f aca="false">J300-H300</f>
        <v>42439.2288753979</v>
      </c>
      <c r="J300" s="53" t="n">
        <f aca="false">IF(E300&lt;=$E$17,H300,PMT($E$12/12,$E$18,-$E$15))</f>
        <v>63060.2065946878</v>
      </c>
      <c r="K300" s="19" t="n">
        <f aca="false">H300*$E$19</f>
        <v>2062.09777192898</v>
      </c>
      <c r="L300" s="19" t="n">
        <f aca="false">G300-I300</f>
        <v>2707024.46702991</v>
      </c>
    </row>
    <row r="301" customFormat="false" ht="15" hidden="false" customHeight="false" outlineLevel="0" collapsed="false">
      <c r="E301" s="31" t="n">
        <v>9</v>
      </c>
      <c r="F301" s="31" t="n">
        <f aca="false">ROUNDUP(E301/12,0)</f>
        <v>1</v>
      </c>
      <c r="G301" s="19" t="n">
        <f aca="false">L300</f>
        <v>2707024.46702991</v>
      </c>
      <c r="H301" s="19" t="n">
        <f aca="false">G301*$E$12/12</f>
        <v>20302.6835027244</v>
      </c>
      <c r="I301" s="19" t="n">
        <f aca="false">J301-H301</f>
        <v>42757.5230919634</v>
      </c>
      <c r="J301" s="53" t="n">
        <f aca="false">IF(E301&lt;=$E$17,H301,PMT($E$12/12,$E$18,-$E$15))</f>
        <v>63060.2065946878</v>
      </c>
      <c r="K301" s="19" t="n">
        <f aca="false">H301*$E$19</f>
        <v>2030.26835027244</v>
      </c>
      <c r="L301" s="19" t="n">
        <f aca="false">G301-I301</f>
        <v>2664266.94393795</v>
      </c>
    </row>
    <row r="302" customFormat="false" ht="15" hidden="false" customHeight="false" outlineLevel="0" collapsed="false">
      <c r="E302" s="31" t="n">
        <v>10</v>
      </c>
      <c r="F302" s="31" t="n">
        <f aca="false">ROUNDUP(E302/12,0)</f>
        <v>1</v>
      </c>
      <c r="G302" s="19" t="n">
        <f aca="false">L301</f>
        <v>2664266.94393795</v>
      </c>
      <c r="H302" s="19" t="n">
        <f aca="false">G302*$E$12/12</f>
        <v>19982.0020795346</v>
      </c>
      <c r="I302" s="19" t="n">
        <f aca="false">J302-H302</f>
        <v>43078.2045151531</v>
      </c>
      <c r="J302" s="53" t="n">
        <f aca="false">IF(E302&lt;=$E$17,H302,PMT($E$12/12,$E$18,-$E$15))</f>
        <v>63060.2065946878</v>
      </c>
      <c r="K302" s="19" t="n">
        <f aca="false">H302*$E$19</f>
        <v>1998.20020795346</v>
      </c>
      <c r="L302" s="19" t="n">
        <f aca="false">G302-I302</f>
        <v>2621188.7394228</v>
      </c>
    </row>
    <row r="303" customFormat="false" ht="15" hidden="false" customHeight="false" outlineLevel="0" collapsed="false">
      <c r="E303" s="31" t="n">
        <v>11</v>
      </c>
      <c r="F303" s="31" t="n">
        <f aca="false">ROUNDUP(E303/12,0)</f>
        <v>1</v>
      </c>
      <c r="G303" s="19" t="n">
        <f aca="false">L302</f>
        <v>2621188.7394228</v>
      </c>
      <c r="H303" s="19" t="n">
        <f aca="false">G303*$E$12/12</f>
        <v>19658.915545671</v>
      </c>
      <c r="I303" s="19" t="n">
        <f aca="false">J303-H303</f>
        <v>43401.2910490168</v>
      </c>
      <c r="J303" s="53" t="n">
        <f aca="false">IF(E303&lt;=$E$17,H303,PMT($E$12/12,$E$18,-$E$15))</f>
        <v>63060.2065946878</v>
      </c>
      <c r="K303" s="19" t="n">
        <f aca="false">H303*$E$19</f>
        <v>1965.8915545671</v>
      </c>
      <c r="L303" s="19" t="n">
        <f aca="false">G303-I303</f>
        <v>2577787.44837378</v>
      </c>
    </row>
    <row r="304" customFormat="false" ht="15" hidden="false" customHeight="false" outlineLevel="0" collapsed="false">
      <c r="E304" s="31" t="n">
        <v>12</v>
      </c>
      <c r="F304" s="31" t="n">
        <f aca="false">ROUNDUP(E304/12,0)</f>
        <v>1</v>
      </c>
      <c r="G304" s="19" t="n">
        <f aca="false">L303</f>
        <v>2577787.44837378</v>
      </c>
      <c r="H304" s="19" t="n">
        <f aca="false">G304*$E$12/12</f>
        <v>19333.4058628034</v>
      </c>
      <c r="I304" s="19" t="n">
        <f aca="false">J304-H304</f>
        <v>43726.8007318844</v>
      </c>
      <c r="J304" s="53" t="n">
        <f aca="false">IF(E304&lt;=$E$17,H304,PMT($E$12/12,$E$18,-$E$15))</f>
        <v>63060.2065946878</v>
      </c>
      <c r="K304" s="19" t="n">
        <f aca="false">H304*$E$19</f>
        <v>1933.34058628034</v>
      </c>
      <c r="L304" s="19" t="n">
        <f aca="false">G304-I304</f>
        <v>2534060.6476419</v>
      </c>
    </row>
    <row r="305" customFormat="false" ht="15" hidden="false" customHeight="false" outlineLevel="0" collapsed="false">
      <c r="E305" s="31" t="n">
        <v>13</v>
      </c>
      <c r="F305" s="31" t="n">
        <f aca="false">ROUNDUP(E305/12,0)</f>
        <v>2</v>
      </c>
      <c r="G305" s="19" t="n">
        <f aca="false">L304</f>
        <v>2534060.6476419</v>
      </c>
      <c r="H305" s="19" t="n">
        <f aca="false">G305*$E$12/12</f>
        <v>19005.4548573142</v>
      </c>
      <c r="I305" s="19" t="n">
        <f aca="false">J305-H305</f>
        <v>44054.7517373735</v>
      </c>
      <c r="J305" s="53" t="n">
        <f aca="false">IF(E305&lt;=$E$17,H305,PMT($E$12/12,$E$18,-$E$15))</f>
        <v>63060.2065946878</v>
      </c>
      <c r="K305" s="19" t="n">
        <f aca="false">H305*$E$19</f>
        <v>1900.54548573142</v>
      </c>
      <c r="L305" s="19" t="n">
        <f aca="false">G305-I305</f>
        <v>2490005.89590452</v>
      </c>
    </row>
    <row r="306" customFormat="false" ht="15" hidden="false" customHeight="false" outlineLevel="0" collapsed="false">
      <c r="E306" s="31" t="n">
        <v>14</v>
      </c>
      <c r="F306" s="31" t="n">
        <f aca="false">ROUNDUP(E306/12,0)</f>
        <v>2</v>
      </c>
      <c r="G306" s="19" t="n">
        <f aca="false">L305</f>
        <v>2490005.89590452</v>
      </c>
      <c r="H306" s="19" t="n">
        <f aca="false">G306*$E$12/12</f>
        <v>18675.0442192839</v>
      </c>
      <c r="I306" s="19" t="n">
        <f aca="false">J306-H306</f>
        <v>44385.1623754038</v>
      </c>
      <c r="J306" s="53" t="n">
        <f aca="false">IF(E306&lt;=$E$17,H306,PMT($E$12/12,$E$18,-$E$15))</f>
        <v>63060.2065946878</v>
      </c>
      <c r="K306" s="19" t="n">
        <f aca="false">H306*$E$19</f>
        <v>1867.50442192839</v>
      </c>
      <c r="L306" s="19" t="n">
        <f aca="false">G306-I306</f>
        <v>2445620.73352912</v>
      </c>
    </row>
    <row r="307" customFormat="false" ht="15" hidden="false" customHeight="false" outlineLevel="0" collapsed="false">
      <c r="E307" s="31" t="n">
        <v>15</v>
      </c>
      <c r="F307" s="31" t="n">
        <f aca="false">ROUNDUP(E307/12,0)</f>
        <v>2</v>
      </c>
      <c r="G307" s="19" t="n">
        <f aca="false">L306</f>
        <v>2445620.73352912</v>
      </c>
      <c r="H307" s="19" t="n">
        <f aca="false">G307*$E$12/12</f>
        <v>18342.1555014684</v>
      </c>
      <c r="I307" s="19" t="n">
        <f aca="false">J307-H307</f>
        <v>44718.0510932194</v>
      </c>
      <c r="J307" s="53" t="n">
        <f aca="false">IF(E307&lt;=$E$17,H307,PMT($E$12/12,$E$18,-$E$15))</f>
        <v>63060.2065946878</v>
      </c>
      <c r="K307" s="19" t="n">
        <f aca="false">H307*$E$19</f>
        <v>1834.21555014684</v>
      </c>
      <c r="L307" s="19" t="n">
        <f aca="false">G307-I307</f>
        <v>2400902.6824359</v>
      </c>
    </row>
    <row r="308" customFormat="false" ht="15" hidden="false" customHeight="false" outlineLevel="0" collapsed="false">
      <c r="E308" s="31" t="n">
        <v>16</v>
      </c>
      <c r="F308" s="31" t="n">
        <f aca="false">ROUNDUP(E308/12,0)</f>
        <v>2</v>
      </c>
      <c r="G308" s="19" t="n">
        <f aca="false">L307</f>
        <v>2400902.6824359</v>
      </c>
      <c r="H308" s="19" t="n">
        <f aca="false">G308*$E$12/12</f>
        <v>18006.7701182693</v>
      </c>
      <c r="I308" s="19" t="n">
        <f aca="false">J308-H308</f>
        <v>45053.4364764185</v>
      </c>
      <c r="J308" s="53" t="n">
        <f aca="false">IF(E308&lt;=$E$17,H308,PMT($E$12/12,$E$18,-$E$15))</f>
        <v>63060.2065946878</v>
      </c>
      <c r="K308" s="19" t="n">
        <f aca="false">H308*$E$19</f>
        <v>1800.67701182693</v>
      </c>
      <c r="L308" s="19" t="n">
        <f aca="false">G308-I308</f>
        <v>2355849.24595948</v>
      </c>
    </row>
    <row r="309" customFormat="false" ht="15" hidden="false" customHeight="false" outlineLevel="0" collapsed="false">
      <c r="E309" s="31" t="n">
        <v>17</v>
      </c>
      <c r="F309" s="31" t="n">
        <f aca="false">ROUNDUP(E309/12,0)</f>
        <v>2</v>
      </c>
      <c r="G309" s="19" t="n">
        <f aca="false">L308</f>
        <v>2355849.24595948</v>
      </c>
      <c r="H309" s="19" t="n">
        <f aca="false">G309*$E$12/12</f>
        <v>17668.8693446961</v>
      </c>
      <c r="I309" s="19" t="n">
        <f aca="false">J309-H309</f>
        <v>45391.3372499916</v>
      </c>
      <c r="J309" s="53" t="n">
        <f aca="false">IF(E309&lt;=$E$17,H309,PMT($E$12/12,$E$18,-$E$15))</f>
        <v>63060.2065946878</v>
      </c>
      <c r="K309" s="19" t="n">
        <f aca="false">H309*$E$19</f>
        <v>1766.88693446961</v>
      </c>
      <c r="L309" s="19" t="n">
        <f aca="false">G309-I309</f>
        <v>2310457.90870949</v>
      </c>
    </row>
    <row r="310" customFormat="false" ht="15" hidden="false" customHeight="false" outlineLevel="0" collapsed="false">
      <c r="E310" s="31" t="n">
        <v>18</v>
      </c>
      <c r="F310" s="31" t="n">
        <f aca="false">ROUNDUP(E310/12,0)</f>
        <v>2</v>
      </c>
      <c r="G310" s="19" t="n">
        <f aca="false">L309</f>
        <v>2310457.90870949</v>
      </c>
      <c r="H310" s="19" t="n">
        <f aca="false">G310*$E$12/12</f>
        <v>17328.4343153212</v>
      </c>
      <c r="I310" s="19" t="n">
        <f aca="false">J310-H310</f>
        <v>45731.7722793666</v>
      </c>
      <c r="J310" s="53" t="n">
        <f aca="false">IF(E310&lt;=$E$17,H310,PMT($E$12/12,$E$18,-$E$15))</f>
        <v>63060.2065946878</v>
      </c>
      <c r="K310" s="19" t="n">
        <f aca="false">H310*$E$19</f>
        <v>1732.84343153212</v>
      </c>
      <c r="L310" s="19" t="n">
        <f aca="false">G310-I310</f>
        <v>2264726.13643012</v>
      </c>
    </row>
    <row r="311" customFormat="false" ht="15" hidden="false" customHeight="false" outlineLevel="0" collapsed="false">
      <c r="E311" s="31" t="n">
        <v>19</v>
      </c>
      <c r="F311" s="31" t="n">
        <f aca="false">ROUNDUP(E311/12,0)</f>
        <v>2</v>
      </c>
      <c r="G311" s="19" t="n">
        <f aca="false">L310</f>
        <v>2264726.13643012</v>
      </c>
      <c r="H311" s="19" t="n">
        <f aca="false">G311*$E$12/12</f>
        <v>16985.4460232259</v>
      </c>
      <c r="I311" s="19" t="n">
        <f aca="false">J311-H311</f>
        <v>46074.7605714618</v>
      </c>
      <c r="J311" s="53" t="n">
        <f aca="false">IF(E311&lt;=$E$17,H311,PMT($E$12/12,$E$18,-$E$15))</f>
        <v>63060.2065946878</v>
      </c>
      <c r="K311" s="19" t="n">
        <f aca="false">H311*$E$19</f>
        <v>1698.54460232259</v>
      </c>
      <c r="L311" s="19" t="n">
        <f aca="false">G311-I311</f>
        <v>2218651.37585866</v>
      </c>
    </row>
    <row r="312" customFormat="false" ht="15" hidden="false" customHeight="false" outlineLevel="0" collapsed="false">
      <c r="E312" s="31" t="n">
        <v>20</v>
      </c>
      <c r="F312" s="31" t="n">
        <f aca="false">ROUNDUP(E312/12,0)</f>
        <v>2</v>
      </c>
      <c r="G312" s="19" t="n">
        <f aca="false">L311</f>
        <v>2218651.37585866</v>
      </c>
      <c r="H312" s="19" t="n">
        <f aca="false">G312*$E$12/12</f>
        <v>16639.88531894</v>
      </c>
      <c r="I312" s="19" t="n">
        <f aca="false">J312-H312</f>
        <v>46420.3212757478</v>
      </c>
      <c r="J312" s="53" t="n">
        <f aca="false">IF(E312&lt;=$E$17,H312,PMT($E$12/12,$E$18,-$E$15))</f>
        <v>63060.2065946878</v>
      </c>
      <c r="K312" s="19" t="n">
        <f aca="false">H312*$E$19</f>
        <v>1663.988531894</v>
      </c>
      <c r="L312" s="19" t="n">
        <f aca="false">G312-I312</f>
        <v>2172231.05458292</v>
      </c>
    </row>
    <row r="313" customFormat="false" ht="15" hidden="false" customHeight="false" outlineLevel="0" collapsed="false">
      <c r="E313" s="31" t="n">
        <v>21</v>
      </c>
      <c r="F313" s="31" t="n">
        <f aca="false">ROUNDUP(E313/12,0)</f>
        <v>2</v>
      </c>
      <c r="G313" s="19" t="n">
        <f aca="false">L312</f>
        <v>2172231.05458292</v>
      </c>
      <c r="H313" s="19" t="n">
        <f aca="false">G313*$E$12/12</f>
        <v>16291.7329093719</v>
      </c>
      <c r="I313" s="19" t="n">
        <f aca="false">J313-H313</f>
        <v>46768.4736853159</v>
      </c>
      <c r="J313" s="53" t="n">
        <f aca="false">IF(E313&lt;=$E$17,H313,PMT($E$12/12,$E$18,-$E$15))</f>
        <v>63060.2065946878</v>
      </c>
      <c r="K313" s="19" t="n">
        <f aca="false">H313*$E$19</f>
        <v>1629.17329093719</v>
      </c>
      <c r="L313" s="19" t="n">
        <f aca="false">G313-I313</f>
        <v>2125462.5808976</v>
      </c>
    </row>
    <row r="314" customFormat="false" ht="15" hidden="false" customHeight="false" outlineLevel="0" collapsed="false">
      <c r="E314" s="31" t="n">
        <v>22</v>
      </c>
      <c r="F314" s="31" t="n">
        <f aca="false">ROUNDUP(E314/12,0)</f>
        <v>2</v>
      </c>
      <c r="G314" s="19" t="n">
        <f aca="false">L313</f>
        <v>2125462.5808976</v>
      </c>
      <c r="H314" s="19" t="n">
        <f aca="false">G314*$E$12/12</f>
        <v>15940.969356732</v>
      </c>
      <c r="I314" s="19" t="n">
        <f aca="false">J314-H314</f>
        <v>47119.2372379558</v>
      </c>
      <c r="J314" s="53" t="n">
        <f aca="false">IF(E314&lt;=$E$17,H314,PMT($E$12/12,$E$18,-$E$15))</f>
        <v>63060.2065946878</v>
      </c>
      <c r="K314" s="19" t="n">
        <f aca="false">H314*$E$19</f>
        <v>1594.0969356732</v>
      </c>
      <c r="L314" s="19" t="n">
        <f aca="false">G314-I314</f>
        <v>2078343.34365964</v>
      </c>
    </row>
    <row r="315" customFormat="false" ht="15" hidden="false" customHeight="false" outlineLevel="0" collapsed="false">
      <c r="E315" s="31" t="n">
        <v>23</v>
      </c>
      <c r="F315" s="31" t="n">
        <f aca="false">ROUNDUP(E315/12,0)</f>
        <v>2</v>
      </c>
      <c r="G315" s="19" t="n">
        <f aca="false">L314</f>
        <v>2078343.34365964</v>
      </c>
      <c r="H315" s="19" t="n">
        <f aca="false">G315*$E$12/12</f>
        <v>15587.5750774473</v>
      </c>
      <c r="I315" s="19" t="n">
        <f aca="false">J315-H315</f>
        <v>47472.6315172404</v>
      </c>
      <c r="J315" s="53" t="n">
        <f aca="false">IF(E315&lt;=$E$17,H315,PMT($E$12/12,$E$18,-$E$15))</f>
        <v>63060.2065946878</v>
      </c>
      <c r="K315" s="19" t="n">
        <f aca="false">H315*$E$19</f>
        <v>1558.75750774473</v>
      </c>
      <c r="L315" s="19" t="n">
        <f aca="false">G315-I315</f>
        <v>2030870.7121424</v>
      </c>
    </row>
    <row r="316" customFormat="false" ht="15" hidden="false" customHeight="false" outlineLevel="0" collapsed="false">
      <c r="E316" s="31" t="n">
        <v>24</v>
      </c>
      <c r="F316" s="31" t="n">
        <f aca="false">ROUNDUP(E316/12,0)</f>
        <v>2</v>
      </c>
      <c r="G316" s="19" t="n">
        <f aca="false">L315</f>
        <v>2030870.7121424</v>
      </c>
      <c r="H316" s="19" t="n">
        <f aca="false">G316*$E$12/12</f>
        <v>15231.530341068</v>
      </c>
      <c r="I316" s="19" t="n">
        <f aca="false">J316-H316</f>
        <v>47828.6762536197</v>
      </c>
      <c r="J316" s="53" t="n">
        <f aca="false">IF(E316&lt;=$E$17,H316,PMT($E$12/12,$E$18,-$E$15))</f>
        <v>63060.2065946878</v>
      </c>
      <c r="K316" s="19" t="n">
        <f aca="false">H316*$E$19</f>
        <v>1523.1530341068</v>
      </c>
      <c r="L316" s="19" t="n">
        <f aca="false">G316-I316</f>
        <v>1983042.03588878</v>
      </c>
    </row>
    <row r="317" customFormat="false" ht="15" hidden="false" customHeight="false" outlineLevel="0" collapsed="false">
      <c r="E317" s="31" t="n">
        <v>25</v>
      </c>
      <c r="F317" s="31" t="n">
        <f aca="false">ROUNDUP(E317/12,0)</f>
        <v>3</v>
      </c>
      <c r="G317" s="19" t="n">
        <f aca="false">L316</f>
        <v>1983042.03588878</v>
      </c>
      <c r="H317" s="19" t="n">
        <f aca="false">G317*$E$12/12</f>
        <v>14872.8152691659</v>
      </c>
      <c r="I317" s="19" t="n">
        <f aca="false">J317-H317</f>
        <v>48187.3913255219</v>
      </c>
      <c r="J317" s="53" t="n">
        <f aca="false">IF(E317&lt;=$E$17,H317,PMT($E$12/12,$E$18,-$E$15))</f>
        <v>63060.2065946878</v>
      </c>
      <c r="K317" s="19" t="n">
        <f aca="false">H317*$E$19</f>
        <v>1487.28152691659</v>
      </c>
      <c r="L317" s="19" t="n">
        <f aca="false">G317-I317</f>
        <v>1934854.64456326</v>
      </c>
    </row>
    <row r="318" customFormat="false" ht="15" hidden="false" customHeight="false" outlineLevel="0" collapsed="false">
      <c r="E318" s="31" t="n">
        <v>26</v>
      </c>
      <c r="F318" s="31" t="n">
        <f aca="false">ROUNDUP(E318/12,0)</f>
        <v>3</v>
      </c>
      <c r="G318" s="19" t="n">
        <f aca="false">L317</f>
        <v>1934854.64456326</v>
      </c>
      <c r="H318" s="19" t="n">
        <f aca="false">G318*$E$12/12</f>
        <v>14511.4098342245</v>
      </c>
      <c r="I318" s="19" t="n">
        <f aca="false">J318-H318</f>
        <v>48548.7967604633</v>
      </c>
      <c r="J318" s="53" t="n">
        <f aca="false">IF(E318&lt;=$E$17,H318,PMT($E$12/12,$E$18,-$E$15))</f>
        <v>63060.2065946878</v>
      </c>
      <c r="K318" s="19" t="n">
        <f aca="false">H318*$E$19</f>
        <v>1451.14098342245</v>
      </c>
      <c r="L318" s="19" t="n">
        <f aca="false">G318-I318</f>
        <v>1886305.8478028</v>
      </c>
    </row>
    <row r="319" customFormat="false" ht="15" hidden="false" customHeight="false" outlineLevel="0" collapsed="false">
      <c r="E319" s="31" t="n">
        <v>27</v>
      </c>
      <c r="F319" s="31" t="n">
        <f aca="false">ROUNDUP(E319/12,0)</f>
        <v>3</v>
      </c>
      <c r="G319" s="19" t="n">
        <f aca="false">L318</f>
        <v>1886305.8478028</v>
      </c>
      <c r="H319" s="19" t="n">
        <f aca="false">G319*$E$12/12</f>
        <v>14147.293858521</v>
      </c>
      <c r="I319" s="19" t="n">
        <f aca="false">J319-H319</f>
        <v>48912.9127361668</v>
      </c>
      <c r="J319" s="53" t="n">
        <f aca="false">IF(E319&lt;=$E$17,H319,PMT($E$12/12,$E$18,-$E$15))</f>
        <v>63060.2065946878</v>
      </c>
      <c r="K319" s="19" t="n">
        <f aca="false">H319*$E$19</f>
        <v>1414.7293858521</v>
      </c>
      <c r="L319" s="19" t="n">
        <f aca="false">G319-I319</f>
        <v>1837392.93506663</v>
      </c>
    </row>
    <row r="320" customFormat="false" ht="15" hidden="false" customHeight="false" outlineLevel="0" collapsed="false">
      <c r="E320" s="31" t="n">
        <v>28</v>
      </c>
      <c r="F320" s="31" t="n">
        <f aca="false">ROUNDUP(E320/12,0)</f>
        <v>3</v>
      </c>
      <c r="G320" s="19" t="n">
        <f aca="false">L319</f>
        <v>1837392.93506663</v>
      </c>
      <c r="H320" s="19" t="n">
        <f aca="false">G320*$E$12/12</f>
        <v>13780.4470129997</v>
      </c>
      <c r="I320" s="19" t="n">
        <f aca="false">J320-H320</f>
        <v>49279.759581688</v>
      </c>
      <c r="J320" s="53" t="n">
        <f aca="false">IF(E320&lt;=$E$17,H320,PMT($E$12/12,$E$18,-$E$15))</f>
        <v>63060.2065946878</v>
      </c>
      <c r="K320" s="19" t="n">
        <f aca="false">H320*$E$19</f>
        <v>1378.04470129997</v>
      </c>
      <c r="L320" s="19" t="n">
        <f aca="false">G320-I320</f>
        <v>1788113.17548494</v>
      </c>
    </row>
    <row r="321" customFormat="false" ht="15" hidden="false" customHeight="false" outlineLevel="0" collapsed="false">
      <c r="E321" s="31" t="n">
        <v>29</v>
      </c>
      <c r="F321" s="31" t="n">
        <f aca="false">ROUNDUP(E321/12,0)</f>
        <v>3</v>
      </c>
      <c r="G321" s="19" t="n">
        <f aca="false">L320</f>
        <v>1788113.17548494</v>
      </c>
      <c r="H321" s="19" t="n">
        <f aca="false">G321*$E$12/12</f>
        <v>13410.8488161371</v>
      </c>
      <c r="I321" s="19" t="n">
        <f aca="false">J321-H321</f>
        <v>49649.3577785507</v>
      </c>
      <c r="J321" s="53" t="n">
        <f aca="false">IF(E321&lt;=$E$17,H321,PMT($E$12/12,$E$18,-$E$15))</f>
        <v>63060.2065946878</v>
      </c>
      <c r="K321" s="19" t="n">
        <f aca="false">H321*$E$19</f>
        <v>1341.08488161371</v>
      </c>
      <c r="L321" s="19" t="n">
        <f aca="false">G321-I321</f>
        <v>1738463.81770639</v>
      </c>
    </row>
    <row r="322" customFormat="false" ht="15" hidden="false" customHeight="false" outlineLevel="0" collapsed="false">
      <c r="E322" s="31" t="n">
        <v>30</v>
      </c>
      <c r="F322" s="31" t="n">
        <f aca="false">ROUNDUP(E322/12,0)</f>
        <v>3</v>
      </c>
      <c r="G322" s="19" t="n">
        <f aca="false">L321</f>
        <v>1738463.81770639</v>
      </c>
      <c r="H322" s="19" t="n">
        <f aca="false">G322*$E$12/12</f>
        <v>13038.4786327979</v>
      </c>
      <c r="I322" s="19" t="n">
        <f aca="false">J322-H322</f>
        <v>50021.7279618898</v>
      </c>
      <c r="J322" s="53" t="n">
        <f aca="false">IF(E322&lt;=$E$17,H322,PMT($E$12/12,$E$18,-$E$15))</f>
        <v>63060.2065946878</v>
      </c>
      <c r="K322" s="19" t="n">
        <f aca="false">H322*$E$19</f>
        <v>1303.84786327979</v>
      </c>
      <c r="L322" s="19" t="n">
        <f aca="false">G322-I322</f>
        <v>1688442.0897445</v>
      </c>
    </row>
    <row r="323" customFormat="false" ht="15" hidden="false" customHeight="false" outlineLevel="0" collapsed="false">
      <c r="E323" s="31" t="n">
        <v>31</v>
      </c>
      <c r="F323" s="31" t="n">
        <f aca="false">ROUNDUP(E323/12,0)</f>
        <v>3</v>
      </c>
      <c r="G323" s="19" t="n">
        <f aca="false">L322</f>
        <v>1688442.0897445</v>
      </c>
      <c r="H323" s="19" t="n">
        <f aca="false">G323*$E$12/12</f>
        <v>12663.3156730838</v>
      </c>
      <c r="I323" s="19" t="n">
        <f aca="false">J323-H323</f>
        <v>50396.890921604</v>
      </c>
      <c r="J323" s="53" t="n">
        <f aca="false">IF(E323&lt;=$E$17,H323,PMT($E$12/12,$E$18,-$E$15))</f>
        <v>63060.2065946878</v>
      </c>
      <c r="K323" s="19" t="n">
        <f aca="false">H323*$E$19</f>
        <v>1266.33156730838</v>
      </c>
      <c r="L323" s="19" t="n">
        <f aca="false">G323-I323</f>
        <v>1638045.1988229</v>
      </c>
    </row>
    <row r="324" customFormat="false" ht="15" hidden="false" customHeight="false" outlineLevel="0" collapsed="false">
      <c r="E324" s="31" t="n">
        <v>32</v>
      </c>
      <c r="F324" s="31" t="n">
        <f aca="false">ROUNDUP(E324/12,0)</f>
        <v>3</v>
      </c>
      <c r="G324" s="19" t="n">
        <f aca="false">L323</f>
        <v>1638045.1988229</v>
      </c>
      <c r="H324" s="19" t="n">
        <f aca="false">G324*$E$12/12</f>
        <v>12285.3389911717</v>
      </c>
      <c r="I324" s="19" t="n">
        <f aca="false">J324-H324</f>
        <v>50774.867603516</v>
      </c>
      <c r="J324" s="53" t="n">
        <f aca="false">IF(E324&lt;=$E$17,H324,PMT($E$12/12,$E$18,-$E$15))</f>
        <v>63060.2065946878</v>
      </c>
      <c r="K324" s="19" t="n">
        <f aca="false">H324*$E$19</f>
        <v>1228.53389911717</v>
      </c>
      <c r="L324" s="19" t="n">
        <f aca="false">G324-I324</f>
        <v>1587270.33121938</v>
      </c>
    </row>
    <row r="325" customFormat="false" ht="15" hidden="false" customHeight="false" outlineLevel="0" collapsed="false">
      <c r="E325" s="31" t="n">
        <v>33</v>
      </c>
      <c r="F325" s="31" t="n">
        <f aca="false">ROUNDUP(E325/12,0)</f>
        <v>3</v>
      </c>
      <c r="G325" s="19" t="n">
        <f aca="false">L324</f>
        <v>1587270.33121938</v>
      </c>
      <c r="H325" s="19" t="n">
        <f aca="false">G325*$E$12/12</f>
        <v>11904.5274841454</v>
      </c>
      <c r="I325" s="19" t="n">
        <f aca="false">J325-H325</f>
        <v>51155.6791105424</v>
      </c>
      <c r="J325" s="53" t="n">
        <f aca="false">IF(E325&lt;=$E$17,H325,PMT($E$12/12,$E$18,-$E$15))</f>
        <v>63060.2065946878</v>
      </c>
      <c r="K325" s="19" t="n">
        <f aca="false">H325*$E$19</f>
        <v>1190.45274841454</v>
      </c>
      <c r="L325" s="19" t="n">
        <f aca="false">G325-I325</f>
        <v>1536114.65210884</v>
      </c>
    </row>
    <row r="326" customFormat="false" ht="15" hidden="false" customHeight="false" outlineLevel="0" collapsed="false">
      <c r="E326" s="31" t="n">
        <v>34</v>
      </c>
      <c r="F326" s="31" t="n">
        <f aca="false">ROUNDUP(E326/12,0)</f>
        <v>3</v>
      </c>
      <c r="G326" s="19" t="n">
        <f aca="false">L325</f>
        <v>1536114.65210884</v>
      </c>
      <c r="H326" s="19" t="n">
        <f aca="false">G326*$E$12/12</f>
        <v>11520.8598908163</v>
      </c>
      <c r="I326" s="19" t="n">
        <f aca="false">J326-H326</f>
        <v>51539.3467038715</v>
      </c>
      <c r="J326" s="53" t="n">
        <f aca="false">IF(E326&lt;=$E$17,H326,PMT($E$12/12,$E$18,-$E$15))</f>
        <v>63060.2065946878</v>
      </c>
      <c r="K326" s="19" t="n">
        <f aca="false">H326*$E$19</f>
        <v>1152.08598908163</v>
      </c>
      <c r="L326" s="19" t="n">
        <f aca="false">G326-I326</f>
        <v>1484575.30540497</v>
      </c>
    </row>
    <row r="327" customFormat="false" ht="15" hidden="false" customHeight="false" outlineLevel="0" collapsed="false">
      <c r="E327" s="31" t="n">
        <v>35</v>
      </c>
      <c r="F327" s="31" t="n">
        <f aca="false">ROUNDUP(E327/12,0)</f>
        <v>3</v>
      </c>
      <c r="G327" s="19" t="n">
        <f aca="false">L326</f>
        <v>1484575.30540497</v>
      </c>
      <c r="H327" s="19" t="n">
        <f aca="false">G327*$E$12/12</f>
        <v>11134.3147905373</v>
      </c>
      <c r="I327" s="19" t="n">
        <f aca="false">J327-H327</f>
        <v>51925.8918041505</v>
      </c>
      <c r="J327" s="53" t="n">
        <f aca="false">IF(E327&lt;=$E$17,H327,PMT($E$12/12,$E$18,-$E$15))</f>
        <v>63060.2065946878</v>
      </c>
      <c r="K327" s="19" t="n">
        <f aca="false">H327*$E$19</f>
        <v>1113.43147905373</v>
      </c>
      <c r="L327" s="19" t="n">
        <f aca="false">G327-I327</f>
        <v>1432649.41360082</v>
      </c>
    </row>
    <row r="328" customFormat="false" ht="15" hidden="false" customHeight="false" outlineLevel="0" collapsed="false">
      <c r="E328" s="31" t="n">
        <v>36</v>
      </c>
      <c r="F328" s="31" t="n">
        <f aca="false">ROUNDUP(E328/12,0)</f>
        <v>3</v>
      </c>
      <c r="G328" s="19" t="n">
        <f aca="false">L327</f>
        <v>1432649.41360082</v>
      </c>
      <c r="H328" s="19" t="n">
        <f aca="false">G328*$E$12/12</f>
        <v>10744.8706020061</v>
      </c>
      <c r="I328" s="19" t="n">
        <f aca="false">J328-H328</f>
        <v>52315.3359926816</v>
      </c>
      <c r="J328" s="53" t="n">
        <f aca="false">IF(E328&lt;=$E$17,H328,PMT($E$12/12,$E$18,-$E$15))</f>
        <v>63060.2065946878</v>
      </c>
      <c r="K328" s="19" t="n">
        <f aca="false">H328*$E$19</f>
        <v>1074.48706020061</v>
      </c>
      <c r="L328" s="19" t="n">
        <f aca="false">G328-I328</f>
        <v>1380334.07760814</v>
      </c>
    </row>
    <row r="329" customFormat="false" ht="15" hidden="false" customHeight="false" outlineLevel="0" collapsed="false">
      <c r="E329" s="31" t="n">
        <v>37</v>
      </c>
      <c r="F329" s="31" t="n">
        <f aca="false">ROUNDUP(E329/12,0)</f>
        <v>4</v>
      </c>
      <c r="G329" s="19" t="n">
        <f aca="false">L328</f>
        <v>1380334.07760814</v>
      </c>
      <c r="H329" s="19" t="n">
        <f aca="false">G329*$E$12/12</f>
        <v>10352.505582061</v>
      </c>
      <c r="I329" s="19" t="n">
        <f aca="false">J329-H329</f>
        <v>52707.7010126267</v>
      </c>
      <c r="J329" s="53" t="n">
        <f aca="false">IF(E329&lt;=$E$17,H329,PMT($E$12/12,$E$18,-$E$15))</f>
        <v>63060.2065946878</v>
      </c>
      <c r="K329" s="19" t="n">
        <f aca="false">H329*$E$19</f>
        <v>1035.2505582061</v>
      </c>
      <c r="L329" s="19" t="n">
        <f aca="false">G329-I329</f>
        <v>1327626.37659551</v>
      </c>
    </row>
    <row r="330" customFormat="false" ht="15" hidden="false" customHeight="false" outlineLevel="0" collapsed="false">
      <c r="E330" s="31" t="n">
        <v>38</v>
      </c>
      <c r="F330" s="31" t="n">
        <f aca="false">ROUNDUP(E330/12,0)</f>
        <v>4</v>
      </c>
      <c r="G330" s="19" t="n">
        <f aca="false">L329</f>
        <v>1327626.37659551</v>
      </c>
      <c r="H330" s="19" t="n">
        <f aca="false">G330*$E$12/12</f>
        <v>9957.19782446632</v>
      </c>
      <c r="I330" s="19" t="n">
        <f aca="false">J330-H330</f>
        <v>53103.0087702214</v>
      </c>
      <c r="J330" s="53" t="n">
        <f aca="false">IF(E330&lt;=$E$17,H330,PMT($E$12/12,$E$18,-$E$15))</f>
        <v>63060.2065946878</v>
      </c>
      <c r="K330" s="19" t="n">
        <f aca="false">H330*$E$19</f>
        <v>995.719782446632</v>
      </c>
      <c r="L330" s="19" t="n">
        <f aca="false">G330-I330</f>
        <v>1274523.36782529</v>
      </c>
    </row>
    <row r="331" customFormat="false" ht="15" hidden="false" customHeight="false" outlineLevel="0" collapsed="false">
      <c r="E331" s="31" t="n">
        <v>39</v>
      </c>
      <c r="F331" s="31" t="n">
        <f aca="false">ROUNDUP(E331/12,0)</f>
        <v>4</v>
      </c>
      <c r="G331" s="19" t="n">
        <f aca="false">L330</f>
        <v>1274523.36782529</v>
      </c>
      <c r="H331" s="19" t="n">
        <f aca="false">G331*$E$12/12</f>
        <v>9558.92525868966</v>
      </c>
      <c r="I331" s="19" t="n">
        <f aca="false">J331-H331</f>
        <v>53501.2813359981</v>
      </c>
      <c r="J331" s="53" t="n">
        <f aca="false">IF(E331&lt;=$E$17,H331,PMT($E$12/12,$E$18,-$E$15))</f>
        <v>63060.2065946878</v>
      </c>
      <c r="K331" s="19" t="n">
        <f aca="false">H331*$E$19</f>
        <v>955.892525868966</v>
      </c>
      <c r="L331" s="19" t="n">
        <f aca="false">G331-I331</f>
        <v>1221022.08648929</v>
      </c>
    </row>
    <row r="332" customFormat="false" ht="15" hidden="false" customHeight="false" outlineLevel="0" collapsed="false">
      <c r="E332" s="31" t="n">
        <v>40</v>
      </c>
      <c r="F332" s="31" t="n">
        <f aca="false">ROUNDUP(E332/12,0)</f>
        <v>4</v>
      </c>
      <c r="G332" s="19" t="n">
        <f aca="false">L331</f>
        <v>1221022.08648929</v>
      </c>
      <c r="H332" s="19" t="n">
        <f aca="false">G332*$E$12/12</f>
        <v>9157.66564866968</v>
      </c>
      <c r="I332" s="19" t="n">
        <f aca="false">J332-H332</f>
        <v>53902.5409460181</v>
      </c>
      <c r="J332" s="53" t="n">
        <f aca="false">IF(E332&lt;=$E$17,H332,PMT($E$12/12,$E$18,-$E$15))</f>
        <v>63060.2065946878</v>
      </c>
      <c r="K332" s="19" t="n">
        <f aca="false">H332*$E$19</f>
        <v>915.766564866968</v>
      </c>
      <c r="L332" s="19" t="n">
        <f aca="false">G332-I332</f>
        <v>1167119.54554327</v>
      </c>
    </row>
    <row r="333" customFormat="false" ht="15" hidden="false" customHeight="false" outlineLevel="0" collapsed="false">
      <c r="E333" s="31" t="n">
        <v>41</v>
      </c>
      <c r="F333" s="31" t="n">
        <f aca="false">ROUNDUP(E333/12,0)</f>
        <v>4</v>
      </c>
      <c r="G333" s="19" t="n">
        <f aca="false">L332</f>
        <v>1167119.54554327</v>
      </c>
      <c r="H333" s="19" t="n">
        <f aca="false">G333*$E$12/12</f>
        <v>8753.39659157454</v>
      </c>
      <c r="I333" s="19" t="n">
        <f aca="false">J333-H333</f>
        <v>54306.8100031132</v>
      </c>
      <c r="J333" s="53" t="n">
        <f aca="false">IF(E333&lt;=$E$17,H333,PMT($E$12/12,$E$18,-$E$15))</f>
        <v>63060.2065946878</v>
      </c>
      <c r="K333" s="19" t="n">
        <f aca="false">H333*$E$19</f>
        <v>875.339659157454</v>
      </c>
      <c r="L333" s="19" t="n">
        <f aca="false">G333-I333</f>
        <v>1112812.73554016</v>
      </c>
    </row>
    <row r="334" customFormat="false" ht="15" hidden="false" customHeight="false" outlineLevel="0" collapsed="false">
      <c r="E334" s="31" t="n">
        <v>42</v>
      </c>
      <c r="F334" s="31" t="n">
        <f aca="false">ROUNDUP(E334/12,0)</f>
        <v>4</v>
      </c>
      <c r="G334" s="19" t="n">
        <f aca="false">L333</f>
        <v>1112812.73554016</v>
      </c>
      <c r="H334" s="19" t="n">
        <f aca="false">G334*$E$12/12</f>
        <v>8346.09551655119</v>
      </c>
      <c r="I334" s="19" t="n">
        <f aca="false">J334-H334</f>
        <v>54714.1110781366</v>
      </c>
      <c r="J334" s="53" t="n">
        <f aca="false">IF(E334&lt;=$E$17,H334,PMT($E$12/12,$E$18,-$E$15))</f>
        <v>63060.2065946878</v>
      </c>
      <c r="K334" s="19" t="n">
        <f aca="false">H334*$E$19</f>
        <v>834.609551655119</v>
      </c>
      <c r="L334" s="19" t="n">
        <f aca="false">G334-I334</f>
        <v>1058098.62446202</v>
      </c>
    </row>
    <row r="335" customFormat="false" ht="15" hidden="false" customHeight="false" outlineLevel="0" collapsed="false">
      <c r="E335" s="31" t="n">
        <v>43</v>
      </c>
      <c r="F335" s="31" t="n">
        <f aca="false">ROUNDUP(E335/12,0)</f>
        <v>4</v>
      </c>
      <c r="G335" s="19" t="n">
        <f aca="false">L334</f>
        <v>1058098.62446202</v>
      </c>
      <c r="H335" s="19" t="n">
        <f aca="false">G335*$E$12/12</f>
        <v>7935.73968346517</v>
      </c>
      <c r="I335" s="19" t="n">
        <f aca="false">J335-H335</f>
        <v>55124.4669112226</v>
      </c>
      <c r="J335" s="53" t="n">
        <f aca="false">IF(E335&lt;=$E$17,H335,PMT($E$12/12,$E$18,-$E$15))</f>
        <v>63060.2065946878</v>
      </c>
      <c r="K335" s="19" t="n">
        <f aca="false">H335*$E$19</f>
        <v>793.573968346517</v>
      </c>
      <c r="L335" s="19" t="n">
        <f aca="false">G335-I335</f>
        <v>1002974.1575508</v>
      </c>
    </row>
    <row r="336" customFormat="false" ht="15" hidden="false" customHeight="false" outlineLevel="0" collapsed="false">
      <c r="E336" s="31" t="n">
        <v>44</v>
      </c>
      <c r="F336" s="31" t="n">
        <f aca="false">ROUNDUP(E336/12,0)</f>
        <v>4</v>
      </c>
      <c r="G336" s="19" t="n">
        <f aca="false">L335</f>
        <v>1002974.1575508</v>
      </c>
      <c r="H336" s="19" t="n">
        <f aca="false">G336*$E$12/12</f>
        <v>7522.306181631</v>
      </c>
      <c r="I336" s="19" t="n">
        <f aca="false">J336-H336</f>
        <v>55537.9004130568</v>
      </c>
      <c r="J336" s="53" t="n">
        <f aca="false">IF(E336&lt;=$E$17,H336,PMT($E$12/12,$E$18,-$E$15))</f>
        <v>63060.2065946878</v>
      </c>
      <c r="K336" s="19" t="n">
        <f aca="false">H336*$E$19</f>
        <v>752.2306181631</v>
      </c>
      <c r="L336" s="19" t="n">
        <f aca="false">G336-I336</f>
        <v>947436.257137743</v>
      </c>
    </row>
    <row r="337" customFormat="false" ht="15" hidden="false" customHeight="false" outlineLevel="0" collapsed="false">
      <c r="E337" s="31" t="n">
        <v>45</v>
      </c>
      <c r="F337" s="31" t="n">
        <f aca="false">ROUNDUP(E337/12,0)</f>
        <v>4</v>
      </c>
      <c r="G337" s="19" t="n">
        <f aca="false">L336</f>
        <v>947436.257137743</v>
      </c>
      <c r="H337" s="19" t="n">
        <f aca="false">G337*$E$12/12</f>
        <v>7105.77192853307</v>
      </c>
      <c r="I337" s="19" t="n">
        <f aca="false">J337-H337</f>
        <v>55954.4346661547</v>
      </c>
      <c r="J337" s="53" t="n">
        <f aca="false">IF(E337&lt;=$E$17,H337,PMT($E$12/12,$E$18,-$E$15))</f>
        <v>63060.2065946878</v>
      </c>
      <c r="K337" s="19" t="n">
        <f aca="false">H337*$E$19</f>
        <v>710.577192853307</v>
      </c>
      <c r="L337" s="19" t="n">
        <f aca="false">G337-I337</f>
        <v>891481.822471588</v>
      </c>
    </row>
    <row r="338" customFormat="false" ht="15" hidden="false" customHeight="false" outlineLevel="0" collapsed="false">
      <c r="E338" s="31" t="n">
        <v>46</v>
      </c>
      <c r="F338" s="31" t="n">
        <f aca="false">ROUNDUP(E338/12,0)</f>
        <v>4</v>
      </c>
      <c r="G338" s="19" t="n">
        <f aca="false">L337</f>
        <v>891481.822471588</v>
      </c>
      <c r="H338" s="19" t="n">
        <f aca="false">G338*$E$12/12</f>
        <v>6686.11366853691</v>
      </c>
      <c r="I338" s="19" t="n">
        <f aca="false">J338-H338</f>
        <v>56374.0929261509</v>
      </c>
      <c r="J338" s="53" t="n">
        <f aca="false">IF(E338&lt;=$E$17,H338,PMT($E$12/12,$E$18,-$E$15))</f>
        <v>63060.2065946878</v>
      </c>
      <c r="K338" s="19" t="n">
        <f aca="false">H338*$E$19</f>
        <v>668.611366853691</v>
      </c>
      <c r="L338" s="19" t="n">
        <f aca="false">G338-I338</f>
        <v>835107.729545437</v>
      </c>
    </row>
    <row r="339" customFormat="false" ht="15" hidden="false" customHeight="false" outlineLevel="0" collapsed="false">
      <c r="E339" s="31" t="n">
        <v>47</v>
      </c>
      <c r="F339" s="31" t="n">
        <f aca="false">ROUNDUP(E339/12,0)</f>
        <v>4</v>
      </c>
      <c r="G339" s="19" t="n">
        <f aca="false">L338</f>
        <v>835107.729545437</v>
      </c>
      <c r="H339" s="19" t="n">
        <f aca="false">G339*$E$12/12</f>
        <v>6263.30797159078</v>
      </c>
      <c r="I339" s="19" t="n">
        <f aca="false">J339-H339</f>
        <v>56796.898623097</v>
      </c>
      <c r="J339" s="53" t="n">
        <f aca="false">IF(E339&lt;=$E$17,H339,PMT($E$12/12,$E$18,-$E$15))</f>
        <v>63060.2065946878</v>
      </c>
      <c r="K339" s="19" t="n">
        <f aca="false">H339*$E$19</f>
        <v>626.330797159078</v>
      </c>
      <c r="L339" s="19" t="n">
        <f aca="false">G339-I339</f>
        <v>778310.83092234</v>
      </c>
    </row>
    <row r="340" customFormat="false" ht="15" hidden="false" customHeight="false" outlineLevel="0" collapsed="false">
      <c r="E340" s="31" t="n">
        <v>48</v>
      </c>
      <c r="F340" s="31" t="n">
        <f aca="false">ROUNDUP(E340/12,0)</f>
        <v>4</v>
      </c>
      <c r="G340" s="19" t="n">
        <f aca="false">L339</f>
        <v>778310.83092234</v>
      </c>
      <c r="H340" s="19" t="n">
        <f aca="false">G340*$E$12/12</f>
        <v>5837.33123191755</v>
      </c>
      <c r="I340" s="19" t="n">
        <f aca="false">J340-H340</f>
        <v>57222.8753627702</v>
      </c>
      <c r="J340" s="53" t="n">
        <f aca="false">IF(E340&lt;=$E$17,H340,PMT($E$12/12,$E$18,-$E$15))</f>
        <v>63060.2065946878</v>
      </c>
      <c r="K340" s="19" t="n">
        <f aca="false">H340*$E$19</f>
        <v>583.733123191755</v>
      </c>
      <c r="L340" s="19" t="n">
        <f aca="false">G340-I340</f>
        <v>721087.95555957</v>
      </c>
    </row>
    <row r="341" customFormat="false" ht="15" hidden="false" customHeight="false" outlineLevel="0" collapsed="false">
      <c r="E341" s="31" t="n">
        <v>49</v>
      </c>
      <c r="F341" s="31" t="n">
        <f aca="false">ROUNDUP(E341/12,0)</f>
        <v>5</v>
      </c>
      <c r="G341" s="19" t="n">
        <f aca="false">L340</f>
        <v>721087.95555957</v>
      </c>
      <c r="H341" s="19" t="n">
        <f aca="false">G341*$E$12/12</f>
        <v>5408.15966669678</v>
      </c>
      <c r="I341" s="19" t="n">
        <f aca="false">J341-H341</f>
        <v>57652.046927991</v>
      </c>
      <c r="J341" s="53" t="n">
        <f aca="false">IF(E341&lt;=$E$17,H341,PMT($E$12/12,$E$18,-$E$15))</f>
        <v>63060.2065946878</v>
      </c>
      <c r="K341" s="19" t="n">
        <f aca="false">H341*$E$19</f>
        <v>540.815966669678</v>
      </c>
      <c r="L341" s="19" t="n">
        <f aca="false">G341-I341</f>
        <v>663435.908631579</v>
      </c>
    </row>
    <row r="342" customFormat="false" ht="15" hidden="false" customHeight="false" outlineLevel="0" collapsed="false">
      <c r="E342" s="31" t="n">
        <v>50</v>
      </c>
      <c r="F342" s="31" t="n">
        <f aca="false">ROUNDUP(E342/12,0)</f>
        <v>5</v>
      </c>
      <c r="G342" s="19" t="n">
        <f aca="false">L341</f>
        <v>663435.908631579</v>
      </c>
      <c r="H342" s="19" t="n">
        <f aca="false">G342*$E$12/12</f>
        <v>4975.76931473684</v>
      </c>
      <c r="I342" s="19" t="n">
        <f aca="false">J342-H342</f>
        <v>58084.4372799509</v>
      </c>
      <c r="J342" s="53" t="n">
        <f aca="false">IF(E342&lt;=$E$17,H342,PMT($E$12/12,$E$18,-$E$15))</f>
        <v>63060.2065946878</v>
      </c>
      <c r="K342" s="19" t="n">
        <f aca="false">H342*$E$19</f>
        <v>497.576931473684</v>
      </c>
      <c r="L342" s="19" t="n">
        <f aca="false">G342-I342</f>
        <v>605351.471351628</v>
      </c>
    </row>
    <row r="343" customFormat="false" ht="15" hidden="false" customHeight="false" outlineLevel="0" collapsed="false">
      <c r="E343" s="31" t="n">
        <v>51</v>
      </c>
      <c r="F343" s="31" t="n">
        <f aca="false">ROUNDUP(E343/12,0)</f>
        <v>5</v>
      </c>
      <c r="G343" s="19" t="n">
        <f aca="false">L342</f>
        <v>605351.471351628</v>
      </c>
      <c r="H343" s="19" t="n">
        <f aca="false">G343*$E$12/12</f>
        <v>4540.13603513721</v>
      </c>
      <c r="I343" s="19" t="n">
        <f aca="false">J343-H343</f>
        <v>58520.0705595506</v>
      </c>
      <c r="J343" s="53" t="n">
        <f aca="false">IF(E343&lt;=$E$17,H343,PMT($E$12/12,$E$18,-$E$15))</f>
        <v>63060.2065946878</v>
      </c>
      <c r="K343" s="19" t="n">
        <f aca="false">H343*$E$19</f>
        <v>454.013603513721</v>
      </c>
      <c r="L343" s="19" t="n">
        <f aca="false">G343-I343</f>
        <v>546831.400792078</v>
      </c>
    </row>
    <row r="344" customFormat="false" ht="15" hidden="false" customHeight="false" outlineLevel="0" collapsed="false">
      <c r="E344" s="31" t="n">
        <v>52</v>
      </c>
      <c r="F344" s="31" t="n">
        <f aca="false">ROUNDUP(E344/12,0)</f>
        <v>5</v>
      </c>
      <c r="G344" s="19" t="n">
        <f aca="false">L343</f>
        <v>546831.400792078</v>
      </c>
      <c r="H344" s="19" t="n">
        <f aca="false">G344*$E$12/12</f>
        <v>4101.23550594058</v>
      </c>
      <c r="I344" s="19" t="n">
        <f aca="false">J344-H344</f>
        <v>58958.9710887472</v>
      </c>
      <c r="J344" s="53" t="n">
        <f aca="false">IF(E344&lt;=$E$17,H344,PMT($E$12/12,$E$18,-$E$15))</f>
        <v>63060.2065946878</v>
      </c>
      <c r="K344" s="19" t="n">
        <f aca="false">H344*$E$19</f>
        <v>410.123550594058</v>
      </c>
      <c r="L344" s="19" t="n">
        <f aca="false">G344-I344</f>
        <v>487872.429703331</v>
      </c>
    </row>
    <row r="345" customFormat="false" ht="15" hidden="false" customHeight="false" outlineLevel="0" collapsed="false">
      <c r="E345" s="31" t="n">
        <v>53</v>
      </c>
      <c r="F345" s="31" t="n">
        <f aca="false">ROUNDUP(E345/12,0)</f>
        <v>5</v>
      </c>
      <c r="G345" s="19" t="n">
        <f aca="false">L344</f>
        <v>487872.429703331</v>
      </c>
      <c r="H345" s="19" t="n">
        <f aca="false">G345*$E$12/12</f>
        <v>3659.04322277498</v>
      </c>
      <c r="I345" s="19" t="n">
        <f aca="false">J345-H345</f>
        <v>59401.1633719128</v>
      </c>
      <c r="J345" s="53" t="n">
        <f aca="false">IF(E345&lt;=$E$17,H345,PMT($E$12/12,$E$18,-$E$15))</f>
        <v>63060.2065946878</v>
      </c>
      <c r="K345" s="19" t="n">
        <f aca="false">H345*$E$19</f>
        <v>365.904322277498</v>
      </c>
      <c r="L345" s="19" t="n">
        <f aca="false">G345-I345</f>
        <v>428471.266331418</v>
      </c>
    </row>
    <row r="346" customFormat="false" ht="15" hidden="false" customHeight="false" outlineLevel="0" collapsed="false">
      <c r="E346" s="31" t="n">
        <v>54</v>
      </c>
      <c r="F346" s="31" t="n">
        <f aca="false">ROUNDUP(E346/12,0)</f>
        <v>5</v>
      </c>
      <c r="G346" s="19" t="n">
        <f aca="false">L345</f>
        <v>428471.266331418</v>
      </c>
      <c r="H346" s="19" t="n">
        <f aca="false">G346*$E$12/12</f>
        <v>3213.53449748563</v>
      </c>
      <c r="I346" s="19" t="n">
        <f aca="false">J346-H346</f>
        <v>59846.6720972021</v>
      </c>
      <c r="J346" s="53" t="n">
        <f aca="false">IF(E346&lt;=$E$17,H346,PMT($E$12/12,$E$18,-$E$15))</f>
        <v>63060.2065946878</v>
      </c>
      <c r="K346" s="19" t="n">
        <f aca="false">H346*$E$19</f>
        <v>321.353449748563</v>
      </c>
      <c r="L346" s="19" t="n">
        <f aca="false">G346-I346</f>
        <v>368624.594234216</v>
      </c>
    </row>
    <row r="347" customFormat="false" ht="15" hidden="false" customHeight="false" outlineLevel="0" collapsed="false">
      <c r="E347" s="31" t="n">
        <v>55</v>
      </c>
      <c r="F347" s="31" t="n">
        <f aca="false">ROUNDUP(E347/12,0)</f>
        <v>5</v>
      </c>
      <c r="G347" s="19" t="n">
        <f aca="false">L346</f>
        <v>368624.594234216</v>
      </c>
      <c r="H347" s="19" t="n">
        <f aca="false">G347*$E$12/12</f>
        <v>2764.68445675662</v>
      </c>
      <c r="I347" s="19" t="n">
        <f aca="false">J347-H347</f>
        <v>60295.5221379312</v>
      </c>
      <c r="J347" s="53" t="n">
        <f aca="false">IF(E347&lt;=$E$17,H347,PMT($E$12/12,$E$18,-$E$15))</f>
        <v>63060.2065946878</v>
      </c>
      <c r="K347" s="19" t="n">
        <f aca="false">H347*$E$19</f>
        <v>276.468445675662</v>
      </c>
      <c r="L347" s="19" t="n">
        <f aca="false">G347-I347</f>
        <v>308329.072096285</v>
      </c>
    </row>
    <row r="348" customFormat="false" ht="15" hidden="false" customHeight="false" outlineLevel="0" collapsed="false">
      <c r="E348" s="31" t="n">
        <v>56</v>
      </c>
      <c r="F348" s="31" t="n">
        <f aca="false">ROUNDUP(E348/12,0)</f>
        <v>5</v>
      </c>
      <c r="G348" s="19" t="n">
        <f aca="false">L347</f>
        <v>308329.072096285</v>
      </c>
      <c r="H348" s="19" t="n">
        <f aca="false">G348*$E$12/12</f>
        <v>2312.46804072213</v>
      </c>
      <c r="I348" s="19" t="n">
        <f aca="false">J348-H348</f>
        <v>60747.7385539656</v>
      </c>
      <c r="J348" s="53" t="n">
        <f aca="false">IF(E348&lt;=$E$17,H348,PMT($E$12/12,$E$18,-$E$15))</f>
        <v>63060.2065946878</v>
      </c>
      <c r="K348" s="19" t="n">
        <f aca="false">H348*$E$19</f>
        <v>231.246804072213</v>
      </c>
      <c r="L348" s="19" t="n">
        <f aca="false">G348-I348</f>
        <v>247581.333542319</v>
      </c>
    </row>
    <row r="349" customFormat="false" ht="15" hidden="false" customHeight="false" outlineLevel="0" collapsed="false">
      <c r="E349" s="31" t="n">
        <v>57</v>
      </c>
      <c r="F349" s="31" t="n">
        <f aca="false">ROUNDUP(E349/12,0)</f>
        <v>5</v>
      </c>
      <c r="G349" s="19" t="n">
        <f aca="false">L348</f>
        <v>247581.333542319</v>
      </c>
      <c r="H349" s="19" t="n">
        <f aca="false">G349*$E$12/12</f>
        <v>1856.86000156739</v>
      </c>
      <c r="I349" s="19" t="n">
        <f aca="false">J349-H349</f>
        <v>61203.3465931204</v>
      </c>
      <c r="J349" s="53" t="n">
        <f aca="false">IF(E349&lt;=$E$17,H349,PMT($E$12/12,$E$18,-$E$15))</f>
        <v>63060.2065946878</v>
      </c>
      <c r="K349" s="19" t="n">
        <f aca="false">H349*$E$19</f>
        <v>185.686000156739</v>
      </c>
      <c r="L349" s="19" t="n">
        <f aca="false">G349-I349</f>
        <v>186377.986949199</v>
      </c>
    </row>
    <row r="350" customFormat="false" ht="15" hidden="false" customHeight="false" outlineLevel="0" collapsed="false">
      <c r="E350" s="31" t="n">
        <v>58</v>
      </c>
      <c r="F350" s="31" t="n">
        <f aca="false">ROUNDUP(E350/12,0)</f>
        <v>5</v>
      </c>
      <c r="G350" s="19" t="n">
        <f aca="false">L349</f>
        <v>186377.986949199</v>
      </c>
      <c r="H350" s="19" t="n">
        <f aca="false">G350*$E$12/12</f>
        <v>1397.83490211899</v>
      </c>
      <c r="I350" s="19" t="n">
        <f aca="false">J350-H350</f>
        <v>61662.3716925688</v>
      </c>
      <c r="J350" s="53" t="n">
        <f aca="false">IF(E350&lt;=$E$17,H350,PMT($E$12/12,$E$18,-$E$15))</f>
        <v>63060.2065946878</v>
      </c>
      <c r="K350" s="19" t="n">
        <f aca="false">H350*$E$19</f>
        <v>139.783490211899</v>
      </c>
      <c r="L350" s="19" t="n">
        <f aca="false">G350-I350</f>
        <v>124715.61525663</v>
      </c>
    </row>
    <row r="351" customFormat="false" ht="15" hidden="false" customHeight="false" outlineLevel="0" collapsed="false">
      <c r="E351" s="31" t="n">
        <v>59</v>
      </c>
      <c r="F351" s="31" t="n">
        <f aca="false">ROUNDUP(E351/12,0)</f>
        <v>5</v>
      </c>
      <c r="G351" s="19" t="n">
        <f aca="false">L350</f>
        <v>124715.61525663</v>
      </c>
      <c r="H351" s="19" t="n">
        <f aca="false">G351*$E$12/12</f>
        <v>935.367114424723</v>
      </c>
      <c r="I351" s="19" t="n">
        <f aca="false">J351-H351</f>
        <v>62124.839480263</v>
      </c>
      <c r="J351" s="53" t="n">
        <f aca="false">IF(E351&lt;=$E$17,H351,PMT($E$12/12,$E$18,-$E$15))</f>
        <v>63060.2065946878</v>
      </c>
      <c r="K351" s="19" t="n">
        <f aca="false">H351*$E$19</f>
        <v>93.5367114424723</v>
      </c>
      <c r="L351" s="19" t="n">
        <f aca="false">G351-I351</f>
        <v>62590.7757763667</v>
      </c>
    </row>
    <row r="352" customFormat="false" ht="15" hidden="false" customHeight="false" outlineLevel="0" collapsed="false">
      <c r="E352" s="31" t="n">
        <v>60</v>
      </c>
      <c r="F352" s="31" t="n">
        <f aca="false">ROUNDUP(E352/12,0)</f>
        <v>5</v>
      </c>
      <c r="G352" s="19" t="n">
        <f aca="false">L351</f>
        <v>62590.7757763667</v>
      </c>
      <c r="H352" s="19" t="n">
        <f aca="false">G352*$E$12/12</f>
        <v>469.43081832275</v>
      </c>
      <c r="I352" s="19" t="n">
        <f aca="false">J352-H352</f>
        <v>62590.775776365</v>
      </c>
      <c r="J352" s="53" t="n">
        <f aca="false">IF(E352&lt;=$E$17,H352,PMT($E$12/12,$E$18,-$E$15))</f>
        <v>63060.2065946878</v>
      </c>
      <c r="K352" s="19" t="n">
        <f aca="false">H352*$E$19</f>
        <v>46.943081832275</v>
      </c>
      <c r="L352" s="19" t="n">
        <f aca="false">G352-I352</f>
        <v>1.69529812410474E-009</v>
      </c>
    </row>
    <row r="353" customFormat="false" ht="15" hidden="false" customHeight="false" outlineLevel="0" collapsed="false">
      <c r="A353" s="8" t="s">
        <v>2704</v>
      </c>
      <c r="B353" s="8" t="s">
        <v>2705</v>
      </c>
      <c r="C353" s="8" t="s">
        <v>255</v>
      </c>
      <c r="D353" s="8"/>
      <c r="E353" s="53" t="n">
        <f aca="false">H293</f>
        <v>20936.9025</v>
      </c>
    </row>
    <row r="354" customFormat="false" ht="15" hidden="false" customHeight="false" outlineLevel="0" collapsed="false">
      <c r="A354" s="8" t="s">
        <v>2706</v>
      </c>
      <c r="B354" s="8" t="s">
        <v>2707</v>
      </c>
      <c r="C354" s="8" t="s">
        <v>255</v>
      </c>
      <c r="D354" s="8"/>
      <c r="E354" s="53" t="n">
        <f aca="false">J299</f>
        <v>63060.2065946878</v>
      </c>
    </row>
    <row r="355" customFormat="false" ht="15" hidden="false" customHeight="false" outlineLevel="0" collapsed="false">
      <c r="A355" s="8" t="s">
        <v>2708</v>
      </c>
      <c r="B355" s="8" t="s">
        <v>2709</v>
      </c>
      <c r="C355" s="8" t="s">
        <v>255</v>
      </c>
      <c r="D355" s="8"/>
      <c r="E355" s="53" t="n">
        <f aca="false">L352</f>
        <v>1.69529812410474E-009</v>
      </c>
    </row>
    <row r="357" customFormat="false" ht="15" hidden="false" customHeight="false" outlineLevel="0" collapsed="false">
      <c r="A357" s="3" t="s">
        <v>2710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customFormat="false" ht="15" hidden="false" customHeight="false" outlineLevel="0" collapsed="false">
      <c r="A358" s="8" t="s">
        <v>2711</v>
      </c>
      <c r="B358" s="8" t="s">
        <v>2712</v>
      </c>
      <c r="C358" s="8" t="s">
        <v>255</v>
      </c>
      <c r="D358" s="8" t="s">
        <v>2713</v>
      </c>
      <c r="F358" s="82" t="n">
        <v>573024</v>
      </c>
      <c r="G358" s="82" t="n">
        <v>1029011</v>
      </c>
      <c r="H358" s="82" t="n">
        <v>1479759</v>
      </c>
      <c r="I358" s="82" t="n">
        <v>1886306</v>
      </c>
      <c r="J358" s="82" t="n">
        <v>1914796</v>
      </c>
      <c r="K358" s="82" t="n">
        <v>1973999</v>
      </c>
      <c r="L358" s="82" t="n">
        <v>2033657</v>
      </c>
      <c r="M358" s="82" t="n">
        <v>2093768</v>
      </c>
      <c r="N358" s="82" t="n">
        <v>2154335</v>
      </c>
      <c r="O358" s="82" t="n">
        <v>2215355</v>
      </c>
      <c r="P358" s="13" t="n">
        <f aca="false">SUM(F358:O358)</f>
        <v>17354010</v>
      </c>
    </row>
    <row r="359" customFormat="false" ht="15" hidden="false" customHeight="false" outlineLevel="0" collapsed="false">
      <c r="A359" s="8" t="s">
        <v>2714</v>
      </c>
      <c r="B359" s="8" t="s">
        <v>2715</v>
      </c>
      <c r="C359" s="8" t="s">
        <v>255</v>
      </c>
      <c r="D359" s="8" t="s">
        <v>2713</v>
      </c>
      <c r="F359" s="82" t="n">
        <v>301922</v>
      </c>
      <c r="G359" s="82" t="n">
        <v>731144</v>
      </c>
      <c r="H359" s="82" t="n">
        <v>1238751</v>
      </c>
      <c r="I359" s="82" t="n">
        <v>1707489</v>
      </c>
      <c r="J359" s="82" t="n">
        <v>1804006</v>
      </c>
      <c r="K359" s="82" t="n">
        <v>1902407</v>
      </c>
      <c r="L359" s="82" t="n">
        <v>1974240</v>
      </c>
      <c r="M359" s="82" t="n">
        <v>2034352</v>
      </c>
      <c r="N359" s="82" t="n">
        <v>2094918</v>
      </c>
      <c r="O359" s="82" t="n">
        <v>2155939</v>
      </c>
      <c r="P359" s="13" t="n">
        <f aca="false">SUM(F359:O359)</f>
        <v>15945168</v>
      </c>
    </row>
    <row r="360" customFormat="false" ht="15" hidden="false" customHeight="false" outlineLevel="0" collapsed="false">
      <c r="A360" s="8" t="s">
        <v>2716</v>
      </c>
      <c r="B360" s="8" t="s">
        <v>2717</v>
      </c>
      <c r="C360" s="8" t="s">
        <v>201</v>
      </c>
      <c r="D360" s="8" t="s">
        <v>2713</v>
      </c>
      <c r="F360" s="90" t="n">
        <v>0</v>
      </c>
      <c r="G360" s="90" t="n">
        <v>0</v>
      </c>
      <c r="H360" s="90" t="n">
        <v>0.3</v>
      </c>
      <c r="I360" s="90" t="n">
        <v>0.5</v>
      </c>
      <c r="J360" s="90" t="n">
        <v>1</v>
      </c>
      <c r="K360" s="90" t="n">
        <v>1</v>
      </c>
      <c r="L360" s="90" t="n">
        <v>1</v>
      </c>
      <c r="M360" s="90" t="n">
        <v>1</v>
      </c>
      <c r="N360" s="90" t="n">
        <v>1</v>
      </c>
      <c r="O360" s="90" t="n">
        <v>1</v>
      </c>
    </row>
    <row r="361" customFormat="false" ht="15" hidden="false" customHeight="false" outlineLevel="0" collapsed="false">
      <c r="A361" s="8" t="s">
        <v>2718</v>
      </c>
      <c r="B361" s="8" t="s">
        <v>2719</v>
      </c>
      <c r="C361" s="8" t="s">
        <v>255</v>
      </c>
      <c r="D361" s="8" t="s">
        <v>2713</v>
      </c>
      <c r="F361" s="13" t="n">
        <f aca="false">F102-F178-F190</f>
        <v>573023</v>
      </c>
      <c r="G361" s="13" t="n">
        <f aca="false">G102-G178-G190</f>
        <v>1029011</v>
      </c>
      <c r="H361" s="13" t="n">
        <f aca="false">H102-H178-H190</f>
        <v>1479759</v>
      </c>
      <c r="I361" s="13" t="n">
        <f aca="false">I102-I178-I190</f>
        <v>1886305</v>
      </c>
      <c r="J361" s="13" t="n">
        <f aca="false">J102-J178-J190</f>
        <v>1914796</v>
      </c>
      <c r="K361" s="13" t="n">
        <f aca="false">K102-K178-K190</f>
        <v>1973999</v>
      </c>
      <c r="L361" s="13" t="n">
        <f aca="false">L102-L178-L190</f>
        <v>2033657</v>
      </c>
      <c r="M361" s="13" t="n">
        <f aca="false">M102-M178-M190</f>
        <v>2093768</v>
      </c>
      <c r="N361" s="13" t="n">
        <f aca="false">N102-N178-N190</f>
        <v>2154334</v>
      </c>
      <c r="O361" s="13" t="n">
        <f aca="false">O102-O178-O190</f>
        <v>2215355</v>
      </c>
      <c r="P361" s="13" t="n">
        <f aca="false">SUM(F361:O361)</f>
        <v>17354007</v>
      </c>
    </row>
    <row r="362" customFormat="false" ht="15" hidden="false" customHeight="false" outlineLevel="0" collapsed="false">
      <c r="A362" s="8" t="s">
        <v>2720</v>
      </c>
      <c r="B362" s="8" t="s">
        <v>2721</v>
      </c>
      <c r="C362" s="8" t="s">
        <v>255</v>
      </c>
      <c r="D362" s="8" t="s">
        <v>2713</v>
      </c>
      <c r="F362" s="13" t="n">
        <f aca="false">F358-F192-F193</f>
        <v>301922</v>
      </c>
      <c r="G362" s="13" t="n">
        <f aca="false">G358-G192-G193</f>
        <v>731145</v>
      </c>
      <c r="H362" s="13" t="n">
        <f aca="false">H358-H192-H193</f>
        <v>1238751</v>
      </c>
      <c r="I362" s="13" t="n">
        <f aca="false">I358-I192-I193</f>
        <v>1707490</v>
      </c>
      <c r="J362" s="13" t="n">
        <f aca="false">J358-J192-J193</f>
        <v>1804006</v>
      </c>
      <c r="K362" s="13" t="n">
        <f aca="false">K358-K192-K193</f>
        <v>1902407</v>
      </c>
      <c r="L362" s="13" t="n">
        <f aca="false">L358-L192-L193</f>
        <v>1974240</v>
      </c>
      <c r="M362" s="13" t="n">
        <f aca="false">M358-M192-M193</f>
        <v>2034351</v>
      </c>
      <c r="N362" s="13" t="n">
        <f aca="false">N358-N192-N193</f>
        <v>2094918</v>
      </c>
      <c r="O362" s="13" t="n">
        <f aca="false">O358-O192-O193</f>
        <v>2155938</v>
      </c>
      <c r="P362" s="13" t="n">
        <f aca="false">SUM(F362:O362)</f>
        <v>15945168</v>
      </c>
    </row>
    <row r="363" customFormat="false" ht="15" hidden="false" customHeight="false" outlineLevel="0" collapsed="false">
      <c r="A363" s="8" t="s">
        <v>2722</v>
      </c>
      <c r="B363" s="5" t="s">
        <v>2723</v>
      </c>
      <c r="C363" s="8" t="s">
        <v>255</v>
      </c>
      <c r="D363" s="8"/>
      <c r="E363" s="93"/>
      <c r="F363" s="70" t="n">
        <f aca="false">F361-F358</f>
        <v>-1</v>
      </c>
      <c r="G363" s="70" t="n">
        <f aca="false">G361-G358</f>
        <v>0</v>
      </c>
      <c r="H363" s="70" t="n">
        <f aca="false">H361-H358</f>
        <v>0</v>
      </c>
      <c r="I363" s="70" t="n">
        <f aca="false">I361-I358</f>
        <v>-1</v>
      </c>
      <c r="J363" s="70" t="n">
        <f aca="false">J361-J358</f>
        <v>0</v>
      </c>
      <c r="K363" s="70" t="n">
        <f aca="false">K361-K358</f>
        <v>0</v>
      </c>
      <c r="L363" s="70" t="n">
        <f aca="false">L361-L358</f>
        <v>0</v>
      </c>
      <c r="M363" s="70" t="n">
        <f aca="false">M361-M358</f>
        <v>0</v>
      </c>
      <c r="N363" s="70" t="n">
        <f aca="false">N361-N358</f>
        <v>-1</v>
      </c>
      <c r="O363" s="70" t="n">
        <f aca="false">O361-O358</f>
        <v>0</v>
      </c>
      <c r="P363" s="93"/>
    </row>
    <row r="364" customFormat="false" ht="15" hidden="false" customHeight="false" outlineLevel="0" collapsed="false">
      <c r="A364" s="8" t="s">
        <v>2724</v>
      </c>
      <c r="B364" s="5" t="s">
        <v>2725</v>
      </c>
      <c r="C364" s="8" t="s">
        <v>255</v>
      </c>
      <c r="D364" s="8"/>
      <c r="E364" s="93"/>
      <c r="F364" s="70" t="n">
        <f aca="false">F362-F359</f>
        <v>0</v>
      </c>
      <c r="G364" s="70" t="n">
        <f aca="false">G362-G359</f>
        <v>1</v>
      </c>
      <c r="H364" s="70" t="n">
        <f aca="false">H362-H359</f>
        <v>0</v>
      </c>
      <c r="I364" s="70" t="n">
        <f aca="false">I362-I359</f>
        <v>1</v>
      </c>
      <c r="J364" s="70" t="n">
        <f aca="false">J362-J359</f>
        <v>0</v>
      </c>
      <c r="K364" s="70" t="n">
        <f aca="false">K362-K359</f>
        <v>0</v>
      </c>
      <c r="L364" s="70" t="n">
        <f aca="false">L362-L359</f>
        <v>0</v>
      </c>
      <c r="M364" s="70" t="n">
        <f aca="false">M362-M359</f>
        <v>-1</v>
      </c>
      <c r="N364" s="70" t="n">
        <f aca="false">N362-N359</f>
        <v>0</v>
      </c>
      <c r="O364" s="70" t="n">
        <f aca="false">O362-O359</f>
        <v>-1</v>
      </c>
      <c r="P364" s="93"/>
    </row>
    <row r="365" customFormat="false" ht="15" hidden="false" customHeight="false" outlineLevel="0" collapsed="false">
      <c r="A365" s="8" t="s">
        <v>2726</v>
      </c>
      <c r="B365" s="5" t="s">
        <v>2727</v>
      </c>
      <c r="C365" s="8" t="s">
        <v>255</v>
      </c>
      <c r="D365" s="8"/>
      <c r="E365" s="93"/>
      <c r="F365" s="70" t="n">
        <f aca="false">F288+F289-F193</f>
        <v>-0.0675689745112322</v>
      </c>
      <c r="G365" s="70" t="n">
        <f aca="false">G288+G289-G193</f>
        <v>0.254121452016989</v>
      </c>
      <c r="H365" s="70" t="n">
        <f aca="false">H288+H289-H193</f>
        <v>-0.0270588327257428</v>
      </c>
      <c r="I365" s="70" t="n">
        <f aca="false">I288+I289-I193</f>
        <v>-0.00720354441727977</v>
      </c>
      <c r="J365" s="70" t="n">
        <f aca="false">J288+J289-J193</f>
        <v>-0.0240656469031819</v>
      </c>
      <c r="K365" s="70" t="n">
        <f aca="false">K288+K289-K193</f>
        <v>0</v>
      </c>
      <c r="L365" s="70" t="n">
        <f aca="false">L288+L289-L193</f>
        <v>0</v>
      </c>
      <c r="M365" s="70" t="n">
        <f aca="false">M288+M289-M193</f>
        <v>0</v>
      </c>
      <c r="N365" s="70" t="n">
        <f aca="false">N288+N289-N193</f>
        <v>0</v>
      </c>
      <c r="O365" s="70" t="n">
        <f aca="false">O288+O289-O193</f>
        <v>0</v>
      </c>
      <c r="P365" s="93"/>
    </row>
    <row r="366" customFormat="false" ht="15" hidden="false" customHeight="false" outlineLevel="0" collapsed="false">
      <c r="A366" s="8" t="s">
        <v>2728</v>
      </c>
      <c r="B366" s="8" t="s">
        <v>2729</v>
      </c>
      <c r="C366" s="8" t="s">
        <v>255</v>
      </c>
      <c r="D366" s="8" t="s">
        <v>2713</v>
      </c>
      <c r="F366" s="82" t="n">
        <v>0</v>
      </c>
      <c r="G366" s="82" t="n">
        <v>0</v>
      </c>
      <c r="H366" s="82" t="n">
        <v>371625</v>
      </c>
      <c r="I366" s="82" t="n">
        <v>853745</v>
      </c>
      <c r="J366" s="82" t="n">
        <v>1804006</v>
      </c>
      <c r="K366" s="82" t="n">
        <v>1902407</v>
      </c>
      <c r="L366" s="82" t="n">
        <v>1974240</v>
      </c>
      <c r="M366" s="82" t="n">
        <v>2034352</v>
      </c>
      <c r="N366" s="82" t="n">
        <v>2094918</v>
      </c>
      <c r="O366" s="82" t="n">
        <v>2155939</v>
      </c>
      <c r="P366" s="13" t="n">
        <f aca="false">SUM(F366:O366)</f>
        <v>13191232</v>
      </c>
    </row>
    <row r="368" customFormat="false" ht="15" hidden="false" customHeight="false" outlineLevel="0" collapsed="false">
      <c r="A368" s="8" t="s">
        <v>2730</v>
      </c>
      <c r="B368" s="8" t="s">
        <v>2731</v>
      </c>
      <c r="C368" s="8" t="s">
        <v>255</v>
      </c>
      <c r="D368" s="8" t="s">
        <v>2259</v>
      </c>
      <c r="F368" s="82" t="n">
        <v>39863</v>
      </c>
      <c r="G368" s="82" t="n">
        <v>50804</v>
      </c>
      <c r="H368" s="82" t="n">
        <v>61961</v>
      </c>
      <c r="I368" s="82" t="n">
        <v>71387</v>
      </c>
      <c r="J368" s="82" t="n">
        <v>72101</v>
      </c>
      <c r="K368" s="82" t="n">
        <v>72822</v>
      </c>
      <c r="L368" s="82" t="n">
        <v>73550</v>
      </c>
      <c r="M368" s="82" t="n">
        <v>74286</v>
      </c>
      <c r="N368" s="82" t="n">
        <v>75029</v>
      </c>
      <c r="O368" s="82" t="n">
        <v>75779</v>
      </c>
    </row>
    <row r="369" customFormat="false" ht="15" hidden="false" customHeight="false" outlineLevel="0" collapsed="false">
      <c r="A369" s="8" t="s">
        <v>2732</v>
      </c>
      <c r="B369" s="8" t="s">
        <v>2733</v>
      </c>
      <c r="C369" s="8" t="s">
        <v>255</v>
      </c>
      <c r="D369" s="8" t="s">
        <v>2259</v>
      </c>
      <c r="F369" s="82" t="n">
        <v>17890</v>
      </c>
      <c r="G369" s="82" t="n">
        <v>17890</v>
      </c>
      <c r="H369" s="82" t="n">
        <v>18647</v>
      </c>
      <c r="I369" s="82" t="n">
        <v>19239</v>
      </c>
      <c r="J369" s="82" t="n">
        <v>19977</v>
      </c>
      <c r="K369" s="82" t="n">
        <v>19977</v>
      </c>
      <c r="L369" s="82" t="n">
        <v>19977</v>
      </c>
      <c r="M369" s="82" t="n">
        <v>19977</v>
      </c>
      <c r="N369" s="82" t="n">
        <v>19977</v>
      </c>
      <c r="O369" s="82" t="n">
        <v>19977</v>
      </c>
    </row>
    <row r="370" customFormat="false" ht="15" hidden="false" customHeight="false" outlineLevel="0" collapsed="false">
      <c r="A370" s="8" t="s">
        <v>2734</v>
      </c>
      <c r="B370" s="8" t="s">
        <v>2735</v>
      </c>
      <c r="C370" s="8" t="s">
        <v>255</v>
      </c>
      <c r="D370" s="8" t="s">
        <v>2259</v>
      </c>
      <c r="F370" s="82" t="n">
        <v>819315</v>
      </c>
      <c r="G370" s="82" t="n">
        <v>1041023</v>
      </c>
      <c r="H370" s="82" t="n">
        <v>1262706</v>
      </c>
      <c r="I370" s="82" t="n">
        <v>1443403</v>
      </c>
      <c r="J370" s="82" t="n">
        <v>1449282</v>
      </c>
      <c r="K370" s="82" t="n">
        <v>1455220</v>
      </c>
      <c r="L370" s="82" t="n">
        <v>1461217</v>
      </c>
      <c r="M370" s="82" t="n">
        <v>1467274</v>
      </c>
      <c r="N370" s="82" t="n">
        <v>1473392</v>
      </c>
      <c r="O370" s="82" t="n">
        <v>1479571</v>
      </c>
    </row>
    <row r="371" customFormat="false" ht="15" hidden="false" customHeight="false" outlineLevel="0" collapsed="false">
      <c r="A371" s="8" t="s">
        <v>2736</v>
      </c>
      <c r="B371" s="8" t="s">
        <v>2737</v>
      </c>
      <c r="C371" s="8" t="s">
        <v>255</v>
      </c>
      <c r="D371" s="8" t="s">
        <v>2259</v>
      </c>
      <c r="F371" s="82" t="n">
        <v>1406129</v>
      </c>
      <c r="G371" s="82" t="n">
        <v>1693870</v>
      </c>
      <c r="H371" s="82" t="n">
        <v>1991928</v>
      </c>
      <c r="I371" s="82" t="n">
        <v>2235331</v>
      </c>
      <c r="J371" s="82" t="n">
        <v>2254519</v>
      </c>
      <c r="K371" s="82" t="n">
        <v>2263895</v>
      </c>
      <c r="L371" s="82" t="n">
        <v>2273411</v>
      </c>
      <c r="M371" s="82" t="n">
        <v>2283068</v>
      </c>
      <c r="N371" s="82" t="n">
        <v>2292870</v>
      </c>
      <c r="O371" s="82" t="n">
        <v>2302820</v>
      </c>
    </row>
    <row r="372" customFormat="false" ht="15" hidden="false" customHeight="false" outlineLevel="0" collapsed="false">
      <c r="A372" s="8" t="s">
        <v>2738</v>
      </c>
      <c r="B372" s="8" t="s">
        <v>2739</v>
      </c>
      <c r="C372" s="8" t="s">
        <v>255</v>
      </c>
      <c r="D372" s="8" t="s">
        <v>2259</v>
      </c>
      <c r="F372" s="82" t="n">
        <v>117177</v>
      </c>
      <c r="G372" s="82" t="n">
        <v>141156</v>
      </c>
      <c r="H372" s="82" t="n">
        <v>165994</v>
      </c>
      <c r="I372" s="82" t="n">
        <v>186278</v>
      </c>
      <c r="J372" s="82" t="n">
        <v>187877</v>
      </c>
      <c r="K372" s="82" t="n">
        <v>188658</v>
      </c>
      <c r="L372" s="82" t="n">
        <v>189451</v>
      </c>
      <c r="M372" s="82" t="n">
        <v>190256</v>
      </c>
      <c r="N372" s="82" t="n">
        <v>191073</v>
      </c>
      <c r="O372" s="82" t="n">
        <v>191902</v>
      </c>
    </row>
    <row r="373" customFormat="false" ht="15" hidden="false" customHeight="false" outlineLevel="0" collapsed="false">
      <c r="A373" s="8" t="s">
        <v>2740</v>
      </c>
      <c r="B373" s="8" t="s">
        <v>2741</v>
      </c>
      <c r="C373" s="8" t="s">
        <v>255</v>
      </c>
      <c r="D373" s="8" t="s">
        <v>2259</v>
      </c>
      <c r="F373" s="82" t="n">
        <v>63831</v>
      </c>
      <c r="G373" s="82" t="n">
        <v>70082</v>
      </c>
      <c r="H373" s="82" t="n">
        <v>77382</v>
      </c>
      <c r="I373" s="82" t="n">
        <v>83478</v>
      </c>
      <c r="J373" s="82" t="n">
        <v>85233</v>
      </c>
      <c r="K373" s="82" t="n">
        <v>85995</v>
      </c>
      <c r="L373" s="82" t="n">
        <v>86775</v>
      </c>
      <c r="M373" s="82" t="n">
        <v>87574</v>
      </c>
      <c r="N373" s="82" t="n">
        <v>88393</v>
      </c>
      <c r="O373" s="82" t="n">
        <v>89232</v>
      </c>
    </row>
    <row r="374" customFormat="false" ht="15" hidden="false" customHeight="false" outlineLevel="0" collapsed="false">
      <c r="A374" s="8" t="s">
        <v>2742</v>
      </c>
      <c r="B374" s="8" t="s">
        <v>2743</v>
      </c>
      <c r="C374" s="8" t="s">
        <v>255</v>
      </c>
      <c r="D374" s="8" t="s">
        <v>2259</v>
      </c>
      <c r="F374" s="82" t="n">
        <v>2336543</v>
      </c>
      <c r="G374" s="82" t="n">
        <v>2874662</v>
      </c>
      <c r="H374" s="82" t="n">
        <v>3423854</v>
      </c>
      <c r="I374" s="82" t="n">
        <v>3872159</v>
      </c>
      <c r="J374" s="82" t="n">
        <v>3898522</v>
      </c>
      <c r="K374" s="82" t="n">
        <v>3914577</v>
      </c>
      <c r="L374" s="82" t="n">
        <v>3930831</v>
      </c>
      <c r="M374" s="82" t="n">
        <v>3947287</v>
      </c>
      <c r="N374" s="82" t="n">
        <v>3963948</v>
      </c>
      <c r="O374" s="82" t="n">
        <v>3980818</v>
      </c>
    </row>
    <row r="375" customFormat="false" ht="15" hidden="false" customHeight="false" outlineLevel="0" collapsed="false">
      <c r="A375" s="8" t="s">
        <v>2744</v>
      </c>
      <c r="B375" s="8" t="s">
        <v>2745</v>
      </c>
      <c r="C375" s="8" t="s">
        <v>255</v>
      </c>
      <c r="D375" s="8" t="s">
        <v>2259</v>
      </c>
      <c r="F375" s="13" t="n">
        <f aca="false">F102*$E$29/365</f>
        <v>39863.0136986301</v>
      </c>
      <c r="G375" s="13" t="n">
        <f aca="false">G102*$E$29/365</f>
        <v>50804.3835616438</v>
      </c>
      <c r="H375" s="13" t="n">
        <f aca="false">H102*$E$29/365</f>
        <v>61960.5945205479</v>
      </c>
      <c r="I375" s="13" t="n">
        <f aca="false">I102*$E$29/365</f>
        <v>71387.1534246575</v>
      </c>
      <c r="J375" s="13" t="n">
        <f aca="false">J102*$E$29/365</f>
        <v>72101.0301369863</v>
      </c>
      <c r="K375" s="13" t="n">
        <f aca="false">K102*$E$29/365</f>
        <v>72822.0410958904</v>
      </c>
      <c r="L375" s="13" t="n">
        <f aca="false">L102*$E$29/365</f>
        <v>73550.2602739726</v>
      </c>
      <c r="M375" s="13" t="n">
        <f aca="false">M102*$E$29/365</f>
        <v>74285.7616438356</v>
      </c>
      <c r="N375" s="13" t="n">
        <f aca="false">N102*$E$29/365</f>
        <v>75028.6191780822</v>
      </c>
      <c r="O375" s="13" t="n">
        <f aca="false">O102*$E$29/365</f>
        <v>75778.9068493151</v>
      </c>
    </row>
    <row r="376" customFormat="false" ht="15" hidden="false" customHeight="false" outlineLevel="0" collapsed="false">
      <c r="A376" s="8" t="s">
        <v>2746</v>
      </c>
      <c r="B376" s="8" t="s">
        <v>2747</v>
      </c>
      <c r="C376" s="8" t="s">
        <v>255</v>
      </c>
      <c r="D376" s="8" t="s">
        <v>2259</v>
      </c>
      <c r="F376" s="13" t="n">
        <f aca="false">(F167+F179)*$E$30/365</f>
        <v>17889.904109589</v>
      </c>
      <c r="G376" s="13" t="n">
        <f aca="false">(G167+G179)*$E$30/365</f>
        <v>17889.904109589</v>
      </c>
      <c r="H376" s="13" t="n">
        <f aca="false">(H167+H179)*$E$30/365</f>
        <v>18647.4246575342</v>
      </c>
      <c r="I376" s="13" t="n">
        <f aca="false">(I167+I179)*$E$30/365</f>
        <v>19239.1643835616</v>
      </c>
      <c r="J376" s="13" t="n">
        <f aca="false">(J167+J179)*$E$30/365</f>
        <v>19977.0821917808</v>
      </c>
      <c r="K376" s="13" t="n">
        <f aca="false">(K167+K179)*$E$30/365</f>
        <v>19977.0821917808</v>
      </c>
      <c r="L376" s="13" t="n">
        <f aca="false">(L167+L179)*$E$30/365</f>
        <v>19977.0821917808</v>
      </c>
      <c r="M376" s="13" t="n">
        <f aca="false">(M167+M179)*$E$30/365</f>
        <v>19977.0821917808</v>
      </c>
      <c r="N376" s="13" t="n">
        <f aca="false">(N167+N179)*$E$30/365</f>
        <v>19977.0821917808</v>
      </c>
      <c r="O376" s="13" t="n">
        <f aca="false">(O167+O179)*$E$30/365</f>
        <v>19977.0821917808</v>
      </c>
    </row>
    <row r="377" customFormat="false" ht="15" hidden="false" customHeight="false" outlineLevel="0" collapsed="false">
      <c r="A377" s="8" t="s">
        <v>2748</v>
      </c>
      <c r="B377" s="8" t="s">
        <v>2749</v>
      </c>
      <c r="C377" s="8" t="s">
        <v>255</v>
      </c>
      <c r="D377" s="8" t="s">
        <v>2259</v>
      </c>
      <c r="F377" s="13" t="n">
        <f aca="false">(F164+F165+F166)*$E$31/365</f>
        <v>819314.630136986</v>
      </c>
      <c r="G377" s="13" t="n">
        <f aca="false">(G164+G165+G166)*$E$31/365</f>
        <v>1041023.67123288</v>
      </c>
      <c r="H377" s="13" t="n">
        <f aca="false">(H164+H165+H166)*$E$31/365</f>
        <v>1262706.08219178</v>
      </c>
      <c r="I377" s="13" t="n">
        <f aca="false">(I164+I165+I166)*$E$31/365</f>
        <v>1443402.4109589</v>
      </c>
      <c r="J377" s="13" t="n">
        <f aca="false">(J164+J165+J166)*$E$31/365</f>
        <v>1449281.42465753</v>
      </c>
      <c r="K377" s="13" t="n">
        <f aca="false">(K164+K165+K166)*$E$31/365</f>
        <v>1455219.61643836</v>
      </c>
      <c r="L377" s="13" t="n">
        <f aca="false">(L164+L165+L166)*$E$31/365</f>
        <v>1461216.65753425</v>
      </c>
      <c r="M377" s="13" t="n">
        <f aca="false">(M164+M165+M166)*$E$31/365</f>
        <v>1467274.19178082</v>
      </c>
      <c r="N377" s="13" t="n">
        <f aca="false">(N164+N165+N166)*$E$31/365</f>
        <v>1473391.89041096</v>
      </c>
      <c r="O377" s="13" t="n">
        <f aca="false">(O164+O165+O166)*$E$31/365</f>
        <v>1479571.06849315</v>
      </c>
      <c r="Q377" s="92" t="s">
        <v>2750</v>
      </c>
    </row>
    <row r="378" customFormat="false" ht="15" hidden="false" customHeight="false" outlineLevel="0" collapsed="false">
      <c r="A378" s="8" t="s">
        <v>2751</v>
      </c>
      <c r="B378" s="8" t="s">
        <v>2752</v>
      </c>
      <c r="C378" s="8" t="s">
        <v>255</v>
      </c>
      <c r="D378" s="8" t="s">
        <v>2259</v>
      </c>
      <c r="F378" s="13" t="n">
        <f aca="false">(F178+F190)*$E$32/365</f>
        <v>1406129.42465753</v>
      </c>
      <c r="G378" s="13" t="n">
        <f aca="false">(G178+G190)*$E$32/365</f>
        <v>1693870.35616438</v>
      </c>
      <c r="H378" s="13" t="n">
        <f aca="false">(H178+H190)*$E$32/365</f>
        <v>1991927.67123288</v>
      </c>
      <c r="I378" s="13" t="n">
        <f aca="false">(I178+I190)*$E$32/365</f>
        <v>2235331.06849315</v>
      </c>
      <c r="J378" s="13" t="n">
        <f aca="false">(J178+J190)*$E$32/365</f>
        <v>2254519.23287671</v>
      </c>
      <c r="K378" s="13" t="n">
        <f aca="false">(K178+K190)*$E$32/365</f>
        <v>2263895.67123288</v>
      </c>
      <c r="L378" s="13" t="n">
        <f aca="false">(L178+L190)*$E$32/365</f>
        <v>2273410.84931507</v>
      </c>
      <c r="M378" s="13" t="n">
        <f aca="false">(M178+M190)*$E$32/365</f>
        <v>2283068.38356164</v>
      </c>
      <c r="N378" s="13" t="n">
        <f aca="false">(N178+N190)*$E$32/365</f>
        <v>2292870.57534247</v>
      </c>
      <c r="O378" s="13" t="n">
        <f aca="false">(O178+O190)*$E$32/365</f>
        <v>2302820.38356164</v>
      </c>
      <c r="Q378" s="92" t="s">
        <v>2753</v>
      </c>
    </row>
    <row r="379" customFormat="false" ht="15" hidden="false" customHeight="false" outlineLevel="0" collapsed="false">
      <c r="A379" s="8" t="s">
        <v>2754</v>
      </c>
      <c r="B379" s="8" t="s">
        <v>2755</v>
      </c>
      <c r="C379" s="8" t="s">
        <v>255</v>
      </c>
      <c r="D379" s="8" t="s">
        <v>2259</v>
      </c>
      <c r="F379" s="13" t="n">
        <f aca="false">F102*$E$32/365</f>
        <v>1594520.54794521</v>
      </c>
      <c r="G379" s="13" t="n">
        <f aca="false">G102*$E$32/365</f>
        <v>2032175.34246575</v>
      </c>
      <c r="H379" s="13" t="n">
        <f aca="false">H102*$E$32/365</f>
        <v>2478423.78082192</v>
      </c>
      <c r="I379" s="13" t="n">
        <f aca="false">I102*$E$32/365</f>
        <v>2855486.1369863</v>
      </c>
      <c r="J379" s="13" t="n">
        <f aca="false">J102*$E$32/365</f>
        <v>2884041.20547945</v>
      </c>
      <c r="K379" s="13" t="n">
        <f aca="false">K102*$E$32/365</f>
        <v>2912881.64383562</v>
      </c>
      <c r="L379" s="13" t="n">
        <f aca="false">L102*$E$32/365</f>
        <v>2942010.4109589</v>
      </c>
      <c r="M379" s="13" t="n">
        <f aca="false">M102*$E$32/365</f>
        <v>2971430.46575342</v>
      </c>
      <c r="N379" s="13" t="n">
        <f aca="false">N102*$E$32/365</f>
        <v>3001144.76712329</v>
      </c>
      <c r="O379" s="13" t="n">
        <f aca="false">O102*$E$32/365</f>
        <v>3031156.2739726</v>
      </c>
    </row>
    <row r="380" customFormat="false" ht="15" hidden="false" customHeight="false" outlineLevel="0" collapsed="false">
      <c r="A380" s="8" t="s">
        <v>2756</v>
      </c>
      <c r="B380" s="5" t="s">
        <v>2757</v>
      </c>
      <c r="C380" s="8" t="s">
        <v>255</v>
      </c>
      <c r="D380" s="8"/>
      <c r="E380" s="93"/>
      <c r="F380" s="70" t="n">
        <f aca="false">F379-F371</f>
        <v>188391.547945206</v>
      </c>
      <c r="G380" s="70" t="n">
        <f aca="false">G379-G371</f>
        <v>338305.342465753</v>
      </c>
      <c r="H380" s="70" t="n">
        <f aca="false">H379-H371</f>
        <v>486495.780821918</v>
      </c>
      <c r="I380" s="70" t="n">
        <f aca="false">I379-I371</f>
        <v>620155.136986301</v>
      </c>
      <c r="J380" s="70" t="n">
        <f aca="false">J379-J371</f>
        <v>629522.205479452</v>
      </c>
      <c r="K380" s="70" t="n">
        <f aca="false">K379-K371</f>
        <v>648986.643835616</v>
      </c>
      <c r="L380" s="70" t="n">
        <f aca="false">L379-L371</f>
        <v>668599.410958904</v>
      </c>
      <c r="M380" s="70" t="n">
        <f aca="false">M379-M371</f>
        <v>688362.465753424</v>
      </c>
      <c r="N380" s="70" t="n">
        <f aca="false">N379-N371</f>
        <v>708274.767123288</v>
      </c>
      <c r="O380" s="70" t="n">
        <f aca="false">O379-O371</f>
        <v>728336.273972603</v>
      </c>
      <c r="P380" s="93"/>
      <c r="Q380" s="92" t="s">
        <v>2758</v>
      </c>
    </row>
    <row r="381" customFormat="false" ht="15" hidden="false" customHeight="false" outlineLevel="0" collapsed="false">
      <c r="A381" s="8" t="s">
        <v>2759</v>
      </c>
      <c r="B381" s="8" t="s">
        <v>2760</v>
      </c>
      <c r="C381" s="8" t="s">
        <v>255</v>
      </c>
      <c r="D381" s="8" t="s">
        <v>2259</v>
      </c>
      <c r="F381" s="13" t="n">
        <f aca="false">(F178+F190)*$E$33/365</f>
        <v>117177.452054795</v>
      </c>
      <c r="G381" s="13" t="n">
        <f aca="false">(G178+G190)*$E$33/365</f>
        <v>141155.863013699</v>
      </c>
      <c r="H381" s="13" t="n">
        <f aca="false">(H178+H190)*$E$33/365</f>
        <v>165993.97260274</v>
      </c>
      <c r="I381" s="13" t="n">
        <f aca="false">(I178+I190)*$E$33/365</f>
        <v>186277.589041096</v>
      </c>
      <c r="J381" s="13" t="n">
        <f aca="false">(J178+J190)*$E$33/365</f>
        <v>187876.602739726</v>
      </c>
      <c r="K381" s="13" t="n">
        <f aca="false">(K178+K190)*$E$33/365</f>
        <v>188657.97260274</v>
      </c>
      <c r="L381" s="13" t="n">
        <f aca="false">(L178+L190)*$E$33/365</f>
        <v>189450.904109589</v>
      </c>
      <c r="M381" s="13" t="n">
        <f aca="false">(M178+M190)*$E$33/365</f>
        <v>190255.698630137</v>
      </c>
      <c r="N381" s="13" t="n">
        <f aca="false">(N178+N190)*$E$33/365</f>
        <v>191072.547945205</v>
      </c>
      <c r="O381" s="13" t="n">
        <f aca="false">(O178+O190)*$E$33/365</f>
        <v>191901.698630137</v>
      </c>
      <c r="Q381" s="92" t="s">
        <v>2761</v>
      </c>
    </row>
    <row r="382" customFormat="false" ht="15" hidden="false" customHeight="false" outlineLevel="0" collapsed="false">
      <c r="A382" s="8" t="s">
        <v>2762</v>
      </c>
      <c r="B382" s="8" t="s">
        <v>2763</v>
      </c>
      <c r="C382" s="8" t="s">
        <v>255</v>
      </c>
      <c r="D382" s="8" t="s">
        <v>2259</v>
      </c>
      <c r="F382" s="13" t="n">
        <f aca="false">F375+F376+F377+F378+F381-F373</f>
        <v>2336543.42465753</v>
      </c>
      <c r="G382" s="13" t="n">
        <f aca="false">G375+G376+G377+G378+G381-G373</f>
        <v>2874662.17808219</v>
      </c>
      <c r="H382" s="13" t="n">
        <f aca="false">H375+H376+H377+H378+H381-H373</f>
        <v>3423853.74520548</v>
      </c>
      <c r="I382" s="13" t="n">
        <f aca="false">I375+I376+I377+I378+I381-I373</f>
        <v>3872159.38630137</v>
      </c>
      <c r="J382" s="13" t="n">
        <f aca="false">J375+J376+J377+J378+J381-J373</f>
        <v>3898522.37260274</v>
      </c>
      <c r="K382" s="13" t="n">
        <f aca="false">K375+K376+K377+K378+K381-K373</f>
        <v>3914577.38356164</v>
      </c>
      <c r="L382" s="13" t="n">
        <f aca="false">L375+L376+L377+L378+L381-L373</f>
        <v>3930830.75342466</v>
      </c>
      <c r="M382" s="13" t="n">
        <f aca="false">M375+M376+M377+M378+M381-M373</f>
        <v>3947287.11780822</v>
      </c>
      <c r="N382" s="13" t="n">
        <f aca="false">N375+N376+N377+N378+N381-N373</f>
        <v>3963947.71506849</v>
      </c>
      <c r="O382" s="13" t="n">
        <f aca="false">O375+O376+O377+O378+O381-O373</f>
        <v>3980817.13972603</v>
      </c>
    </row>
    <row r="383" customFormat="false" ht="15" hidden="false" customHeight="false" outlineLevel="0" collapsed="false">
      <c r="A383" s="8" t="s">
        <v>2764</v>
      </c>
      <c r="B383" s="5" t="s">
        <v>2765</v>
      </c>
      <c r="C383" s="8" t="s">
        <v>255</v>
      </c>
      <c r="D383" s="8"/>
      <c r="E383" s="93"/>
      <c r="F383" s="70" t="n">
        <f aca="false">F382-F374</f>
        <v>0.424657534342259</v>
      </c>
      <c r="G383" s="70" t="n">
        <f aca="false">G382-G374</f>
        <v>0.17808219185099</v>
      </c>
      <c r="H383" s="70" t="n">
        <f aca="false">H382-H374</f>
        <v>-0.254794520325959</v>
      </c>
      <c r="I383" s="70" t="n">
        <f aca="false">I382-I374</f>
        <v>0.386301369871944</v>
      </c>
      <c r="J383" s="70" t="n">
        <f aca="false">J382-J374</f>
        <v>0.372602740302682</v>
      </c>
      <c r="K383" s="70" t="n">
        <f aca="false">K382-K374</f>
        <v>0.383561644237489</v>
      </c>
      <c r="L383" s="70" t="n">
        <f aca="false">L382-L374</f>
        <v>-0.246575342491269</v>
      </c>
      <c r="M383" s="70" t="n">
        <f aca="false">M382-M374</f>
        <v>0.117808219045401</v>
      </c>
      <c r="N383" s="70" t="n">
        <f aca="false">N382-N374</f>
        <v>-0.284931506961584</v>
      </c>
      <c r="O383" s="70" t="n">
        <f aca="false">O382-O374</f>
        <v>-0.860273972619325</v>
      </c>
      <c r="P383" s="93"/>
      <c r="Q383" s="92" t="s">
        <v>2766</v>
      </c>
    </row>
    <row r="384" customFormat="false" ht="15" hidden="false" customHeight="false" outlineLevel="0" collapsed="false">
      <c r="A384" s="8" t="s">
        <v>2767</v>
      </c>
      <c r="B384" s="8" t="s">
        <v>2768</v>
      </c>
      <c r="C384" s="8" t="s">
        <v>255</v>
      </c>
      <c r="D384" s="8" t="s">
        <v>2315</v>
      </c>
      <c r="E384" s="13" t="n">
        <f aca="false">F374</f>
        <v>2336543</v>
      </c>
      <c r="F384" s="13" t="n">
        <f aca="false">IF(1&lt;10,G374-F374,0)</f>
        <v>538119</v>
      </c>
      <c r="G384" s="13" t="n">
        <f aca="false">IF(2&lt;10,H374-G374,0)</f>
        <v>549192</v>
      </c>
      <c r="H384" s="13" t="n">
        <f aca="false">IF(3&lt;10,I374-H374,0)</f>
        <v>448305</v>
      </c>
      <c r="I384" s="13" t="n">
        <f aca="false">IF(4&lt;10,J374-I374,0)</f>
        <v>26363</v>
      </c>
      <c r="J384" s="13" t="n">
        <f aca="false">IF(5&lt;10,K374-J374,0)</f>
        <v>16055</v>
      </c>
      <c r="K384" s="13" t="n">
        <f aca="false">IF(6&lt;10,L374-K374,0)</f>
        <v>16254</v>
      </c>
      <c r="L384" s="13" t="n">
        <f aca="false">IF(7&lt;10,M374-L374,0)</f>
        <v>16456</v>
      </c>
      <c r="M384" s="13" t="n">
        <f aca="false">IF(8&lt;10,N374-M374,0)</f>
        <v>16661</v>
      </c>
      <c r="N384" s="13" t="n">
        <f aca="false">IF(9&lt;10,O374-N374,0)</f>
        <v>16870</v>
      </c>
      <c r="O384" s="13" t="n">
        <f aca="false">0</f>
        <v>0</v>
      </c>
    </row>
    <row r="385" customFormat="false" ht="15" hidden="false" customHeight="false" outlineLevel="0" collapsed="false">
      <c r="A385" s="8" t="s">
        <v>2769</v>
      </c>
      <c r="B385" s="8" t="s">
        <v>2770</v>
      </c>
      <c r="C385" s="8" t="s">
        <v>255</v>
      </c>
      <c r="D385" s="8" t="s">
        <v>2315</v>
      </c>
      <c r="E385" s="13" t="n">
        <f aca="false">F384+G384</f>
        <v>1087311</v>
      </c>
    </row>
    <row r="386" customFormat="false" ht="15" hidden="false" customHeight="false" outlineLevel="0" collapsed="false">
      <c r="A386" s="8" t="s">
        <v>2771</v>
      </c>
      <c r="B386" s="8" t="s">
        <v>2772</v>
      </c>
      <c r="C386" s="8" t="s">
        <v>255</v>
      </c>
      <c r="D386" s="8" t="s">
        <v>2315</v>
      </c>
      <c r="E386" s="13" t="n">
        <f aca="false">E54+E55</f>
        <v>939710</v>
      </c>
    </row>
    <row r="387" customFormat="false" ht="15" hidden="false" customHeight="false" outlineLevel="0" collapsed="false">
      <c r="A387" s="8" t="s">
        <v>2773</v>
      </c>
      <c r="B387" s="8" t="s">
        <v>2774</v>
      </c>
      <c r="C387" s="8" t="s">
        <v>255</v>
      </c>
      <c r="D387" s="8" t="s">
        <v>2775</v>
      </c>
      <c r="E387" s="13" t="n">
        <f aca="false">O374-E56</f>
        <v>6525</v>
      </c>
      <c r="Q387" s="8" t="s">
        <v>2776</v>
      </c>
    </row>
    <row r="389" customFormat="false" ht="15" hidden="false" customHeight="false" outlineLevel="0" collapsed="false">
      <c r="A389" s="3" t="s">
        <v>2777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customFormat="false" ht="15" hidden="false" customHeight="false" outlineLevel="0" collapsed="false">
      <c r="A390" s="8" t="s">
        <v>448</v>
      </c>
      <c r="B390" s="8" t="s">
        <v>2778</v>
      </c>
      <c r="C390" s="8" t="s">
        <v>255</v>
      </c>
      <c r="D390" s="8" t="s">
        <v>2779</v>
      </c>
      <c r="F390" s="82" t="n">
        <v>3298569</v>
      </c>
      <c r="G390" s="82" t="n">
        <v>4167382</v>
      </c>
      <c r="H390" s="82" t="n">
        <v>5038164</v>
      </c>
      <c r="I390" s="82" t="n">
        <v>5748282</v>
      </c>
      <c r="J390" s="82" t="n">
        <v>5771119</v>
      </c>
      <c r="K390" s="82" t="n">
        <v>5792435</v>
      </c>
      <c r="L390" s="82" t="n">
        <v>5813958</v>
      </c>
      <c r="M390" s="82" t="n">
        <v>5835690</v>
      </c>
      <c r="N390" s="82" t="n">
        <v>5857633</v>
      </c>
      <c r="O390" s="82" t="n">
        <v>5879790</v>
      </c>
    </row>
    <row r="391" customFormat="false" ht="15" hidden="false" customHeight="false" outlineLevel="0" collapsed="false">
      <c r="A391" s="8" t="s">
        <v>453</v>
      </c>
      <c r="B391" s="8" t="s">
        <v>2780</v>
      </c>
      <c r="C391" s="8" t="s">
        <v>255</v>
      </c>
      <c r="D391" s="8" t="s">
        <v>2779</v>
      </c>
      <c r="F391" s="82" t="n">
        <v>1249509</v>
      </c>
      <c r="G391" s="82" t="n">
        <v>1282674</v>
      </c>
      <c r="H391" s="82" t="n">
        <v>1261624</v>
      </c>
      <c r="I391" s="82" t="n">
        <v>1229666</v>
      </c>
      <c r="J391" s="82" t="n">
        <v>1197166</v>
      </c>
      <c r="K391" s="82" t="n">
        <v>1165172</v>
      </c>
      <c r="L391" s="82" t="n">
        <v>1160416</v>
      </c>
      <c r="M391" s="82" t="n">
        <v>1168059</v>
      </c>
      <c r="N391" s="82" t="n">
        <v>1175931</v>
      </c>
      <c r="O391" s="82" t="n">
        <v>1184039</v>
      </c>
    </row>
    <row r="392" customFormat="false" ht="15" hidden="false" customHeight="false" outlineLevel="0" collapsed="false">
      <c r="A392" s="8" t="s">
        <v>457</v>
      </c>
      <c r="B392" s="8" t="s">
        <v>2781</v>
      </c>
      <c r="C392" s="8" t="s">
        <v>825</v>
      </c>
      <c r="D392" s="8" t="s">
        <v>2779</v>
      </c>
      <c r="F392" s="82" t="n">
        <v>66042</v>
      </c>
      <c r="G392" s="82" t="n">
        <v>66878</v>
      </c>
      <c r="H392" s="82" t="n">
        <v>64585</v>
      </c>
      <c r="I392" s="82" t="n">
        <v>59031</v>
      </c>
      <c r="J392" s="82" t="n">
        <v>56245</v>
      </c>
      <c r="K392" s="82" t="n">
        <v>53557</v>
      </c>
      <c r="L392" s="82" t="n">
        <v>52197</v>
      </c>
      <c r="M392" s="82" t="n">
        <v>51429</v>
      </c>
      <c r="N392" s="82" t="n">
        <v>50692</v>
      </c>
      <c r="O392" s="82" t="n">
        <v>49985</v>
      </c>
    </row>
    <row r="393" customFormat="false" ht="15" hidden="false" customHeight="false" outlineLevel="0" collapsed="false">
      <c r="A393" s="8" t="s">
        <v>460</v>
      </c>
      <c r="B393" s="8" t="s">
        <v>2782</v>
      </c>
      <c r="C393" s="8" t="s">
        <v>255</v>
      </c>
      <c r="D393" s="8" t="s">
        <v>2779</v>
      </c>
      <c r="F393" s="13" t="n">
        <f aca="false">F391/(1-F390/F102)</f>
        <v>3906147.71137099</v>
      </c>
      <c r="G393" s="13" t="n">
        <f aca="false">G391/(1-G390/G102)</f>
        <v>3937031.31504436</v>
      </c>
      <c r="H393" s="13" t="n">
        <f aca="false">H391/(1-H390/H102)</f>
        <v>3803750.12841514</v>
      </c>
      <c r="I393" s="13" t="n">
        <f aca="false">I391/(1-I390/I102)</f>
        <v>3636235.25964479</v>
      </c>
      <c r="J393" s="13" t="n">
        <f aca="false">J391/(1-J390/J102)</f>
        <v>3499261.69683387</v>
      </c>
      <c r="K393" s="13" t="n">
        <f aca="false">K391/(1-K390/K102)</f>
        <v>3365337.30092777</v>
      </c>
      <c r="L393" s="13" t="n">
        <f aca="false">L391/(1-L390/L102)</f>
        <v>3312680.15091922</v>
      </c>
      <c r="M393" s="13" t="n">
        <f aca="false">M391/(1-M390/M102)</f>
        <v>3296589.73066199</v>
      </c>
      <c r="N393" s="13" t="n">
        <f aca="false">N391/(1-N390/N102)</f>
        <v>3281858.92003636</v>
      </c>
      <c r="O393" s="13" t="n">
        <f aca="false">O391/(1-O390/O102)</f>
        <v>3268454.75250668</v>
      </c>
    </row>
    <row r="394" customFormat="false" ht="15" hidden="false" customHeight="false" outlineLevel="0" collapsed="false">
      <c r="A394" s="8" t="s">
        <v>463</v>
      </c>
      <c r="B394" s="8" t="s">
        <v>2783</v>
      </c>
      <c r="C394" s="8" t="s">
        <v>825</v>
      </c>
      <c r="D394" s="8" t="s">
        <v>2779</v>
      </c>
      <c r="F394" s="13" t="n">
        <f aca="false">F393/F102*(F88+F91)</f>
        <v>66042.085016994</v>
      </c>
      <c r="G394" s="13" t="n">
        <f aca="false">G393/G102*(G88+G91)</f>
        <v>66878.3226686821</v>
      </c>
      <c r="H394" s="13" t="n">
        <f aca="false">H393/H102*(H88+H91)</f>
        <v>64585.4609808529</v>
      </c>
      <c r="I394" s="13" t="n">
        <f aca="false">I393/I102*(I88+I91)</f>
        <v>59030.9009909249</v>
      </c>
      <c r="J394" s="13" t="n">
        <f aca="false">J393/J102*(J88+J91)</f>
        <v>56244.8102791808</v>
      </c>
      <c r="K394" s="13" t="n">
        <f aca="false">K393/K102*(K88+K91)</f>
        <v>53556.6316118895</v>
      </c>
      <c r="L394" s="13" t="n">
        <f aca="false">L393/L102*(L88+L91)</f>
        <v>52196.6696834773</v>
      </c>
      <c r="M394" s="13" t="n">
        <f aca="false">M393/M102*(M88+M91)</f>
        <v>51428.851262377</v>
      </c>
      <c r="N394" s="13" t="n">
        <f aca="false">N393/N102*(N88+N91)</f>
        <v>50692.1203027104</v>
      </c>
      <c r="O394" s="13" t="n">
        <f aca="false">O393/O102*(O88+O91)</f>
        <v>49985.2241497471</v>
      </c>
      <c r="Q394" s="92" t="s">
        <v>2784</v>
      </c>
    </row>
    <row r="395" customFormat="false" ht="15" hidden="false" customHeight="false" outlineLevel="0" collapsed="false">
      <c r="A395" s="8" t="s">
        <v>467</v>
      </c>
      <c r="B395" s="8" t="s">
        <v>2785</v>
      </c>
      <c r="C395" s="8" t="s">
        <v>825</v>
      </c>
      <c r="D395" s="8"/>
      <c r="F395" s="13" t="n">
        <f aca="false">F393/F102*F88</f>
        <v>9664.69536834058</v>
      </c>
      <c r="G395" s="13" t="n">
        <f aca="false">G393/G102*G88</f>
        <v>9554.04609552601</v>
      </c>
      <c r="H395" s="13" t="n">
        <f aca="false">H393/H102*H88</f>
        <v>9082.33045043244</v>
      </c>
      <c r="I395" s="13" t="n">
        <f aca="false">I393/I102*I88</f>
        <v>8791.83631779732</v>
      </c>
      <c r="J395" s="13" t="n">
        <f aca="false">J393/J102*J88</f>
        <v>8376.88663732481</v>
      </c>
      <c r="K395" s="13" t="n">
        <f aca="false">K393/K102*K88</f>
        <v>7976.51960177078</v>
      </c>
      <c r="L395" s="13" t="n">
        <f aca="false">L393/L102*L88</f>
        <v>7773.9720805179</v>
      </c>
      <c r="M395" s="13" t="n">
        <f aca="false">M393/M102*M88</f>
        <v>7659.6161454604</v>
      </c>
      <c r="N395" s="13" t="n">
        <f aca="false">N393/N102*N88</f>
        <v>7549.89025785049</v>
      </c>
      <c r="O395" s="13" t="n">
        <f aca="false">O393/O102*O88</f>
        <v>7444.60785209</v>
      </c>
    </row>
    <row r="396" customFormat="false" ht="15" hidden="false" customHeight="false" outlineLevel="0" collapsed="false">
      <c r="A396" s="8" t="s">
        <v>470</v>
      </c>
      <c r="B396" s="8" t="s">
        <v>2786</v>
      </c>
      <c r="C396" s="8" t="s">
        <v>825</v>
      </c>
      <c r="D396" s="8"/>
      <c r="F396" s="13" t="n">
        <f aca="false">F393/F102*F91</f>
        <v>56377.3896486534</v>
      </c>
      <c r="G396" s="13" t="n">
        <f aca="false">G393/G102*G91</f>
        <v>57324.2765731561</v>
      </c>
      <c r="H396" s="13" t="n">
        <f aca="false">H393/H102*H91</f>
        <v>55503.1305304204</v>
      </c>
      <c r="I396" s="13" t="n">
        <f aca="false">I393/I102*I91</f>
        <v>50239.0646731276</v>
      </c>
      <c r="J396" s="13" t="n">
        <f aca="false">J393/J102*J91</f>
        <v>47867.923641856</v>
      </c>
      <c r="K396" s="13" t="n">
        <f aca="false">K393/K102*K91</f>
        <v>45580.1120101187</v>
      </c>
      <c r="L396" s="13" t="n">
        <f aca="false">L393/L102*L91</f>
        <v>44422.6976029594</v>
      </c>
      <c r="M396" s="13" t="n">
        <f aca="false">M393/M102*M91</f>
        <v>43769.2351169166</v>
      </c>
      <c r="N396" s="13" t="n">
        <f aca="false">N393/N102*N91</f>
        <v>43142.2300448599</v>
      </c>
      <c r="O396" s="13" t="n">
        <f aca="false">O393/O102*O91</f>
        <v>42540.6162976571</v>
      </c>
    </row>
    <row r="398" customFormat="false" ht="15" hidden="false" customHeight="false" outlineLevel="0" collapsed="false">
      <c r="A398" s="8" t="s">
        <v>2787</v>
      </c>
      <c r="B398" s="8" t="s">
        <v>2788</v>
      </c>
      <c r="C398" s="8" t="s">
        <v>255</v>
      </c>
      <c r="D398" s="8" t="s">
        <v>2315</v>
      </c>
      <c r="E398" s="82" t="n">
        <f aca="false">E50</f>
        <v>655044</v>
      </c>
      <c r="F398" s="82" t="n">
        <v>0</v>
      </c>
      <c r="G398" s="82" t="n">
        <v>100000</v>
      </c>
      <c r="H398" s="82" t="n">
        <v>0</v>
      </c>
      <c r="I398" s="82" t="n">
        <v>0</v>
      </c>
      <c r="J398" s="82" t="n">
        <v>0</v>
      </c>
      <c r="K398" s="82" t="n">
        <v>0</v>
      </c>
      <c r="L398" s="82" t="n">
        <v>0</v>
      </c>
      <c r="M398" s="82" t="n">
        <v>0</v>
      </c>
      <c r="N398" s="82" t="n">
        <v>0</v>
      </c>
      <c r="O398" s="82" t="n">
        <v>0</v>
      </c>
    </row>
    <row r="399" customFormat="false" ht="15" hidden="false" customHeight="false" outlineLevel="0" collapsed="false">
      <c r="A399" s="8" t="s">
        <v>2789</v>
      </c>
      <c r="B399" s="8" t="s">
        <v>2790</v>
      </c>
      <c r="C399" s="8" t="s">
        <v>255</v>
      </c>
      <c r="D399" s="8" t="s">
        <v>2315</v>
      </c>
      <c r="E399" s="82" t="n">
        <f aca="false">E51</f>
        <v>2336543</v>
      </c>
      <c r="F399" s="82" t="n">
        <v>538119</v>
      </c>
      <c r="G399" s="82" t="n">
        <v>549192</v>
      </c>
      <c r="H399" s="82" t="n">
        <v>448306</v>
      </c>
      <c r="I399" s="82" t="n">
        <v>26363</v>
      </c>
      <c r="J399" s="82" t="n">
        <v>16055</v>
      </c>
      <c r="K399" s="82" t="n">
        <v>16254</v>
      </c>
      <c r="L399" s="82" t="n">
        <v>16456</v>
      </c>
      <c r="M399" s="82" t="n">
        <v>16661</v>
      </c>
      <c r="N399" s="82" t="n">
        <v>16870</v>
      </c>
      <c r="O399" s="82" t="n">
        <v>0</v>
      </c>
    </row>
    <row r="400" customFormat="false" ht="15" hidden="false" customHeight="false" outlineLevel="0" collapsed="false">
      <c r="A400" s="8" t="s">
        <v>2791</v>
      </c>
      <c r="B400" s="8" t="s">
        <v>2792</v>
      </c>
      <c r="C400" s="8" t="s">
        <v>255</v>
      </c>
      <c r="D400" s="8" t="s">
        <v>2315</v>
      </c>
      <c r="F400" s="82" t="n">
        <v>0</v>
      </c>
      <c r="G400" s="82" t="n">
        <v>0</v>
      </c>
      <c r="H400" s="82" t="n">
        <v>0</v>
      </c>
      <c r="I400" s="82" t="n">
        <v>371625</v>
      </c>
      <c r="J400" s="82" t="n">
        <v>853745</v>
      </c>
      <c r="K400" s="82" t="n">
        <v>1804006</v>
      </c>
      <c r="L400" s="82" t="n">
        <v>1902407</v>
      </c>
      <c r="M400" s="82" t="n">
        <v>1974240</v>
      </c>
      <c r="N400" s="82" t="n">
        <v>2034352</v>
      </c>
      <c r="O400" s="82" t="n">
        <v>2094918</v>
      </c>
    </row>
    <row r="401" customFormat="false" ht="15" hidden="false" customHeight="false" outlineLevel="0" collapsed="false">
      <c r="A401" s="8" t="s">
        <v>2793</v>
      </c>
      <c r="B401" s="8" t="s">
        <v>2794</v>
      </c>
      <c r="C401" s="8" t="s">
        <v>255</v>
      </c>
      <c r="D401" s="8" t="s">
        <v>2315</v>
      </c>
      <c r="E401" s="82" t="n">
        <f aca="false">E14</f>
        <v>200000</v>
      </c>
      <c r="F401" s="82" t="n">
        <v>567782</v>
      </c>
      <c r="G401" s="82" t="n">
        <v>371928</v>
      </c>
      <c r="H401" s="82" t="n">
        <v>0</v>
      </c>
      <c r="I401" s="82" t="n">
        <v>0</v>
      </c>
      <c r="J401" s="82" t="n">
        <v>0</v>
      </c>
      <c r="K401" s="82" t="n">
        <v>0</v>
      </c>
      <c r="L401" s="82" t="n">
        <v>0</v>
      </c>
      <c r="M401" s="82" t="n">
        <v>0</v>
      </c>
      <c r="N401" s="82" t="n">
        <v>0</v>
      </c>
      <c r="O401" s="82" t="n">
        <v>0</v>
      </c>
    </row>
    <row r="402" customFormat="false" ht="15" hidden="false" customHeight="false" outlineLevel="0" collapsed="false">
      <c r="A402" s="8" t="s">
        <v>2795</v>
      </c>
      <c r="B402" s="8" t="s">
        <v>2796</v>
      </c>
      <c r="C402" s="8" t="s">
        <v>255</v>
      </c>
      <c r="D402" s="8" t="s">
        <v>2315</v>
      </c>
      <c r="F402" s="82" t="n">
        <v>74058</v>
      </c>
      <c r="G402" s="82" t="n">
        <v>48512</v>
      </c>
      <c r="H402" s="82" t="n">
        <v>307842</v>
      </c>
      <c r="I402" s="82" t="n">
        <v>1029689</v>
      </c>
      <c r="J402" s="82" t="n">
        <v>1314400</v>
      </c>
      <c r="K402" s="82" t="n">
        <v>1468140</v>
      </c>
      <c r="L402" s="82" t="n">
        <v>1582933</v>
      </c>
      <c r="M402" s="82" t="n">
        <v>1685801</v>
      </c>
      <c r="N402" s="82" t="n">
        <v>1788914</v>
      </c>
      <c r="O402" s="82" t="n">
        <v>1909351</v>
      </c>
    </row>
    <row r="403" customFormat="false" ht="15" hidden="false" customHeight="false" outlineLevel="0" collapsed="false">
      <c r="A403" s="8" t="s">
        <v>2797</v>
      </c>
      <c r="B403" s="8" t="s">
        <v>2798</v>
      </c>
      <c r="C403" s="8" t="s">
        <v>255</v>
      </c>
      <c r="D403" s="8" t="s">
        <v>2315</v>
      </c>
      <c r="F403" s="13" t="n">
        <f aca="false">0+F358+F401-F398-F399-F283-F193-F400</f>
        <v>74059</v>
      </c>
      <c r="G403" s="13" t="n">
        <f aca="false">F402+G358+G401-G398-G399-G283-G193-G400</f>
        <v>48512</v>
      </c>
      <c r="H403" s="13" t="n">
        <f aca="false">G402+H358+H401-H398-H399-H283-H193-H400</f>
        <v>307841</v>
      </c>
      <c r="I403" s="13" t="n">
        <f aca="false">H402+I358+I401-I398-I399-I283-I193-I400</f>
        <v>1029690</v>
      </c>
      <c r="J403" s="13" t="n">
        <f aca="false">I402+J358+J401-J398-J399-J283-J193-J400</f>
        <v>1314399</v>
      </c>
      <c r="K403" s="13" t="n">
        <f aca="false">J402+K358+K401-K398-K399-K283-K193-K400</f>
        <v>1468139</v>
      </c>
      <c r="L403" s="13" t="n">
        <f aca="false">K402+L358+L401-L398-L399-L283-L193-L400</f>
        <v>1582934</v>
      </c>
      <c r="M403" s="13" t="n">
        <f aca="false">L402+M358+M401-M398-M399-M283-M193-M400</f>
        <v>1685800</v>
      </c>
      <c r="N403" s="13" t="n">
        <f aca="false">M402+N358+N401-N398-N399-N283-N193-N400</f>
        <v>1788914</v>
      </c>
      <c r="O403" s="13" t="n">
        <f aca="false">N402+O358+O401-O398-O399-O283-O193-O400</f>
        <v>1909351</v>
      </c>
    </row>
    <row r="404" customFormat="false" ht="15" hidden="false" customHeight="false" outlineLevel="0" collapsed="false">
      <c r="A404" s="8" t="s">
        <v>2799</v>
      </c>
      <c r="B404" s="5" t="s">
        <v>2800</v>
      </c>
      <c r="C404" s="8" t="s">
        <v>255</v>
      </c>
      <c r="D404" s="8"/>
      <c r="E404" s="93"/>
      <c r="F404" s="70" t="n">
        <f aca="false">F403-F402</f>
        <v>1</v>
      </c>
      <c r="G404" s="70" t="n">
        <f aca="false">G403-G402</f>
        <v>0</v>
      </c>
      <c r="H404" s="70" t="n">
        <f aca="false">H403-H402</f>
        <v>-1</v>
      </c>
      <c r="I404" s="70" t="n">
        <f aca="false">I403-I402</f>
        <v>1</v>
      </c>
      <c r="J404" s="70" t="n">
        <f aca="false">J403-J402</f>
        <v>-1</v>
      </c>
      <c r="K404" s="70" t="n">
        <f aca="false">K403-K402</f>
        <v>-1</v>
      </c>
      <c r="L404" s="70" t="n">
        <f aca="false">L403-L402</f>
        <v>1</v>
      </c>
      <c r="M404" s="70" t="n">
        <f aca="false">M403-M402</f>
        <v>-1</v>
      </c>
      <c r="N404" s="70" t="n">
        <f aca="false">N403-N402</f>
        <v>0</v>
      </c>
      <c r="O404" s="70" t="n">
        <f aca="false">O403-O402</f>
        <v>0</v>
      </c>
      <c r="P404" s="93"/>
    </row>
    <row r="406" customFormat="false" ht="15" hidden="false" customHeight="false" outlineLevel="0" collapsed="false">
      <c r="A406" s="8" t="s">
        <v>2801</v>
      </c>
      <c r="B406" s="8" t="s">
        <v>2802</v>
      </c>
      <c r="C406" s="8" t="s">
        <v>255</v>
      </c>
      <c r="D406" s="8" t="s">
        <v>2320</v>
      </c>
      <c r="E406" s="82" t="n">
        <v>-2991587</v>
      </c>
      <c r="F406" s="82" t="n">
        <v>-493723</v>
      </c>
      <c r="G406" s="82" t="n">
        <v>-397474</v>
      </c>
      <c r="H406" s="82" t="n">
        <v>259330</v>
      </c>
      <c r="I406" s="82" t="n">
        <v>1093473</v>
      </c>
      <c r="J406" s="82" t="n">
        <v>1138455</v>
      </c>
      <c r="K406" s="82" t="n">
        <v>1957746</v>
      </c>
      <c r="L406" s="82" t="n">
        <v>2017201</v>
      </c>
      <c r="M406" s="82" t="n">
        <v>2077107</v>
      </c>
      <c r="N406" s="82" t="n">
        <v>2137465</v>
      </c>
      <c r="O406" s="82" t="n">
        <v>6249065</v>
      </c>
    </row>
    <row r="407" customFormat="false" ht="15" hidden="false" customHeight="false" outlineLevel="0" collapsed="false">
      <c r="A407" s="8" t="s">
        <v>2803</v>
      </c>
      <c r="B407" s="8" t="s">
        <v>2804</v>
      </c>
      <c r="C407" s="8" t="s">
        <v>255</v>
      </c>
      <c r="D407" s="8" t="s">
        <v>2320</v>
      </c>
      <c r="E407" s="13" t="n">
        <f aca="false">-E52</f>
        <v>-2991587</v>
      </c>
      <c r="F407" s="13" t="n">
        <f aca="false">F358+IF(1=10,$E$57+$E$56,0)-F398-F399-F283-F193</f>
        <v>-493723</v>
      </c>
      <c r="G407" s="13" t="n">
        <f aca="false">G358+IF(2=10,$E$57+$E$56,0)-G398-G399-G283-G193</f>
        <v>-397474</v>
      </c>
      <c r="H407" s="13" t="n">
        <f aca="false">H358+IF(3=10,$E$57+$E$56,0)-H398-H399-H283-H193</f>
        <v>259329</v>
      </c>
      <c r="I407" s="13" t="n">
        <f aca="false">I358+IF(4=10,$E$57+$E$56,0)-I398-I399-I283-I193</f>
        <v>1093473</v>
      </c>
      <c r="J407" s="13" t="n">
        <f aca="false">J358+IF(5=10,$E$57+$E$56,0)-J398-J399-J283-J193</f>
        <v>1138455</v>
      </c>
      <c r="K407" s="13" t="n">
        <f aca="false">K358+IF(6=10,$E$57+$E$56,0)-K398-K399-K283-K193</f>
        <v>1957745</v>
      </c>
      <c r="L407" s="13" t="n">
        <f aca="false">L358+IF(7=10,$E$57+$E$56,0)-L398-L399-L283-L193</f>
        <v>2017201</v>
      </c>
      <c r="M407" s="13" t="n">
        <f aca="false">M358+IF(8=10,$E$57+$E$56,0)-M398-M399-M283-M193</f>
        <v>2077107</v>
      </c>
      <c r="N407" s="13" t="n">
        <f aca="false">N358+IF(9=10,$E$57+$E$56,0)-N398-N399-N283-N193</f>
        <v>2137465</v>
      </c>
      <c r="O407" s="13" t="n">
        <f aca="false">O358+IF(10=10,$E$57+$E$56,0)-O398-O399-O283-O193</f>
        <v>6249065</v>
      </c>
    </row>
    <row r="408" customFormat="false" ht="15" hidden="false" customHeight="false" outlineLevel="0" collapsed="false">
      <c r="A408" s="8" t="s">
        <v>2805</v>
      </c>
      <c r="B408" s="5" t="s">
        <v>2806</v>
      </c>
      <c r="C408" s="8" t="s">
        <v>255</v>
      </c>
      <c r="D408" s="8"/>
      <c r="E408" s="70" t="n">
        <f aca="false">E407-E406</f>
        <v>0</v>
      </c>
      <c r="F408" s="70" t="n">
        <f aca="false">F407-F406</f>
        <v>0</v>
      </c>
      <c r="G408" s="70" t="n">
        <f aca="false">G407-G406</f>
        <v>0</v>
      </c>
      <c r="H408" s="70" t="n">
        <f aca="false">H407-H406</f>
        <v>-1</v>
      </c>
      <c r="I408" s="70" t="n">
        <f aca="false">I407-I406</f>
        <v>0</v>
      </c>
      <c r="J408" s="70" t="n">
        <f aca="false">J407-J406</f>
        <v>0</v>
      </c>
      <c r="K408" s="70" t="n">
        <f aca="false">K407-K406</f>
        <v>-1</v>
      </c>
      <c r="L408" s="70" t="n">
        <f aca="false">L407-L406</f>
        <v>0</v>
      </c>
      <c r="M408" s="70" t="n">
        <f aca="false">M407-M406</f>
        <v>0</v>
      </c>
      <c r="N408" s="70" t="n">
        <f aca="false">N407-N406</f>
        <v>0</v>
      </c>
      <c r="O408" s="70" t="n">
        <f aca="false">O407-O406</f>
        <v>0</v>
      </c>
      <c r="P408" s="93"/>
    </row>
    <row r="409" customFormat="false" ht="15" hidden="false" customHeight="false" outlineLevel="0" collapsed="false">
      <c r="A409" s="8" t="s">
        <v>2807</v>
      </c>
      <c r="B409" s="8" t="s">
        <v>2808</v>
      </c>
      <c r="C409" s="8" t="s">
        <v>201</v>
      </c>
      <c r="D409" s="8" t="s">
        <v>2330</v>
      </c>
      <c r="E409" s="36" t="n">
        <f aca="false">(E14*E11+E15*E12)/(E14+E15)</f>
        <v>0.0948937236323062</v>
      </c>
    </row>
    <row r="410" customFormat="false" ht="15" hidden="false" customHeight="false" outlineLevel="0" collapsed="false">
      <c r="A410" s="8" t="s">
        <v>2809</v>
      </c>
      <c r="B410" s="8" t="s">
        <v>2810</v>
      </c>
      <c r="C410" s="8" t="s">
        <v>255</v>
      </c>
      <c r="D410" s="8" t="s">
        <v>2320</v>
      </c>
      <c r="E410" s="19" t="n">
        <f aca="false">E406+NPV(E409,F406:O406)</f>
        <v>4588736.5974151</v>
      </c>
    </row>
    <row r="411" customFormat="false" ht="15" hidden="false" customHeight="false" outlineLevel="0" collapsed="false">
      <c r="A411" s="8" t="s">
        <v>2811</v>
      </c>
      <c r="B411" s="8" t="s">
        <v>2812</v>
      </c>
      <c r="C411" s="8" t="s">
        <v>255</v>
      </c>
      <c r="D411" s="8" t="s">
        <v>2320</v>
      </c>
      <c r="E411" s="19" t="n">
        <f aca="false">E406+NPV(E13,F406:O406)</f>
        <v>4588379.83607172</v>
      </c>
      <c r="Q411" s="8" t="s">
        <v>2813</v>
      </c>
    </row>
    <row r="412" customFormat="false" ht="15" hidden="false" customHeight="false" outlineLevel="0" collapsed="false">
      <c r="A412" s="8" t="s">
        <v>2814</v>
      </c>
      <c r="B412" s="8" t="s">
        <v>2815</v>
      </c>
      <c r="C412" s="8" t="s">
        <v>201</v>
      </c>
      <c r="D412" s="8" t="s">
        <v>2320</v>
      </c>
      <c r="E412" s="36" t="n">
        <f aca="false">IRR(E406:O406,0.1)</f>
        <v>0.226054864233112</v>
      </c>
      <c r="Q412" s="8" t="s">
        <v>2816</v>
      </c>
    </row>
    <row r="413" customFormat="false" ht="15" hidden="false" customHeight="false" outlineLevel="0" collapsed="false">
      <c r="A413" s="8" t="s">
        <v>2817</v>
      </c>
      <c r="B413" s="8" t="s">
        <v>2818</v>
      </c>
      <c r="C413" s="8" t="s">
        <v>255</v>
      </c>
      <c r="D413" s="8"/>
      <c r="E413" s="19" t="n">
        <f aca="false">E410-E58</f>
        <v>0.597415097057819</v>
      </c>
    </row>
    <row r="414" customFormat="false" ht="15" hidden="false" customHeight="false" outlineLevel="0" collapsed="false">
      <c r="A414" s="8" t="s">
        <v>2819</v>
      </c>
      <c r="B414" s="8" t="s">
        <v>2820</v>
      </c>
      <c r="C414" s="8" t="s">
        <v>2821</v>
      </c>
      <c r="D414" s="8"/>
      <c r="E414" s="36" t="n">
        <f aca="false">E412-E59</f>
        <v>-4.51357668884711E-005</v>
      </c>
    </row>
    <row r="415" customFormat="false" ht="15" hidden="false" customHeight="false" outlineLevel="0" collapsed="false">
      <c r="A415" s="8" t="s">
        <v>2822</v>
      </c>
      <c r="B415" s="8" t="s">
        <v>2823</v>
      </c>
      <c r="C415" s="8" t="s">
        <v>255</v>
      </c>
      <c r="D415" s="8"/>
      <c r="E415" s="13" t="n">
        <f aca="false">E406</f>
        <v>-2991587</v>
      </c>
      <c r="F415" s="13" t="n">
        <f aca="false">E415+F406</f>
        <v>-3485310</v>
      </c>
      <c r="G415" s="13" t="n">
        <f aca="false">F415+G406</f>
        <v>-3882784</v>
      </c>
      <c r="H415" s="13" t="n">
        <f aca="false">G415+H406</f>
        <v>-3623454</v>
      </c>
      <c r="I415" s="13" t="n">
        <f aca="false">H415+I406</f>
        <v>-2529981</v>
      </c>
      <c r="J415" s="13" t="n">
        <f aca="false">I415+J406</f>
        <v>-1391526</v>
      </c>
      <c r="K415" s="13" t="n">
        <f aca="false">J415+K406</f>
        <v>566220</v>
      </c>
      <c r="L415" s="13" t="n">
        <f aca="false">K415+L406</f>
        <v>2583421</v>
      </c>
      <c r="M415" s="13" t="n">
        <f aca="false">L415+M406</f>
        <v>4660528</v>
      </c>
      <c r="N415" s="13" t="n">
        <f aca="false">M415+N406</f>
        <v>6797993</v>
      </c>
      <c r="O415" s="13" t="n">
        <f aca="false">N415+O406</f>
        <v>13047058</v>
      </c>
    </row>
    <row r="416" customFormat="false" ht="15" hidden="false" customHeight="false" outlineLevel="0" collapsed="false">
      <c r="A416" s="8" t="s">
        <v>2824</v>
      </c>
      <c r="B416" s="8" t="s">
        <v>2825</v>
      </c>
      <c r="C416" s="8" t="s">
        <v>255</v>
      </c>
      <c r="D416" s="8"/>
      <c r="E416" s="13" t="n">
        <f aca="false">E406</f>
        <v>-2991587</v>
      </c>
      <c r="F416" s="13" t="n">
        <f aca="false">F406/(1+$E$409)^1</f>
        <v>-450932.350184706</v>
      </c>
      <c r="G416" s="13" t="n">
        <f aca="false">G406/(1+$E$409)^2</f>
        <v>-331562.032269247</v>
      </c>
      <c r="H416" s="13" t="n">
        <f aca="false">H406/(1+$E$409)^3</f>
        <v>197577.21587971</v>
      </c>
      <c r="I416" s="13" t="n">
        <f aca="false">I406/(1+$E$409)^4</f>
        <v>760887.061167448</v>
      </c>
      <c r="J416" s="13" t="n">
        <f aca="false">J406/(1+$E$409)^5</f>
        <v>723529.157916854</v>
      </c>
      <c r="K416" s="13" t="n">
        <f aca="false">K406/(1+$E$409)^6</f>
        <v>1136382.52843789</v>
      </c>
      <c r="L416" s="13" t="n">
        <f aca="false">L406/(1+$E$409)^7</f>
        <v>1069412.88187944</v>
      </c>
      <c r="M416" s="13" t="n">
        <f aca="false">M406/(1+$E$409)^8</f>
        <v>1005734.01696167</v>
      </c>
      <c r="N416" s="13" t="n">
        <f aca="false">N406/(1+$E$409)^9</f>
        <v>945260.077368521</v>
      </c>
      <c r="O416" s="13" t="n">
        <f aca="false">O406/(1+$E$409)^10</f>
        <v>2524035.04025751</v>
      </c>
    </row>
    <row r="417" customFormat="false" ht="15" hidden="false" customHeight="false" outlineLevel="0" collapsed="false">
      <c r="A417" s="8" t="s">
        <v>2826</v>
      </c>
      <c r="B417" s="8" t="s">
        <v>2827</v>
      </c>
      <c r="C417" s="8" t="s">
        <v>255</v>
      </c>
      <c r="D417" s="8"/>
      <c r="E417" s="13" t="n">
        <f aca="false">E416</f>
        <v>-2991587</v>
      </c>
      <c r="F417" s="13" t="n">
        <f aca="false">E417+F416</f>
        <v>-3442519.35018471</v>
      </c>
      <c r="G417" s="13" t="n">
        <f aca="false">F417+G416</f>
        <v>-3774081.38245395</v>
      </c>
      <c r="H417" s="13" t="n">
        <f aca="false">G417+H416</f>
        <v>-3576504.16657424</v>
      </c>
      <c r="I417" s="13" t="n">
        <f aca="false">H417+I416</f>
        <v>-2815617.1054068</v>
      </c>
      <c r="J417" s="13" t="n">
        <f aca="false">I417+J416</f>
        <v>-2092087.94748994</v>
      </c>
      <c r="K417" s="13" t="n">
        <f aca="false">J417+K416</f>
        <v>-955705.419052049</v>
      </c>
      <c r="L417" s="13" t="n">
        <f aca="false">K417+L416</f>
        <v>113707.462827394</v>
      </c>
      <c r="M417" s="13" t="n">
        <f aca="false">L417+M416</f>
        <v>1119441.47978907</v>
      </c>
      <c r="N417" s="13" t="n">
        <f aca="false">M417+N416</f>
        <v>2064701.55715759</v>
      </c>
      <c r="O417" s="13" t="n">
        <f aca="false">N417+O416</f>
        <v>4588736.5974151</v>
      </c>
    </row>
    <row r="418" customFormat="false" ht="15" hidden="false" customHeight="false" outlineLevel="0" collapsed="false">
      <c r="A418" s="8" t="s">
        <v>2828</v>
      </c>
      <c r="B418" s="8" t="s">
        <v>2829</v>
      </c>
      <c r="C418" s="8" t="s">
        <v>188</v>
      </c>
      <c r="D418" s="8"/>
      <c r="E418" s="19" t="n">
        <f aca="false">IF(O415&lt;0,"No recupera en el horizonte",MAX(IF(AND(E415&lt;0,F415&gt;=0),0+(-E415)/F406,0),IF(AND(F415&lt;0,G415&gt;=0),1+(-F415)/G406,0),IF(AND(G415&lt;0,H415&gt;=0),2+(-G415)/H406,0),IF(AND(H415&lt;0,I415&gt;=0),3+(-H415)/I406,0),IF(AND(I415&lt;0,J415&gt;=0),4+(-I415)/J406,0),IF(AND(J415&lt;0,K415&gt;=0),5+(-J415)/K406,0),IF(AND(K415&lt;0,L415&gt;=0),6+(-K415)/L406,0),IF(AND(L415&lt;0,M415&gt;=0),7+(-L415)/M406,0),IF(AND(M415&lt;0,N415&gt;=0),8+(-M415)/N406,0),IF(AND(N415&lt;0,O415&gt;=0),9+(-N415)/O406,0)))</f>
        <v>5.71077964148567</v>
      </c>
      <c r="Q418" s="8" t="s">
        <v>2830</v>
      </c>
    </row>
    <row r="419" customFormat="false" ht="15" hidden="false" customHeight="false" outlineLevel="0" collapsed="false">
      <c r="A419" s="8" t="s">
        <v>2831</v>
      </c>
      <c r="B419" s="8" t="s">
        <v>2832</v>
      </c>
      <c r="C419" s="8" t="s">
        <v>188</v>
      </c>
      <c r="D419" s="8"/>
      <c r="E419" s="19" t="n">
        <f aca="false">IF(O417&lt;0,"No recupera en el horizonte",MAX(IF(AND(E417&lt;0,F417&gt;=0),0+(-E417)/F416,0),IF(AND(F417&lt;0,G417&gt;=0),1+(-F417)/G416,0),IF(AND(G417&lt;0,H417&gt;=0),2+(-G417)/H416,0),IF(AND(H417&lt;0,I417&gt;=0),3+(-H417)/I416,0),IF(AND(I417&lt;0,J417&gt;=0),4+(-I417)/J416,0),IF(AND(J417&lt;0,K417&gt;=0),5+(-J417)/K416,0),IF(AND(K417&lt;0,L417&gt;=0),6+(-K417)/L416,0),IF(AND(L417&lt;0,M417&gt;=0),7+(-L417)/M416,0),IF(AND(M417&lt;0,N417&gt;=0),8+(-M417)/N416,0),IF(AND(N417&lt;0,O417&gt;=0),9+(-N417)/O416,0)))</f>
        <v>6.89367300062109</v>
      </c>
      <c r="Q419" s="8" t="s">
        <v>2833</v>
      </c>
    </row>
    <row r="420" customFormat="false" ht="15" hidden="false" customHeight="false" outlineLevel="0" collapsed="false">
      <c r="A420" s="8" t="s">
        <v>2834</v>
      </c>
      <c r="B420" s="8" t="s">
        <v>2835</v>
      </c>
      <c r="C420" s="8" t="s">
        <v>255</v>
      </c>
      <c r="D420" s="8" t="s">
        <v>2330</v>
      </c>
      <c r="E420" s="82" t="n">
        <v>-2791587</v>
      </c>
      <c r="F420" s="82" t="n">
        <v>-3242520</v>
      </c>
      <c r="G420" s="82" t="n">
        <v>-3574082</v>
      </c>
      <c r="H420" s="82" t="n">
        <v>-3376505</v>
      </c>
      <c r="I420" s="82" t="n">
        <v>-2615618</v>
      </c>
      <c r="J420" s="82" t="n">
        <v>-1892088</v>
      </c>
      <c r="K420" s="82" t="n">
        <v>-755706</v>
      </c>
      <c r="L420" s="82" t="n">
        <v>313707</v>
      </c>
      <c r="M420" s="82" t="n">
        <v>1319441</v>
      </c>
      <c r="N420" s="82" t="n">
        <v>2264701</v>
      </c>
      <c r="O420" s="82" t="n">
        <v>4788736</v>
      </c>
      <c r="Q420" s="92" t="s">
        <v>2836</v>
      </c>
    </row>
    <row r="422" customFormat="false" ht="15" hidden="false" customHeight="false" outlineLevel="0" collapsed="false">
      <c r="A422" s="3" t="s">
        <v>2837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customFormat="false" ht="15" hidden="false" customHeight="false" outlineLevel="0" collapsed="false">
      <c r="A423" s="8" t="s">
        <v>2838</v>
      </c>
      <c r="B423" s="8" t="s">
        <v>2839</v>
      </c>
      <c r="C423" s="8" t="s">
        <v>255</v>
      </c>
      <c r="D423" s="8"/>
      <c r="E423" s="13" t="n">
        <f aca="false">-E52</f>
        <v>-2991587</v>
      </c>
      <c r="F423" s="13" t="n">
        <f aca="false">F358-F398-F399+IF(1=10,$E$56+$E$57,0)</f>
        <v>34905</v>
      </c>
      <c r="G423" s="13" t="n">
        <f aca="false">G358-G398-G399+IF(2=10,$E$56+$E$57,0)</f>
        <v>379819</v>
      </c>
      <c r="H423" s="13" t="n">
        <f aca="false">H358-H398-H399+IF(3=10,$E$56+$E$57,0)</f>
        <v>1031453</v>
      </c>
      <c r="I423" s="13" t="n">
        <f aca="false">I358-I398-I399+IF(4=10,$E$56+$E$57,0)</f>
        <v>1859943</v>
      </c>
      <c r="J423" s="13" t="n">
        <f aca="false">J358-J398-J399+IF(5=10,$E$56+$E$57,0)</f>
        <v>1898741</v>
      </c>
      <c r="K423" s="13" t="n">
        <f aca="false">K358-K398-K399+IF(6=10,$E$56+$E$57,0)</f>
        <v>1957745</v>
      </c>
      <c r="L423" s="13" t="n">
        <f aca="false">L358-L398-L399+IF(7=10,$E$56+$E$57,0)</f>
        <v>2017201</v>
      </c>
      <c r="M423" s="13" t="n">
        <f aca="false">M358-M398-M399+IF(8=10,$E$56+$E$57,0)</f>
        <v>2077107</v>
      </c>
      <c r="N423" s="13" t="n">
        <f aca="false">N358-N398-N399+IF(9=10,$E$56+$E$57,0)</f>
        <v>2137465</v>
      </c>
      <c r="O423" s="13" t="n">
        <f aca="false">O358-O398-O399+IF(10=10,$E$56+$E$57,0)</f>
        <v>6249065</v>
      </c>
      <c r="Q423" s="92" t="s">
        <v>2840</v>
      </c>
    </row>
    <row r="424" customFormat="false" ht="15" hidden="false" customHeight="false" outlineLevel="0" collapsed="false">
      <c r="A424" s="8" t="s">
        <v>2841</v>
      </c>
      <c r="B424" s="8" t="s">
        <v>2842</v>
      </c>
      <c r="C424" s="8" t="s">
        <v>255</v>
      </c>
      <c r="D424" s="8"/>
      <c r="E424" s="13" t="n">
        <f aca="false">E423+NPV(E409,F423:O423)</f>
        <v>7324739.63192807</v>
      </c>
    </row>
    <row r="425" customFormat="false" ht="15" hidden="false" customHeight="false" outlineLevel="0" collapsed="false">
      <c r="A425" s="8" t="s">
        <v>2843</v>
      </c>
      <c r="B425" s="8" t="s">
        <v>2844</v>
      </c>
      <c r="C425" s="8" t="s">
        <v>201</v>
      </c>
      <c r="D425" s="8"/>
      <c r="E425" s="16" t="n">
        <f aca="false">IRR(E423:O423,0.1)</f>
        <v>0.338153543062112</v>
      </c>
    </row>
    <row r="426" customFormat="false" ht="15" hidden="false" customHeight="false" outlineLevel="0" collapsed="false">
      <c r="A426" s="8" t="s">
        <v>2845</v>
      </c>
      <c r="B426" s="8" t="s">
        <v>2846</v>
      </c>
      <c r="C426" s="8" t="s">
        <v>255</v>
      </c>
      <c r="D426" s="8"/>
      <c r="E426" s="13" t="n">
        <f aca="false">-E14</f>
        <v>-200000</v>
      </c>
      <c r="F426" s="13" t="n">
        <f aca="false">-F401+F400+IF(1=10,F402+$E$56+$E$57,0)</f>
        <v>-567782</v>
      </c>
      <c r="G426" s="13" t="n">
        <f aca="false">-G401+G400+IF(2=10,G402+$E$56+$E$57,0)</f>
        <v>-371928</v>
      </c>
      <c r="H426" s="13" t="n">
        <f aca="false">-H401+H400+IF(3=10,H402+$E$56+$E$57,0)</f>
        <v>0</v>
      </c>
      <c r="I426" s="13" t="n">
        <f aca="false">-I401+I400+IF(4=10,I402+$E$56+$E$57,0)</f>
        <v>371625</v>
      </c>
      <c r="J426" s="13" t="n">
        <f aca="false">-J401+J400+IF(5=10,J402+$E$56+$E$57,0)</f>
        <v>853745</v>
      </c>
      <c r="K426" s="13" t="n">
        <f aca="false">-K401+K400+IF(6=10,K402+$E$56+$E$57,0)</f>
        <v>1804006</v>
      </c>
      <c r="L426" s="13" t="n">
        <f aca="false">-L401+L400+IF(7=10,L402+$E$56+$E$57,0)</f>
        <v>1902407</v>
      </c>
      <c r="M426" s="13" t="n">
        <f aca="false">-M401+M400+IF(8=10,M402+$E$56+$E$57,0)</f>
        <v>1974240</v>
      </c>
      <c r="N426" s="13" t="n">
        <f aca="false">-N401+N400+IF(9=10,N402+$E$56+$E$57,0)</f>
        <v>2034352</v>
      </c>
      <c r="O426" s="13" t="n">
        <f aca="false">-O401+O400+IF(10=10,O402+$E$56+$E$57,0)</f>
        <v>8037979</v>
      </c>
      <c r="Q426" s="92" t="s">
        <v>2847</v>
      </c>
    </row>
    <row r="427" customFormat="false" ht="15" hidden="false" customHeight="false" outlineLevel="0" collapsed="false">
      <c r="A427" s="8" t="s">
        <v>2848</v>
      </c>
      <c r="B427" s="8" t="s">
        <v>2849</v>
      </c>
      <c r="C427" s="8" t="s">
        <v>255</v>
      </c>
      <c r="D427" s="8"/>
      <c r="E427" s="13" t="n">
        <f aca="false">E426+NPV(E11,F426:O426)</f>
        <v>3912957.61231469</v>
      </c>
    </row>
    <row r="428" customFormat="false" ht="15" hidden="false" customHeight="false" outlineLevel="0" collapsed="false">
      <c r="A428" s="8" t="s">
        <v>2850</v>
      </c>
      <c r="B428" s="8" t="s">
        <v>2851</v>
      </c>
      <c r="C428" s="8" t="s">
        <v>201</v>
      </c>
      <c r="D428" s="8"/>
      <c r="E428" s="16" t="n">
        <f aca="false">IRR(E426:O426,0.2)</f>
        <v>0.493623581953424</v>
      </c>
    </row>
    <row r="430" customFormat="false" ht="15" hidden="false" customHeight="false" outlineLevel="0" collapsed="false">
      <c r="A430" s="8" t="s">
        <v>2852</v>
      </c>
      <c r="B430" s="8" t="s">
        <v>2853</v>
      </c>
      <c r="C430" s="8" t="s">
        <v>255</v>
      </c>
      <c r="D430" s="8" t="s">
        <v>2854</v>
      </c>
      <c r="F430" s="82" t="n">
        <v>0</v>
      </c>
      <c r="G430" s="82" t="n">
        <v>50717</v>
      </c>
      <c r="H430" s="82" t="n">
        <v>50717</v>
      </c>
      <c r="I430" s="82" t="n">
        <v>50717</v>
      </c>
      <c r="J430" s="82" t="n">
        <v>50717</v>
      </c>
      <c r="K430" s="82" t="n">
        <v>50717</v>
      </c>
      <c r="L430" s="82" t="n">
        <v>50717</v>
      </c>
      <c r="M430" s="82" t="n">
        <v>50717</v>
      </c>
      <c r="N430" s="82" t="n">
        <v>50717</v>
      </c>
      <c r="O430" s="82" t="n">
        <v>50717</v>
      </c>
    </row>
    <row r="431" customFormat="false" ht="15" hidden="false" customHeight="false" outlineLevel="0" collapsed="false">
      <c r="A431" s="8" t="s">
        <v>2855</v>
      </c>
      <c r="B431" s="8" t="s">
        <v>2856</v>
      </c>
      <c r="C431" s="8" t="s">
        <v>255</v>
      </c>
      <c r="D431" s="8" t="s">
        <v>2854</v>
      </c>
      <c r="F431" s="82" t="n">
        <v>0</v>
      </c>
      <c r="G431" s="82" t="n">
        <v>8700</v>
      </c>
      <c r="H431" s="82" t="n">
        <v>8700</v>
      </c>
      <c r="I431" s="82" t="n">
        <v>8700</v>
      </c>
      <c r="J431" s="82" t="n">
        <v>8700</v>
      </c>
      <c r="K431" s="82" t="n">
        <v>8700</v>
      </c>
      <c r="L431" s="82" t="n">
        <v>8700</v>
      </c>
      <c r="M431" s="82" t="n">
        <v>8700</v>
      </c>
      <c r="N431" s="82" t="n">
        <v>8700</v>
      </c>
      <c r="O431" s="82" t="n">
        <v>8700</v>
      </c>
    </row>
    <row r="432" customFormat="false" ht="15" hidden="false" customHeight="false" outlineLevel="0" collapsed="false">
      <c r="A432" s="8" t="s">
        <v>2857</v>
      </c>
      <c r="B432" s="8" t="s">
        <v>2858</v>
      </c>
      <c r="C432" s="8" t="s">
        <v>255</v>
      </c>
      <c r="D432" s="8" t="s">
        <v>2854</v>
      </c>
      <c r="F432" s="82" t="n">
        <v>0</v>
      </c>
      <c r="G432" s="82" t="n">
        <v>12176</v>
      </c>
      <c r="H432" s="82" t="n">
        <v>12176</v>
      </c>
      <c r="I432" s="82" t="n">
        <v>12176</v>
      </c>
      <c r="J432" s="82" t="n">
        <v>12176</v>
      </c>
      <c r="K432" s="82" t="n">
        <v>12176</v>
      </c>
      <c r="L432" s="82" t="n">
        <v>0</v>
      </c>
      <c r="M432" s="82" t="n">
        <v>0</v>
      </c>
      <c r="N432" s="82" t="n">
        <v>0</v>
      </c>
      <c r="O432" s="82" t="n">
        <v>0</v>
      </c>
    </row>
    <row r="433" customFormat="false" ht="15" hidden="false" customHeight="false" outlineLevel="0" collapsed="false">
      <c r="A433" s="8" t="s">
        <v>2859</v>
      </c>
      <c r="B433" s="8" t="s">
        <v>2860</v>
      </c>
      <c r="C433" s="8" t="s">
        <v>255</v>
      </c>
      <c r="D433" s="8" t="s">
        <v>2854</v>
      </c>
      <c r="F433" s="13" t="n">
        <f aca="false">F430+F431+F432</f>
        <v>0</v>
      </c>
      <c r="G433" s="13" t="n">
        <f aca="false">G430+G431+G432</f>
        <v>71593</v>
      </c>
      <c r="H433" s="13" t="n">
        <f aca="false">H430+H431+H432</f>
        <v>71593</v>
      </c>
      <c r="I433" s="13" t="n">
        <f aca="false">I430+I431+I432</f>
        <v>71593</v>
      </c>
      <c r="J433" s="13" t="n">
        <f aca="false">J430+J431+J432</f>
        <v>71593</v>
      </c>
      <c r="K433" s="13" t="n">
        <f aca="false">K430+K431+K432</f>
        <v>71593</v>
      </c>
      <c r="L433" s="13" t="n">
        <f aca="false">L430+L431+L432</f>
        <v>59417</v>
      </c>
      <c r="M433" s="13" t="n">
        <f aca="false">M430+M431+M432</f>
        <v>59417</v>
      </c>
      <c r="N433" s="13" t="n">
        <f aca="false">N430+N431+N432</f>
        <v>59417</v>
      </c>
      <c r="O433" s="13" t="n">
        <f aca="false">O430+O431+O432</f>
        <v>59417</v>
      </c>
      <c r="P433" s="13" t="n">
        <f aca="false">SUM(F433:O433)</f>
        <v>595633</v>
      </c>
      <c r="Q433" s="92" t="s">
        <v>2861</v>
      </c>
    </row>
    <row r="434" customFormat="false" ht="15" hidden="false" customHeight="false" outlineLevel="0" collapsed="false">
      <c r="A434" s="8" t="s">
        <v>2862</v>
      </c>
      <c r="B434" s="5" t="s">
        <v>2863</v>
      </c>
      <c r="C434" s="8" t="s">
        <v>255</v>
      </c>
      <c r="D434" s="8"/>
      <c r="E434" s="93"/>
      <c r="F434" s="70" t="n">
        <f aca="false">F433-F192</f>
        <v>0</v>
      </c>
      <c r="G434" s="70" t="n">
        <f aca="false">G433-G192</f>
        <v>1</v>
      </c>
      <c r="H434" s="70" t="n">
        <f aca="false">H433-H192</f>
        <v>1</v>
      </c>
      <c r="I434" s="70" t="n">
        <f aca="false">I433-I192</f>
        <v>1</v>
      </c>
      <c r="J434" s="70" t="n">
        <f aca="false">J433-J192</f>
        <v>1</v>
      </c>
      <c r="K434" s="70" t="n">
        <f aca="false">K433-K192</f>
        <v>1</v>
      </c>
      <c r="L434" s="70" t="n">
        <f aca="false">L433-L192</f>
        <v>0</v>
      </c>
      <c r="M434" s="70" t="n">
        <f aca="false">M433-M192</f>
        <v>0</v>
      </c>
      <c r="N434" s="70" t="n">
        <f aca="false">N433-N192</f>
        <v>0</v>
      </c>
      <c r="O434" s="70" t="n">
        <f aca="false">O433-O192</f>
        <v>0</v>
      </c>
      <c r="P434" s="93"/>
    </row>
    <row r="435" customFormat="false" ht="15" hidden="false" customHeight="false" outlineLevel="0" collapsed="false">
      <c r="A435" s="8" t="s">
        <v>2864</v>
      </c>
      <c r="B435" s="8" t="s">
        <v>2865</v>
      </c>
      <c r="C435" s="8" t="s">
        <v>255</v>
      </c>
      <c r="D435" s="8" t="s">
        <v>2854</v>
      </c>
      <c r="E435" s="13" t="n">
        <f aca="false">E50-P433</f>
        <v>59411</v>
      </c>
      <c r="Q435" s="8" t="s">
        <v>2866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80"/>
  </cols>
  <sheetData>
    <row r="1" customFormat="false" ht="16.15" hidden="false" customHeight="false" outlineLevel="0" collapsed="false">
      <c r="A1" s="1" t="s">
        <v>2867</v>
      </c>
    </row>
    <row r="2" customFormat="false" ht="15" hidden="false" customHeight="false" outlineLevel="0" collapsed="false">
      <c r="A2" s="2" t="s">
        <v>2868</v>
      </c>
    </row>
    <row r="4" customFormat="false" ht="15" hidden="false" customHeight="false" outlineLevel="0" collapsed="false">
      <c r="A4" s="3" t="s">
        <v>2869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2189</v>
      </c>
      <c r="B5" s="10" t="s">
        <v>2870</v>
      </c>
      <c r="C5" s="10" t="s">
        <v>2871</v>
      </c>
      <c r="D5" s="10" t="s">
        <v>2872</v>
      </c>
      <c r="E5" s="10" t="s">
        <v>92</v>
      </c>
      <c r="F5" s="10" t="s">
        <v>2873</v>
      </c>
      <c r="G5" s="10" t="s">
        <v>153</v>
      </c>
      <c r="H5" s="10" t="s">
        <v>2874</v>
      </c>
    </row>
    <row r="6" customFormat="false" ht="15" hidden="false" customHeight="false" outlineLevel="0" collapsed="false">
      <c r="A6" s="8" t="s">
        <v>2801</v>
      </c>
      <c r="B6" s="8" t="s">
        <v>2875</v>
      </c>
      <c r="C6" s="19" t="n">
        <f aca="false">Base_PDF!$E$82</f>
        <v>2991587</v>
      </c>
      <c r="D6" s="19" t="n">
        <f aca="false">Base_PDF!$E$52</f>
        <v>2991587</v>
      </c>
      <c r="E6" s="19" t="n">
        <f aca="false">IF(OR(ISTEXT(C6),ISTEXT(D6)),"n/a",C6-D6)</f>
        <v>0</v>
      </c>
      <c r="F6" s="85" t="n">
        <v>0.5</v>
      </c>
      <c r="G6" s="5" t="str">
        <f aca="false">IF(E6="n/a","n/a",IF(ABS(E6)&lt;=F6,"OK","REVISAR"))</f>
        <v>OK</v>
      </c>
      <c r="H6" s="8" t="s">
        <v>2876</v>
      </c>
    </row>
    <row r="7" customFormat="false" ht="15" hidden="false" customHeight="false" outlineLevel="0" collapsed="false">
      <c r="A7" s="8" t="s">
        <v>2803</v>
      </c>
      <c r="B7" s="8" t="s">
        <v>2877</v>
      </c>
      <c r="C7" s="19" t="n">
        <f aca="false">Base_PDF!$E$83</f>
        <v>2991587</v>
      </c>
      <c r="D7" s="19" t="n">
        <f aca="false">Base_PDF!$E$52</f>
        <v>2991587</v>
      </c>
      <c r="E7" s="19" t="n">
        <f aca="false">IF(OR(ISTEXT(C7),ISTEXT(D7)),"n/a",C7-D7)</f>
        <v>0</v>
      </c>
      <c r="F7" s="85" t="n">
        <v>0.5</v>
      </c>
      <c r="G7" s="5" t="str">
        <f aca="false">IF(E7="n/a","n/a",IF(ABS(E7)&lt;=F7,"OK","REVISAR"))</f>
        <v>OK</v>
      </c>
      <c r="H7" s="8" t="s">
        <v>2876</v>
      </c>
    </row>
    <row r="8" customFormat="false" ht="15" hidden="false" customHeight="false" outlineLevel="0" collapsed="false">
      <c r="A8" s="8" t="s">
        <v>2805</v>
      </c>
      <c r="B8" s="8" t="s">
        <v>2878</v>
      </c>
      <c r="C8" s="19" t="n">
        <f aca="false">Base_PDF!$E$80</f>
        <v>655044.1</v>
      </c>
      <c r="D8" s="19" t="n">
        <f aca="false">Base_PDF!$E$50</f>
        <v>655044</v>
      </c>
      <c r="E8" s="19" t="n">
        <f aca="false">IF(OR(ISTEXT(C8),ISTEXT(D8)),"n/a",C8-D8)</f>
        <v>0.0999999999767169</v>
      </c>
      <c r="F8" s="85" t="n">
        <v>1</v>
      </c>
      <c r="G8" s="5" t="str">
        <f aca="false">IF(E8="n/a","n/a",IF(ABS(E8)&lt;=F8,"OK","REVISAR"))</f>
        <v>OK</v>
      </c>
      <c r="H8" s="8" t="s">
        <v>2879</v>
      </c>
    </row>
    <row r="9" customFormat="false" ht="15" hidden="false" customHeight="false" outlineLevel="0" collapsed="false">
      <c r="A9" s="8" t="s">
        <v>2807</v>
      </c>
      <c r="B9" s="8" t="s">
        <v>2880</v>
      </c>
      <c r="C9" s="19" t="n">
        <f aca="false">MAX(ABS(MAX(Base_PDF!$F$107:$O$107)),ABS(MIN(Base_PDF!$F$107:$O$107)))</f>
        <v>1</v>
      </c>
      <c r="D9" s="85" t="n">
        <v>0</v>
      </c>
      <c r="E9" s="19" t="n">
        <f aca="false">IF(OR(ISTEXT(C9),ISTEXT(D9)),"n/a",C9-D9)</f>
        <v>1</v>
      </c>
      <c r="F9" s="85" t="n">
        <v>1.01</v>
      </c>
      <c r="G9" s="5" t="str">
        <f aca="false">IF(E9="n/a","n/a",IF(ABS(E9)&lt;=F9,"OK","REVISAR"))</f>
        <v>OK</v>
      </c>
      <c r="H9" s="8" t="s">
        <v>2881</v>
      </c>
    </row>
    <row r="10" customFormat="false" ht="15" hidden="false" customHeight="false" outlineLevel="0" collapsed="false">
      <c r="A10" s="8" t="s">
        <v>2809</v>
      </c>
      <c r="B10" s="8" t="s">
        <v>2882</v>
      </c>
      <c r="C10" s="19" t="n">
        <f aca="false">MAX(ABS(MAX(Base_PDF!$F$106:$O$106)),ABS(MIN(Base_PDF!$F$106:$O$106)))</f>
        <v>0.430000001564622</v>
      </c>
      <c r="D10" s="85" t="n">
        <v>0</v>
      </c>
      <c r="E10" s="19" t="n">
        <f aca="false">IF(OR(ISTEXT(C10),ISTEXT(D10)),"n/a",C10-D10)</f>
        <v>0.430000001564622</v>
      </c>
      <c r="F10" s="85" t="n">
        <v>1</v>
      </c>
      <c r="G10" s="5" t="str">
        <f aca="false">IF(E10="n/a","n/a",IF(ABS(E10)&lt;=F10,"OK","REVISAR"))</f>
        <v>OK</v>
      </c>
      <c r="H10" s="8" t="s">
        <v>2883</v>
      </c>
    </row>
    <row r="11" customFormat="false" ht="15" hidden="false" customHeight="false" outlineLevel="0" collapsed="false">
      <c r="A11" s="8" t="s">
        <v>2811</v>
      </c>
      <c r="B11" s="8" t="s">
        <v>2884</v>
      </c>
      <c r="C11" s="19" t="n">
        <f aca="false">MAX(Base_PDF!$F$263:$O$263)</f>
        <v>9.30934190000698</v>
      </c>
      <c r="D11" s="85" t="n">
        <v>0</v>
      </c>
      <c r="E11" s="19" t="n">
        <f aca="false">IF(OR(ISTEXT(C11),ISTEXT(D11)),"n/a",C11-D11)</f>
        <v>9.30934190000698</v>
      </c>
      <c r="F11" s="85" t="n">
        <v>10</v>
      </c>
      <c r="G11" s="5" t="str">
        <f aca="false">IF(E11="n/a","n/a",IF(ABS(E11)&lt;=F11,"OK","REVISAR"))</f>
        <v>OK</v>
      </c>
      <c r="H11" s="8" t="s">
        <v>2885</v>
      </c>
    </row>
    <row r="12" customFormat="false" ht="15" hidden="false" customHeight="false" outlineLevel="0" collapsed="false">
      <c r="A12" s="8" t="s">
        <v>2814</v>
      </c>
      <c r="B12" s="8" t="s">
        <v>2886</v>
      </c>
      <c r="C12" s="19" t="n">
        <f aca="false">MAX(ABS(MAX(Base_PDF!$F$363:$O$363)),ABS(MIN(Base_PDF!$F$363:$O$363)))</f>
        <v>1</v>
      </c>
      <c r="D12" s="85" t="n">
        <v>0</v>
      </c>
      <c r="E12" s="19" t="n">
        <f aca="false">IF(OR(ISTEXT(C12),ISTEXT(D12)),"n/a",C12-D12)</f>
        <v>1</v>
      </c>
      <c r="F12" s="85" t="n">
        <v>1.01</v>
      </c>
      <c r="G12" s="5" t="str">
        <f aca="false">IF(E12="n/a","n/a",IF(ABS(E12)&lt;=F12,"OK","REVISAR"))</f>
        <v>OK</v>
      </c>
      <c r="H12" s="8" t="s">
        <v>2887</v>
      </c>
    </row>
    <row r="13" customFormat="false" ht="15" hidden="false" customHeight="false" outlineLevel="0" collapsed="false">
      <c r="A13" s="8" t="s">
        <v>2817</v>
      </c>
      <c r="B13" s="8" t="s">
        <v>2888</v>
      </c>
      <c r="C13" s="19" t="n">
        <f aca="false">MAX(ABS(MAX(Base_PDF!$F$364:$O$364)),ABS(MIN(Base_PDF!$F$364:$O$364)))</f>
        <v>1</v>
      </c>
      <c r="D13" s="85" t="n">
        <v>0</v>
      </c>
      <c r="E13" s="19" t="n">
        <f aca="false">IF(OR(ISTEXT(C13),ISTEXT(D13)),"n/a",C13-D13)</f>
        <v>1</v>
      </c>
      <c r="F13" s="85" t="n">
        <v>1.01</v>
      </c>
      <c r="G13" s="5" t="str">
        <f aca="false">IF(E13="n/a","n/a",IF(ABS(E13)&lt;=F13,"OK","REVISAR"))</f>
        <v>OK</v>
      </c>
      <c r="H13" s="8" t="s">
        <v>2887</v>
      </c>
    </row>
    <row r="14" customFormat="false" ht="15" hidden="false" customHeight="false" outlineLevel="0" collapsed="false">
      <c r="A14" s="8" t="s">
        <v>2819</v>
      </c>
      <c r="B14" s="8" t="s">
        <v>2889</v>
      </c>
      <c r="C14" s="19" t="n">
        <f aca="false">Base_PDF!$P$287</f>
        <v>2791587</v>
      </c>
      <c r="D14" s="19" t="n">
        <f aca="false">Base_PDF!$E$15</f>
        <v>2791587</v>
      </c>
      <c r="E14" s="19" t="n">
        <f aca="false">IF(OR(ISTEXT(C14),ISTEXT(D14)),"n/a",C14-D14)</f>
        <v>0</v>
      </c>
      <c r="F14" s="85" t="n">
        <v>0.01</v>
      </c>
      <c r="G14" s="5" t="str">
        <f aca="false">IF(E14="n/a","n/a",IF(ABS(E14)&lt;=F14,"OK","REVISAR"))</f>
        <v>OK</v>
      </c>
      <c r="H14" s="8" t="s">
        <v>2890</v>
      </c>
    </row>
    <row r="15" customFormat="false" ht="15" hidden="false" customHeight="false" outlineLevel="0" collapsed="false">
      <c r="A15" s="8" t="s">
        <v>2822</v>
      </c>
      <c r="B15" s="8" t="s">
        <v>2891</v>
      </c>
      <c r="C15" s="53" t="n">
        <f aca="false">Base_PDF!$E$354</f>
        <v>63060.2065946878</v>
      </c>
      <c r="D15" s="94" t="n">
        <v>63060.2066</v>
      </c>
      <c r="E15" s="53" t="n">
        <f aca="false">IF(OR(ISTEXT(C15),ISTEXT(D15)),"n/a",C15-D15)</f>
        <v>-5.31223486177623E-006</v>
      </c>
      <c r="F15" s="94" t="n">
        <v>0.001</v>
      </c>
      <c r="G15" s="5" t="str">
        <f aca="false">IF(E15="n/a","n/a",IF(ABS(E15)&lt;=F15,"OK","REVISAR"))</f>
        <v>OK</v>
      </c>
      <c r="H15" s="8" t="s">
        <v>2892</v>
      </c>
    </row>
    <row r="16" customFormat="false" ht="15" hidden="false" customHeight="false" outlineLevel="0" collapsed="false">
      <c r="A16" s="8" t="s">
        <v>2824</v>
      </c>
      <c r="B16" s="8" t="s">
        <v>2893</v>
      </c>
      <c r="C16" s="53" t="n">
        <f aca="false">Base_PDF!$E$353</f>
        <v>20936.9025</v>
      </c>
      <c r="D16" s="94" t="n">
        <v>20936.9025</v>
      </c>
      <c r="E16" s="53" t="n">
        <f aca="false">IF(OR(ISTEXT(C16),ISTEXT(D16)),"n/a",C16-D16)</f>
        <v>0</v>
      </c>
      <c r="F16" s="94" t="n">
        <v>0.001</v>
      </c>
      <c r="G16" s="5" t="str">
        <f aca="false">IF(E16="n/a","n/a",IF(ABS(E16)&lt;=F16,"OK","REVISAR"))</f>
        <v>OK</v>
      </c>
      <c r="H16" s="8" t="s">
        <v>2894</v>
      </c>
    </row>
    <row r="17" customFormat="false" ht="15" hidden="false" customHeight="false" outlineLevel="0" collapsed="false">
      <c r="A17" s="8" t="s">
        <v>2826</v>
      </c>
      <c r="B17" s="8" t="s">
        <v>2895</v>
      </c>
      <c r="C17" s="19" t="n">
        <f aca="false">MAX(ABS(MAX(Base_PDF!$F$291:$O$291)),ABS(MIN(Base_PDF!$F$291:$O$291)))</f>
        <v>0.65456812659977</v>
      </c>
      <c r="D17" s="85" t="n">
        <v>0</v>
      </c>
      <c r="E17" s="19" t="n">
        <f aca="false">IF(OR(ISTEXT(C17),ISTEXT(D17)),"n/a",C17-D17)</f>
        <v>0.65456812659977</v>
      </c>
      <c r="F17" s="85" t="n">
        <v>1</v>
      </c>
      <c r="G17" s="5" t="str">
        <f aca="false">IF(E17="n/a","n/a",IF(ABS(E17)&lt;=F17,"OK","REVISAR"))</f>
        <v>OK</v>
      </c>
      <c r="H17" s="8" t="s">
        <v>2896</v>
      </c>
    </row>
    <row r="18" customFormat="false" ht="15" hidden="false" customHeight="false" outlineLevel="0" collapsed="false">
      <c r="A18" s="8" t="s">
        <v>2828</v>
      </c>
      <c r="B18" s="8" t="s">
        <v>2897</v>
      </c>
      <c r="C18" s="19" t="n">
        <f aca="false">Base_PDF!$E$410</f>
        <v>4588736.5974151</v>
      </c>
      <c r="D18" s="19" t="n">
        <f aca="false">Base_PDF!$E$58</f>
        <v>4588736</v>
      </c>
      <c r="E18" s="19" t="n">
        <f aca="false">IF(OR(ISTEXT(C18),ISTEXT(D18)),"n/a",C18-D18)</f>
        <v>0.597415097057819</v>
      </c>
      <c r="F18" s="85" t="n">
        <v>1</v>
      </c>
      <c r="G18" s="5" t="str">
        <f aca="false">IF(E18="n/a","n/a",IF(ABS(E18)&lt;=F18,"OK","REVISAR"))</f>
        <v>OK</v>
      </c>
      <c r="H18" s="8" t="s">
        <v>2898</v>
      </c>
    </row>
    <row r="19" customFormat="false" ht="15" hidden="false" customHeight="false" outlineLevel="0" collapsed="false">
      <c r="A19" s="8" t="s">
        <v>2831</v>
      </c>
      <c r="B19" s="8" t="s">
        <v>2899</v>
      </c>
      <c r="C19" s="53" t="n">
        <f aca="false">Base_PDF!$E$412</f>
        <v>0.226054864233112</v>
      </c>
      <c r="D19" s="53" t="n">
        <f aca="false">Base_PDF!$E$59</f>
        <v>0.2261</v>
      </c>
      <c r="E19" s="53" t="n">
        <f aca="false">IF(OR(ISTEXT(C19),ISTEXT(D19)),"n/a",C19-D19)</f>
        <v>-4.51357668884711E-005</v>
      </c>
      <c r="F19" s="94" t="n">
        <v>5E-005</v>
      </c>
      <c r="G19" s="5" t="str">
        <f aca="false">IF(E19="n/a","n/a",IF(ABS(E19)&lt;=F19,"OK","REVISAR"))</f>
        <v>OK</v>
      </c>
      <c r="H19" s="8" t="s">
        <v>2900</v>
      </c>
    </row>
    <row r="20" customFormat="false" ht="15" hidden="false" customHeight="false" outlineLevel="0" collapsed="false">
      <c r="A20" s="8" t="s">
        <v>2834</v>
      </c>
      <c r="B20" s="8" t="s">
        <v>2901</v>
      </c>
      <c r="C20" s="19" t="n">
        <f aca="false">MAX(ABS(MAX(Base_PDF!$F$383:$O$383)),ABS(MIN(Base_PDF!$F$383:$O$383)))</f>
        <v>0.860273972619325</v>
      </c>
      <c r="D20" s="85" t="n">
        <v>0</v>
      </c>
      <c r="E20" s="19" t="n">
        <f aca="false">IF(OR(ISTEXT(C20),ISTEXT(D20)),"n/a",C20-D20)</f>
        <v>0.860273972619325</v>
      </c>
      <c r="F20" s="85" t="n">
        <v>1</v>
      </c>
      <c r="G20" s="5" t="str">
        <f aca="false">IF(E20="n/a","n/a",IF(ABS(E20)&lt;=F20,"OK","REVISAR"))</f>
        <v>OK</v>
      </c>
      <c r="H20" s="8" t="s">
        <v>2902</v>
      </c>
    </row>
    <row r="21" customFormat="false" ht="15" hidden="false" customHeight="false" outlineLevel="0" collapsed="false">
      <c r="A21" s="8" t="s">
        <v>2903</v>
      </c>
      <c r="B21" s="8" t="s">
        <v>2904</v>
      </c>
      <c r="C21" s="19" t="n">
        <f aca="false">MAX(MAX(ABS(MAX(Base_PDF!$F$408:$O$408)),ABS(MIN(Base_PDF!$F$408:$O$408))),ABS(Base_PDF!$E$408))</f>
        <v>1</v>
      </c>
      <c r="D21" s="85" t="n">
        <v>0</v>
      </c>
      <c r="E21" s="19" t="n">
        <f aca="false">IF(OR(ISTEXT(C21),ISTEXT(D21)),"n/a",C21-D21)</f>
        <v>1</v>
      </c>
      <c r="F21" s="85" t="n">
        <v>1.01</v>
      </c>
      <c r="G21" s="5" t="str">
        <f aca="false">IF(E21="n/a","n/a",IF(ABS(E21)&lt;=F21,"OK","REVISAR"))</f>
        <v>OK</v>
      </c>
      <c r="H21" s="8" t="s">
        <v>2887</v>
      </c>
    </row>
    <row r="22" customFormat="false" ht="15" hidden="false" customHeight="false" outlineLevel="0" collapsed="false">
      <c r="A22" s="8" t="s">
        <v>2905</v>
      </c>
      <c r="B22" s="8" t="s">
        <v>2906</v>
      </c>
      <c r="C22" s="19" t="n">
        <f aca="false">MAX(ABS(MAX(Base_PDF!$F$404:$O$404)),ABS(MIN(Base_PDF!$F$404:$O$404)))</f>
        <v>1</v>
      </c>
      <c r="D22" s="85" t="n">
        <v>0</v>
      </c>
      <c r="E22" s="19" t="n">
        <f aca="false">IF(OR(ISTEXT(C22),ISTEXT(D22)),"n/a",C22-D22)</f>
        <v>1</v>
      </c>
      <c r="F22" s="85" t="n">
        <v>1.01</v>
      </c>
      <c r="G22" s="5" t="str">
        <f aca="false">IF(E22="n/a","n/a",IF(ABS(E22)&lt;=F22,"OK","REVISAR"))</f>
        <v>OK</v>
      </c>
      <c r="H22" s="8" t="s">
        <v>2887</v>
      </c>
    </row>
    <row r="23" customFormat="false" ht="15" hidden="false" customHeight="false" outlineLevel="0" collapsed="false">
      <c r="A23" s="8" t="s">
        <v>2907</v>
      </c>
      <c r="B23" s="8" t="s">
        <v>2908</v>
      </c>
      <c r="C23" s="19" t="n">
        <f aca="false">Resultados_Anuales!$D$86</f>
        <v>81222447.7216454</v>
      </c>
      <c r="D23" s="19" t="n">
        <f aca="false">Resultados_Caja!$E$14</f>
        <v>81222447.7216454</v>
      </c>
      <c r="E23" s="19" t="n">
        <f aca="false">IF(OR(ISTEXT(C23),ISTEXT(D23)),"n/a",C23-D23)</f>
        <v>0</v>
      </c>
      <c r="F23" s="85" t="n">
        <v>0.01</v>
      </c>
      <c r="G23" s="5" t="str">
        <f aca="false">IF(E23="n/a","n/a",IF(ABS(E23)&lt;=F23,"OK","REVISAR"))</f>
        <v>OK</v>
      </c>
      <c r="H23" s="8" t="s">
        <v>2909</v>
      </c>
    </row>
    <row r="24" customFormat="false" ht="15" hidden="false" customHeight="false" outlineLevel="0" collapsed="false">
      <c r="A24" s="8" t="s">
        <v>2910</v>
      </c>
      <c r="B24" s="8" t="s">
        <v>2911</v>
      </c>
      <c r="C24" s="19" t="n">
        <f aca="false">k_chk_bal</f>
        <v>0</v>
      </c>
      <c r="D24" s="85" t="n">
        <v>0</v>
      </c>
      <c r="E24" s="19" t="n">
        <f aca="false">IF(OR(ISTEXT(C24),ISTEXT(D24)),"n/a",C24-D24)</f>
        <v>0</v>
      </c>
      <c r="F24" s="85" t="n">
        <v>0.01</v>
      </c>
      <c r="G24" s="5" t="str">
        <f aca="false">IF(E24="n/a","n/a",IF(ABS(E24)&lt;=F24,"OK","REVISAR"))</f>
        <v>OK</v>
      </c>
      <c r="H24" s="8" t="s">
        <v>2912</v>
      </c>
    </row>
    <row r="25" customFormat="false" ht="15" hidden="false" customHeight="false" outlineLevel="0" collapsed="false">
      <c r="A25" s="8" t="s">
        <v>2913</v>
      </c>
      <c r="B25" s="8" t="s">
        <v>2914</v>
      </c>
      <c r="C25" s="19" t="n">
        <f aca="false">k_chk_ind</f>
        <v>0</v>
      </c>
      <c r="D25" s="85" t="n">
        <v>0</v>
      </c>
      <c r="E25" s="19" t="n">
        <f aca="false">IF(OR(ISTEXT(C25),ISTEXT(D25)),"n/a",C25-D25)</f>
        <v>0</v>
      </c>
      <c r="F25" s="85" t="n">
        <v>0.01</v>
      </c>
      <c r="G25" s="5" t="str">
        <f aca="false">IF(E25="n/a","n/a",IF(ABS(E25)&lt;=F25,"OK","REVISAR"))</f>
        <v>OK</v>
      </c>
      <c r="H25" s="8" t="s">
        <v>2915</v>
      </c>
    </row>
    <row r="26" customFormat="false" ht="15" hidden="false" customHeight="false" outlineLevel="0" collapsed="false">
      <c r="A26" s="8" t="s">
        <v>2916</v>
      </c>
      <c r="B26" s="8" t="s">
        <v>2917</v>
      </c>
      <c r="C26" s="19" t="n">
        <f aca="false">Deuda_Tributos!$E$27</f>
        <v>2791587</v>
      </c>
      <c r="D26" s="19" t="n">
        <f aca="false">Deuda_Tributos!$E$24-Deuda_Tributos!$E$31</f>
        <v>2791587</v>
      </c>
      <c r="E26" s="19" t="n">
        <f aca="false">IF(OR(ISTEXT(C26),ISTEXT(D26)),"n/a",C26-D26)</f>
        <v>0</v>
      </c>
      <c r="F26" s="85" t="n">
        <v>0.01</v>
      </c>
      <c r="G26" s="5" t="str">
        <f aca="false">IF(E26="n/a","n/a",IF(ABS(E26)&lt;=F26,"OK","REVISAR"))</f>
        <v>OK</v>
      </c>
      <c r="H26" s="8" t="s">
        <v>2918</v>
      </c>
    </row>
    <row r="27" customFormat="false" ht="15" hidden="false" customHeight="false" outlineLevel="0" collapsed="false">
      <c r="A27" s="8" t="s">
        <v>2919</v>
      </c>
      <c r="B27" s="8" t="s">
        <v>2920</v>
      </c>
      <c r="C27" s="19" t="n">
        <f aca="false">MIN(Deuda_Tributos!$E$33,Deuda_Tributos!$E$47)</f>
        <v>0</v>
      </c>
      <c r="D27" s="85" t="n">
        <v>0</v>
      </c>
      <c r="E27" s="19" t="n">
        <f aca="false">IF(OR(ISTEXT(C27),ISTEXT(D27)),"n/a",C27-D27)</f>
        <v>0</v>
      </c>
      <c r="F27" s="85" t="n">
        <v>0</v>
      </c>
      <c r="G27" s="5" t="str">
        <f aca="false">IF(E27="n/a","n/a",IF(ABS(E27)&lt;=F27,"OK","REVISAR"))</f>
        <v>OK</v>
      </c>
      <c r="H27" s="8" t="s">
        <v>2921</v>
      </c>
    </row>
    <row r="28" customFormat="false" ht="15" hidden="false" customHeight="false" outlineLevel="0" collapsed="false">
      <c r="A28" s="8" t="s">
        <v>2922</v>
      </c>
      <c r="B28" s="8" t="s">
        <v>2923</v>
      </c>
      <c r="C28" s="19" t="n">
        <f aca="false">Inversion_Activos!$E$67</f>
        <v>0</v>
      </c>
      <c r="D28" s="85" t="n">
        <v>0</v>
      </c>
      <c r="E28" s="19" t="n">
        <f aca="false">IF(OR(ISTEXT(C28),ISTEXT(D28)),"n/a",C28-D28)</f>
        <v>0</v>
      </c>
      <c r="F28" s="85" t="n">
        <v>0.01</v>
      </c>
      <c r="G28" s="5" t="str">
        <f aca="false">IF(E28="n/a","n/a",IF(ABS(E28)&lt;=F28,"OK","REVISAR"))</f>
        <v>OK</v>
      </c>
      <c r="H28" s="8" t="s">
        <v>2921</v>
      </c>
    </row>
    <row r="29" customFormat="false" ht="15" hidden="false" customHeight="false" outlineLevel="0" collapsed="false">
      <c r="A29" s="8" t="s">
        <v>2924</v>
      </c>
      <c r="B29" s="8" t="s">
        <v>2925</v>
      </c>
      <c r="C29" s="19" t="n">
        <f aca="false">Inversion_Activos!$E$66</f>
        <v>9999.99999999849</v>
      </c>
      <c r="D29" s="19" t="n">
        <f aca="false">Inversion_Activos!$E$41-Inversion_Activos!$E$64</f>
        <v>9999.99999999849</v>
      </c>
      <c r="E29" s="19" t="n">
        <f aca="false">IF(OR(ISTEXT(C29),ISTEXT(D29)),"n/a",C29-D29)</f>
        <v>0</v>
      </c>
      <c r="F29" s="85" t="n">
        <v>0.01</v>
      </c>
      <c r="G29" s="5" t="str">
        <f aca="false">IF(E29="n/a","n/a",IF(ABS(E29)&lt;=F29,"OK","REVISAR"))</f>
        <v>OK</v>
      </c>
      <c r="H29" s="8" t="s">
        <v>2926</v>
      </c>
    </row>
    <row r="30" customFormat="false" ht="15" hidden="false" customHeight="false" outlineLevel="0" collapsed="false">
      <c r="A30" s="8" t="s">
        <v>2927</v>
      </c>
      <c r="B30" s="8" t="s">
        <v>2928</v>
      </c>
      <c r="C30" s="53" t="n">
        <f aca="false">MIN(MIN(Produccion_Ventas!$F$27:$FF$27),MIN(Produccion_Ventas!$F$48:$FF$48))</f>
        <v>0</v>
      </c>
      <c r="D30" s="94" t="n">
        <v>0</v>
      </c>
      <c r="E30" s="53" t="n">
        <f aca="false">IF(OR(ISTEXT(C30),ISTEXT(D30)),"n/a",C30-D30)</f>
        <v>0</v>
      </c>
      <c r="F30" s="94" t="n">
        <v>0.001</v>
      </c>
      <c r="G30" s="5" t="str">
        <f aca="false">IF(E30="n/a","n/a",IF(ABS(E30)&lt;=F30,"OK","REVISAR"))</f>
        <v>OK</v>
      </c>
      <c r="H30" s="8" t="s">
        <v>2929</v>
      </c>
    </row>
    <row r="31" customFormat="false" ht="15" hidden="false" customHeight="false" outlineLevel="0" collapsed="false">
      <c r="A31" s="8" t="s">
        <v>2930</v>
      </c>
      <c r="B31" s="8" t="s">
        <v>2931</v>
      </c>
      <c r="C31" s="53" t="n">
        <f aca="false">p_MixCobro</f>
        <v>1</v>
      </c>
      <c r="D31" s="94" t="n">
        <v>1</v>
      </c>
      <c r="E31" s="53" t="n">
        <f aca="false">IF(OR(ISTEXT(C31),ISTEXT(D31)),"n/a",C31-D31)</f>
        <v>0</v>
      </c>
      <c r="F31" s="94" t="n">
        <v>0.0001</v>
      </c>
      <c r="G31" s="5" t="str">
        <f aca="false">IF(E31="n/a","n/a",IF(ABS(E31)&lt;=F31,"OK","REVISAR"))</f>
        <v>OK</v>
      </c>
      <c r="H31" s="8" t="s">
        <v>2932</v>
      </c>
    </row>
    <row r="32" customFormat="false" ht="15" hidden="false" customHeight="false" outlineLevel="0" collapsed="false">
      <c r="A32" s="8" t="s">
        <v>2933</v>
      </c>
      <c r="B32" s="8" t="s">
        <v>2934</v>
      </c>
      <c r="C32" s="19" t="n">
        <f aca="false">Inversion_Activos!$O$23</f>
        <v>755044.1</v>
      </c>
      <c r="D32" s="19" t="n">
        <f aca="false">Inversion_Activos!$I$23+Inversion_Activos!$L$23+Inversion_Activos!$N$23</f>
        <v>755044.1</v>
      </c>
      <c r="E32" s="19" t="n">
        <f aca="false">IF(OR(ISTEXT(C32),ISTEXT(D32)),"n/a",C32-D32)</f>
        <v>0</v>
      </c>
      <c r="F32" s="85" t="n">
        <v>0.01</v>
      </c>
      <c r="G32" s="5" t="str">
        <f aca="false">IF(E32="n/a","n/a",IF(ABS(E32)&lt;=F32,"OK","REVISAR"))</f>
        <v>OK</v>
      </c>
      <c r="H32" s="8" t="s">
        <v>2935</v>
      </c>
    </row>
    <row r="33" customFormat="false" ht="15" hidden="false" customHeight="false" outlineLevel="0" collapsed="false">
      <c r="A33" s="8" t="s">
        <v>2936</v>
      </c>
      <c r="B33" s="8" t="s">
        <v>2937</v>
      </c>
      <c r="C33" s="19" t="n">
        <f aca="false">SUMIFS(dr_USD,dr_Cod,"CAPEX_PAG",dr_Est,"&lt;&gt;Excluido")</f>
        <v>0</v>
      </c>
      <c r="D33" s="19" t="n">
        <f aca="false">Inversion_Activos!$J$23</f>
        <v>0</v>
      </c>
      <c r="E33" s="19" t="n">
        <f aca="false">IF(OR(ISTEXT(C33),ISTEXT(D33)),"n/a",C33-D33)</f>
        <v>0</v>
      </c>
      <c r="F33" s="85" t="n">
        <v>1</v>
      </c>
      <c r="G33" s="5" t="str">
        <f aca="false">IF(E33="n/a","n/a",IF(ABS(E33)&lt;=F33,"OK","REVISAR"))</f>
        <v>OK</v>
      </c>
      <c r="H33" s="8" t="s">
        <v>2938</v>
      </c>
    </row>
    <row r="34" customFormat="false" ht="15" hidden="false" customHeight="false" outlineLevel="0" collapsed="false">
      <c r="A34" s="8" t="s">
        <v>2939</v>
      </c>
      <c r="B34" s="8" t="s">
        <v>1749</v>
      </c>
      <c r="C34" s="19" t="n">
        <f aca="false">k_chk_real</f>
        <v>0</v>
      </c>
      <c r="D34" s="85" t="n">
        <v>0</v>
      </c>
      <c r="E34" s="19" t="n">
        <f aca="false">IF(OR(ISTEXT(C34),ISTEXT(D34)),"n/a",C34-D34)</f>
        <v>0</v>
      </c>
      <c r="F34" s="85" t="n">
        <v>0</v>
      </c>
      <c r="G34" s="5" t="str">
        <f aca="false">IF(E34="n/a","n/a",IF(ABS(E34)&lt;=F34,"OK","REVISAR"))</f>
        <v>OK</v>
      </c>
      <c r="H34" s="8" t="s">
        <v>2940</v>
      </c>
    </row>
    <row r="35" customFormat="false" ht="15" hidden="false" customHeight="false" outlineLevel="0" collapsed="false">
      <c r="A35" s="8" t="s">
        <v>2941</v>
      </c>
      <c r="B35" s="8" t="s">
        <v>2942</v>
      </c>
      <c r="C35" s="19" t="n">
        <f aca="false">k_chk_grid</f>
        <v>1</v>
      </c>
      <c r="D35" s="85" t="n">
        <v>1</v>
      </c>
      <c r="E35" s="19" t="n">
        <f aca="false">IF(OR(ISTEXT(C35),ISTEXT(D35)),"n/a",C35-D35)</f>
        <v>0</v>
      </c>
      <c r="F35" s="85" t="n">
        <v>0</v>
      </c>
      <c r="G35" s="5" t="str">
        <f aca="false">IF(E35="n/a","n/a",IF(ABS(E35)&lt;=F35,"OK","REVISAR"))</f>
        <v>OK</v>
      </c>
      <c r="H35" s="8" t="s">
        <v>2943</v>
      </c>
    </row>
    <row r="36" customFormat="false" ht="15" hidden="false" customHeight="false" outlineLevel="0" collapsed="false">
      <c r="A36" s="8" t="s">
        <v>2944</v>
      </c>
      <c r="B36" s="8" t="s">
        <v>2945</v>
      </c>
      <c r="C36" s="19" t="n">
        <f aca="false">IF(AND(p_MesCorte&gt;=0,p_ArranqueReal=""),0,1)</f>
        <v>1</v>
      </c>
      <c r="D36" s="85" t="n">
        <v>1</v>
      </c>
      <c r="E36" s="19" t="n">
        <f aca="false">IF(OR(ISTEXT(C36),ISTEXT(D36)),"n/a",C36-D36)</f>
        <v>0</v>
      </c>
      <c r="F36" s="85" t="n">
        <v>0</v>
      </c>
      <c r="G36" s="5" t="str">
        <f aca="false">IF(E36="n/a","n/a",IF(ABS(E36)&lt;=F36,"OK","REVISAR"))</f>
        <v>OK</v>
      </c>
      <c r="H36" s="8" t="s">
        <v>2946</v>
      </c>
    </row>
    <row r="37" customFormat="false" ht="15" hidden="false" customHeight="false" outlineLevel="0" collapsed="false">
      <c r="A37" s="8" t="s">
        <v>2947</v>
      </c>
      <c r="B37" s="8" t="s">
        <v>2948</v>
      </c>
      <c r="C37" s="19" t="n">
        <f aca="false">SUMPRODUCT(--ISERROR(Resultados_Anuales!$D$6:$D$53))</f>
        <v>0</v>
      </c>
      <c r="D37" s="85" t="n">
        <v>0</v>
      </c>
      <c r="E37" s="19" t="n">
        <f aca="false">IF(OR(ISTEXT(C37),ISTEXT(D37)),"n/a",C37-D37)</f>
        <v>0</v>
      </c>
      <c r="F37" s="85" t="n">
        <v>0</v>
      </c>
      <c r="G37" s="5" t="str">
        <f aca="false">IF(E37="n/a","n/a",IF(ABS(E37)&lt;=F37,"OK","REVISAR"))</f>
        <v>OK</v>
      </c>
      <c r="H37" s="8" t="s">
        <v>2949</v>
      </c>
    </row>
    <row r="38" customFormat="false" ht="15" hidden="false" customHeight="false" outlineLevel="0" collapsed="false">
      <c r="A38" s="8" t="s">
        <v>2950</v>
      </c>
      <c r="B38" s="8" t="s">
        <v>2951</v>
      </c>
      <c r="C38" s="19" t="n">
        <f aca="false">IF(AND(p_EscIdx=1,p_ShockIdx=1),Resultados_Anuales!$F$86,"n/a")</f>
        <v>4850000</v>
      </c>
      <c r="D38" s="19" t="n">
        <f aca="false">IF(AND(p_EscIdx=1,p_ShockIdx=1),Base_PDF!$F$102,"n/a")</f>
        <v>4850000</v>
      </c>
      <c r="E38" s="19" t="n">
        <f aca="false">IF(OR(ISTEXT(C38),ISTEXT(D38)),"n/a",C38-D38)</f>
        <v>0</v>
      </c>
      <c r="F38" s="85" t="n">
        <v>0.5</v>
      </c>
      <c r="G38" s="5" t="str">
        <f aca="false">IF(E38="n/a","n/a",IF(ABS(E38)&lt;=F38,"OK","REVISAR"))</f>
        <v>OK</v>
      </c>
      <c r="H38" s="8" t="s">
        <v>2952</v>
      </c>
    </row>
    <row r="39" customFormat="false" ht="15" hidden="false" customHeight="false" outlineLevel="0" collapsed="false">
      <c r="A39" s="8" t="s">
        <v>2953</v>
      </c>
      <c r="B39" s="8" t="s">
        <v>2954</v>
      </c>
      <c r="C39" s="19" t="n">
        <f aca="false">IF(AND(p_EscIdx=1,p_ShockIdx=1),Resultados_Anuales!$F$155,"n/a")</f>
        <v>1594520.54794521</v>
      </c>
      <c r="D39" s="19" t="n">
        <f aca="false">IF(AND(p_EscIdx=1,p_ShockIdx=1),Base_PDF!$F$379,"n/a")</f>
        <v>1594520.54794521</v>
      </c>
      <c r="E39" s="19" t="n">
        <f aca="false">IF(OR(ISTEXT(C39),ISTEXT(D39)),"n/a",C39-D39)</f>
        <v>0</v>
      </c>
      <c r="F39" s="85" t="n">
        <v>1</v>
      </c>
      <c r="G39" s="5" t="str">
        <f aca="false">IF(E39="n/a","n/a",IF(ABS(E39)&lt;=F39,"OK","REVISAR"))</f>
        <v>OK</v>
      </c>
      <c r="H39" s="8" t="s">
        <v>2955</v>
      </c>
    </row>
    <row r="40" customFormat="false" ht="15" hidden="false" customHeight="false" outlineLevel="0" collapsed="false">
      <c r="B40" s="5" t="s">
        <v>2956</v>
      </c>
      <c r="C40" s="9" t="n">
        <f aca="false">COUNTIF(G6:G39,"REVISAR")</f>
        <v>0</v>
      </c>
    </row>
    <row r="41" customFormat="false" ht="15" hidden="false" customHeight="false" outlineLevel="0" collapsed="false">
      <c r="B41" s="2" t="s">
        <v>2957</v>
      </c>
    </row>
    <row r="43" customFormat="false" ht="15" hidden="false" customHeight="false" outlineLevel="0" collapsed="false">
      <c r="A43" s="3" t="s">
        <v>2958</v>
      </c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10" t="s">
        <v>2189</v>
      </c>
      <c r="B44" s="10" t="s">
        <v>2959</v>
      </c>
      <c r="C44" s="10" t="s">
        <v>2960</v>
      </c>
      <c r="D44" s="10" t="s">
        <v>2961</v>
      </c>
      <c r="E44" s="10" t="s">
        <v>92</v>
      </c>
      <c r="F44" s="10"/>
      <c r="G44" s="10" t="s">
        <v>153</v>
      </c>
      <c r="H44" s="10" t="s">
        <v>2962</v>
      </c>
    </row>
    <row r="45" customFormat="false" ht="30" hidden="false" customHeight="true" outlineLevel="0" collapsed="false">
      <c r="A45" s="8" t="s">
        <v>926</v>
      </c>
      <c r="B45" s="6" t="s">
        <v>2963</v>
      </c>
      <c r="C45" s="28" t="n">
        <f aca="false">Base_PDF!$F$157+Base_PDF!$F$158</f>
        <v>435321.1665</v>
      </c>
      <c r="D45" s="28" t="n">
        <f aca="false">Base_PDF!$F$159+Base_PDF!$F$160</f>
        <v>477064.292054795</v>
      </c>
      <c r="E45" s="28" t="n">
        <f aca="false">Base_PDF!$F$161</f>
        <v>59730.2383563555</v>
      </c>
      <c r="G45" s="5" t="s">
        <v>2964</v>
      </c>
      <c r="H45" s="6" t="s">
        <v>2965</v>
      </c>
    </row>
    <row r="46" customFormat="false" ht="30" hidden="false" customHeight="true" outlineLevel="0" collapsed="false">
      <c r="A46" s="8" t="s">
        <v>928</v>
      </c>
      <c r="B46" s="6" t="s">
        <v>2966</v>
      </c>
      <c r="C46" s="28" t="n">
        <f aca="false">Base_PDF!$F$268</f>
        <v>0.572</v>
      </c>
      <c r="D46" s="28" t="n">
        <f aca="false">Base_PDF!$F$271</f>
        <v>0.427613580246914</v>
      </c>
      <c r="E46" s="19" t="n">
        <f aca="false">IF(AND(ISNUMBER(C46),ISNUMBER(D46)),D46-C46,"")</f>
        <v>-0.144386419753086</v>
      </c>
      <c r="G46" s="5" t="s">
        <v>2967</v>
      </c>
      <c r="H46" s="6" t="s">
        <v>2968</v>
      </c>
    </row>
    <row r="47" customFormat="false" ht="30" hidden="false" customHeight="true" outlineLevel="0" collapsed="false">
      <c r="A47" s="8" t="s">
        <v>930</v>
      </c>
      <c r="B47" s="6" t="s">
        <v>2969</v>
      </c>
      <c r="C47" s="28" t="n">
        <f aca="false">Base_PDF!$F$371</f>
        <v>1406129</v>
      </c>
      <c r="D47" s="28" t="n">
        <f aca="false">Base_PDF!$F$379</f>
        <v>1594520.54794521</v>
      </c>
      <c r="E47" s="28" t="n">
        <f aca="false">Base_PDF!$F$380</f>
        <v>188391.547945206</v>
      </c>
      <c r="G47" s="5" t="s">
        <v>2970</v>
      </c>
      <c r="H47" s="6" t="s">
        <v>2971</v>
      </c>
    </row>
    <row r="48" customFormat="false" ht="30" hidden="false" customHeight="true" outlineLevel="0" collapsed="false">
      <c r="A48" s="8" t="s">
        <v>931</v>
      </c>
      <c r="B48" s="6" t="s">
        <v>2972</v>
      </c>
      <c r="C48" s="28" t="n">
        <f aca="false">Base_PDF!$O$111</f>
        <v>898092</v>
      </c>
      <c r="D48" s="28" t="n">
        <f aca="false">Base_PDF!$O$115</f>
        <v>972504.944470934</v>
      </c>
      <c r="E48" s="28" t="n">
        <f aca="false">Base_PDF!$O$118</f>
        <v>74412.9444709338</v>
      </c>
      <c r="G48" s="5" t="s">
        <v>2973</v>
      </c>
      <c r="H48" s="6" t="s">
        <v>2974</v>
      </c>
    </row>
    <row r="49" customFormat="false" ht="30" hidden="false" customHeight="true" outlineLevel="0" collapsed="false">
      <c r="A49" s="8" t="s">
        <v>932</v>
      </c>
      <c r="B49" s="6" t="s">
        <v>2975</v>
      </c>
      <c r="C49" s="28" t="n">
        <f aca="false">Base_PDF!$E$58</f>
        <v>4588736</v>
      </c>
      <c r="D49" s="28" t="n">
        <f aca="false">Base_PDF!$E$424</f>
        <v>7324739.63192807</v>
      </c>
      <c r="E49" s="19" t="n">
        <f aca="false">IF(AND(ISNUMBER(C49),ISNUMBER(D49)),D49-C49,"")</f>
        <v>2736003.63192807</v>
      </c>
      <c r="G49" s="5" t="s">
        <v>2970</v>
      </c>
      <c r="H49" s="6" t="s">
        <v>2976</v>
      </c>
    </row>
    <row r="50" customFormat="false" ht="30" hidden="false" customHeight="true" outlineLevel="0" collapsed="false">
      <c r="A50" s="8" t="s">
        <v>933</v>
      </c>
      <c r="B50" s="6" t="s">
        <v>2977</v>
      </c>
      <c r="C50" s="82" t="n">
        <v>-2791587</v>
      </c>
      <c r="D50" s="82" t="n">
        <v>-2991587</v>
      </c>
      <c r="E50" s="82" t="n">
        <v>200000</v>
      </c>
      <c r="G50" s="5" t="s">
        <v>2970</v>
      </c>
      <c r="H50" s="6" t="s">
        <v>2978</v>
      </c>
    </row>
    <row r="51" customFormat="false" ht="30" hidden="false" customHeight="true" outlineLevel="0" collapsed="false">
      <c r="A51" s="8" t="s">
        <v>934</v>
      </c>
      <c r="B51" s="6" t="s">
        <v>2979</v>
      </c>
      <c r="C51" s="28" t="n">
        <f aca="false">Base_PDF!$E$386</f>
        <v>939710</v>
      </c>
      <c r="D51" s="28" t="n">
        <f aca="false">Base_PDF!$E$385</f>
        <v>1087311</v>
      </c>
      <c r="E51" s="19" t="n">
        <f aca="false">IF(AND(ISNUMBER(C51),ISNUMBER(D51)),D51-C51,"")</f>
        <v>147601</v>
      </c>
      <c r="G51" s="5" t="s">
        <v>2980</v>
      </c>
      <c r="H51" s="6" t="s">
        <v>2981</v>
      </c>
    </row>
    <row r="52" customFormat="false" ht="30" hidden="false" customHeight="true" outlineLevel="0" collapsed="false">
      <c r="A52" s="8" t="s">
        <v>935</v>
      </c>
      <c r="B52" s="6" t="s">
        <v>2982</v>
      </c>
      <c r="C52" s="28" t="n">
        <f aca="false">Base_PDF!$F$192</f>
        <v>0</v>
      </c>
      <c r="D52" s="28" t="n">
        <f aca="false">Resultados_Anuales!$F$98</f>
        <v>71592.21</v>
      </c>
      <c r="E52" s="19" t="n">
        <f aca="false">IF(AND(ISNUMBER(C52),ISNUMBER(D52)),D52-C52,"")</f>
        <v>71592.21</v>
      </c>
      <c r="G52" s="5" t="s">
        <v>2983</v>
      </c>
      <c r="H52" s="6" t="s">
        <v>2984</v>
      </c>
    </row>
    <row r="53" customFormat="false" ht="30" hidden="false" customHeight="true" outlineLevel="0" collapsed="false">
      <c r="A53" s="8" t="s">
        <v>936</v>
      </c>
      <c r="B53" s="6" t="s">
        <v>2985</v>
      </c>
      <c r="C53" s="28" t="n">
        <f aca="false">Base_PDF!$E$53</f>
        <v>100000</v>
      </c>
      <c r="D53" s="82" t="n">
        <v>0</v>
      </c>
      <c r="E53" s="19" t="n">
        <f aca="false">IF(AND(ISNUMBER(C53),ISNUMBER(D53)),D53-C53,"")</f>
        <v>-100000</v>
      </c>
      <c r="G53" s="5" t="s">
        <v>2986</v>
      </c>
      <c r="H53" s="6" t="s">
        <v>2987</v>
      </c>
    </row>
    <row r="54" customFormat="false" ht="30" hidden="false" customHeight="true" outlineLevel="0" collapsed="false">
      <c r="A54" s="8" t="s">
        <v>937</v>
      </c>
      <c r="B54" s="6" t="s">
        <v>2988</v>
      </c>
      <c r="C54" s="28" t="n">
        <f aca="false">Base_PDF!$E$56</f>
        <v>3974293</v>
      </c>
      <c r="D54" s="28" t="n">
        <f aca="false">Base_PDF!$O$374</f>
        <v>3980818</v>
      </c>
      <c r="E54" s="28" t="n">
        <f aca="false">Base_PDF!$E$387</f>
        <v>6525</v>
      </c>
      <c r="G54" s="5" t="s">
        <v>2989</v>
      </c>
      <c r="H54" s="6" t="s">
        <v>2990</v>
      </c>
    </row>
    <row r="55" customFormat="false" ht="30" hidden="false" customHeight="true" outlineLevel="0" collapsed="false">
      <c r="A55" s="8" t="s">
        <v>938</v>
      </c>
      <c r="B55" s="6" t="s">
        <v>2991</v>
      </c>
      <c r="C55" s="28" t="n">
        <f aca="false">Base_PDF!$E$57</f>
        <v>59417</v>
      </c>
      <c r="D55" s="28" t="n">
        <f aca="false">Base_PDF!$E$435</f>
        <v>59411</v>
      </c>
      <c r="E55" s="19" t="n">
        <f aca="false">IF(AND(ISNUMBER(C55),ISNUMBER(D55)),D55-C55,"")</f>
        <v>-6</v>
      </c>
      <c r="G55" s="5" t="s">
        <v>2980</v>
      </c>
      <c r="H55" s="6" t="s">
        <v>2992</v>
      </c>
    </row>
    <row r="56" customFormat="false" ht="30" hidden="false" customHeight="true" outlineLevel="0" collapsed="false">
      <c r="A56" s="8" t="s">
        <v>939</v>
      </c>
      <c r="B56" s="6" t="s">
        <v>2993</v>
      </c>
      <c r="C56" s="28" t="n">
        <f aca="false">Base_PDF!$F$266+Base_PDF!$F$267</f>
        <v>2890252</v>
      </c>
      <c r="D56" s="28" t="n">
        <f aca="false">Base_PDF!$F$164+Base_PDF!$F$165+Base_PDF!$F$166+Base_PDF!$F$170</f>
        <v>2916082</v>
      </c>
      <c r="E56" s="28" t="n">
        <f aca="false">Base_PDF!$F$274</f>
        <v>-25830</v>
      </c>
      <c r="G56" s="5" t="s">
        <v>2980</v>
      </c>
      <c r="H56" s="6" t="s">
        <v>2994</v>
      </c>
    </row>
    <row r="57" customFormat="false" ht="30" hidden="false" customHeight="true" outlineLevel="0" collapsed="false">
      <c r="A57" s="8" t="s">
        <v>940</v>
      </c>
      <c r="B57" s="6" t="s">
        <v>2995</v>
      </c>
      <c r="C57" s="28" t="n">
        <f aca="false">Base_PDF!$F$101</f>
        <v>1610000</v>
      </c>
      <c r="D57" s="28" t="n">
        <f aca="false">Base_PDF!$F$276</f>
        <v>1629801</v>
      </c>
      <c r="E57" s="28" t="n">
        <f aca="false">Base_PDF!$F$278</f>
        <v>-19801</v>
      </c>
      <c r="G57" s="5" t="s">
        <v>2980</v>
      </c>
      <c r="H57" s="6" t="s">
        <v>2996</v>
      </c>
    </row>
    <row r="58" customFormat="false" ht="30" hidden="false" customHeight="true" outlineLevel="0" collapsed="false">
      <c r="A58" s="8" t="s">
        <v>941</v>
      </c>
      <c r="B58" s="6" t="s">
        <v>2997</v>
      </c>
      <c r="C58" s="83" t="n">
        <v>0.1</v>
      </c>
      <c r="D58" s="28" t="n">
        <f aca="false">Base_PDF!$H$94</f>
        <v>0.466666666666667</v>
      </c>
      <c r="E58" s="19" t="n">
        <f aca="false">IF(AND(ISNUMBER(C58),ISNUMBER(D58)),D58-C58,"")</f>
        <v>0.366666666666667</v>
      </c>
      <c r="G58" s="5" t="s">
        <v>2998</v>
      </c>
      <c r="H58" s="6" t="s">
        <v>2999</v>
      </c>
    </row>
    <row r="59" customFormat="false" ht="30" hidden="false" customHeight="true" outlineLevel="0" collapsed="false">
      <c r="A59" s="8" t="s">
        <v>942</v>
      </c>
      <c r="B59" s="6" t="s">
        <v>3000</v>
      </c>
      <c r="C59" s="28" t="n">
        <f aca="false">Base_PDF!$F$171</f>
        <v>23014</v>
      </c>
      <c r="D59" s="28" t="n">
        <f aca="false">Base_PDF!$O$171</f>
        <v>23014</v>
      </c>
      <c r="E59" s="19" t="n">
        <f aca="false">IF(AND(ISNUMBER(C59),ISNUMBER(D59)),D59-C59,"")</f>
        <v>0</v>
      </c>
      <c r="G59" s="5" t="s">
        <v>3001</v>
      </c>
      <c r="H59" s="6" t="s">
        <v>3002</v>
      </c>
    </row>
    <row r="60" customFormat="false" ht="30" hidden="false" customHeight="true" outlineLevel="0" collapsed="false">
      <c r="A60" s="8" t="s">
        <v>943</v>
      </c>
      <c r="B60" s="6" t="s">
        <v>3003</v>
      </c>
      <c r="C60" s="28" t="n">
        <f aca="false">Base_PDF!$F$392</f>
        <v>66042</v>
      </c>
      <c r="D60" s="28" t="n">
        <f aca="false">Base_PDF!$F$394</f>
        <v>66042.085016994</v>
      </c>
      <c r="E60" s="19" t="n">
        <f aca="false">IF(AND(ISNUMBER(C60),ISNUMBER(D60)),D60-C60,"")</f>
        <v>0.0850169939803891</v>
      </c>
      <c r="G60" s="5" t="s">
        <v>3004</v>
      </c>
      <c r="H60" s="6" t="s">
        <v>3005</v>
      </c>
    </row>
    <row r="61" customFormat="false" ht="30" hidden="false" customHeight="true" outlineLevel="0" collapsed="false">
      <c r="A61" s="8" t="s">
        <v>944</v>
      </c>
      <c r="B61" s="6" t="s">
        <v>3006</v>
      </c>
      <c r="C61" s="28" t="n">
        <f aca="false">Base_PDF!$E$28</f>
        <v>0.01</v>
      </c>
      <c r="D61" s="82" t="s">
        <v>3007</v>
      </c>
      <c r="E61" s="19" t="str">
        <f aca="false">IF(AND(ISNUMBER(C61),ISNUMBER(D61)),D61-C61,"")</f>
        <v/>
      </c>
      <c r="G61" s="5" t="s">
        <v>3008</v>
      </c>
      <c r="H61" s="6" t="s">
        <v>3009</v>
      </c>
    </row>
    <row r="62" customFormat="false" ht="30" hidden="false" customHeight="true" outlineLevel="0" collapsed="false">
      <c r="A62" s="8" t="s">
        <v>945</v>
      </c>
      <c r="B62" s="6" t="s">
        <v>3010</v>
      </c>
      <c r="C62" s="28" t="n">
        <f aca="false">Base_PDF!$F$183</f>
        <v>204072</v>
      </c>
      <c r="D62" s="82" t="s">
        <v>3011</v>
      </c>
      <c r="E62" s="19" t="str">
        <f aca="false">IF(AND(ISNUMBER(C62),ISNUMBER(D62)),D62-C62,"")</f>
        <v/>
      </c>
      <c r="G62" s="5" t="s">
        <v>178</v>
      </c>
      <c r="H62" s="6" t="s">
        <v>3012</v>
      </c>
    </row>
    <row r="63" customFormat="false" ht="30" hidden="false" customHeight="true" outlineLevel="0" collapsed="false">
      <c r="A63" s="8" t="s">
        <v>946</v>
      </c>
      <c r="B63" s="6" t="s">
        <v>3013</v>
      </c>
      <c r="C63" s="82" t="n">
        <v>0</v>
      </c>
      <c r="D63" s="82" t="s">
        <v>3014</v>
      </c>
      <c r="E63" s="19" t="str">
        <f aca="false">IF(AND(ISNUMBER(C63),ISNUMBER(D63)),D63-C63,"")</f>
        <v/>
      </c>
      <c r="G63" s="5" t="s">
        <v>178</v>
      </c>
      <c r="H63" s="6" t="s">
        <v>3015</v>
      </c>
    </row>
    <row r="64" customFormat="false" ht="30" hidden="false" customHeight="true" outlineLevel="0" collapsed="false">
      <c r="A64" s="8" t="s">
        <v>3016</v>
      </c>
      <c r="B64" s="6" t="s">
        <v>3017</v>
      </c>
      <c r="C64" s="28" t="n">
        <f aca="false">Base_PDF!$F$286</f>
        <v>0</v>
      </c>
      <c r="D64" s="28" t="n">
        <f aca="false">Base_PDF!$F$290</f>
        <v>0.0922508782130392</v>
      </c>
      <c r="E64" s="19" t="n">
        <f aca="false">IF(AND(ISNUMBER(C64),ISNUMBER(D64)),D64-C64,"")</f>
        <v>0.0922508782130392</v>
      </c>
      <c r="G64" s="5" t="s">
        <v>3018</v>
      </c>
      <c r="H64" s="6" t="s">
        <v>3019</v>
      </c>
    </row>
    <row r="65" customFormat="false" ht="30" hidden="false" customHeight="true" outlineLevel="0" collapsed="false">
      <c r="A65" s="8" t="s">
        <v>3020</v>
      </c>
      <c r="B65" s="6" t="s">
        <v>3021</v>
      </c>
      <c r="C65" s="28" t="n">
        <f aca="false">Base_PDF!$E$20</f>
        <v>0.4309</v>
      </c>
      <c r="D65" s="28" t="n">
        <f aca="false">Base_PDF!$F$168/Base_PDF!$F$167</f>
        <v>0.430869374726169</v>
      </c>
      <c r="E65" s="19" t="n">
        <f aca="false">IF(AND(ISNUMBER(C65),ISNUMBER(D65)),D65-C65,"")</f>
        <v>-3.06252738311308E-005</v>
      </c>
      <c r="G65" s="5" t="s">
        <v>3022</v>
      </c>
      <c r="H65" s="6" t="s">
        <v>3023</v>
      </c>
    </row>
    <row r="66" customFormat="false" ht="30" hidden="false" customHeight="true" outlineLevel="0" collapsed="false">
      <c r="A66" s="8" t="s">
        <v>3024</v>
      </c>
      <c r="B66" s="6" t="s">
        <v>3025</v>
      </c>
      <c r="C66" s="28" t="n">
        <f aca="false">Base_PDF!$F$373</f>
        <v>63831</v>
      </c>
      <c r="D66" s="82" t="s">
        <v>3026</v>
      </c>
      <c r="E66" s="19" t="str">
        <f aca="false">IF(AND(ISNUMBER(C66),ISNUMBER(D66)),D66-C66,"")</f>
        <v/>
      </c>
      <c r="G66" s="5" t="s">
        <v>2980</v>
      </c>
      <c r="H66" s="6" t="s">
        <v>3027</v>
      </c>
    </row>
    <row r="67" customFormat="false" ht="30" hidden="false" customHeight="true" outlineLevel="0" collapsed="false">
      <c r="A67" s="8" t="s">
        <v>3028</v>
      </c>
      <c r="B67" s="6" t="s">
        <v>3029</v>
      </c>
      <c r="C67" s="28" t="n">
        <f aca="false">Base_PDF!$F$164</f>
        <v>1510500</v>
      </c>
      <c r="D67" s="28" t="n">
        <f aca="false">Base_PDF!$F$110+Base_PDF!$F$111</f>
        <v>1510500</v>
      </c>
      <c r="E67" s="19" t="n">
        <f aca="false">IF(AND(ISNUMBER(C67),ISNUMBER(D67)),D67-C67,"")</f>
        <v>0</v>
      </c>
      <c r="G67" s="5" t="s">
        <v>2980</v>
      </c>
      <c r="H67" s="6" t="s">
        <v>3030</v>
      </c>
    </row>
    <row r="68" customFormat="false" ht="30" hidden="false" customHeight="true" outlineLevel="0" collapsed="false">
      <c r="A68" s="8" t="s">
        <v>3031</v>
      </c>
      <c r="B68" s="6" t="s">
        <v>3032</v>
      </c>
      <c r="C68" s="28" t="n">
        <f aca="false">Base_PDF!$F$390</f>
        <v>3298569</v>
      </c>
      <c r="D68" s="82" t="s">
        <v>959</v>
      </c>
      <c r="E68" s="19" t="str">
        <f aca="false">IF(AND(ISNUMBER(C68),ISNUMBER(D68)),D68-C68,"")</f>
        <v/>
      </c>
      <c r="G68" s="5" t="s">
        <v>3033</v>
      </c>
      <c r="H68" s="6" t="s">
        <v>3034</v>
      </c>
    </row>
    <row r="69" customFormat="false" ht="30" hidden="false" customHeight="true" outlineLevel="0" collapsed="false">
      <c r="A69" s="8" t="s">
        <v>3035</v>
      </c>
      <c r="B69" s="6" t="s">
        <v>3036</v>
      </c>
      <c r="C69" s="28" t="n">
        <f aca="false">Base_PDF!$E$13</f>
        <v>0.0949</v>
      </c>
      <c r="D69" s="28" t="n">
        <f aca="false">Base_PDF!$E$409</f>
        <v>0.0948937236323062</v>
      </c>
      <c r="E69" s="19" t="n">
        <f aca="false">IF(AND(ISNUMBER(C69),ISNUMBER(D69)),D69-C69,"")</f>
        <v>-6.27636769379159E-006</v>
      </c>
      <c r="G69" s="5" t="s">
        <v>3037</v>
      </c>
      <c r="H69" s="6" t="s">
        <v>3038</v>
      </c>
    </row>
    <row r="70" customFormat="false" ht="30" hidden="false" customHeight="true" outlineLevel="0" collapsed="false">
      <c r="A70" s="8" t="s">
        <v>3039</v>
      </c>
      <c r="B70" s="6" t="s">
        <v>3040</v>
      </c>
      <c r="C70" s="28" t="n">
        <f aca="false">Base_PDF!$O$366</f>
        <v>2155939</v>
      </c>
      <c r="D70" s="28" t="n">
        <f aca="false">Base_PDF!$O$400</f>
        <v>2094918</v>
      </c>
      <c r="E70" s="19" t="n">
        <f aca="false">IF(AND(ISNUMBER(C70),ISNUMBER(D70)),D70-C70,"")</f>
        <v>-61021</v>
      </c>
      <c r="G70" s="5" t="s">
        <v>2970</v>
      </c>
      <c r="H70" s="6" t="s">
        <v>3041</v>
      </c>
    </row>
    <row r="71" customFormat="false" ht="30" hidden="false" customHeight="true" outlineLevel="0" collapsed="false">
      <c r="A71" s="8" t="s">
        <v>3042</v>
      </c>
      <c r="B71" s="6" t="s">
        <v>3043</v>
      </c>
      <c r="C71" s="28" t="n">
        <f aca="false">Base_PDF!$F$372</f>
        <v>117177</v>
      </c>
      <c r="D71" s="28" t="n">
        <f aca="false">Resultados_Anuales!$F$157</f>
        <v>126449.80891971</v>
      </c>
      <c r="E71" s="19" t="n">
        <f aca="false">IF(AND(ISNUMBER(C71),ISNUMBER(D71)),D71-C71,"")</f>
        <v>9272.80891971036</v>
      </c>
      <c r="G71" s="5" t="s">
        <v>3044</v>
      </c>
      <c r="H71" s="6" t="s">
        <v>3045</v>
      </c>
    </row>
    <row r="73" customFormat="false" ht="15" hidden="false" customHeight="false" outlineLevel="0" collapsed="false">
      <c r="A73" s="3" t="s">
        <v>3046</v>
      </c>
      <c r="B73" s="4"/>
      <c r="C73" s="4"/>
      <c r="D73" s="4"/>
      <c r="E73" s="4"/>
      <c r="F73" s="4"/>
      <c r="G73" s="4"/>
      <c r="H73" s="4"/>
    </row>
    <row r="74" customFormat="false" ht="15" hidden="false" customHeight="false" outlineLevel="0" collapsed="false">
      <c r="A74" s="10" t="s">
        <v>2189</v>
      </c>
      <c r="B74" s="10" t="s">
        <v>695</v>
      </c>
      <c r="C74" s="10" t="s">
        <v>3047</v>
      </c>
      <c r="D74" s="10" t="s">
        <v>3048</v>
      </c>
      <c r="E74" s="10" t="s">
        <v>3049</v>
      </c>
      <c r="F74" s="10"/>
      <c r="G74" s="10" t="s">
        <v>153</v>
      </c>
      <c r="H74" s="10" t="s">
        <v>3050</v>
      </c>
    </row>
    <row r="75" customFormat="false" ht="30" hidden="false" customHeight="true" outlineLevel="0" collapsed="false">
      <c r="A75" s="8" t="s">
        <v>2203</v>
      </c>
      <c r="B75" s="6" t="s">
        <v>3051</v>
      </c>
      <c r="C75" s="82" t="n">
        <v>81222447.7216454</v>
      </c>
      <c r="D75" s="82" t="n">
        <v>73100202.9494809</v>
      </c>
      <c r="E75" s="13" t="n">
        <f aca="false">D75-C75</f>
        <v>-8122244.77216449</v>
      </c>
      <c r="G75" s="5" t="s">
        <v>3052</v>
      </c>
      <c r="H75" s="6" t="s">
        <v>3053</v>
      </c>
    </row>
    <row r="76" customFormat="false" ht="30" hidden="false" customHeight="true" outlineLevel="0" collapsed="false">
      <c r="A76" s="8" t="s">
        <v>2206</v>
      </c>
      <c r="B76" s="6" t="s">
        <v>3054</v>
      </c>
      <c r="C76" s="82" t="n">
        <v>16318099.8594377</v>
      </c>
      <c r="D76" s="82" t="n">
        <v>13468079.196253</v>
      </c>
      <c r="E76" s="13" t="n">
        <f aca="false">D76-C76</f>
        <v>-2850020.6631847</v>
      </c>
      <c r="G76" s="5" t="s">
        <v>3052</v>
      </c>
      <c r="H76" s="6" t="s">
        <v>3055</v>
      </c>
    </row>
    <row r="77" customFormat="false" ht="30" hidden="false" customHeight="true" outlineLevel="0" collapsed="false">
      <c r="A77" s="8" t="s">
        <v>2209</v>
      </c>
      <c r="B77" s="6" t="s">
        <v>3056</v>
      </c>
      <c r="C77" s="82" t="n">
        <v>81222447.7216454</v>
      </c>
      <c r="D77" s="82" t="n">
        <v>77161325.3355631</v>
      </c>
      <c r="E77" s="13" t="n">
        <f aca="false">D77-C77</f>
        <v>-4061122.38608231</v>
      </c>
      <c r="G77" s="5" t="s">
        <v>3052</v>
      </c>
      <c r="H77" s="6" t="s">
        <v>3057</v>
      </c>
    </row>
    <row r="78" customFormat="false" ht="30" hidden="false" customHeight="true" outlineLevel="0" collapsed="false">
      <c r="A78" s="8" t="s">
        <v>2212</v>
      </c>
      <c r="B78" s="6" t="s">
        <v>3058</v>
      </c>
      <c r="C78" s="82" t="n">
        <v>812224.477216454</v>
      </c>
      <c r="D78" s="82" t="n">
        <v>771613.253355631</v>
      </c>
      <c r="E78" s="13" t="n">
        <f aca="false">D78-C78</f>
        <v>-40611.223860823</v>
      </c>
      <c r="G78" s="5" t="s">
        <v>3052</v>
      </c>
      <c r="H78" s="6" t="s">
        <v>3059</v>
      </c>
    </row>
    <row r="79" customFormat="false" ht="30" hidden="false" customHeight="true" outlineLevel="0" collapsed="false">
      <c r="A79" s="8" t="s">
        <v>2216</v>
      </c>
      <c r="B79" s="6" t="s">
        <v>3060</v>
      </c>
      <c r="C79" s="82" t="n">
        <v>8059646.82920334</v>
      </c>
      <c r="D79" s="82" t="n">
        <v>7326951.66291213</v>
      </c>
      <c r="E79" s="13" t="n">
        <f aca="false">D79-C79</f>
        <v>-732695.16629121</v>
      </c>
      <c r="G79" s="5" t="s">
        <v>3052</v>
      </c>
      <c r="H79" s="6" t="s">
        <v>3061</v>
      </c>
    </row>
    <row r="80" customFormat="false" ht="30" hidden="false" customHeight="true" outlineLevel="0" collapsed="false">
      <c r="A80" s="8" t="s">
        <v>2220</v>
      </c>
      <c r="B80" s="6" t="s">
        <v>3062</v>
      </c>
      <c r="C80" s="82" t="n">
        <v>40937334.0114229</v>
      </c>
      <c r="D80" s="82" t="n">
        <v>40937334.0114229</v>
      </c>
      <c r="E80" s="13" t="n">
        <f aca="false">D80-C80</f>
        <v>0</v>
      </c>
      <c r="G80" s="5" t="s">
        <v>3052</v>
      </c>
      <c r="H80" s="6" t="s">
        <v>3063</v>
      </c>
    </row>
    <row r="81" customFormat="false" ht="30" hidden="false" customHeight="true" outlineLevel="0" collapsed="false">
      <c r="A81" s="8" t="s">
        <v>2223</v>
      </c>
      <c r="B81" s="6" t="s">
        <v>3064</v>
      </c>
      <c r="C81" s="82" t="n">
        <v>8059646.82920334</v>
      </c>
      <c r="D81" s="82" t="n">
        <v>8955163.14355927</v>
      </c>
      <c r="E81" s="13" t="n">
        <f aca="false">D81-C81</f>
        <v>895516.314355929</v>
      </c>
      <c r="G81" s="5" t="s">
        <v>3052</v>
      </c>
      <c r="H81" s="6" t="s">
        <v>3065</v>
      </c>
    </row>
    <row r="82" customFormat="false" ht="30" hidden="false" customHeight="true" outlineLevel="0" collapsed="false">
      <c r="A82" s="8" t="s">
        <v>2225</v>
      </c>
      <c r="B82" s="6" t="s">
        <v>3066</v>
      </c>
      <c r="C82" s="82" t="n">
        <v>1594520.54794521</v>
      </c>
      <c r="D82" s="82" t="n">
        <v>1993150.68493151</v>
      </c>
      <c r="E82" s="13" t="n">
        <f aca="false">D82-C82</f>
        <v>398630.1369863</v>
      </c>
      <c r="G82" s="5" t="s">
        <v>3052</v>
      </c>
      <c r="H82" s="6" t="s">
        <v>3067</v>
      </c>
    </row>
    <row r="83" customFormat="false" ht="30" hidden="false" customHeight="true" outlineLevel="0" collapsed="false">
      <c r="A83" s="8" t="s">
        <v>2228</v>
      </c>
      <c r="B83" s="6" t="s">
        <v>3068</v>
      </c>
      <c r="C83" s="82" t="n">
        <v>1529018.47703678</v>
      </c>
      <c r="D83" s="82" t="n">
        <v>2095939.64341435</v>
      </c>
      <c r="E83" s="13" t="n">
        <f aca="false">D83-C83</f>
        <v>566921.16637757</v>
      </c>
      <c r="G83" s="5" t="s">
        <v>3052</v>
      </c>
      <c r="H83" s="6" t="s">
        <v>3069</v>
      </c>
    </row>
    <row r="84" customFormat="false" ht="30" hidden="false" customHeight="true" outlineLevel="0" collapsed="false">
      <c r="A84" s="8" t="s">
        <v>2231</v>
      </c>
      <c r="B84" s="6" t="s">
        <v>3070</v>
      </c>
      <c r="C84" s="82" t="n">
        <v>16318099.8594377</v>
      </c>
      <c r="D84" s="82" t="n">
        <v>16318099.8594377</v>
      </c>
      <c r="E84" s="13" t="n">
        <f aca="false">D84-C84</f>
        <v>0</v>
      </c>
      <c r="G84" s="5" t="s">
        <v>3052</v>
      </c>
      <c r="H84" s="6" t="s">
        <v>3071</v>
      </c>
    </row>
    <row r="85" customFormat="false" ht="30" hidden="false" customHeight="true" outlineLevel="0" collapsed="false">
      <c r="A85" s="8" t="s">
        <v>2233</v>
      </c>
      <c r="B85" s="6" t="s">
        <v>3072</v>
      </c>
      <c r="C85" s="82" t="n">
        <v>1529018.47703678</v>
      </c>
      <c r="D85" s="82" t="n">
        <v>962060.350839537</v>
      </c>
      <c r="E85" s="13" t="n">
        <f aca="false">D85-C85</f>
        <v>-566958.126197243</v>
      </c>
      <c r="G85" s="5" t="s">
        <v>3052</v>
      </c>
      <c r="H85" s="6" t="s">
        <v>3073</v>
      </c>
    </row>
    <row r="86" customFormat="false" ht="30" hidden="false" customHeight="true" outlineLevel="0" collapsed="false">
      <c r="A86" s="8" t="s">
        <v>2235</v>
      </c>
      <c r="B86" s="6" t="s">
        <v>3074</v>
      </c>
      <c r="C86" s="95" t="n">
        <v>120</v>
      </c>
      <c r="D86" s="95" t="n">
        <v>117</v>
      </c>
      <c r="E86" s="31" t="n">
        <f aca="false">D86-C86</f>
        <v>-3</v>
      </c>
      <c r="G86" s="5" t="s">
        <v>3052</v>
      </c>
      <c r="H86" s="6" t="s">
        <v>3075</v>
      </c>
    </row>
    <row r="87" customFormat="false" ht="30" hidden="false" customHeight="true" outlineLevel="0" collapsed="false">
      <c r="A87" s="8" t="s">
        <v>2237</v>
      </c>
      <c r="B87" s="6" t="s">
        <v>3076</v>
      </c>
      <c r="C87" s="82" t="n">
        <v>0</v>
      </c>
      <c r="D87" s="82" t="n">
        <v>216874.142829008</v>
      </c>
      <c r="E87" s="13" t="n">
        <f aca="false">D87-C87</f>
        <v>216874.142829008</v>
      </c>
      <c r="G87" s="5" t="s">
        <v>3052</v>
      </c>
      <c r="H87" s="6" t="s">
        <v>3077</v>
      </c>
    </row>
    <row r="88" customFormat="false" ht="30" hidden="false" customHeight="true" outlineLevel="0" collapsed="false">
      <c r="A88" s="8" t="s">
        <v>2240</v>
      </c>
      <c r="B88" s="6" t="s">
        <v>3078</v>
      </c>
      <c r="C88" s="82" t="n">
        <v>6732540.92587864</v>
      </c>
      <c r="D88" s="82" t="n">
        <v>6242120.33624238</v>
      </c>
      <c r="E88" s="13" t="n">
        <f aca="false">D88-C88</f>
        <v>-490420.589636261</v>
      </c>
      <c r="G88" s="5" t="s">
        <v>3052</v>
      </c>
      <c r="H88" s="6" t="s">
        <v>3079</v>
      </c>
    </row>
    <row r="89" customFormat="false" ht="30" hidden="false" customHeight="true" outlineLevel="0" collapsed="false">
      <c r="A89" s="8" t="s">
        <v>2243</v>
      </c>
      <c r="B89" s="6" t="s">
        <v>3080</v>
      </c>
      <c r="C89" s="82" t="n">
        <v>755044.1</v>
      </c>
      <c r="D89" s="82" t="n">
        <v>830548.51</v>
      </c>
      <c r="E89" s="13" t="n">
        <f aca="false">D89-C89</f>
        <v>75504.41</v>
      </c>
      <c r="G89" s="5" t="s">
        <v>3052</v>
      </c>
      <c r="H89" s="6" t="s">
        <v>3081</v>
      </c>
    </row>
    <row r="90" customFormat="false" ht="30" hidden="false" customHeight="true" outlineLevel="0" collapsed="false">
      <c r="A90" s="8" t="s">
        <v>2246</v>
      </c>
      <c r="B90" s="6" t="s">
        <v>3082</v>
      </c>
      <c r="C90" s="82" t="n">
        <v>745044.1</v>
      </c>
      <c r="D90" s="82" t="n">
        <v>819548.51</v>
      </c>
      <c r="E90" s="13" t="n">
        <f aca="false">D90-C90</f>
        <v>74504.41</v>
      </c>
      <c r="G90" s="5" t="s">
        <v>3052</v>
      </c>
      <c r="H90" s="6" t="s">
        <v>3083</v>
      </c>
    </row>
    <row r="91" customFormat="false" ht="30" hidden="false" customHeight="true" outlineLevel="0" collapsed="false">
      <c r="A91" s="8" t="s">
        <v>2248</v>
      </c>
      <c r="B91" s="6" t="s">
        <v>3084</v>
      </c>
      <c r="C91" s="82" t="n">
        <v>281000</v>
      </c>
      <c r="D91" s="82" t="n">
        <v>281000</v>
      </c>
      <c r="E91" s="13" t="n">
        <f aca="false">D91-C91</f>
        <v>0</v>
      </c>
      <c r="G91" s="5" t="s">
        <v>3052</v>
      </c>
      <c r="H91" s="6" t="s">
        <v>3085</v>
      </c>
    </row>
    <row r="92" customFormat="false" ht="30" hidden="false" customHeight="true" outlineLevel="0" collapsed="false">
      <c r="A92" s="8" t="s">
        <v>2250</v>
      </c>
      <c r="B92" s="6" t="s">
        <v>3086</v>
      </c>
      <c r="C92" s="82" t="n">
        <v>404166.666666667</v>
      </c>
      <c r="D92" s="82" t="n">
        <v>299487.5</v>
      </c>
      <c r="E92" s="13" t="n">
        <f aca="false">D92-C92</f>
        <v>-104679.166666667</v>
      </c>
      <c r="G92" s="5" t="s">
        <v>3052</v>
      </c>
      <c r="H92" s="6" t="s">
        <v>3087</v>
      </c>
    </row>
    <row r="93" customFormat="false" ht="30" hidden="false" customHeight="true" outlineLevel="0" collapsed="false">
      <c r="A93" s="8" t="s">
        <v>2251</v>
      </c>
      <c r="B93" s="6" t="s">
        <v>3088</v>
      </c>
      <c r="C93" s="82" t="n">
        <v>16318099.8594377</v>
      </c>
      <c r="D93" s="82" t="n">
        <v>17358689.7964344</v>
      </c>
      <c r="E93" s="13" t="n">
        <f aca="false">D93-C93</f>
        <v>1040589.9369967</v>
      </c>
      <c r="G93" s="5" t="s">
        <v>3052</v>
      </c>
      <c r="H93" s="6" t="s">
        <v>3089</v>
      </c>
    </row>
    <row r="94" customFormat="false" ht="30" hidden="false" customHeight="true" outlineLevel="0" collapsed="false">
      <c r="A94" s="8" t="s">
        <v>2252</v>
      </c>
      <c r="B94" s="6" t="s">
        <v>3090</v>
      </c>
      <c r="C94" s="82" t="n">
        <v>589308.477036784</v>
      </c>
      <c r="D94" s="82" t="n">
        <v>0</v>
      </c>
      <c r="E94" s="13" t="n">
        <f aca="false">D94-C94</f>
        <v>-589308.477036784</v>
      </c>
      <c r="G94" s="5" t="s">
        <v>3052</v>
      </c>
      <c r="H94" s="6" t="s">
        <v>3091</v>
      </c>
    </row>
    <row r="95" customFormat="false" ht="30" hidden="false" customHeight="true" outlineLevel="0" collapsed="false">
      <c r="A95" s="8" t="s">
        <v>2253</v>
      </c>
      <c r="B95" s="6" t="s">
        <v>3092</v>
      </c>
      <c r="C95" s="82" t="n">
        <v>3748260.0338038</v>
      </c>
      <c r="D95" s="82" t="n">
        <v>3513195.35900374</v>
      </c>
      <c r="E95" s="13" t="n">
        <f aca="false">D95-C95</f>
        <v>-235064.67480006</v>
      </c>
      <c r="G95" s="5" t="s">
        <v>3052</v>
      </c>
      <c r="H95" s="6" t="s">
        <v>3093</v>
      </c>
    </row>
    <row r="96" customFormat="false" ht="30" hidden="false" customHeight="true" outlineLevel="0" collapsed="false">
      <c r="A96" s="8" t="s">
        <v>2255</v>
      </c>
      <c r="B96" s="6" t="s">
        <v>3094</v>
      </c>
      <c r="C96" s="96" t="n">
        <v>0</v>
      </c>
      <c r="D96" s="96" t="n">
        <v>0</v>
      </c>
      <c r="E96" s="97" t="n">
        <f aca="false">D96-C96</f>
        <v>0</v>
      </c>
      <c r="G96" s="5" t="s">
        <v>3052</v>
      </c>
      <c r="H96" s="6" t="s">
        <v>3095</v>
      </c>
    </row>
    <row r="97" customFormat="false" ht="30" hidden="false" customHeight="true" outlineLevel="0" collapsed="false">
      <c r="A97" s="8" t="s">
        <v>2258</v>
      </c>
      <c r="B97" s="6" t="s">
        <v>3096</v>
      </c>
      <c r="C97" s="96" t="n">
        <v>0</v>
      </c>
      <c r="D97" s="96" t="n">
        <v>0</v>
      </c>
      <c r="E97" s="97" t="n">
        <f aca="false">D97-C97</f>
        <v>0</v>
      </c>
      <c r="G97" s="5" t="s">
        <v>3052</v>
      </c>
      <c r="H97" s="6" t="s">
        <v>3097</v>
      </c>
    </row>
    <row r="98" customFormat="false" ht="30" hidden="false" customHeight="true" outlineLevel="0" collapsed="false">
      <c r="A98" s="8" t="s">
        <v>2260</v>
      </c>
      <c r="B98" s="6" t="s">
        <v>3098</v>
      </c>
      <c r="C98" s="96" t="n">
        <v>0</v>
      </c>
      <c r="D98" s="96" t="n">
        <v>0</v>
      </c>
      <c r="E98" s="97" t="n">
        <f aca="false">D98-C98</f>
        <v>0</v>
      </c>
      <c r="G98" s="5" t="s">
        <v>3052</v>
      </c>
      <c r="H98" s="6" t="s">
        <v>3099</v>
      </c>
    </row>
    <row r="99" customFormat="false" ht="30" hidden="false" customHeight="true" outlineLevel="0" collapsed="false">
      <c r="A99" s="8" t="s">
        <v>2263</v>
      </c>
      <c r="B99" s="6" t="s">
        <v>3100</v>
      </c>
      <c r="C99" s="95" t="n">
        <v>0</v>
      </c>
      <c r="D99" s="95" t="n">
        <v>0</v>
      </c>
      <c r="E99" s="31" t="n">
        <f aca="false">D99-C99</f>
        <v>0</v>
      </c>
      <c r="G99" s="5" t="s">
        <v>3052</v>
      </c>
      <c r="H99" s="6" t="s">
        <v>3101</v>
      </c>
    </row>
    <row r="100" customFormat="false" ht="15" hidden="false" customHeight="false" outlineLevel="0" collapsed="false">
      <c r="B100" s="2" t="s">
        <v>3102</v>
      </c>
    </row>
  </sheetData>
  <conditionalFormatting sqref="G6:G3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2026-09-29T22:22:22Z</dcterms:created>
  <dc:creator>openpyxl</dc:creator>
  <dc:description/>
  <dc:language>en-US</dc:language>
  <cp:lastModifiedBy/>
  <dcterms:modified xsi:type="dcterms:W3CDTF">2026-09-29T22:22:27Z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